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knastweib;listDilElcada" sheetId="1" r:id="rId1"/>
  </sheets>
  <calcPr calcId="124519" fullCalcOnLoad="1"/>
</workbook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N13554"/>
  <sheetViews>
    <sheetView tabSelected="1" workbookViewId="0"/>
  </sheetViews>
  <sheetFormatPr defaultRowHeight="15"/>
  <sheetData>
    <row r="1">
      <c r="A1" t="inlineStr">
        <is>
          <t>csvbase_row_id</t>
        </is>
      </c>
      <c r="B1" t="inlineStr">
        <is>
          <t>﻿Anlage</t>
        </is>
      </c>
      <c r="C1" t="inlineStr">
        <is>
          <t>Einbauort</t>
        </is>
      </c>
      <c r="D1" t="inlineStr">
        <is>
          <t>BMK</t>
        </is>
      </c>
      <c r="E1" t="inlineStr">
        <is>
          <t>Typ</t>
        </is>
      </c>
      <c r="F1" t="inlineStr">
        <is>
          <t>TYP-HKBLOCK</t>
        </is>
      </c>
      <c r="G1" t="inlineStr">
        <is>
          <t>Bezeichnung</t>
        </is>
      </c>
      <c r="H1" t="inlineStr">
        <is>
          <t>Erleuterungen</t>
        </is>
      </c>
      <c r="I1" t="inlineStr">
        <is>
          <t>Blattnummer</t>
        </is>
      </c>
      <c r="J1" t="inlineStr">
        <is>
          <t>Verweis</t>
        </is>
      </c>
      <c r="K1" t="inlineStr">
        <is>
          <t>Kommentar</t>
        </is>
      </c>
      <c r="L1" t="inlineStr">
        <is>
          <t>BMK-Zusatz</t>
        </is>
      </c>
      <c r="M1" t="inlineStr">
        <is>
          <t>BMK-DRUCK</t>
        </is>
      </c>
      <c r="N1" t="inlineStr">
        <is>
          <t>BMK-P</t>
        </is>
      </c>
    </row>
    <row r="2">
      <c r="A2">
        <v>1</v>
      </c>
      <c r="B2">
        <f>GS24</f>
        <v>0</v>
      </c>
      <c r="C2" t="inlineStr">
        <is>
          <t>+LS14</t>
        </is>
      </c>
      <c r="D2" t="inlineStr">
        <is>
          <t>-1000K3538.1</t>
        </is>
      </c>
      <c r="E2" t="inlineStr">
        <is>
          <t>DIL_EM-10-G</t>
        </is>
      </c>
      <c r="F2" t="inlineStr">
        <is>
          <t>#KALK!</t>
        </is>
      </c>
      <c r="G2" t="inlineStr">
        <is>
          <t>LASTSCHUETZ</t>
        </is>
      </c>
      <c r="H2" t="inlineStr">
        <is>
          <t>4kW 1S</t>
        </is>
      </c>
      <c r="I2">
        <v>1470</v>
      </c>
      <c r="J2">
        <f>GS24/1000.6</f>
        <v>0</v>
      </c>
      <c r="M2" t="inlineStr">
        <is>
          <t>-1000K3538.1</t>
        </is>
      </c>
    </row>
    <row r="3">
      <c r="A3">
        <v>2</v>
      </c>
      <c r="B3">
        <f>GS24</f>
        <v>0</v>
      </c>
      <c r="C3" t="inlineStr">
        <is>
          <t>+LS14</t>
        </is>
      </c>
      <c r="D3" t="inlineStr">
        <is>
          <t>-1000K3538.2</t>
        </is>
      </c>
      <c r="E3" t="inlineStr">
        <is>
          <t>DIL_EM-10-G</t>
        </is>
      </c>
      <c r="F3" t="inlineStr">
        <is>
          <t>#KALK!</t>
        </is>
      </c>
      <c r="G3" t="inlineStr">
        <is>
          <t>LASTSCHUETZ</t>
        </is>
      </c>
      <c r="H3" t="inlineStr">
        <is>
          <t>4kW 1S</t>
        </is>
      </c>
      <c r="I3">
        <v>1470</v>
      </c>
      <c r="J3">
        <f>GS24/1000.6</f>
        <v>0</v>
      </c>
      <c r="M3" t="inlineStr">
        <is>
          <t>-1000K3538.2</t>
        </is>
      </c>
    </row>
    <row r="4">
      <c r="A4">
        <v>3</v>
      </c>
      <c r="B4">
        <f>GS55</f>
        <v>0</v>
      </c>
      <c r="C4" t="inlineStr">
        <is>
          <t>+LS16</t>
        </is>
      </c>
      <c r="D4" t="inlineStr">
        <is>
          <t>-1000Q1</t>
        </is>
      </c>
      <c r="E4" t="inlineStr">
        <is>
          <t>DILA-XHI22</t>
        </is>
      </c>
      <c r="F4" t="inlineStr">
        <is>
          <t>DILA-XHI22</t>
        </is>
      </c>
      <c r="G4" t="inlineStr">
        <is>
          <t>HILFSKONTAKTBLOCK</t>
        </is>
      </c>
      <c r="H4" t="inlineStr">
        <is>
          <t>2S 2OE Last+Hilfssch. Cage</t>
        </is>
      </c>
      <c r="I4">
        <v>1251</v>
      </c>
      <c r="J4">
        <f>GS55/1000.6</f>
        <v>0</v>
      </c>
      <c r="K4" t="inlineStr">
        <is>
          <t>DIL MC25</t>
        </is>
      </c>
      <c r="M4" t="inlineStr">
        <is>
          <t>-1000Q1</t>
        </is>
      </c>
    </row>
    <row r="5">
      <c r="A5">
        <v>4</v>
      </c>
      <c r="B5">
        <f>GS55</f>
        <v>0</v>
      </c>
      <c r="C5" t="inlineStr">
        <is>
          <t>+LS16</t>
        </is>
      </c>
      <c r="D5" t="inlineStr">
        <is>
          <t>-1000Q1</t>
        </is>
      </c>
      <c r="E5" t="inlineStr">
        <is>
          <t>DILMC25-10(RDC24)</t>
        </is>
      </c>
      <c r="F5" t="inlineStr">
        <is>
          <t>DILA-XHI22</t>
        </is>
      </c>
      <c r="G5" t="inlineStr">
        <is>
          <t>LASTSCHUETZ</t>
        </is>
      </c>
      <c r="H5" t="inlineStr">
        <is>
          <t>11kW 1S Federzugkl.</t>
        </is>
      </c>
      <c r="I5">
        <v>1251</v>
      </c>
      <c r="J5">
        <f>GS55/1000.6</f>
        <v>0</v>
      </c>
      <c r="K5" t="inlineStr">
        <is>
          <t>DIL MC25</t>
        </is>
      </c>
      <c r="M5" t="inlineStr">
        <is>
          <t>-1000Q1</t>
        </is>
      </c>
    </row>
    <row r="6">
      <c r="A6">
        <v>5</v>
      </c>
      <c r="B6">
        <f>GS36</f>
        <v>0</v>
      </c>
      <c r="C6" t="inlineStr">
        <is>
          <t>+LS12</t>
        </is>
      </c>
      <c r="D6" t="inlineStr">
        <is>
          <t>-1000Q722.5</t>
        </is>
      </c>
      <c r="E6" t="inlineStr">
        <is>
          <t>DILA-XHI22</t>
        </is>
      </c>
      <c r="F6" t="inlineStr">
        <is>
          <t>DILA-XHI22</t>
        </is>
      </c>
      <c r="G6" t="inlineStr">
        <is>
          <t>HILFSKONTAKTBLOCK</t>
        </is>
      </c>
      <c r="H6" t="inlineStr">
        <is>
          <t>2S 2OE Last+Hilfssch. Cage</t>
        </is>
      </c>
      <c r="I6">
        <v>1557</v>
      </c>
      <c r="J6">
        <f>GS36/1000.5</f>
        <v>0</v>
      </c>
      <c r="K6" t="inlineStr">
        <is>
          <t>DIL MC12</t>
        </is>
      </c>
      <c r="L6" t="inlineStr">
        <is>
          <t>HT_3813</t>
        </is>
      </c>
      <c r="M6" t="inlineStr">
        <is>
          <t>HT_3813
-1000Q722.5</t>
        </is>
      </c>
      <c r="N6" t="inlineStr">
        <is>
          <t>P</t>
        </is>
      </c>
    </row>
    <row r="7">
      <c r="A7">
        <v>6</v>
      </c>
      <c r="B7">
        <f>GS36</f>
        <v>0</v>
      </c>
      <c r="C7" t="inlineStr">
        <is>
          <t>+ES02</t>
        </is>
      </c>
      <c r="D7" t="inlineStr">
        <is>
          <t>-15K4.0</t>
        </is>
      </c>
      <c r="E7" t="inlineStr">
        <is>
          <t>DILA-40</t>
        </is>
      </c>
      <c r="F7" t="inlineStr">
        <is>
          <t>#KALK!</t>
        </is>
      </c>
      <c r="G7" t="inlineStr">
        <is>
          <t>HILFSSCHUETZ</t>
        </is>
      </c>
      <c r="H7" t="inlineStr">
        <is>
          <t>4S Federzugkl.</t>
        </is>
      </c>
      <c r="I7">
        <v>180</v>
      </c>
      <c r="J7">
        <f>GS36/15.6</f>
        <v>0</v>
      </c>
      <c r="M7" t="inlineStr">
        <is>
          <t>-15K4.0</t>
        </is>
      </c>
    </row>
    <row r="8">
      <c r="A8">
        <v>7</v>
      </c>
      <c r="B8">
        <f>GS36</f>
        <v>0</v>
      </c>
      <c r="C8" t="inlineStr">
        <is>
          <t>+ES02</t>
        </is>
      </c>
      <c r="D8" t="inlineStr">
        <is>
          <t>-16K1</t>
        </is>
      </c>
      <c r="E8" t="inlineStr">
        <is>
          <t>DILA-40</t>
        </is>
      </c>
      <c r="F8" t="inlineStr">
        <is>
          <t>DILA-XHIC40</t>
        </is>
      </c>
      <c r="G8" t="inlineStr">
        <is>
          <t>HILFSSCHUETZ</t>
        </is>
      </c>
      <c r="H8" t="inlineStr">
        <is>
          <t>4S Federzugkl.</t>
        </is>
      </c>
      <c r="I8">
        <v>181</v>
      </c>
      <c r="J8">
        <f>GS36/16.5</f>
        <v>0</v>
      </c>
      <c r="M8" t="inlineStr">
        <is>
          <t>-16K1</t>
        </is>
      </c>
    </row>
    <row r="9">
      <c r="A9">
        <v>8</v>
      </c>
      <c r="B9">
        <f>GS36</f>
        <v>0</v>
      </c>
      <c r="C9" t="inlineStr">
        <is>
          <t>+ES02</t>
        </is>
      </c>
      <c r="D9" t="inlineStr">
        <is>
          <t>-16K4.1</t>
        </is>
      </c>
      <c r="E9" t="inlineStr">
        <is>
          <t>DILA-40</t>
        </is>
      </c>
      <c r="F9" t="inlineStr">
        <is>
          <t>DILA-XHIC40</t>
        </is>
      </c>
      <c r="G9" t="inlineStr">
        <is>
          <t>HILFSSCHUETZ</t>
        </is>
      </c>
      <c r="H9" t="inlineStr">
        <is>
          <t>4S Federzugkl.</t>
        </is>
      </c>
      <c r="I9">
        <v>181</v>
      </c>
      <c r="J9">
        <f>GS36/16.5</f>
        <v>0</v>
      </c>
      <c r="M9" t="inlineStr">
        <is>
          <t>-16K4.1</t>
        </is>
      </c>
    </row>
    <row r="10">
      <c r="A10">
        <v>9</v>
      </c>
      <c r="B10">
        <f>GS24</f>
        <v>0</v>
      </c>
      <c r="C10" t="inlineStr">
        <is>
          <t>+LS14</t>
        </is>
      </c>
      <c r="D10" t="inlineStr">
        <is>
          <t>-1001K3538.7</t>
        </is>
      </c>
      <c r="E10" t="inlineStr">
        <is>
          <t>DIL_EM-10-G</t>
        </is>
      </c>
      <c r="F10" t="inlineStr">
        <is>
          <t>#KALK!</t>
        </is>
      </c>
      <c r="G10" t="inlineStr">
        <is>
          <t>LASTSCHUETZ</t>
        </is>
      </c>
      <c r="H10" t="inlineStr">
        <is>
          <t>4kW 1S</t>
        </is>
      </c>
      <c r="I10">
        <v>1471</v>
      </c>
      <c r="J10">
        <f>GS24/1001.6</f>
        <v>0</v>
      </c>
      <c r="M10" t="inlineStr">
        <is>
          <t>-1001K3538.7</t>
        </is>
      </c>
    </row>
    <row r="11">
      <c r="A11">
        <v>10</v>
      </c>
      <c r="B11">
        <f>GS55</f>
        <v>0</v>
      </c>
      <c r="C11" t="inlineStr">
        <is>
          <t>+LS16</t>
        </is>
      </c>
      <c r="D11" t="inlineStr">
        <is>
          <t>-1001Q431.1</t>
        </is>
      </c>
      <c r="E11" t="inlineStr">
        <is>
          <t>DILA-XHI22</t>
        </is>
      </c>
      <c r="F11" t="inlineStr">
        <is>
          <t>DILA-XHI22</t>
        </is>
      </c>
      <c r="G11" t="inlineStr">
        <is>
          <t>HILFSKONTAKTBLOCK</t>
        </is>
      </c>
      <c r="H11" t="inlineStr">
        <is>
          <t>2S 2OE Last+Hilfssch. Cage</t>
        </is>
      </c>
      <c r="I11">
        <v>1252</v>
      </c>
      <c r="J11">
        <f>GS55/1001.6</f>
        <v>0</v>
      </c>
      <c r="K11" t="inlineStr">
        <is>
          <t>DIL MC9 HT1601</t>
        </is>
      </c>
      <c r="M11" t="inlineStr">
        <is>
          <t>-1001Q431.1</t>
        </is>
      </c>
    </row>
    <row r="12">
      <c r="A12">
        <v>11</v>
      </c>
      <c r="B12">
        <f>GS55</f>
        <v>0</v>
      </c>
      <c r="C12" t="inlineStr">
        <is>
          <t>+LS16</t>
        </is>
      </c>
      <c r="D12" t="inlineStr">
        <is>
          <t>-1001Q431.1</t>
        </is>
      </c>
      <c r="E12" t="inlineStr">
        <is>
          <t>DILM-9-10</t>
        </is>
      </c>
      <c r="F12" t="inlineStr">
        <is>
          <t>DILA-XHI22</t>
        </is>
      </c>
      <c r="G12" t="inlineStr">
        <is>
          <t>LASTSCHUETZ</t>
        </is>
      </c>
      <c r="H12" t="inlineStr">
        <is>
          <t>4kW 1S Federzugkl.</t>
        </is>
      </c>
      <c r="I12">
        <v>1252</v>
      </c>
      <c r="J12">
        <f>GS55/1001.6</f>
        <v>0</v>
      </c>
      <c r="K12" t="inlineStr">
        <is>
          <t>DIL MC9 HT1601</t>
        </is>
      </c>
      <c r="M12" t="inlineStr">
        <is>
          <t>-1001Q431.1</t>
        </is>
      </c>
    </row>
    <row r="13">
      <c r="A13">
        <v>12</v>
      </c>
      <c r="B13">
        <f>GS55</f>
        <v>0</v>
      </c>
      <c r="C13" t="inlineStr">
        <is>
          <t>+LS16</t>
        </is>
      </c>
      <c r="D13" t="inlineStr">
        <is>
          <t>-1001Q431.2</t>
        </is>
      </c>
      <c r="E13" t="inlineStr">
        <is>
          <t>DILA-XHI22</t>
        </is>
      </c>
      <c r="F13" t="inlineStr">
        <is>
          <t>DILA-XHI22</t>
        </is>
      </c>
      <c r="G13" t="inlineStr">
        <is>
          <t>HILFSKONTAKTBLOCK</t>
        </is>
      </c>
      <c r="H13" t="inlineStr">
        <is>
          <t>2S 2OE Last+Hilfssch. Cage</t>
        </is>
      </c>
      <c r="I13">
        <v>1252</v>
      </c>
      <c r="J13">
        <f>GS55/1001.7</f>
        <v>0</v>
      </c>
      <c r="K13" t="inlineStr">
        <is>
          <t>DIL MC9 HT1601</t>
        </is>
      </c>
      <c r="M13" t="inlineStr">
        <is>
          <t>-1001Q431.2</t>
        </is>
      </c>
    </row>
    <row r="14">
      <c r="A14">
        <v>13</v>
      </c>
      <c r="B14">
        <f>GS55</f>
        <v>0</v>
      </c>
      <c r="C14" t="inlineStr">
        <is>
          <t>+LS16</t>
        </is>
      </c>
      <c r="D14" t="inlineStr">
        <is>
          <t>-1001Q431.2</t>
        </is>
      </c>
      <c r="E14" t="inlineStr">
        <is>
          <t>DILM-9-10</t>
        </is>
      </c>
      <c r="F14" t="inlineStr">
        <is>
          <t>DILA-XHI22</t>
        </is>
      </c>
      <c r="G14" t="inlineStr">
        <is>
          <t>LASTSCHUETZ</t>
        </is>
      </c>
      <c r="H14" t="inlineStr">
        <is>
          <t>4kW 1S Federzugkl.</t>
        </is>
      </c>
      <c r="I14">
        <v>1252</v>
      </c>
      <c r="J14">
        <f>GS55/1001.7</f>
        <v>0</v>
      </c>
      <c r="K14" t="inlineStr">
        <is>
          <t>DIL MC9 HT1601</t>
        </is>
      </c>
      <c r="M14" t="inlineStr">
        <is>
          <t>-1001Q431.2</t>
        </is>
      </c>
    </row>
    <row r="15">
      <c r="A15">
        <v>14</v>
      </c>
      <c r="B15">
        <f>GS24</f>
        <v>0</v>
      </c>
      <c r="C15" t="inlineStr">
        <is>
          <t>+LS14</t>
        </is>
      </c>
      <c r="D15" t="inlineStr">
        <is>
          <t>-1002K3539.0</t>
        </is>
      </c>
      <c r="E15" t="inlineStr">
        <is>
          <t>DIL_EM-10-G</t>
        </is>
      </c>
      <c r="F15" t="inlineStr">
        <is>
          <t>#KALK!</t>
        </is>
      </c>
      <c r="G15" t="inlineStr">
        <is>
          <t>LASTSCHUETZ</t>
        </is>
      </c>
      <c r="H15" t="inlineStr">
        <is>
          <t>4kW 1S</t>
        </is>
      </c>
      <c r="I15">
        <v>1472</v>
      </c>
      <c r="J15">
        <f>GS24/1002.6</f>
        <v>0</v>
      </c>
      <c r="M15" t="inlineStr">
        <is>
          <t>-1002K3539.0</t>
        </is>
      </c>
    </row>
    <row r="16">
      <c r="A16">
        <v>15</v>
      </c>
      <c r="B16">
        <f>GS24</f>
        <v>0</v>
      </c>
      <c r="C16" t="inlineStr">
        <is>
          <t>+LS14</t>
        </is>
      </c>
      <c r="D16" t="inlineStr">
        <is>
          <t>-1002K3539.1</t>
        </is>
      </c>
      <c r="E16" t="inlineStr">
        <is>
          <t>DIL_EM-10-G</t>
        </is>
      </c>
      <c r="F16" t="inlineStr">
        <is>
          <t>#KALK!</t>
        </is>
      </c>
      <c r="G16" t="inlineStr">
        <is>
          <t>LASTSCHUETZ</t>
        </is>
      </c>
      <c r="H16" t="inlineStr">
        <is>
          <t>4kW 1S</t>
        </is>
      </c>
      <c r="I16">
        <v>1472</v>
      </c>
      <c r="J16">
        <f>GS24/1002.6</f>
        <v>0</v>
      </c>
      <c r="M16" t="inlineStr">
        <is>
          <t>-1002K3539.1</t>
        </is>
      </c>
    </row>
    <row r="17">
      <c r="A17">
        <v>16</v>
      </c>
      <c r="B17">
        <f>GS24</f>
        <v>0</v>
      </c>
      <c r="C17" t="inlineStr">
        <is>
          <t>+LS14</t>
        </is>
      </c>
      <c r="D17" t="inlineStr">
        <is>
          <t>-1003K3539.5</t>
        </is>
      </c>
      <c r="E17" t="inlineStr">
        <is>
          <t>DIL_EM-10-G</t>
        </is>
      </c>
      <c r="F17" t="inlineStr">
        <is>
          <t>#KALK!</t>
        </is>
      </c>
      <c r="G17" t="inlineStr">
        <is>
          <t>LASTSCHUETZ</t>
        </is>
      </c>
      <c r="H17" t="inlineStr">
        <is>
          <t>4kW 1S</t>
        </is>
      </c>
      <c r="I17">
        <v>1473</v>
      </c>
      <c r="J17">
        <f>GS24/1003.7</f>
        <v>0</v>
      </c>
      <c r="M17" t="inlineStr">
        <is>
          <t>-1003K3539.5</t>
        </is>
      </c>
    </row>
    <row r="18">
      <c r="A18">
        <v>17</v>
      </c>
      <c r="B18">
        <f>GS35</f>
        <v>0</v>
      </c>
      <c r="C18" t="inlineStr">
        <is>
          <t>+LS15</t>
        </is>
      </c>
      <c r="D18" t="inlineStr">
        <is>
          <t>-1005K528.4</t>
        </is>
      </c>
      <c r="E18" t="inlineStr">
        <is>
          <t>DILA-40</t>
        </is>
      </c>
      <c r="F18" t="inlineStr">
        <is>
          <t>#KALK!</t>
        </is>
      </c>
      <c r="G18" t="inlineStr">
        <is>
          <t>HILFSSCHUETZ</t>
        </is>
      </c>
      <c r="H18" t="inlineStr">
        <is>
          <t>4S Federzugkl.</t>
        </is>
      </c>
      <c r="I18">
        <v>1689</v>
      </c>
      <c r="J18">
        <f>GS35/1005.7</f>
        <v>0</v>
      </c>
      <c r="M18" t="inlineStr">
        <is>
          <t>-1005K528.4</t>
        </is>
      </c>
    </row>
    <row r="19">
      <c r="A19">
        <v>18</v>
      </c>
      <c r="B19">
        <f>GS05</f>
        <v>0</v>
      </c>
      <c r="C19" t="inlineStr">
        <is>
          <t>+LS16</t>
        </is>
      </c>
      <c r="D19" t="inlineStr">
        <is>
          <t>-1005Q1</t>
        </is>
      </c>
      <c r="E19" t="inlineStr">
        <is>
          <t>DILA-XHI22</t>
        </is>
      </c>
      <c r="F19" t="inlineStr">
        <is>
          <t>DILA-XHI22</t>
        </is>
      </c>
      <c r="G19" t="inlineStr">
        <is>
          <t>HILFSKONTAKTBLOCK</t>
        </is>
      </c>
      <c r="H19" t="inlineStr">
        <is>
          <t>2S 2OE Last+Hilfssch. Cage</t>
        </is>
      </c>
      <c r="I19">
        <v>2962</v>
      </c>
      <c r="J19">
        <f>GS05/1005.6</f>
        <v>0</v>
      </c>
      <c r="K19" t="inlineStr">
        <is>
          <t>DIL MC25</t>
        </is>
      </c>
      <c r="M19" t="inlineStr">
        <is>
          <t>-1005Q1</t>
        </is>
      </c>
    </row>
    <row r="20">
      <c r="A20">
        <v>19</v>
      </c>
      <c r="B20">
        <f>GS05</f>
        <v>0</v>
      </c>
      <c r="C20" t="inlineStr">
        <is>
          <t>+LS16</t>
        </is>
      </c>
      <c r="D20" t="inlineStr">
        <is>
          <t>-1005Q1</t>
        </is>
      </c>
      <c r="E20" t="inlineStr">
        <is>
          <t>DILMC25-10(RDC24)</t>
        </is>
      </c>
      <c r="F20" t="inlineStr">
        <is>
          <t>DILA-XHI22</t>
        </is>
      </c>
      <c r="G20" t="inlineStr">
        <is>
          <t>LASTSCHUETZ</t>
        </is>
      </c>
      <c r="H20" t="inlineStr">
        <is>
          <t>11kW 1S Federzugkl.</t>
        </is>
      </c>
      <c r="I20">
        <v>2962</v>
      </c>
      <c r="J20">
        <f>GS05/1005.6</f>
        <v>0</v>
      </c>
      <c r="K20" t="inlineStr">
        <is>
          <t>DIL MC25</t>
        </is>
      </c>
      <c r="M20" t="inlineStr">
        <is>
          <t>-1005Q1</t>
        </is>
      </c>
    </row>
    <row r="21">
      <c r="A21">
        <v>20</v>
      </c>
      <c r="B21">
        <f>GS35</f>
        <v>0</v>
      </c>
      <c r="C21" t="inlineStr">
        <is>
          <t>+LS15</t>
        </is>
      </c>
      <c r="D21" t="inlineStr">
        <is>
          <t>-1005Q1</t>
        </is>
      </c>
      <c r="E21" t="inlineStr">
        <is>
          <t>DILM-25-10</t>
        </is>
      </c>
      <c r="F21" t="inlineStr">
        <is>
          <t>DILA-XHI22</t>
        </is>
      </c>
      <c r="G21" t="inlineStr">
        <is>
          <t>LASTSCHUETZ</t>
        </is>
      </c>
      <c r="H21" t="inlineStr">
        <is>
          <t>11kW 1S Federzugkl.</t>
        </is>
      </c>
      <c r="I21">
        <v>1689</v>
      </c>
      <c r="J21">
        <f>GS35/1005.4</f>
        <v>0</v>
      </c>
      <c r="K21" t="inlineStr">
        <is>
          <t>DIL MC25</t>
        </is>
      </c>
      <c r="M21" t="inlineStr">
        <is>
          <t>-1005Q1</t>
        </is>
      </c>
    </row>
    <row r="22">
      <c r="A22">
        <v>21</v>
      </c>
      <c r="B22">
        <f>GS35</f>
        <v>0</v>
      </c>
      <c r="C22" t="inlineStr">
        <is>
          <t>+LS15</t>
        </is>
      </c>
      <c r="D22" t="inlineStr">
        <is>
          <t>-1005Q1</t>
        </is>
      </c>
      <c r="E22" t="inlineStr">
        <is>
          <t>DILA-XHI22</t>
        </is>
      </c>
      <c r="F22" t="inlineStr">
        <is>
          <t>DILA-XHI22</t>
        </is>
      </c>
      <c r="G22" t="inlineStr">
        <is>
          <t>HILFSKONTAKTBLOCK</t>
        </is>
      </c>
      <c r="H22" t="inlineStr">
        <is>
          <t>2S 2OE Last+Hilfssch. Cage</t>
        </is>
      </c>
      <c r="I22">
        <v>1689</v>
      </c>
      <c r="J22">
        <f>GS35/1005.4</f>
        <v>0</v>
      </c>
      <c r="K22" t="inlineStr">
        <is>
          <t>DIL MC25</t>
        </is>
      </c>
      <c r="M22" t="inlineStr">
        <is>
          <t>-1005Q1</t>
        </is>
      </c>
    </row>
    <row r="23">
      <c r="A23">
        <v>22</v>
      </c>
      <c r="B23">
        <f>GS06</f>
        <v>0</v>
      </c>
      <c r="C23" t="inlineStr">
        <is>
          <t>+LS15</t>
        </is>
      </c>
      <c r="D23" t="inlineStr">
        <is>
          <t>-1006K1</t>
        </is>
      </c>
      <c r="E23" t="inlineStr">
        <is>
          <t>DILM-9-01</t>
        </is>
      </c>
      <c r="F23" t="inlineStr">
        <is>
          <t>#KALK!</t>
        </is>
      </c>
      <c r="G23" t="inlineStr">
        <is>
          <t>LASTSCHUETZ</t>
        </is>
      </c>
      <c r="H23" t="inlineStr">
        <is>
          <t>4kW 1Oe Federzugkl.</t>
        </is>
      </c>
      <c r="I23">
        <v>2572</v>
      </c>
      <c r="J23">
        <f>GS06/1006.6</f>
        <v>0</v>
      </c>
      <c r="M23" t="inlineStr">
        <is>
          <t>-1006K1</t>
        </is>
      </c>
    </row>
    <row r="24">
      <c r="A24">
        <v>23</v>
      </c>
      <c r="B24">
        <f>GS06</f>
        <v>0</v>
      </c>
      <c r="C24" t="inlineStr">
        <is>
          <t>+LS15</t>
        </is>
      </c>
      <c r="D24" t="inlineStr">
        <is>
          <t>-1006K2</t>
        </is>
      </c>
      <c r="E24" t="inlineStr">
        <is>
          <t>DILM-9-01</t>
        </is>
      </c>
      <c r="F24" t="inlineStr">
        <is>
          <t>#KALK!</t>
        </is>
      </c>
      <c r="G24" t="inlineStr">
        <is>
          <t>LASTSCHUETZ</t>
        </is>
      </c>
      <c r="H24" t="inlineStr">
        <is>
          <t>4kW 1Oe Federzugkl.</t>
        </is>
      </c>
      <c r="I24">
        <v>2572</v>
      </c>
      <c r="J24">
        <f>GS06/1006.7</f>
        <v>0</v>
      </c>
      <c r="M24" t="inlineStr">
        <is>
          <t>-1006K2</t>
        </is>
      </c>
    </row>
    <row r="25">
      <c r="A25">
        <v>24</v>
      </c>
      <c r="B25">
        <f>GS32</f>
        <v>0</v>
      </c>
      <c r="C25" t="inlineStr">
        <is>
          <t>+ES3</t>
        </is>
      </c>
      <c r="D25" t="inlineStr">
        <is>
          <t>-1009K3550.0</t>
        </is>
      </c>
      <c r="E25" t="inlineStr">
        <is>
          <t>DILA-40</t>
        </is>
      </c>
      <c r="F25" t="inlineStr">
        <is>
          <t>DILA-XHIC40</t>
        </is>
      </c>
      <c r="G25" t="inlineStr">
        <is>
          <t>HILFSSCHUETZ</t>
        </is>
      </c>
      <c r="H25" t="inlineStr">
        <is>
          <t>4S Federzugkl.</t>
        </is>
      </c>
      <c r="I25">
        <v>320</v>
      </c>
      <c r="J25">
        <f>GS32/1009.6</f>
        <v>0</v>
      </c>
      <c r="M25" t="inlineStr">
        <is>
          <t>-1009K3550.0</t>
        </is>
      </c>
    </row>
    <row r="26">
      <c r="A26">
        <v>25</v>
      </c>
      <c r="B26">
        <f>GS32</f>
        <v>0</v>
      </c>
      <c r="C26" t="inlineStr">
        <is>
          <t>+ES3</t>
        </is>
      </c>
      <c r="D26" t="inlineStr">
        <is>
          <t>-1009K3550.0</t>
        </is>
      </c>
      <c r="E26" t="inlineStr">
        <is>
          <t>DILA-XHIC40</t>
        </is>
      </c>
      <c r="F26" t="inlineStr">
        <is>
          <t>DILA-XHIC40</t>
        </is>
      </c>
      <c r="G26" t="inlineStr">
        <is>
          <t>HILFSKONTAKTBLOCK</t>
        </is>
      </c>
      <c r="H26" t="inlineStr">
        <is>
          <t>4S Last+Hilfssch. Cage</t>
        </is>
      </c>
      <c r="I26">
        <v>320</v>
      </c>
      <c r="J26">
        <f>GS32/1009.6</f>
        <v>0</v>
      </c>
      <c r="M26" t="inlineStr">
        <is>
          <t>-1009K3550.0</t>
        </is>
      </c>
    </row>
    <row r="27">
      <c r="A27">
        <v>26</v>
      </c>
      <c r="B27">
        <f>GS32</f>
        <v>0</v>
      </c>
      <c r="C27" t="inlineStr">
        <is>
          <t>+ES3</t>
        </is>
      </c>
      <c r="D27" t="inlineStr">
        <is>
          <t>-1009K3550.1</t>
        </is>
      </c>
      <c r="E27" t="inlineStr">
        <is>
          <t>DILA-40</t>
        </is>
      </c>
      <c r="F27" t="inlineStr">
        <is>
          <t>DILA-XHIC40</t>
        </is>
      </c>
      <c r="G27" t="inlineStr">
        <is>
          <t>HILFSSCHUETZ</t>
        </is>
      </c>
      <c r="H27" t="inlineStr">
        <is>
          <t>4S Federzugkl.</t>
        </is>
      </c>
      <c r="I27">
        <v>320</v>
      </c>
      <c r="J27">
        <f>GS32/1009.7</f>
        <v>0</v>
      </c>
      <c r="M27" t="inlineStr">
        <is>
          <t>-1009K3550.1</t>
        </is>
      </c>
    </row>
    <row r="28">
      <c r="A28">
        <v>27</v>
      </c>
      <c r="B28">
        <f>GS32</f>
        <v>0</v>
      </c>
      <c r="C28" t="inlineStr">
        <is>
          <t>+ES3</t>
        </is>
      </c>
      <c r="D28" t="inlineStr">
        <is>
          <t>-1009K3550.1</t>
        </is>
      </c>
      <c r="E28" t="inlineStr">
        <is>
          <t>DILA-XHIC40</t>
        </is>
      </c>
      <c r="F28" t="inlineStr">
        <is>
          <t>DILA-XHIC40</t>
        </is>
      </c>
      <c r="G28" t="inlineStr">
        <is>
          <t>HILFSKONTAKTBLOCK</t>
        </is>
      </c>
      <c r="H28" t="inlineStr">
        <is>
          <t>4S Last+Hilfssch. Cage</t>
        </is>
      </c>
      <c r="I28">
        <v>320</v>
      </c>
      <c r="J28">
        <f>GS32/1009.7</f>
        <v>0</v>
      </c>
      <c r="M28" t="inlineStr">
        <is>
          <t>-1009K3550.1</t>
        </is>
      </c>
    </row>
    <row r="29">
      <c r="A29">
        <v>28</v>
      </c>
      <c r="B29">
        <f>GS13</f>
        <v>0</v>
      </c>
      <c r="C29" t="inlineStr">
        <is>
          <t>+LS1</t>
        </is>
      </c>
      <c r="D29" t="inlineStr">
        <is>
          <t>-100K1</t>
        </is>
      </c>
      <c r="E29" t="inlineStr">
        <is>
          <t>DIL_0AM</t>
        </is>
      </c>
      <c r="F29" t="inlineStr">
        <is>
          <t>22_DIL-M</t>
        </is>
      </c>
      <c r="G29" t="inlineStr">
        <is>
          <t>LASTSCHUETZ</t>
        </is>
      </c>
      <c r="H29" t="inlineStr">
        <is>
          <t>11 kW</t>
        </is>
      </c>
      <c r="I29">
        <v>339</v>
      </c>
      <c r="J29">
        <f>GS13/100.2</f>
        <v>0</v>
      </c>
      <c r="K29" t="inlineStr">
        <is>
          <t>DIL0AM</t>
        </is>
      </c>
      <c r="M29" t="inlineStr">
        <is>
          <t>-100K1</t>
        </is>
      </c>
    </row>
    <row r="30">
      <c r="A30">
        <v>29</v>
      </c>
      <c r="B30">
        <f>GS13</f>
        <v>0</v>
      </c>
      <c r="C30" t="inlineStr">
        <is>
          <t>+LS1</t>
        </is>
      </c>
      <c r="D30" t="inlineStr">
        <is>
          <t>-100K1</t>
        </is>
      </c>
      <c r="E30" t="inlineStr">
        <is>
          <t>22_DIL-M</t>
        </is>
      </c>
      <c r="F30" t="inlineStr">
        <is>
          <t>22_DIL-M</t>
        </is>
      </c>
      <c r="G30" t="inlineStr">
        <is>
          <t>HILFSKONTAKTBLOCK</t>
        </is>
      </c>
      <c r="H30" t="inlineStr">
        <is>
          <t>2S 2OE Lastschuetz DIL M</t>
        </is>
      </c>
      <c r="I30">
        <v>339</v>
      </c>
      <c r="J30">
        <f>GS13/100.2</f>
        <v>0</v>
      </c>
      <c r="K30" t="inlineStr">
        <is>
          <t>DIL0AM</t>
        </is>
      </c>
      <c r="M30" t="inlineStr">
        <is>
          <t>-100K1</t>
        </is>
      </c>
    </row>
    <row r="31">
      <c r="A31">
        <v>30</v>
      </c>
      <c r="B31">
        <f>GS23</f>
        <v>0</v>
      </c>
      <c r="C31" t="inlineStr">
        <is>
          <t>+LS1</t>
        </is>
      </c>
      <c r="D31" t="inlineStr">
        <is>
          <t>-100K1</t>
        </is>
      </c>
      <c r="E31" t="inlineStr">
        <is>
          <t>22_DIL-M</t>
        </is>
      </c>
      <c r="F31" t="inlineStr">
        <is>
          <t>22_DIL-M</t>
        </is>
      </c>
      <c r="G31" t="inlineStr">
        <is>
          <t>HILFSKONTAKTBLOCK</t>
        </is>
      </c>
      <c r="H31" t="inlineStr">
        <is>
          <t>2S 2OE Lastschuetz DIL M</t>
        </is>
      </c>
      <c r="I31">
        <v>399</v>
      </c>
      <c r="J31">
        <f>GS23/100.2</f>
        <v>0</v>
      </c>
      <c r="K31" t="inlineStr">
        <is>
          <t>DIL0AM</t>
        </is>
      </c>
      <c r="M31" t="inlineStr">
        <is>
          <t>-100K1</t>
        </is>
      </c>
    </row>
    <row r="32">
      <c r="A32">
        <v>31</v>
      </c>
      <c r="B32">
        <f>GS23</f>
        <v>0</v>
      </c>
      <c r="C32" t="inlineStr">
        <is>
          <t>+LS1</t>
        </is>
      </c>
      <c r="D32" t="inlineStr">
        <is>
          <t>-100K1</t>
        </is>
      </c>
      <c r="E32" t="inlineStr">
        <is>
          <t>DIL_0AM</t>
        </is>
      </c>
      <c r="F32" t="inlineStr">
        <is>
          <t>22_DIL-M</t>
        </is>
      </c>
      <c r="G32" t="inlineStr">
        <is>
          <t>LASTSCHUETZ</t>
        </is>
      </c>
      <c r="H32" t="inlineStr">
        <is>
          <t>11 kW</t>
        </is>
      </c>
      <c r="I32">
        <v>399</v>
      </c>
      <c r="J32">
        <f>GS23/100.2</f>
        <v>0</v>
      </c>
      <c r="K32" t="inlineStr">
        <is>
          <t>DIL0AM</t>
        </is>
      </c>
      <c r="M32" t="inlineStr">
        <is>
          <t>-100K1</t>
        </is>
      </c>
    </row>
    <row r="33">
      <c r="A33">
        <v>32</v>
      </c>
      <c r="B33">
        <f>GS33</f>
        <v>0</v>
      </c>
      <c r="C33" t="inlineStr">
        <is>
          <t>+LS1</t>
        </is>
      </c>
      <c r="D33" t="inlineStr">
        <is>
          <t>-100K1</t>
        </is>
      </c>
      <c r="E33" t="inlineStr">
        <is>
          <t>DIL_2AM</t>
        </is>
      </c>
      <c r="F33" t="inlineStr">
        <is>
          <t>22_DIL-M</t>
        </is>
      </c>
      <c r="G33" t="inlineStr">
        <is>
          <t>LASTSCHUETZ</t>
        </is>
      </c>
      <c r="H33" t="inlineStr">
        <is>
          <t>30 kW</t>
        </is>
      </c>
      <c r="I33">
        <v>532</v>
      </c>
      <c r="J33">
        <f>GS33/100.2</f>
        <v>0</v>
      </c>
      <c r="K33" t="inlineStr">
        <is>
          <t>DIL2AM</t>
        </is>
      </c>
      <c r="M33" t="inlineStr">
        <is>
          <t>-100K1</t>
        </is>
      </c>
    </row>
    <row r="34">
      <c r="A34">
        <v>33</v>
      </c>
      <c r="B34">
        <f>GS33</f>
        <v>0</v>
      </c>
      <c r="C34" t="inlineStr">
        <is>
          <t>+LS1</t>
        </is>
      </c>
      <c r="D34" t="inlineStr">
        <is>
          <t>-100K1</t>
        </is>
      </c>
      <c r="E34" t="inlineStr">
        <is>
          <t>22_DIL-M</t>
        </is>
      </c>
      <c r="F34" t="inlineStr">
        <is>
          <t>22_DIL-M</t>
        </is>
      </c>
      <c r="G34" t="inlineStr">
        <is>
          <t>HILFSKONTAKTBLOCK</t>
        </is>
      </c>
      <c r="H34" t="inlineStr">
        <is>
          <t>2S 2OE Lastschuetz DIL M</t>
        </is>
      </c>
      <c r="I34">
        <v>532</v>
      </c>
      <c r="J34">
        <f>GS33/100.2</f>
        <v>0</v>
      </c>
      <c r="K34" t="inlineStr">
        <is>
          <t>DIL2AM</t>
        </is>
      </c>
      <c r="M34" t="inlineStr">
        <is>
          <t>-100K1</t>
        </is>
      </c>
    </row>
    <row r="35">
      <c r="A35">
        <v>34</v>
      </c>
      <c r="B35">
        <f>GS34</f>
        <v>0</v>
      </c>
      <c r="C35" t="inlineStr">
        <is>
          <t>+LS1</t>
        </is>
      </c>
      <c r="D35" t="inlineStr">
        <is>
          <t>-100K1</t>
        </is>
      </c>
      <c r="E35" t="inlineStr">
        <is>
          <t>DIL_0AM</t>
        </is>
      </c>
      <c r="F35" t="inlineStr">
        <is>
          <t>22_DIL-M</t>
        </is>
      </c>
      <c r="G35" t="inlineStr">
        <is>
          <t>LASTSCHUETZ</t>
        </is>
      </c>
      <c r="H35" t="inlineStr">
        <is>
          <t>11 kW</t>
        </is>
      </c>
      <c r="I35">
        <v>224</v>
      </c>
      <c r="J35">
        <f>GS34/100.2</f>
        <v>0</v>
      </c>
      <c r="K35" t="inlineStr">
        <is>
          <t>DIL0AM</t>
        </is>
      </c>
      <c r="M35" t="inlineStr">
        <is>
          <t>-100K1</t>
        </is>
      </c>
    </row>
    <row r="36">
      <c r="A36">
        <v>35</v>
      </c>
      <c r="B36">
        <f>GS34</f>
        <v>0</v>
      </c>
      <c r="C36" t="inlineStr">
        <is>
          <t>+LS1</t>
        </is>
      </c>
      <c r="D36" t="inlineStr">
        <is>
          <t>-100K1</t>
        </is>
      </c>
      <c r="E36" t="inlineStr">
        <is>
          <t>22_DIL-M</t>
        </is>
      </c>
      <c r="F36" t="inlineStr">
        <is>
          <t>22_DIL-M</t>
        </is>
      </c>
      <c r="G36" t="inlineStr">
        <is>
          <t>HILFSKONTAKTBLOCK</t>
        </is>
      </c>
      <c r="H36" t="inlineStr">
        <is>
          <t>2S 2OE Lastschuetz DIL M</t>
        </is>
      </c>
      <c r="I36">
        <v>224</v>
      </c>
      <c r="J36">
        <f>GS34/100.2</f>
        <v>0</v>
      </c>
      <c r="K36" t="inlineStr">
        <is>
          <t>DIL0AM</t>
        </is>
      </c>
      <c r="M36" t="inlineStr">
        <is>
          <t>-100K1</t>
        </is>
      </c>
    </row>
    <row r="37">
      <c r="A37">
        <v>36</v>
      </c>
      <c r="B37">
        <f>GS16</f>
        <v>0</v>
      </c>
      <c r="C37" t="inlineStr">
        <is>
          <t>+LS1</t>
        </is>
      </c>
      <c r="D37" t="inlineStr">
        <is>
          <t>-100K13.1</t>
        </is>
      </c>
      <c r="E37" t="inlineStr">
        <is>
          <t>DIL_EM-01-G</t>
        </is>
      </c>
      <c r="F37" t="inlineStr">
        <is>
          <t>#KALK!</t>
        </is>
      </c>
      <c r="G37" t="inlineStr">
        <is>
          <t>LASTSCHUETZ</t>
        </is>
      </c>
      <c r="H37" t="inlineStr">
        <is>
          <t>4kW 1OE</t>
        </is>
      </c>
      <c r="I37">
        <v>320</v>
      </c>
      <c r="J37">
        <f>GS16/100.6</f>
        <v>0</v>
      </c>
      <c r="M37" t="inlineStr">
        <is>
          <t>-100K13.1</t>
        </is>
      </c>
    </row>
    <row r="38">
      <c r="A38">
        <v>37</v>
      </c>
      <c r="B38">
        <f>GS16</f>
        <v>0</v>
      </c>
      <c r="C38" t="inlineStr">
        <is>
          <t>+LS1</t>
        </is>
      </c>
      <c r="D38" t="inlineStr">
        <is>
          <t>-100K13.2</t>
        </is>
      </c>
      <c r="E38" t="inlineStr">
        <is>
          <t>DIL_EM-01-G</t>
        </is>
      </c>
      <c r="F38" t="inlineStr">
        <is>
          <t>#KALK!</t>
        </is>
      </c>
      <c r="G38" t="inlineStr">
        <is>
          <t>LASTSCHUETZ</t>
        </is>
      </c>
      <c r="H38" t="inlineStr">
        <is>
          <t>4kW 1OE</t>
        </is>
      </c>
      <c r="I38">
        <v>320</v>
      </c>
      <c r="J38">
        <f>GS16/100.6</f>
        <v>0</v>
      </c>
      <c r="M38" t="inlineStr">
        <is>
          <t>-100K13.2</t>
        </is>
      </c>
    </row>
    <row r="39">
      <c r="A39">
        <v>38</v>
      </c>
      <c r="B39">
        <f>GS16</f>
        <v>0</v>
      </c>
      <c r="C39" t="inlineStr">
        <is>
          <t>+LS1</t>
        </is>
      </c>
      <c r="D39" t="inlineStr">
        <is>
          <t>-100K13.3</t>
        </is>
      </c>
      <c r="E39" t="inlineStr">
        <is>
          <t>DIL_EM-10-G</t>
        </is>
      </c>
      <c r="F39" t="inlineStr">
        <is>
          <t>#KALK!</t>
        </is>
      </c>
      <c r="G39" t="inlineStr">
        <is>
          <t>LASTSCHUETZ</t>
        </is>
      </c>
      <c r="H39" t="inlineStr">
        <is>
          <t>4kW 1S</t>
        </is>
      </c>
      <c r="I39">
        <v>320</v>
      </c>
      <c r="J39">
        <f>GS16/100.7</f>
        <v>0</v>
      </c>
      <c r="M39" t="inlineStr">
        <is>
          <t>-100K13.3</t>
        </is>
      </c>
    </row>
    <row r="40">
      <c r="A40">
        <v>39</v>
      </c>
      <c r="B40">
        <f>GS32</f>
        <v>0</v>
      </c>
      <c r="C40" t="inlineStr">
        <is>
          <t>+LS1</t>
        </is>
      </c>
      <c r="D40" t="inlineStr">
        <is>
          <t>-100K14.2</t>
        </is>
      </c>
      <c r="E40" t="inlineStr">
        <is>
          <t>DIL_EM-10-G</t>
        </is>
      </c>
      <c r="F40" t="inlineStr">
        <is>
          <t>#KALK!</t>
        </is>
      </c>
      <c r="G40" t="inlineStr">
        <is>
          <t>LASTSCHUETZ</t>
        </is>
      </c>
      <c r="H40" t="inlineStr">
        <is>
          <t>4kW 1S</t>
        </is>
      </c>
      <c r="I40">
        <v>900</v>
      </c>
      <c r="J40">
        <f>GS32/100.6</f>
        <v>0</v>
      </c>
      <c r="M40" t="inlineStr">
        <is>
          <t>-100K14.2</t>
        </is>
      </c>
    </row>
    <row r="41">
      <c r="A41">
        <v>40</v>
      </c>
      <c r="B41">
        <f>GS31</f>
        <v>0</v>
      </c>
      <c r="C41" t="inlineStr">
        <is>
          <t>+LS1</t>
        </is>
      </c>
      <c r="D41" t="inlineStr">
        <is>
          <t>-100K17.2</t>
        </is>
      </c>
      <c r="E41" t="inlineStr">
        <is>
          <t>DIL_EM-10-G</t>
        </is>
      </c>
      <c r="F41" t="inlineStr">
        <is>
          <t>#KALK!</t>
        </is>
      </c>
      <c r="G41" t="inlineStr">
        <is>
          <t>LASTSCHUETZ</t>
        </is>
      </c>
      <c r="H41" t="inlineStr">
        <is>
          <t>4kW 1S</t>
        </is>
      </c>
      <c r="I41">
        <v>383</v>
      </c>
      <c r="J41">
        <f>GS31/100.6</f>
        <v>0</v>
      </c>
      <c r="M41" t="inlineStr">
        <is>
          <t>-100K17.2</t>
        </is>
      </c>
    </row>
    <row r="42">
      <c r="A42">
        <v>41</v>
      </c>
      <c r="B42">
        <f>GS33</f>
        <v>0</v>
      </c>
      <c r="C42" t="inlineStr">
        <is>
          <t>+LS1</t>
        </is>
      </c>
      <c r="D42" t="inlineStr">
        <is>
          <t>-100K2</t>
        </is>
      </c>
      <c r="E42" t="inlineStr">
        <is>
          <t>DIL_0AM</t>
        </is>
      </c>
      <c r="F42" t="inlineStr">
        <is>
          <t>22_DIL-M</t>
        </is>
      </c>
      <c r="G42" t="inlineStr">
        <is>
          <t>LASTSCHUETZ</t>
        </is>
      </c>
      <c r="H42" t="inlineStr">
        <is>
          <t>11 kW</t>
        </is>
      </c>
      <c r="I42">
        <v>532</v>
      </c>
      <c r="J42">
        <f>GS33/100.3</f>
        <v>0</v>
      </c>
      <c r="K42" t="inlineStr">
        <is>
          <t>DIL0AM</t>
        </is>
      </c>
      <c r="M42" t="inlineStr">
        <is>
          <t>-100K2</t>
        </is>
      </c>
    </row>
    <row r="43">
      <c r="A43">
        <v>42</v>
      </c>
      <c r="B43">
        <f>GS33</f>
        <v>0</v>
      </c>
      <c r="C43" t="inlineStr">
        <is>
          <t>+LS1</t>
        </is>
      </c>
      <c r="D43" t="inlineStr">
        <is>
          <t>-100K2</t>
        </is>
      </c>
      <c r="E43" t="inlineStr">
        <is>
          <t>22_DIL-M</t>
        </is>
      </c>
      <c r="F43" t="inlineStr">
        <is>
          <t>22_DIL-M</t>
        </is>
      </c>
      <c r="G43" t="inlineStr">
        <is>
          <t>HILFSKONTAKTBLOCK</t>
        </is>
      </c>
      <c r="H43" t="inlineStr">
        <is>
          <t>2S 2OE Lastschuetz DIL M</t>
        </is>
      </c>
      <c r="I43">
        <v>532</v>
      </c>
      <c r="J43">
        <f>GS33/100.3</f>
        <v>0</v>
      </c>
      <c r="K43" t="inlineStr">
        <is>
          <t>DIL0AM</t>
        </is>
      </c>
      <c r="M43" t="inlineStr">
        <is>
          <t>-100K2</t>
        </is>
      </c>
    </row>
    <row r="44">
      <c r="A44">
        <v>43</v>
      </c>
      <c r="B44">
        <f>GS11</f>
        <v>0</v>
      </c>
      <c r="C44" t="inlineStr">
        <is>
          <t>+LS1</t>
        </is>
      </c>
      <c r="D44" t="inlineStr">
        <is>
          <t>-100K25.0</t>
        </is>
      </c>
      <c r="E44" t="inlineStr">
        <is>
          <t>DIL_EM-10-G</t>
        </is>
      </c>
      <c r="F44" t="inlineStr">
        <is>
          <t>#KALK!</t>
        </is>
      </c>
      <c r="G44" t="inlineStr">
        <is>
          <t>LASTSCHUETZ</t>
        </is>
      </c>
      <c r="H44" t="inlineStr">
        <is>
          <t>4kW 1S</t>
        </is>
      </c>
      <c r="I44">
        <v>211</v>
      </c>
      <c r="J44">
        <f>GS11/100.6</f>
        <v>0</v>
      </c>
      <c r="M44" t="inlineStr">
        <is>
          <t>-100K25.0</t>
        </is>
      </c>
    </row>
    <row r="45">
      <c r="A45">
        <v>44</v>
      </c>
      <c r="B45">
        <f>GS21</f>
        <v>0</v>
      </c>
      <c r="C45" t="inlineStr">
        <is>
          <t>+LS1</t>
        </is>
      </c>
      <c r="D45" t="inlineStr">
        <is>
          <t>-100K25.0</t>
        </is>
      </c>
      <c r="E45" t="inlineStr">
        <is>
          <t>DIL_EM-10-G</t>
        </is>
      </c>
      <c r="F45" t="inlineStr">
        <is>
          <t>#KALK!</t>
        </is>
      </c>
      <c r="G45" t="inlineStr">
        <is>
          <t>LASTSCHUETZ</t>
        </is>
      </c>
      <c r="H45" t="inlineStr">
        <is>
          <t>4kW 1S</t>
        </is>
      </c>
      <c r="I45">
        <v>58</v>
      </c>
      <c r="J45">
        <f>GS21/100.6</f>
        <v>0</v>
      </c>
      <c r="M45" t="inlineStr">
        <is>
          <t>-100K25.0</t>
        </is>
      </c>
    </row>
    <row r="46">
      <c r="A46">
        <v>45</v>
      </c>
      <c r="B46">
        <f>GC03</f>
        <v>0</v>
      </c>
      <c r="C46" t="inlineStr">
        <is>
          <t>+LS1</t>
        </is>
      </c>
      <c r="D46" t="inlineStr">
        <is>
          <t>-100K42.6</t>
        </is>
      </c>
      <c r="E46" t="inlineStr">
        <is>
          <t>DIL_EM-10-G</t>
        </is>
      </c>
      <c r="F46" t="inlineStr">
        <is>
          <t>#KALK!</t>
        </is>
      </c>
      <c r="G46" t="inlineStr">
        <is>
          <t>LASTSCHUETZ</t>
        </is>
      </c>
      <c r="H46" t="inlineStr">
        <is>
          <t>4kW 1S</t>
        </is>
      </c>
      <c r="I46">
        <v>3945</v>
      </c>
      <c r="J46">
        <f>GC03/100.6</f>
        <v>0</v>
      </c>
      <c r="M46" t="inlineStr">
        <is>
          <t>-100K42.6</t>
        </is>
      </c>
    </row>
    <row r="47">
      <c r="A47">
        <v>46</v>
      </c>
      <c r="B47">
        <f>GC03</f>
        <v>0</v>
      </c>
      <c r="C47" t="inlineStr">
        <is>
          <t>+LS1</t>
        </is>
      </c>
      <c r="D47" t="inlineStr">
        <is>
          <t>-100K42.7</t>
        </is>
      </c>
      <c r="E47" t="inlineStr">
        <is>
          <t>DIL_EM-10-G</t>
        </is>
      </c>
      <c r="F47" t="inlineStr">
        <is>
          <t>#KALK!</t>
        </is>
      </c>
      <c r="G47" t="inlineStr">
        <is>
          <t>LASTSCHUETZ</t>
        </is>
      </c>
      <c r="H47" t="inlineStr">
        <is>
          <t>4kW 1S</t>
        </is>
      </c>
      <c r="I47">
        <v>3945</v>
      </c>
      <c r="J47">
        <f>GC03/100.6</f>
        <v>0</v>
      </c>
      <c r="M47" t="inlineStr">
        <is>
          <t>-100K42.7</t>
        </is>
      </c>
    </row>
    <row r="48">
      <c r="A48">
        <v>47</v>
      </c>
      <c r="B48">
        <f>GS01</f>
        <v>0</v>
      </c>
      <c r="C48" t="inlineStr">
        <is>
          <t>+LS1</t>
        </is>
      </c>
      <c r="D48" t="inlineStr">
        <is>
          <t>-100K82.4</t>
        </is>
      </c>
      <c r="E48" t="inlineStr">
        <is>
          <t>DIL_EM-10-G</t>
        </is>
      </c>
      <c r="F48" t="inlineStr">
        <is>
          <t>#KALK!</t>
        </is>
      </c>
      <c r="G48" t="inlineStr">
        <is>
          <t>LASTSCHUETZ</t>
        </is>
      </c>
      <c r="H48" t="inlineStr">
        <is>
          <t>4kW 1S</t>
        </is>
      </c>
      <c r="I48">
        <v>262</v>
      </c>
      <c r="J48">
        <f>GS01/100.6</f>
        <v>0</v>
      </c>
      <c r="M48" t="inlineStr">
        <is>
          <t>-100K82.4</t>
        </is>
      </c>
    </row>
    <row r="49">
      <c r="A49">
        <v>48</v>
      </c>
      <c r="B49">
        <f>GS32</f>
        <v>0</v>
      </c>
      <c r="C49" t="inlineStr">
        <is>
          <t>+ES3</t>
        </is>
      </c>
      <c r="D49" t="inlineStr">
        <is>
          <t>-1010K3550.3</t>
        </is>
      </c>
      <c r="E49" t="inlineStr">
        <is>
          <t>DILA-40</t>
        </is>
      </c>
      <c r="F49" t="inlineStr">
        <is>
          <t>DILA-XHIC31</t>
        </is>
      </c>
      <c r="G49" t="inlineStr">
        <is>
          <t>HILFSSCHUETZ</t>
        </is>
      </c>
      <c r="H49" t="inlineStr">
        <is>
          <t>4S Federzugkl.</t>
        </is>
      </c>
      <c r="I49">
        <v>319</v>
      </c>
      <c r="J49">
        <f>GS32/1010.6</f>
        <v>0</v>
      </c>
      <c r="M49" t="inlineStr">
        <is>
          <t>-1010K3550.3</t>
        </is>
      </c>
    </row>
    <row r="50">
      <c r="A50">
        <v>49</v>
      </c>
      <c r="B50">
        <f>GS32</f>
        <v>0</v>
      </c>
      <c r="C50" t="inlineStr">
        <is>
          <t>+ES3</t>
        </is>
      </c>
      <c r="D50" t="inlineStr">
        <is>
          <t>-1010K3550.3</t>
        </is>
      </c>
      <c r="E50" t="inlineStr">
        <is>
          <t>DILA-XHIC31</t>
        </is>
      </c>
      <c r="F50" t="inlineStr">
        <is>
          <t>DILA-XHIC31</t>
        </is>
      </c>
      <c r="G50" t="inlineStr">
        <is>
          <t>HILFSKONTAKTBLOCK</t>
        </is>
      </c>
      <c r="H50" t="inlineStr">
        <is>
          <t>3S 1OE Last+Hilfssch. Cage</t>
        </is>
      </c>
      <c r="I50">
        <v>319</v>
      </c>
      <c r="J50">
        <f>GS32/1010.6</f>
        <v>0</v>
      </c>
      <c r="M50" t="inlineStr">
        <is>
          <t>-1010K3550.3</t>
        </is>
      </c>
    </row>
    <row r="51">
      <c r="A51">
        <v>50</v>
      </c>
      <c r="B51">
        <f>GC22</f>
        <v>0</v>
      </c>
      <c r="C51" t="inlineStr">
        <is>
          <t>+LS10</t>
        </is>
      </c>
      <c r="D51" t="inlineStr">
        <is>
          <t>-1012K1</t>
        </is>
      </c>
      <c r="E51" t="inlineStr">
        <is>
          <t>DILA-XHI22</t>
        </is>
      </c>
      <c r="F51" t="inlineStr">
        <is>
          <t>DILA-XHI22</t>
        </is>
      </c>
      <c r="G51" t="inlineStr">
        <is>
          <t>HILFSKONTAKTBLOCK</t>
        </is>
      </c>
      <c r="H51" t="inlineStr">
        <is>
          <t>2S 2OE Last+Hilfssch. Cage</t>
        </is>
      </c>
      <c r="I51">
        <v>3731</v>
      </c>
      <c r="J51">
        <f>GC22/1012.4</f>
        <v>0</v>
      </c>
      <c r="K51" t="inlineStr">
        <is>
          <t>DIL MC25</t>
        </is>
      </c>
      <c r="M51" t="inlineStr">
        <is>
          <t>-1012K1</t>
        </is>
      </c>
    </row>
    <row r="52">
      <c r="A52">
        <v>51</v>
      </c>
      <c r="B52">
        <f>GC22</f>
        <v>0</v>
      </c>
      <c r="C52" t="inlineStr">
        <is>
          <t>+LS10</t>
        </is>
      </c>
      <c r="D52" t="inlineStr">
        <is>
          <t>-1012K1</t>
        </is>
      </c>
      <c r="E52" t="inlineStr">
        <is>
          <t>DILMC25-10230V50HZ</t>
        </is>
      </c>
      <c r="F52" t="inlineStr">
        <is>
          <t>DILA-XHI22</t>
        </is>
      </c>
      <c r="G52" t="inlineStr">
        <is>
          <t>LASTSCHUETZ</t>
        </is>
      </c>
      <c r="H52" t="inlineStr">
        <is>
          <t>11kW 1S Federzugkl.</t>
        </is>
      </c>
      <c r="I52">
        <v>3731</v>
      </c>
      <c r="J52">
        <f>GC22/1012.4</f>
        <v>0</v>
      </c>
      <c r="K52" t="inlineStr">
        <is>
          <t>DIL MC25</t>
        </is>
      </c>
      <c r="M52" t="inlineStr">
        <is>
          <t>-1012K1</t>
        </is>
      </c>
    </row>
    <row r="53">
      <c r="A53">
        <v>52</v>
      </c>
      <c r="B53">
        <f>GS12</f>
        <v>0</v>
      </c>
      <c r="C53" t="inlineStr">
        <is>
          <t>+LS10</t>
        </is>
      </c>
      <c r="D53" t="inlineStr">
        <is>
          <t>-1012K1</t>
        </is>
      </c>
      <c r="E53" t="inlineStr">
        <is>
          <t>DILMC25-10230V50HZ</t>
        </is>
      </c>
      <c r="F53" t="inlineStr">
        <is>
          <t>DILA-XHI22</t>
        </is>
      </c>
      <c r="G53" t="inlineStr">
        <is>
          <t>LASTSCHUETZ</t>
        </is>
      </c>
      <c r="H53" t="inlineStr">
        <is>
          <t>11kW 1S Federzugkl.</t>
        </is>
      </c>
      <c r="I53">
        <v>1447</v>
      </c>
      <c r="J53">
        <f>GS12/1012.4</f>
        <v>0</v>
      </c>
      <c r="K53" t="inlineStr">
        <is>
          <t>DIL MC25</t>
        </is>
      </c>
      <c r="M53" t="inlineStr">
        <is>
          <t>-1012K1</t>
        </is>
      </c>
    </row>
    <row r="54">
      <c r="A54">
        <v>53</v>
      </c>
      <c r="B54">
        <f>GS12</f>
        <v>0</v>
      </c>
      <c r="C54" t="inlineStr">
        <is>
          <t>+LS10</t>
        </is>
      </c>
      <c r="D54" t="inlineStr">
        <is>
          <t>-1012K1</t>
        </is>
      </c>
      <c r="E54" t="inlineStr">
        <is>
          <t>DILA-XHI22</t>
        </is>
      </c>
      <c r="F54" t="inlineStr">
        <is>
          <t>DILA-XHI22</t>
        </is>
      </c>
      <c r="G54" t="inlineStr">
        <is>
          <t>HILFSKONTAKTBLOCK</t>
        </is>
      </c>
      <c r="H54" t="inlineStr">
        <is>
          <t>2S 2OE Last+Hilfssch. Cage</t>
        </is>
      </c>
      <c r="I54">
        <v>1447</v>
      </c>
      <c r="J54">
        <f>GS12/1012.4</f>
        <v>0</v>
      </c>
      <c r="K54" t="inlineStr">
        <is>
          <t>DIL MC25</t>
        </is>
      </c>
      <c r="M54" t="inlineStr">
        <is>
          <t>-1012K1</t>
        </is>
      </c>
    </row>
    <row r="55">
      <c r="A55">
        <v>54</v>
      </c>
      <c r="B55">
        <f>GS16</f>
        <v>0</v>
      </c>
      <c r="C55" t="inlineStr">
        <is>
          <t>+LS1</t>
        </is>
      </c>
      <c r="D55" t="inlineStr">
        <is>
          <t>-101K13.4</t>
        </is>
      </c>
      <c r="E55" t="inlineStr">
        <is>
          <t>DIL_EM-10-G</t>
        </is>
      </c>
      <c r="F55" t="inlineStr">
        <is>
          <t>#KALK!</t>
        </is>
      </c>
      <c r="G55" t="inlineStr">
        <is>
          <t>LASTSCHUETZ</t>
        </is>
      </c>
      <c r="H55" t="inlineStr">
        <is>
          <t>4kW 1S</t>
        </is>
      </c>
      <c r="I55">
        <v>321</v>
      </c>
      <c r="J55">
        <f>GS16/101.6</f>
        <v>0</v>
      </c>
      <c r="M55" t="inlineStr">
        <is>
          <t>-101K13.4</t>
        </is>
      </c>
    </row>
    <row r="56">
      <c r="A56">
        <v>55</v>
      </c>
      <c r="B56">
        <f>GS16</f>
        <v>0</v>
      </c>
      <c r="C56" t="inlineStr">
        <is>
          <t>+LS1</t>
        </is>
      </c>
      <c r="D56" t="inlineStr">
        <is>
          <t>-101K13.5</t>
        </is>
      </c>
      <c r="E56" t="inlineStr">
        <is>
          <t>DIL_EM-10-G</t>
        </is>
      </c>
      <c r="F56" t="inlineStr">
        <is>
          <t>#KALK!</t>
        </is>
      </c>
      <c r="G56" t="inlineStr">
        <is>
          <t>LASTSCHUETZ</t>
        </is>
      </c>
      <c r="H56" t="inlineStr">
        <is>
          <t>4kW 1S</t>
        </is>
      </c>
      <c r="I56">
        <v>321</v>
      </c>
      <c r="J56">
        <f>GS16/101.6</f>
        <v>0</v>
      </c>
      <c r="M56" t="inlineStr">
        <is>
          <t>-101K13.5</t>
        </is>
      </c>
    </row>
    <row r="57">
      <c r="A57">
        <v>56</v>
      </c>
      <c r="B57">
        <f>GS32</f>
        <v>0</v>
      </c>
      <c r="C57" t="inlineStr">
        <is>
          <t>+LS1</t>
        </is>
      </c>
      <c r="D57" t="inlineStr">
        <is>
          <t>-101K14.3</t>
        </is>
      </c>
      <c r="E57" t="inlineStr">
        <is>
          <t>DIL_EM-10-G</t>
        </is>
      </c>
      <c r="F57" t="inlineStr">
        <is>
          <t>#KALK!</t>
        </is>
      </c>
      <c r="G57" t="inlineStr">
        <is>
          <t>LASTSCHUETZ</t>
        </is>
      </c>
      <c r="H57" t="inlineStr">
        <is>
          <t>4kW 1S</t>
        </is>
      </c>
      <c r="I57">
        <v>901</v>
      </c>
      <c r="J57">
        <f>GS32/101.6</f>
        <v>0</v>
      </c>
      <c r="M57" t="inlineStr">
        <is>
          <t>-101K14.3</t>
        </is>
      </c>
    </row>
    <row r="58">
      <c r="A58">
        <v>57</v>
      </c>
      <c r="B58">
        <f>GS32</f>
        <v>0</v>
      </c>
      <c r="C58" t="inlineStr">
        <is>
          <t>+LS1</t>
        </is>
      </c>
      <c r="D58" t="inlineStr">
        <is>
          <t>-101K14.4</t>
        </is>
      </c>
      <c r="E58" t="inlineStr">
        <is>
          <t>DIL_EM-10-G</t>
        </is>
      </c>
      <c r="F58" t="inlineStr">
        <is>
          <t>#KALK!</t>
        </is>
      </c>
      <c r="G58" t="inlineStr">
        <is>
          <t>LASTSCHUETZ</t>
        </is>
      </c>
      <c r="H58" t="inlineStr">
        <is>
          <t>4kW 1S</t>
        </is>
      </c>
      <c r="I58">
        <v>901</v>
      </c>
      <c r="J58">
        <f>GS32/101.6</f>
        <v>0</v>
      </c>
      <c r="M58" t="inlineStr">
        <is>
          <t>-101K14.4</t>
        </is>
      </c>
    </row>
    <row r="59">
      <c r="A59">
        <v>58</v>
      </c>
      <c r="B59">
        <f>GS31</f>
        <v>0</v>
      </c>
      <c r="C59" t="inlineStr">
        <is>
          <t>+LS1</t>
        </is>
      </c>
      <c r="D59" t="inlineStr">
        <is>
          <t>-101K17.6</t>
        </is>
      </c>
      <c r="E59" t="inlineStr">
        <is>
          <t>DIL_EM-10-G</t>
        </is>
      </c>
      <c r="F59" t="inlineStr">
        <is>
          <t>#KALK!</t>
        </is>
      </c>
      <c r="G59" t="inlineStr">
        <is>
          <t>LASTSCHUETZ</t>
        </is>
      </c>
      <c r="H59" t="inlineStr">
        <is>
          <t>4kW 1S</t>
        </is>
      </c>
      <c r="I59">
        <v>384</v>
      </c>
      <c r="J59">
        <f>GS31/101.7</f>
        <v>0</v>
      </c>
      <c r="M59" t="inlineStr">
        <is>
          <t>-101K17.6</t>
        </is>
      </c>
    </row>
    <row r="60">
      <c r="A60">
        <v>59</v>
      </c>
      <c r="B60">
        <f>GS11</f>
        <v>0</v>
      </c>
      <c r="C60" t="inlineStr">
        <is>
          <t>+LS1</t>
        </is>
      </c>
      <c r="D60" t="inlineStr">
        <is>
          <t>-101K25.5</t>
        </is>
      </c>
      <c r="E60" t="inlineStr">
        <is>
          <t>DIL_EM-10-G</t>
        </is>
      </c>
      <c r="F60" t="inlineStr">
        <is>
          <t>#KALK!</t>
        </is>
      </c>
      <c r="G60" t="inlineStr">
        <is>
          <t>LASTSCHUETZ</t>
        </is>
      </c>
      <c r="H60" t="inlineStr">
        <is>
          <t>4kW 1S</t>
        </is>
      </c>
      <c r="I60">
        <v>212</v>
      </c>
      <c r="J60">
        <f>GS11/101.7</f>
        <v>0</v>
      </c>
      <c r="M60" t="inlineStr">
        <is>
          <t>-101K25.5</t>
        </is>
      </c>
    </row>
    <row r="61">
      <c r="A61">
        <v>60</v>
      </c>
      <c r="B61">
        <f>GS21</f>
        <v>0</v>
      </c>
      <c r="C61" t="inlineStr">
        <is>
          <t>+LS1</t>
        </is>
      </c>
      <c r="D61" t="inlineStr">
        <is>
          <t>-101K25.5</t>
        </is>
      </c>
      <c r="E61" t="inlineStr">
        <is>
          <t>DIL_EM-10-G</t>
        </is>
      </c>
      <c r="F61" t="inlineStr">
        <is>
          <t>#KALK!</t>
        </is>
      </c>
      <c r="G61" t="inlineStr">
        <is>
          <t>LASTSCHUETZ</t>
        </is>
      </c>
      <c r="H61" t="inlineStr">
        <is>
          <t>4kW 1S</t>
        </is>
      </c>
      <c r="I61">
        <v>70</v>
      </c>
      <c r="J61">
        <f>GS21/101.7</f>
        <v>0</v>
      </c>
      <c r="M61" t="inlineStr">
        <is>
          <t>-101K25.5</t>
        </is>
      </c>
    </row>
    <row r="62">
      <c r="A62">
        <v>61</v>
      </c>
      <c r="B62">
        <f>GC22</f>
        <v>0</v>
      </c>
      <c r="C62" t="inlineStr">
        <is>
          <t>+ES2</t>
        </is>
      </c>
      <c r="D62" t="inlineStr">
        <is>
          <t>-101K4.0</t>
        </is>
      </c>
      <c r="E62" t="inlineStr">
        <is>
          <t>40_DIL-E</t>
        </is>
      </c>
      <c r="F62" t="inlineStr">
        <is>
          <t>40_DIL-E</t>
        </is>
      </c>
      <c r="G62" t="inlineStr">
        <is>
          <t>HILFSKONTAKTBLOCK</t>
        </is>
      </c>
      <c r="H62" t="inlineStr">
        <is>
          <t>4S Last+Hilfsschuetz</t>
        </is>
      </c>
      <c r="I62">
        <v>3619</v>
      </c>
      <c r="J62">
        <f>GC22/101.6</f>
        <v>0</v>
      </c>
      <c r="M62" t="inlineStr">
        <is>
          <t>-101K4.0</t>
        </is>
      </c>
    </row>
    <row r="63">
      <c r="A63">
        <v>62</v>
      </c>
      <c r="B63">
        <f>GC22</f>
        <v>0</v>
      </c>
      <c r="C63" t="inlineStr">
        <is>
          <t>+ES2</t>
        </is>
      </c>
      <c r="D63" t="inlineStr">
        <is>
          <t>-101K4.0</t>
        </is>
      </c>
      <c r="E63" t="inlineStr">
        <is>
          <t>DIL_ER-40-G</t>
        </is>
      </c>
      <c r="F63" t="inlineStr">
        <is>
          <t>40_DIL-E</t>
        </is>
      </c>
      <c r="G63" t="inlineStr">
        <is>
          <t>HILFSSCHUETZ</t>
        </is>
      </c>
      <c r="H63" t="inlineStr">
        <is>
          <t>4S</t>
        </is>
      </c>
      <c r="I63">
        <v>3619</v>
      </c>
      <c r="J63">
        <f>GC22/101.6</f>
        <v>0</v>
      </c>
      <c r="M63" t="inlineStr">
        <is>
          <t>-101K4.0</t>
        </is>
      </c>
    </row>
    <row r="64">
      <c r="A64">
        <v>63</v>
      </c>
      <c r="B64">
        <f>GS12</f>
        <v>0</v>
      </c>
      <c r="C64" t="inlineStr">
        <is>
          <t>+ES2</t>
        </is>
      </c>
      <c r="D64" t="inlineStr">
        <is>
          <t>-101K4.0</t>
        </is>
      </c>
      <c r="E64" t="inlineStr">
        <is>
          <t>DIL_ER-40-G</t>
        </is>
      </c>
      <c r="F64" t="inlineStr">
        <is>
          <t>40_DIL-E</t>
        </is>
      </c>
      <c r="G64" t="inlineStr">
        <is>
          <t>HILFSSCHUETZ</t>
        </is>
      </c>
      <c r="H64" t="inlineStr">
        <is>
          <t>4S</t>
        </is>
      </c>
      <c r="I64">
        <v>233</v>
      </c>
      <c r="J64">
        <f>GS12/101.6</f>
        <v>0</v>
      </c>
      <c r="M64" t="inlineStr">
        <is>
          <t>-101K4.0</t>
        </is>
      </c>
    </row>
    <row r="65">
      <c r="A65">
        <v>64</v>
      </c>
      <c r="B65">
        <f>GS12</f>
        <v>0</v>
      </c>
      <c r="C65" t="inlineStr">
        <is>
          <t>+ES2</t>
        </is>
      </c>
      <c r="D65" t="inlineStr">
        <is>
          <t>-101K4.0</t>
        </is>
      </c>
      <c r="E65" t="inlineStr">
        <is>
          <t>40_DIL-E</t>
        </is>
      </c>
      <c r="F65" t="inlineStr">
        <is>
          <t>40_DIL-E</t>
        </is>
      </c>
      <c r="G65" t="inlineStr">
        <is>
          <t>HILFSKONTAKTBLOCK</t>
        </is>
      </c>
      <c r="H65" t="inlineStr">
        <is>
          <t>4S Last+Hilfsschuetz</t>
        </is>
      </c>
      <c r="I65">
        <v>233</v>
      </c>
      <c r="J65">
        <f>GS12/101.6</f>
        <v>0</v>
      </c>
      <c r="M65" t="inlineStr">
        <is>
          <t>-101K4.0</t>
        </is>
      </c>
    </row>
    <row r="66">
      <c r="A66">
        <v>65</v>
      </c>
      <c r="B66">
        <f>GC22</f>
        <v>0</v>
      </c>
      <c r="C66" t="inlineStr">
        <is>
          <t>+ES2</t>
        </is>
      </c>
      <c r="D66" t="inlineStr">
        <is>
          <t>-101K4.1</t>
        </is>
      </c>
      <c r="E66" t="inlineStr">
        <is>
          <t>40_DIL-E</t>
        </is>
      </c>
      <c r="F66" t="inlineStr">
        <is>
          <t>40_DIL-E</t>
        </is>
      </c>
      <c r="G66" t="inlineStr">
        <is>
          <t>HILFSKONTAKTBLOCK</t>
        </is>
      </c>
      <c r="H66" t="inlineStr">
        <is>
          <t>4S Last+Hilfsschuetz</t>
        </is>
      </c>
      <c r="I66">
        <v>3619</v>
      </c>
      <c r="J66">
        <f>GC22/101.6</f>
        <v>0</v>
      </c>
      <c r="M66" t="inlineStr">
        <is>
          <t>-101K4.1</t>
        </is>
      </c>
    </row>
    <row r="67">
      <c r="A67">
        <v>66</v>
      </c>
      <c r="B67">
        <f>GC22</f>
        <v>0</v>
      </c>
      <c r="C67" t="inlineStr">
        <is>
          <t>+ES2</t>
        </is>
      </c>
      <c r="D67" t="inlineStr">
        <is>
          <t>-101K4.1</t>
        </is>
      </c>
      <c r="E67" t="inlineStr">
        <is>
          <t>DIL_ER-40-G</t>
        </is>
      </c>
      <c r="F67" t="inlineStr">
        <is>
          <t>40_DIL-E</t>
        </is>
      </c>
      <c r="G67" t="inlineStr">
        <is>
          <t>HILFSSCHUETZ</t>
        </is>
      </c>
      <c r="H67" t="inlineStr">
        <is>
          <t>4S</t>
        </is>
      </c>
      <c r="I67">
        <v>3619</v>
      </c>
      <c r="J67">
        <f>GC22/101.6</f>
        <v>0</v>
      </c>
      <c r="M67" t="inlineStr">
        <is>
          <t>-101K4.1</t>
        </is>
      </c>
    </row>
    <row r="68">
      <c r="A68">
        <v>67</v>
      </c>
      <c r="B68">
        <f>GS12</f>
        <v>0</v>
      </c>
      <c r="C68" t="inlineStr">
        <is>
          <t>+ES2</t>
        </is>
      </c>
      <c r="D68" t="inlineStr">
        <is>
          <t>-101K4.1</t>
        </is>
      </c>
      <c r="E68" t="inlineStr">
        <is>
          <t>DIL_ER-40-G</t>
        </is>
      </c>
      <c r="F68" t="inlineStr">
        <is>
          <t>40_DIL-E</t>
        </is>
      </c>
      <c r="G68" t="inlineStr">
        <is>
          <t>HILFSSCHUETZ</t>
        </is>
      </c>
      <c r="H68" t="inlineStr">
        <is>
          <t>4S</t>
        </is>
      </c>
      <c r="I68">
        <v>233</v>
      </c>
      <c r="J68">
        <f>GS12/101.6</f>
        <v>0</v>
      </c>
      <c r="M68" t="inlineStr">
        <is>
          <t>-101K4.1</t>
        </is>
      </c>
    </row>
    <row r="69">
      <c r="A69">
        <v>68</v>
      </c>
      <c r="B69">
        <f>GS12</f>
        <v>0</v>
      </c>
      <c r="C69" t="inlineStr">
        <is>
          <t>+ES2</t>
        </is>
      </c>
      <c r="D69" t="inlineStr">
        <is>
          <t>-101K4.1</t>
        </is>
      </c>
      <c r="E69" t="inlineStr">
        <is>
          <t>40_DIL-E</t>
        </is>
      </c>
      <c r="F69" t="inlineStr">
        <is>
          <t>40_DIL-E</t>
        </is>
      </c>
      <c r="G69" t="inlineStr">
        <is>
          <t>HILFSKONTAKTBLOCK</t>
        </is>
      </c>
      <c r="H69" t="inlineStr">
        <is>
          <t>4S Last+Hilfsschuetz</t>
        </is>
      </c>
      <c r="I69">
        <v>233</v>
      </c>
      <c r="J69">
        <f>GS12/101.6</f>
        <v>0</v>
      </c>
      <c r="M69" t="inlineStr">
        <is>
          <t>-101K4.1</t>
        </is>
      </c>
    </row>
    <row r="70">
      <c r="A70">
        <v>69</v>
      </c>
      <c r="B70">
        <f>GS61</f>
        <v>0</v>
      </c>
      <c r="C70" t="inlineStr">
        <is>
          <t>+ES1</t>
        </is>
      </c>
      <c r="D70" t="inlineStr">
        <is>
          <t>-101K54.0</t>
        </is>
      </c>
      <c r="E70" t="inlineStr">
        <is>
          <t>DIL_EM-10-G</t>
        </is>
      </c>
      <c r="F70" t="inlineStr">
        <is>
          <t>#KALK!</t>
        </is>
      </c>
      <c r="G70" t="inlineStr">
        <is>
          <t>LASTSCHUETZ</t>
        </is>
      </c>
      <c r="H70" t="inlineStr">
        <is>
          <t>4kW 1S</t>
        </is>
      </c>
      <c r="I70">
        <v>225</v>
      </c>
      <c r="J70">
        <f>GS61/101.6</f>
        <v>0</v>
      </c>
      <c r="M70" t="inlineStr">
        <is>
          <t>-101K54.0</t>
        </is>
      </c>
    </row>
    <row r="71">
      <c r="A71">
        <v>70</v>
      </c>
      <c r="B71">
        <f>GS62</f>
        <v>0</v>
      </c>
      <c r="C71" t="inlineStr">
        <is>
          <t>+ES1</t>
        </is>
      </c>
      <c r="D71" t="inlineStr">
        <is>
          <t>-101K54.0</t>
        </is>
      </c>
      <c r="E71" t="inlineStr">
        <is>
          <t>DIL_EM-10-G</t>
        </is>
      </c>
      <c r="F71" t="inlineStr">
        <is>
          <t>#KALK!</t>
        </is>
      </c>
      <c r="G71" t="inlineStr">
        <is>
          <t>LASTSCHUETZ</t>
        </is>
      </c>
      <c r="H71" t="inlineStr">
        <is>
          <t>4kW 1S</t>
        </is>
      </c>
      <c r="I71">
        <v>298</v>
      </c>
      <c r="J71">
        <f>GS62/101.6</f>
        <v>0</v>
      </c>
      <c r="M71" t="inlineStr">
        <is>
          <t>-101K54.0</t>
        </is>
      </c>
    </row>
    <row r="72">
      <c r="A72">
        <v>71</v>
      </c>
      <c r="B72">
        <f>GS61</f>
        <v>0</v>
      </c>
      <c r="C72" t="inlineStr">
        <is>
          <t>+ES1</t>
        </is>
      </c>
      <c r="D72" t="inlineStr">
        <is>
          <t>-101K54.1</t>
        </is>
      </c>
      <c r="E72" t="inlineStr">
        <is>
          <t>DIL_EM-10-G</t>
        </is>
      </c>
      <c r="F72" t="inlineStr">
        <is>
          <t>#KALK!</t>
        </is>
      </c>
      <c r="G72" t="inlineStr">
        <is>
          <t>LASTSCHUETZ</t>
        </is>
      </c>
      <c r="H72" t="inlineStr">
        <is>
          <t>4kW 1S</t>
        </is>
      </c>
      <c r="I72">
        <v>225</v>
      </c>
      <c r="J72">
        <f>GS61/101.7</f>
        <v>0</v>
      </c>
      <c r="M72" t="inlineStr">
        <is>
          <t>-101K54.1</t>
        </is>
      </c>
    </row>
    <row r="73">
      <c r="A73">
        <v>72</v>
      </c>
      <c r="B73">
        <f>GS62</f>
        <v>0</v>
      </c>
      <c r="C73" t="inlineStr">
        <is>
          <t>+ES1</t>
        </is>
      </c>
      <c r="D73" t="inlineStr">
        <is>
          <t>-101K54.1</t>
        </is>
      </c>
      <c r="E73" t="inlineStr">
        <is>
          <t>DIL_EM-10-G</t>
        </is>
      </c>
      <c r="F73" t="inlineStr">
        <is>
          <t>#KALK!</t>
        </is>
      </c>
      <c r="G73" t="inlineStr">
        <is>
          <t>LASTSCHUETZ</t>
        </is>
      </c>
      <c r="H73" t="inlineStr">
        <is>
          <t>4kW 1S</t>
        </is>
      </c>
      <c r="I73">
        <v>298</v>
      </c>
      <c r="J73">
        <f>GS62/101.7</f>
        <v>0</v>
      </c>
      <c r="M73" t="inlineStr">
        <is>
          <t>-101K54.1</t>
        </is>
      </c>
    </row>
    <row r="74">
      <c r="A74">
        <v>73</v>
      </c>
      <c r="B74">
        <f>GS01</f>
        <v>0</v>
      </c>
      <c r="C74" t="inlineStr">
        <is>
          <t>+LS1</t>
        </is>
      </c>
      <c r="D74" t="inlineStr">
        <is>
          <t>-101K83.0</t>
        </is>
      </c>
      <c r="E74" t="inlineStr">
        <is>
          <t>DIL_EM-10-G</t>
        </is>
      </c>
      <c r="F74" t="inlineStr">
        <is>
          <t>#KALK!</t>
        </is>
      </c>
      <c r="G74" t="inlineStr">
        <is>
          <t>LASTSCHUETZ</t>
        </is>
      </c>
      <c r="H74" t="inlineStr">
        <is>
          <t>4kW 1S</t>
        </is>
      </c>
      <c r="I74">
        <v>263</v>
      </c>
      <c r="J74">
        <f>GS01/101.7</f>
        <v>0</v>
      </c>
      <c r="M74" t="inlineStr">
        <is>
          <t>-101K83.0</t>
        </is>
      </c>
    </row>
    <row r="75">
      <c r="A75">
        <v>74</v>
      </c>
      <c r="B75">
        <f>GS13</f>
        <v>0</v>
      </c>
      <c r="C75" t="inlineStr">
        <is>
          <t>+LS1</t>
        </is>
      </c>
      <c r="D75" t="inlineStr">
        <is>
          <t>-10248.3</t>
        </is>
      </c>
      <c r="E75" t="inlineStr">
        <is>
          <t>DIL_EM-10-G</t>
        </is>
      </c>
      <c r="F75" t="inlineStr">
        <is>
          <t>#KALK!</t>
        </is>
      </c>
      <c r="G75" t="inlineStr">
        <is>
          <t>LASTSCHUETZ</t>
        </is>
      </c>
      <c r="H75" t="inlineStr">
        <is>
          <t>4kW 1S</t>
        </is>
      </c>
      <c r="I75">
        <v>341</v>
      </c>
      <c r="J75">
        <f>GS13/102.7</f>
        <v>0</v>
      </c>
      <c r="M75" t="inlineStr">
        <is>
          <t>-10248.3</t>
        </is>
      </c>
    </row>
    <row r="76">
      <c r="A76">
        <v>75</v>
      </c>
      <c r="B76">
        <f>GC22</f>
        <v>0</v>
      </c>
      <c r="C76" t="inlineStr">
        <is>
          <t>+LS10</t>
        </is>
      </c>
      <c r="D76" t="inlineStr">
        <is>
          <t>-1024K1</t>
        </is>
      </c>
      <c r="E76" t="inlineStr">
        <is>
          <t>DILA-XHI22</t>
        </is>
      </c>
      <c r="F76" t="inlineStr">
        <is>
          <t>DILA-XHI22</t>
        </is>
      </c>
      <c r="G76" t="inlineStr">
        <is>
          <t>HILFSKONTAKTBLOCK</t>
        </is>
      </c>
      <c r="H76" t="inlineStr">
        <is>
          <t>2S 2OE Last+Hilfssch. Cage</t>
        </is>
      </c>
      <c r="I76">
        <v>265</v>
      </c>
      <c r="J76">
        <f>GC22/1024.4</f>
        <v>0</v>
      </c>
      <c r="K76" t="inlineStr">
        <is>
          <t>DIL MC25</t>
        </is>
      </c>
      <c r="M76" t="inlineStr">
        <is>
          <t>-1024K1</t>
        </is>
      </c>
    </row>
    <row r="77">
      <c r="A77">
        <v>76</v>
      </c>
      <c r="B77">
        <f>GC22</f>
        <v>0</v>
      </c>
      <c r="C77" t="inlineStr">
        <is>
          <t>+LS10</t>
        </is>
      </c>
      <c r="D77" t="inlineStr">
        <is>
          <t>-1024K1</t>
        </is>
      </c>
      <c r="E77" t="inlineStr">
        <is>
          <t>DILMC25-10230V50HZ</t>
        </is>
      </c>
      <c r="F77" t="inlineStr">
        <is>
          <t>DILA-XHI22</t>
        </is>
      </c>
      <c r="G77" t="inlineStr">
        <is>
          <t>LASTSCHUETZ</t>
        </is>
      </c>
      <c r="H77" t="inlineStr">
        <is>
          <t>11kW 1S Federzugkl.</t>
        </is>
      </c>
      <c r="I77">
        <v>265</v>
      </c>
      <c r="J77">
        <f>GC22/1024.4</f>
        <v>0</v>
      </c>
      <c r="K77" t="inlineStr">
        <is>
          <t>DIL MC25</t>
        </is>
      </c>
      <c r="M77" t="inlineStr">
        <is>
          <t>-1024K1</t>
        </is>
      </c>
    </row>
    <row r="78">
      <c r="A78">
        <v>77</v>
      </c>
      <c r="B78">
        <f>GS12</f>
        <v>0</v>
      </c>
      <c r="C78" t="inlineStr">
        <is>
          <t>+LS10</t>
        </is>
      </c>
      <c r="D78" t="inlineStr">
        <is>
          <t>-1024K1</t>
        </is>
      </c>
      <c r="E78" t="inlineStr">
        <is>
          <t>DILMC25-10230V50HZ</t>
        </is>
      </c>
      <c r="F78" t="inlineStr">
        <is>
          <t>DILA-XHI22</t>
        </is>
      </c>
      <c r="G78" t="inlineStr">
        <is>
          <t>LASTSCHUETZ</t>
        </is>
      </c>
      <c r="H78" t="inlineStr">
        <is>
          <t>11kW 1S Federzugkl.</t>
        </is>
      </c>
      <c r="I78">
        <v>1535</v>
      </c>
      <c r="J78">
        <f>GS12/1024.4</f>
        <v>0</v>
      </c>
      <c r="K78" t="inlineStr">
        <is>
          <t>DIL MC25</t>
        </is>
      </c>
      <c r="M78" t="inlineStr">
        <is>
          <t>-1024K1</t>
        </is>
      </c>
    </row>
    <row r="79">
      <c r="A79">
        <v>78</v>
      </c>
      <c r="B79">
        <f>GS12</f>
        <v>0</v>
      </c>
      <c r="C79" t="inlineStr">
        <is>
          <t>+LS10</t>
        </is>
      </c>
      <c r="D79" t="inlineStr">
        <is>
          <t>-1024K1</t>
        </is>
      </c>
      <c r="E79" t="inlineStr">
        <is>
          <t>DILA-XHI22</t>
        </is>
      </c>
      <c r="F79" t="inlineStr">
        <is>
          <t>DILA-XHI22</t>
        </is>
      </c>
      <c r="G79" t="inlineStr">
        <is>
          <t>HILFSKONTAKTBLOCK</t>
        </is>
      </c>
      <c r="H79" t="inlineStr">
        <is>
          <t>2S 2OE Last+Hilfssch. Cage</t>
        </is>
      </c>
      <c r="I79">
        <v>1535</v>
      </c>
      <c r="J79">
        <f>GS12/1024.4</f>
        <v>0</v>
      </c>
      <c r="K79" t="inlineStr">
        <is>
          <t>DIL MC25</t>
        </is>
      </c>
      <c r="M79" t="inlineStr">
        <is>
          <t>-1024K1</t>
        </is>
      </c>
    </row>
    <row r="80">
      <c r="A80">
        <v>79</v>
      </c>
      <c r="B80">
        <f>GS32</f>
        <v>0</v>
      </c>
      <c r="C80" t="inlineStr">
        <is>
          <t>+LS10</t>
        </is>
      </c>
      <c r="D80" t="inlineStr">
        <is>
          <t>-1025K1</t>
        </is>
      </c>
      <c r="E80" t="inlineStr">
        <is>
          <t>DILM150(RAC240V)</t>
        </is>
      </c>
      <c r="F80" t="inlineStr">
        <is>
          <t>DILM150-XHIC22</t>
        </is>
      </c>
      <c r="G80" t="inlineStr">
        <is>
          <t>LASTSCHUETZ</t>
        </is>
      </c>
      <c r="H80" t="inlineStr">
        <is>
          <t>75kW Schraubkl.</t>
        </is>
      </c>
      <c r="I80">
        <v>303</v>
      </c>
      <c r="J80">
        <f>GS32/1025.2</f>
        <v>0</v>
      </c>
      <c r="K80" t="inlineStr">
        <is>
          <t>DILM150</t>
        </is>
      </c>
      <c r="M80" t="inlineStr">
        <is>
          <t>-1025K1</t>
        </is>
      </c>
    </row>
    <row r="81">
      <c r="A81">
        <v>80</v>
      </c>
      <c r="B81">
        <f>GS32</f>
        <v>0</v>
      </c>
      <c r="C81" t="inlineStr">
        <is>
          <t>+LS10</t>
        </is>
      </c>
      <c r="D81" t="inlineStr">
        <is>
          <t>-1025K1</t>
        </is>
      </c>
      <c r="E81" t="inlineStr">
        <is>
          <t>DILM150-XHIC22</t>
        </is>
      </c>
      <c r="F81" t="inlineStr">
        <is>
          <t>DILM150-XHIC22</t>
        </is>
      </c>
      <c r="G81" t="inlineStr">
        <is>
          <t>HILFSKONTAKTBLOCK</t>
        </is>
      </c>
      <c r="H81" t="inlineStr">
        <is>
          <t>2S 2OE ab DILMC40</t>
        </is>
      </c>
      <c r="I81">
        <v>303</v>
      </c>
      <c r="J81">
        <f>GS32/1025.2</f>
        <v>0</v>
      </c>
      <c r="K81" t="inlineStr">
        <is>
          <t>DILM150</t>
        </is>
      </c>
      <c r="M81" t="inlineStr">
        <is>
          <t>-1025K1</t>
        </is>
      </c>
    </row>
    <row r="82">
      <c r="A82">
        <v>81</v>
      </c>
      <c r="B82">
        <f>GS33</f>
        <v>0</v>
      </c>
      <c r="C82" t="inlineStr">
        <is>
          <t>+LS12</t>
        </is>
      </c>
      <c r="D82" t="inlineStr">
        <is>
          <t>-1025K1</t>
        </is>
      </c>
      <c r="E82" t="inlineStr">
        <is>
          <t>DIL_0AM</t>
        </is>
      </c>
      <c r="F82" t="inlineStr">
        <is>
          <t>22_DIL-M</t>
        </is>
      </c>
      <c r="G82" t="inlineStr">
        <is>
          <t>LASTSCHUETZ</t>
        </is>
      </c>
      <c r="H82" t="inlineStr">
        <is>
          <t>11 kW</t>
        </is>
      </c>
      <c r="I82">
        <v>1483</v>
      </c>
      <c r="J82">
        <f>GS33/1025.2</f>
        <v>0</v>
      </c>
      <c r="K82" t="inlineStr">
        <is>
          <t>DIL0AM</t>
        </is>
      </c>
      <c r="M82" t="inlineStr">
        <is>
          <t>-1025K1</t>
        </is>
      </c>
    </row>
    <row r="83">
      <c r="A83">
        <v>82</v>
      </c>
      <c r="B83">
        <f>GS33</f>
        <v>0</v>
      </c>
      <c r="C83" t="inlineStr">
        <is>
          <t>+LS12</t>
        </is>
      </c>
      <c r="D83" t="inlineStr">
        <is>
          <t>-1025K1</t>
        </is>
      </c>
      <c r="E83" t="inlineStr">
        <is>
          <t>22_DIL-M</t>
        </is>
      </c>
      <c r="F83" t="inlineStr">
        <is>
          <t>22_DIL-M</t>
        </is>
      </c>
      <c r="G83" t="inlineStr">
        <is>
          <t>HILFSKONTAKTBLOCK</t>
        </is>
      </c>
      <c r="H83" t="inlineStr">
        <is>
          <t>2S 2OE Lastschuetz DIL M</t>
        </is>
      </c>
      <c r="I83">
        <v>1483</v>
      </c>
      <c r="J83">
        <f>GS33/1025.2</f>
        <v>0</v>
      </c>
      <c r="K83" t="inlineStr">
        <is>
          <t>DIL0AM</t>
        </is>
      </c>
      <c r="M83" t="inlineStr">
        <is>
          <t>-1025K1</t>
        </is>
      </c>
    </row>
    <row r="84">
      <c r="A84">
        <v>83</v>
      </c>
      <c r="B84">
        <f>GS32</f>
        <v>0</v>
      </c>
      <c r="C84" t="inlineStr">
        <is>
          <t>+LS10</t>
        </is>
      </c>
      <c r="D84" t="inlineStr">
        <is>
          <t>-1025K2</t>
        </is>
      </c>
      <c r="E84" t="inlineStr">
        <is>
          <t>DILM150(RAC240V)</t>
        </is>
      </c>
      <c r="F84" t="inlineStr">
        <is>
          <t>DILM150-XHIC22</t>
        </is>
      </c>
      <c r="G84" t="inlineStr">
        <is>
          <t>LASTSCHUETZ</t>
        </is>
      </c>
      <c r="H84" t="inlineStr">
        <is>
          <t>75kW Schraubkl.</t>
        </is>
      </c>
      <c r="I84">
        <v>303</v>
      </c>
      <c r="J84">
        <f>GS32/1025.3</f>
        <v>0</v>
      </c>
      <c r="K84" t="inlineStr">
        <is>
          <t>DILM150</t>
        </is>
      </c>
      <c r="M84" t="inlineStr">
        <is>
          <t>-1025K2</t>
        </is>
      </c>
    </row>
    <row r="85">
      <c r="A85">
        <v>84</v>
      </c>
      <c r="B85">
        <f>GS32</f>
        <v>0</v>
      </c>
      <c r="C85" t="inlineStr">
        <is>
          <t>+LS10</t>
        </is>
      </c>
      <c r="D85" t="inlineStr">
        <is>
          <t>-1025K2</t>
        </is>
      </c>
      <c r="E85" t="inlineStr">
        <is>
          <t>DILM150-XHIC22</t>
        </is>
      </c>
      <c r="F85" t="inlineStr">
        <is>
          <t>DILM150-XHIC22</t>
        </is>
      </c>
      <c r="G85" t="inlineStr">
        <is>
          <t>HILFSKONTAKTBLOCK</t>
        </is>
      </c>
      <c r="H85" t="inlineStr">
        <is>
          <t>2S 2OE ab DILMC40</t>
        </is>
      </c>
      <c r="I85">
        <v>303</v>
      </c>
      <c r="J85">
        <f>GS32/1025.3</f>
        <v>0</v>
      </c>
      <c r="K85" t="inlineStr">
        <is>
          <t>DILM150</t>
        </is>
      </c>
      <c r="M85" t="inlineStr">
        <is>
          <t>-1025K2</t>
        </is>
      </c>
    </row>
    <row r="86">
      <c r="A86">
        <v>85</v>
      </c>
      <c r="B86">
        <f>GS36</f>
        <v>0</v>
      </c>
      <c r="C86" t="inlineStr">
        <is>
          <t>+ES02</t>
        </is>
      </c>
      <c r="D86" t="inlineStr">
        <is>
          <t>-17K4.3</t>
        </is>
      </c>
      <c r="E86" t="inlineStr">
        <is>
          <t>DILA-40</t>
        </is>
      </c>
      <c r="F86" t="inlineStr">
        <is>
          <t>DILA-XHI22</t>
        </is>
      </c>
      <c r="G86" t="inlineStr">
        <is>
          <t>HILFSSCHUETZ</t>
        </is>
      </c>
      <c r="H86" t="inlineStr">
        <is>
          <t>4S Federzugkl.</t>
        </is>
      </c>
      <c r="I86">
        <v>182</v>
      </c>
      <c r="J86">
        <f>GS36/17.5</f>
        <v>0</v>
      </c>
      <c r="M86" t="inlineStr">
        <is>
          <t>-17K4.3</t>
        </is>
      </c>
    </row>
    <row r="87">
      <c r="A87">
        <v>86</v>
      </c>
      <c r="B87">
        <f>GS06</f>
        <v>0</v>
      </c>
      <c r="C87" t="inlineStr">
        <is>
          <t>+LS16</t>
        </is>
      </c>
      <c r="D87" t="inlineStr">
        <is>
          <t>-1025Q1</t>
        </is>
      </c>
      <c r="E87" t="inlineStr">
        <is>
          <t>DILMC25-10(RDC24)</t>
        </is>
      </c>
      <c r="F87" t="inlineStr">
        <is>
          <t>DILA-XHI22</t>
        </is>
      </c>
      <c r="G87" t="inlineStr">
        <is>
          <t>LASTSCHUETZ</t>
        </is>
      </c>
      <c r="H87" t="inlineStr">
        <is>
          <t>11kW 1S Federzugkl.</t>
        </is>
      </c>
      <c r="I87">
        <v>647</v>
      </c>
      <c r="J87">
        <f>GS06/1025.6</f>
        <v>0</v>
      </c>
      <c r="K87" t="inlineStr">
        <is>
          <t>DIL MC25</t>
        </is>
      </c>
      <c r="M87" t="inlineStr">
        <is>
          <t>-1025Q1</t>
        </is>
      </c>
    </row>
    <row r="88">
      <c r="A88">
        <v>87</v>
      </c>
      <c r="B88">
        <f>GS06</f>
        <v>0</v>
      </c>
      <c r="C88" t="inlineStr">
        <is>
          <t>+LS16</t>
        </is>
      </c>
      <c r="D88" t="inlineStr">
        <is>
          <t>-1025Q1</t>
        </is>
      </c>
      <c r="E88" t="inlineStr">
        <is>
          <t>DILA-XHI22</t>
        </is>
      </c>
      <c r="F88" t="inlineStr">
        <is>
          <t>DILA-XHI22</t>
        </is>
      </c>
      <c r="G88" t="inlineStr">
        <is>
          <t>HILFSKONTAKTBLOCK</t>
        </is>
      </c>
      <c r="H88" t="inlineStr">
        <is>
          <t>2S 2OE Last+Hilfssch. Cage</t>
        </is>
      </c>
      <c r="I88">
        <v>647</v>
      </c>
      <c r="J88">
        <f>GS06/1025.6</f>
        <v>0</v>
      </c>
      <c r="K88" t="inlineStr">
        <is>
          <t>DIL MC25</t>
        </is>
      </c>
      <c r="M88" t="inlineStr">
        <is>
          <t>-1025Q1</t>
        </is>
      </c>
    </row>
    <row r="89">
      <c r="A89">
        <v>88</v>
      </c>
      <c r="B89">
        <f>GS36</f>
        <v>0</v>
      </c>
      <c r="C89" t="inlineStr">
        <is>
          <t>+LS13</t>
        </is>
      </c>
      <c r="D89" t="inlineStr">
        <is>
          <t>-1025Q1</t>
        </is>
      </c>
      <c r="E89" t="inlineStr">
        <is>
          <t>DILA-XHI22</t>
        </is>
      </c>
      <c r="F89" t="inlineStr">
        <is>
          <t>DILA-XHI22</t>
        </is>
      </c>
      <c r="G89" t="inlineStr">
        <is>
          <t>HILFSKONTAKTBLOCK</t>
        </is>
      </c>
      <c r="H89" t="inlineStr">
        <is>
          <t>2S 2OE Last+Hilfssch. Cage</t>
        </is>
      </c>
      <c r="I89">
        <v>1554</v>
      </c>
      <c r="J89">
        <f>GS36/1025.4</f>
        <v>0</v>
      </c>
      <c r="K89" t="inlineStr">
        <is>
          <t>DIL MC25</t>
        </is>
      </c>
      <c r="L89" t="inlineStr">
        <is>
          <t>HVO 39</t>
        </is>
      </c>
      <c r="M89" t="inlineStr">
        <is>
          <t>HVO 39
-1025Q1</t>
        </is>
      </c>
      <c r="N89" t="inlineStr">
        <is>
          <t>P</t>
        </is>
      </c>
    </row>
    <row r="90">
      <c r="A90">
        <v>89</v>
      </c>
      <c r="B90">
        <f>GS36</f>
        <v>0</v>
      </c>
      <c r="C90" t="inlineStr">
        <is>
          <t>+LS13</t>
        </is>
      </c>
      <c r="D90" t="inlineStr">
        <is>
          <t>-1025Q1</t>
        </is>
      </c>
      <c r="E90" t="inlineStr">
        <is>
          <t>DILMC25-10(RDC24)</t>
        </is>
      </c>
      <c r="F90" t="inlineStr">
        <is>
          <t>DILA-XHI22</t>
        </is>
      </c>
      <c r="G90" t="inlineStr">
        <is>
          <t>LASTSCHUETZ</t>
        </is>
      </c>
      <c r="H90" t="inlineStr">
        <is>
          <t>11kW 1S Federzugkl.</t>
        </is>
      </c>
      <c r="I90">
        <v>1554</v>
      </c>
      <c r="J90">
        <f>GS36/1025.4</f>
        <v>0</v>
      </c>
      <c r="K90" t="inlineStr">
        <is>
          <t>DIL MC25</t>
        </is>
      </c>
      <c r="L90" t="inlineStr">
        <is>
          <t>HVO 39</t>
        </is>
      </c>
      <c r="M90" t="inlineStr">
        <is>
          <t>HVO 39
-1025Q1</t>
        </is>
      </c>
      <c r="N90" t="inlineStr">
        <is>
          <t>P</t>
        </is>
      </c>
    </row>
    <row r="91">
      <c r="A91">
        <v>90</v>
      </c>
      <c r="B91">
        <f>GS51</f>
        <v>0</v>
      </c>
      <c r="C91" t="inlineStr">
        <is>
          <t>+LS16</t>
        </is>
      </c>
      <c r="D91" t="inlineStr">
        <is>
          <t>-1025Q1</t>
        </is>
      </c>
      <c r="E91" t="inlineStr">
        <is>
          <t>DILA-XHI22</t>
        </is>
      </c>
      <c r="F91" t="inlineStr">
        <is>
          <t>DILA-XHI22</t>
        </is>
      </c>
      <c r="G91" t="inlineStr">
        <is>
          <t>HILFSKONTAKTBLOCK</t>
        </is>
      </c>
      <c r="H91" t="inlineStr">
        <is>
          <t>2S 2OE Last+Hilfssch. Cage</t>
        </is>
      </c>
      <c r="I91">
        <v>1159</v>
      </c>
      <c r="J91">
        <f>GS51/1025.6</f>
        <v>0</v>
      </c>
      <c r="K91" t="inlineStr">
        <is>
          <t>DIL MC25</t>
        </is>
      </c>
      <c r="M91" t="inlineStr">
        <is>
          <t>-1025Q1</t>
        </is>
      </c>
    </row>
    <row r="92">
      <c r="A92">
        <v>91</v>
      </c>
      <c r="B92">
        <f>GS51</f>
        <v>0</v>
      </c>
      <c r="C92" t="inlineStr">
        <is>
          <t>+LS16</t>
        </is>
      </c>
      <c r="D92" t="inlineStr">
        <is>
          <t>-1025Q1</t>
        </is>
      </c>
      <c r="E92" t="inlineStr">
        <is>
          <t>DILMC25-10(RDC24)</t>
        </is>
      </c>
      <c r="F92" t="inlineStr">
        <is>
          <t>DILA-XHI22</t>
        </is>
      </c>
      <c r="G92" t="inlineStr">
        <is>
          <t>LASTSCHUETZ</t>
        </is>
      </c>
      <c r="H92" t="inlineStr">
        <is>
          <t>11kW 1S Federzugkl.</t>
        </is>
      </c>
      <c r="I92">
        <v>1159</v>
      </c>
      <c r="J92">
        <f>GS51/1025.6</f>
        <v>0</v>
      </c>
      <c r="K92" t="inlineStr">
        <is>
          <t>DIL MC25</t>
        </is>
      </c>
      <c r="M92" t="inlineStr">
        <is>
          <t>-1025Q1</t>
        </is>
      </c>
    </row>
    <row r="93">
      <c r="A93">
        <v>92</v>
      </c>
      <c r="B93">
        <f>GS36</f>
        <v>0</v>
      </c>
      <c r="C93" t="inlineStr">
        <is>
          <t>+ES02</t>
        </is>
      </c>
      <c r="D93" t="inlineStr">
        <is>
          <t>-19Q4.2</t>
        </is>
      </c>
      <c r="E93" t="inlineStr">
        <is>
          <t>DILM-9-10</t>
        </is>
      </c>
      <c r="F93" t="inlineStr">
        <is>
          <t>#KALK!</t>
        </is>
      </c>
      <c r="G93" t="inlineStr">
        <is>
          <t>LASTSCHUETZ</t>
        </is>
      </c>
      <c r="H93" t="inlineStr">
        <is>
          <t>4kW 1S Federzugkl.</t>
        </is>
      </c>
      <c r="I93">
        <v>186</v>
      </c>
      <c r="J93">
        <f>GS36/19.2</f>
        <v>0</v>
      </c>
      <c r="M93" t="inlineStr">
        <is>
          <t>-19Q4.2</t>
        </is>
      </c>
    </row>
    <row r="94">
      <c r="A94">
        <v>93</v>
      </c>
      <c r="B94">
        <f>GS32</f>
        <v>0</v>
      </c>
      <c r="C94" t="inlineStr">
        <is>
          <t>+LS10</t>
        </is>
      </c>
      <c r="D94" t="inlineStr">
        <is>
          <t>-1027K3500.4</t>
        </is>
      </c>
      <c r="E94" t="inlineStr">
        <is>
          <t>DILM-9-01</t>
        </is>
      </c>
      <c r="F94" t="inlineStr">
        <is>
          <t>#KALK!</t>
        </is>
      </c>
      <c r="G94" t="inlineStr">
        <is>
          <t>LASTSCHUETZ</t>
        </is>
      </c>
      <c r="H94" t="inlineStr">
        <is>
          <t>4kW 1Oe Federzugkl.</t>
        </is>
      </c>
      <c r="I94">
        <v>301</v>
      </c>
      <c r="J94">
        <f>GS32/1027.1</f>
        <v>0</v>
      </c>
      <c r="M94" t="inlineStr">
        <is>
          <t>-1027K3500.4</t>
        </is>
      </c>
    </row>
    <row r="95">
      <c r="A95">
        <v>94</v>
      </c>
      <c r="B95">
        <f>GS32</f>
        <v>0</v>
      </c>
      <c r="C95" t="inlineStr">
        <is>
          <t>+LS10</t>
        </is>
      </c>
      <c r="D95" t="inlineStr">
        <is>
          <t>-1027K3500.7</t>
        </is>
      </c>
      <c r="E95" t="inlineStr">
        <is>
          <t>DILM-9-10</t>
        </is>
      </c>
      <c r="F95" t="inlineStr">
        <is>
          <t>#KALK!</t>
        </is>
      </c>
      <c r="G95" t="inlineStr">
        <is>
          <t>LASTSCHUETZ</t>
        </is>
      </c>
      <c r="H95" t="inlineStr">
        <is>
          <t>4kW 1S Federzugkl.</t>
        </is>
      </c>
      <c r="I95">
        <v>301</v>
      </c>
      <c r="J95">
        <f>GS32/1027.2</f>
        <v>0</v>
      </c>
      <c r="M95" t="inlineStr">
        <is>
          <t>-1027K3500.7</t>
        </is>
      </c>
    </row>
    <row r="96">
      <c r="A96">
        <v>95</v>
      </c>
      <c r="B96">
        <f>GS33</f>
        <v>0</v>
      </c>
      <c r="C96" t="inlineStr">
        <is>
          <t>+LS12</t>
        </is>
      </c>
      <c r="D96" t="inlineStr">
        <is>
          <t>-1027K70.5</t>
        </is>
      </c>
      <c r="E96" t="inlineStr">
        <is>
          <t>DIL_EM-10-G</t>
        </is>
      </c>
      <c r="F96" t="inlineStr">
        <is>
          <t>#KALK!</t>
        </is>
      </c>
      <c r="G96" t="inlineStr">
        <is>
          <t>LASTSCHUETZ</t>
        </is>
      </c>
      <c r="H96" t="inlineStr">
        <is>
          <t>4kW 1S</t>
        </is>
      </c>
      <c r="I96">
        <v>1485</v>
      </c>
      <c r="J96">
        <f>GS33/1027.7</f>
        <v>0</v>
      </c>
      <c r="M96" t="inlineStr">
        <is>
          <t>-1027K70.5</t>
        </is>
      </c>
    </row>
    <row r="97">
      <c r="A97">
        <v>96</v>
      </c>
      <c r="B97">
        <f>GS32</f>
        <v>0</v>
      </c>
      <c r="C97" t="inlineStr">
        <is>
          <t>+LS10</t>
        </is>
      </c>
      <c r="D97" t="inlineStr">
        <is>
          <t>-1028K1</t>
        </is>
      </c>
      <c r="E97" t="inlineStr">
        <is>
          <t>DILA-40</t>
        </is>
      </c>
      <c r="F97" t="inlineStr">
        <is>
          <t>#KALK!</t>
        </is>
      </c>
      <c r="G97" t="inlineStr">
        <is>
          <t>HILFSSCHUETZ</t>
        </is>
      </c>
      <c r="H97" t="inlineStr">
        <is>
          <t>4S Federzugkl.</t>
        </is>
      </c>
      <c r="I97">
        <v>300</v>
      </c>
      <c r="J97">
        <f>GS32/1028.6</f>
        <v>0</v>
      </c>
      <c r="M97" t="inlineStr">
        <is>
          <t>-1028K1</t>
        </is>
      </c>
    </row>
    <row r="98">
      <c r="A98">
        <v>97</v>
      </c>
      <c r="B98">
        <f>GS32</f>
        <v>0</v>
      </c>
      <c r="C98" t="inlineStr">
        <is>
          <t>+LS10</t>
        </is>
      </c>
      <c r="D98" t="inlineStr">
        <is>
          <t>-1028K2</t>
        </is>
      </c>
      <c r="E98" t="inlineStr">
        <is>
          <t>DILA-22</t>
        </is>
      </c>
      <c r="F98" t="inlineStr">
        <is>
          <t>#KALK!</t>
        </is>
      </c>
      <c r="G98" t="inlineStr">
        <is>
          <t>HILFSSCHUETZ</t>
        </is>
      </c>
      <c r="H98" t="inlineStr">
        <is>
          <t>2S 2Oe Federzugkl.</t>
        </is>
      </c>
      <c r="I98">
        <v>300</v>
      </c>
      <c r="J98">
        <f>GS32/1028.7</f>
        <v>0</v>
      </c>
      <c r="M98" t="inlineStr">
        <is>
          <t>-1028K2</t>
        </is>
      </c>
    </row>
    <row r="99">
      <c r="A99">
        <v>98</v>
      </c>
      <c r="B99">
        <f>GS33</f>
        <v>0</v>
      </c>
      <c r="C99" t="inlineStr">
        <is>
          <t>+LS12</t>
        </is>
      </c>
      <c r="D99" t="inlineStr">
        <is>
          <t>-1028K70.6</t>
        </is>
      </c>
      <c r="E99" t="inlineStr">
        <is>
          <t>DIL_EM-10-G</t>
        </is>
      </c>
      <c r="F99" t="inlineStr">
        <is>
          <t>#KALK!</t>
        </is>
      </c>
      <c r="G99" t="inlineStr">
        <is>
          <t>LASTSCHUETZ</t>
        </is>
      </c>
      <c r="H99" t="inlineStr">
        <is>
          <t>4kW 1S</t>
        </is>
      </c>
      <c r="I99">
        <v>1486</v>
      </c>
      <c r="J99">
        <f>GS33/1028.6</f>
        <v>0</v>
      </c>
      <c r="M99" t="inlineStr">
        <is>
          <t>-1028K70.6</t>
        </is>
      </c>
    </row>
    <row r="100">
      <c r="A100">
        <v>99</v>
      </c>
      <c r="B100">
        <f>GS33</f>
        <v>0</v>
      </c>
      <c r="C100" t="inlineStr">
        <is>
          <t>+LS12</t>
        </is>
      </c>
      <c r="D100" t="inlineStr">
        <is>
          <t>-1028K70.7</t>
        </is>
      </c>
      <c r="E100" t="inlineStr">
        <is>
          <t>DIL_EM-10-G</t>
        </is>
      </c>
      <c r="F100" t="inlineStr">
        <is>
          <t>#KALK!</t>
        </is>
      </c>
      <c r="G100" t="inlineStr">
        <is>
          <t>LASTSCHUETZ</t>
        </is>
      </c>
      <c r="H100" t="inlineStr">
        <is>
          <t>4kW 1S</t>
        </is>
      </c>
      <c r="I100">
        <v>1486</v>
      </c>
      <c r="J100">
        <f>GS33/1028.6</f>
        <v>0</v>
      </c>
      <c r="M100" t="inlineStr">
        <is>
          <t>-1028K70.7</t>
        </is>
      </c>
    </row>
    <row r="101">
      <c r="A101">
        <v>100</v>
      </c>
      <c r="B101">
        <f>GS33</f>
        <v>0</v>
      </c>
      <c r="C101" t="inlineStr">
        <is>
          <t>+LS12</t>
        </is>
      </c>
      <c r="D101" t="inlineStr">
        <is>
          <t>-1029K71.0</t>
        </is>
      </c>
      <c r="E101" t="inlineStr">
        <is>
          <t>DIL_EM-10-G</t>
        </is>
      </c>
      <c r="F101" t="inlineStr">
        <is>
          <t>11_DIL-E</t>
        </is>
      </c>
      <c r="G101" t="inlineStr">
        <is>
          <t>LASTSCHUETZ</t>
        </is>
      </c>
      <c r="H101" t="inlineStr">
        <is>
          <t>4kW 1S</t>
        </is>
      </c>
      <c r="I101">
        <v>1487</v>
      </c>
      <c r="J101">
        <f>GS33/1029.6</f>
        <v>0</v>
      </c>
      <c r="M101" t="inlineStr">
        <is>
          <t>-1029K71.0</t>
        </is>
      </c>
    </row>
    <row r="102">
      <c r="A102">
        <v>101</v>
      </c>
      <c r="B102">
        <f>GS33</f>
        <v>0</v>
      </c>
      <c r="C102" t="inlineStr">
        <is>
          <t>+LS12</t>
        </is>
      </c>
      <c r="D102" t="inlineStr">
        <is>
          <t>-1029K71.0</t>
        </is>
      </c>
      <c r="E102" t="inlineStr">
        <is>
          <t>11_DIL-E</t>
        </is>
      </c>
      <c r="F102" t="inlineStr">
        <is>
          <t>11_DIL-E</t>
        </is>
      </c>
      <c r="G102" t="inlineStr">
        <is>
          <t>HILFSKONTAKTBLOCK</t>
        </is>
      </c>
      <c r="H102" t="inlineStr">
        <is>
          <t>1S 1OE Last+Hilfsschuetz</t>
        </is>
      </c>
      <c r="I102">
        <v>1487</v>
      </c>
      <c r="J102">
        <f>GS33/1029.6</f>
        <v>0</v>
      </c>
      <c r="M102" t="inlineStr">
        <is>
          <t>-1029K71.0</t>
        </is>
      </c>
    </row>
    <row r="103">
      <c r="A103">
        <v>102</v>
      </c>
      <c r="B103">
        <f>GS36</f>
        <v>0</v>
      </c>
      <c r="C103" t="inlineStr">
        <is>
          <t>+ES02</t>
        </is>
      </c>
      <c r="D103" t="inlineStr">
        <is>
          <t>-27.1K1</t>
        </is>
      </c>
      <c r="E103" t="inlineStr">
        <is>
          <t>DILM-9-01</t>
        </is>
      </c>
      <c r="F103" t="inlineStr">
        <is>
          <t>DILA-XHIC31</t>
        </is>
      </c>
      <c r="G103" t="inlineStr">
        <is>
          <t>LASTSCHUETZ</t>
        </is>
      </c>
      <c r="H103" t="inlineStr">
        <is>
          <t>4kW 1Oe Federzugkl.</t>
        </is>
      </c>
      <c r="I103">
        <v>197</v>
      </c>
      <c r="J103">
        <f>GS36/27.1.2</f>
        <v>0</v>
      </c>
      <c r="M103" t="inlineStr">
        <is>
          <t>-27.1K1</t>
        </is>
      </c>
    </row>
    <row r="104">
      <c r="A104">
        <v>103</v>
      </c>
      <c r="B104">
        <f>GS36</f>
        <v>0</v>
      </c>
      <c r="C104" t="inlineStr">
        <is>
          <t>+ES02</t>
        </is>
      </c>
      <c r="D104" t="inlineStr">
        <is>
          <t>-27.1K2</t>
        </is>
      </c>
      <c r="E104" t="inlineStr">
        <is>
          <t>DILM-9-01</t>
        </is>
      </c>
      <c r="F104" t="inlineStr">
        <is>
          <t>DILA-XHIC31</t>
        </is>
      </c>
      <c r="G104" t="inlineStr">
        <is>
          <t>LASTSCHUETZ</t>
        </is>
      </c>
      <c r="H104" t="inlineStr">
        <is>
          <t>4kW 1Oe Federzugkl.</t>
        </is>
      </c>
      <c r="I104">
        <v>197</v>
      </c>
      <c r="J104">
        <f>GS36/27.1.2</f>
        <v>0</v>
      </c>
      <c r="M104" t="inlineStr">
        <is>
          <t>-27.1K2</t>
        </is>
      </c>
    </row>
    <row r="105">
      <c r="A105">
        <v>104</v>
      </c>
      <c r="B105">
        <f>GS36</f>
        <v>0</v>
      </c>
      <c r="C105" t="inlineStr">
        <is>
          <t>+ES02</t>
        </is>
      </c>
      <c r="D105" t="inlineStr">
        <is>
          <t>-27.1K3</t>
        </is>
      </c>
      <c r="E105" t="inlineStr">
        <is>
          <t>DILM-9-01</t>
        </is>
      </c>
      <c r="F105" t="inlineStr">
        <is>
          <t>DILA-XHIC31</t>
        </is>
      </c>
      <c r="G105" t="inlineStr">
        <is>
          <t>LASTSCHUETZ</t>
        </is>
      </c>
      <c r="H105" t="inlineStr">
        <is>
          <t>4kW 1Oe Federzugkl.</t>
        </is>
      </c>
      <c r="I105">
        <v>197</v>
      </c>
      <c r="J105">
        <f>GS36/27.1.4</f>
        <v>0</v>
      </c>
      <c r="M105" t="inlineStr">
        <is>
          <t>-27.1K3</t>
        </is>
      </c>
    </row>
    <row r="106">
      <c r="A106">
        <v>105</v>
      </c>
      <c r="B106">
        <f>GS36</f>
        <v>0</v>
      </c>
      <c r="C106" t="inlineStr">
        <is>
          <t>+LS13</t>
        </is>
      </c>
      <c r="D106" t="inlineStr">
        <is>
          <t>-1029Q1</t>
        </is>
      </c>
      <c r="E106" t="inlineStr">
        <is>
          <t>DILMC25-10(RDC24)</t>
        </is>
      </c>
      <c r="F106" t="inlineStr">
        <is>
          <t>DILM150-XHIC22</t>
        </is>
      </c>
      <c r="G106" t="inlineStr">
        <is>
          <t>LASTSCHUETZ</t>
        </is>
      </c>
      <c r="H106" t="inlineStr">
        <is>
          <t>11kW 1S Federzugkl.</t>
        </is>
      </c>
      <c r="I106">
        <v>1485</v>
      </c>
      <c r="J106">
        <f>GS36/1029.4</f>
        <v>0</v>
      </c>
      <c r="L106" t="inlineStr">
        <is>
          <t>HW_3903</t>
        </is>
      </c>
      <c r="M106" t="inlineStr">
        <is>
          <t>HW_3903
-1029Q1</t>
        </is>
      </c>
      <c r="N106" t="inlineStr">
        <is>
          <t>P</t>
        </is>
      </c>
    </row>
    <row r="107">
      <c r="A107">
        <v>106</v>
      </c>
      <c r="B107">
        <f>GS36</f>
        <v>0</v>
      </c>
      <c r="C107" t="inlineStr">
        <is>
          <t>+LS13</t>
        </is>
      </c>
      <c r="D107" t="inlineStr">
        <is>
          <t>-1029Q1</t>
        </is>
      </c>
      <c r="E107" t="inlineStr">
        <is>
          <t>DILM150-XHIC22</t>
        </is>
      </c>
      <c r="F107" t="inlineStr">
        <is>
          <t>DILM150-XHIC22</t>
        </is>
      </c>
      <c r="G107" t="inlineStr">
        <is>
          <t>HILFSKONTAKTBLOCK</t>
        </is>
      </c>
      <c r="H107" t="inlineStr">
        <is>
          <t>2S 2OE ab DILMC40</t>
        </is>
      </c>
      <c r="I107">
        <v>1485</v>
      </c>
      <c r="J107">
        <f>GS36/1029.4</f>
        <v>0</v>
      </c>
      <c r="L107" t="inlineStr">
        <is>
          <t>HW_3903</t>
        </is>
      </c>
      <c r="M107" t="inlineStr">
        <is>
          <t>HW_3903
-1029Q1</t>
        </is>
      </c>
      <c r="N107" t="inlineStr">
        <is>
          <t>P</t>
        </is>
      </c>
    </row>
    <row r="108">
      <c r="A108">
        <v>107</v>
      </c>
      <c r="B108">
        <f>GS01</f>
        <v>0</v>
      </c>
      <c r="C108" t="inlineStr">
        <is>
          <t>+LS1</t>
        </is>
      </c>
      <c r="D108" t="inlineStr">
        <is>
          <t>-102K1</t>
        </is>
      </c>
      <c r="E108" t="inlineStr">
        <is>
          <t>DIL_EM-10-G</t>
        </is>
      </c>
      <c r="F108" t="inlineStr">
        <is>
          <t>#KALK!</t>
        </is>
      </c>
      <c r="G108" t="inlineStr">
        <is>
          <t>LASTSCHUETZ</t>
        </is>
      </c>
      <c r="H108" t="inlineStr">
        <is>
          <t>4kW 1S</t>
        </is>
      </c>
      <c r="I108">
        <v>264</v>
      </c>
      <c r="J108">
        <f>GS01/102.5</f>
        <v>0</v>
      </c>
      <c r="M108" t="inlineStr">
        <is>
          <t>-102K1</t>
        </is>
      </c>
    </row>
    <row r="109">
      <c r="A109">
        <v>108</v>
      </c>
      <c r="B109">
        <f>GS34</f>
        <v>0</v>
      </c>
      <c r="C109" t="inlineStr">
        <is>
          <t>+LS1</t>
        </is>
      </c>
      <c r="D109" t="inlineStr">
        <is>
          <t>-102K12.0</t>
        </is>
      </c>
      <c r="E109" t="inlineStr">
        <is>
          <t>DIL_EM-10-G</t>
        </is>
      </c>
      <c r="F109" t="inlineStr">
        <is>
          <t>#KALK!</t>
        </is>
      </c>
      <c r="G109" t="inlineStr">
        <is>
          <t>LASTSCHUETZ</t>
        </is>
      </c>
      <c r="H109" t="inlineStr">
        <is>
          <t>4kW 1S</t>
        </is>
      </c>
      <c r="I109">
        <v>226</v>
      </c>
      <c r="J109">
        <f>GS34/102.6</f>
        <v>0</v>
      </c>
      <c r="M109" t="inlineStr">
        <is>
          <t>-102K12.0</t>
        </is>
      </c>
    </row>
    <row r="110">
      <c r="A110">
        <v>109</v>
      </c>
      <c r="B110">
        <f>GS34</f>
        <v>0</v>
      </c>
      <c r="C110" t="inlineStr">
        <is>
          <t>+LS1</t>
        </is>
      </c>
      <c r="D110" t="inlineStr">
        <is>
          <t>-102K12.1</t>
        </is>
      </c>
      <c r="E110" t="inlineStr">
        <is>
          <t>DIL_EM-10-G</t>
        </is>
      </c>
      <c r="F110" t="inlineStr">
        <is>
          <t>#KALK!</t>
        </is>
      </c>
      <c r="G110" t="inlineStr">
        <is>
          <t>LASTSCHUETZ</t>
        </is>
      </c>
      <c r="H110" t="inlineStr">
        <is>
          <t>4kW 1S</t>
        </is>
      </c>
      <c r="I110">
        <v>226</v>
      </c>
      <c r="J110">
        <f>GS34/102.6</f>
        <v>0</v>
      </c>
      <c r="M110" t="inlineStr">
        <is>
          <t>-102K12.1</t>
        </is>
      </c>
    </row>
    <row r="111">
      <c r="A111">
        <v>110</v>
      </c>
      <c r="B111">
        <f>GS16</f>
        <v>0</v>
      </c>
      <c r="C111" t="inlineStr">
        <is>
          <t>+LS1</t>
        </is>
      </c>
      <c r="D111" t="inlineStr">
        <is>
          <t>-102K13.6</t>
        </is>
      </c>
      <c r="E111" t="inlineStr">
        <is>
          <t>DIL_EM-10-G</t>
        </is>
      </c>
      <c r="F111" t="inlineStr">
        <is>
          <t>#KALK!</t>
        </is>
      </c>
      <c r="G111" t="inlineStr">
        <is>
          <t>LASTSCHUETZ</t>
        </is>
      </c>
      <c r="H111" t="inlineStr">
        <is>
          <t>4kW 1S</t>
        </is>
      </c>
      <c r="I111">
        <v>322</v>
      </c>
      <c r="J111">
        <f>GS16/102.6</f>
        <v>0</v>
      </c>
      <c r="M111" t="inlineStr">
        <is>
          <t>-102K13.6</t>
        </is>
      </c>
    </row>
    <row r="112">
      <c r="A112">
        <v>111</v>
      </c>
      <c r="B112">
        <f>GS16</f>
        <v>0</v>
      </c>
      <c r="C112" t="inlineStr">
        <is>
          <t>+LS1</t>
        </is>
      </c>
      <c r="D112" t="inlineStr">
        <is>
          <t>-102K13.7</t>
        </is>
      </c>
      <c r="E112" t="inlineStr">
        <is>
          <t>DIL_EM-10-G</t>
        </is>
      </c>
      <c r="F112" t="inlineStr">
        <is>
          <t>#KALK!</t>
        </is>
      </c>
      <c r="G112" t="inlineStr">
        <is>
          <t>LASTSCHUETZ</t>
        </is>
      </c>
      <c r="H112" t="inlineStr">
        <is>
          <t>4kW 1S</t>
        </is>
      </c>
      <c r="I112">
        <v>322</v>
      </c>
      <c r="J112">
        <f>GS16/102.6</f>
        <v>0</v>
      </c>
      <c r="M112" t="inlineStr">
        <is>
          <t>-102K13.7</t>
        </is>
      </c>
    </row>
    <row r="113">
      <c r="A113">
        <v>112</v>
      </c>
      <c r="B113">
        <f>GS32</f>
        <v>0</v>
      </c>
      <c r="C113" t="inlineStr">
        <is>
          <t>+LS1</t>
        </is>
      </c>
      <c r="D113" t="inlineStr">
        <is>
          <t>-102K14.5</t>
        </is>
      </c>
      <c r="E113" t="inlineStr">
        <is>
          <t>DIL_EM-10-G</t>
        </is>
      </c>
      <c r="F113" t="inlineStr">
        <is>
          <t>#KALK!</t>
        </is>
      </c>
      <c r="G113" t="inlineStr">
        <is>
          <t>LASTSCHUETZ</t>
        </is>
      </c>
      <c r="H113" t="inlineStr">
        <is>
          <t>4kW 1S</t>
        </is>
      </c>
      <c r="I113">
        <v>902</v>
      </c>
      <c r="J113">
        <f>GS32/102.6</f>
        <v>0</v>
      </c>
      <c r="M113" t="inlineStr">
        <is>
          <t>-102K14.5</t>
        </is>
      </c>
    </row>
    <row r="114">
      <c r="A114">
        <v>113</v>
      </c>
      <c r="B114">
        <f>GS32</f>
        <v>0</v>
      </c>
      <c r="C114" t="inlineStr">
        <is>
          <t>+LS1</t>
        </is>
      </c>
      <c r="D114" t="inlineStr">
        <is>
          <t>-102K14.6</t>
        </is>
      </c>
      <c r="E114" t="inlineStr">
        <is>
          <t>DIL_EM-10-G</t>
        </is>
      </c>
      <c r="F114" t="inlineStr">
        <is>
          <t>#KALK!</t>
        </is>
      </c>
      <c r="G114" t="inlineStr">
        <is>
          <t>LASTSCHUETZ</t>
        </is>
      </c>
      <c r="H114" t="inlineStr">
        <is>
          <t>4kW 1S</t>
        </is>
      </c>
      <c r="I114">
        <v>902</v>
      </c>
      <c r="J114">
        <f>GS32/102.6</f>
        <v>0</v>
      </c>
      <c r="M114" t="inlineStr">
        <is>
          <t>-102K14.6</t>
        </is>
      </c>
    </row>
    <row r="115">
      <c r="A115">
        <v>114</v>
      </c>
      <c r="B115">
        <f>GS31</f>
        <v>0</v>
      </c>
      <c r="C115" t="inlineStr">
        <is>
          <t>+LS1</t>
        </is>
      </c>
      <c r="D115" t="inlineStr">
        <is>
          <t>-102K17.7</t>
        </is>
      </c>
      <c r="E115" t="inlineStr">
        <is>
          <t>DIL_EM-10-G</t>
        </is>
      </c>
      <c r="F115" t="inlineStr">
        <is>
          <t>#KALK!</t>
        </is>
      </c>
      <c r="G115" t="inlineStr">
        <is>
          <t>LASTSCHUETZ</t>
        </is>
      </c>
      <c r="H115" t="inlineStr">
        <is>
          <t>4kW 1S</t>
        </is>
      </c>
      <c r="I115">
        <v>385</v>
      </c>
      <c r="J115">
        <f>GS31/102.6</f>
        <v>0</v>
      </c>
      <c r="M115" t="inlineStr">
        <is>
          <t>-102K17.7</t>
        </is>
      </c>
    </row>
    <row r="116">
      <c r="A116">
        <v>115</v>
      </c>
      <c r="B116">
        <f>GS31</f>
        <v>0</v>
      </c>
      <c r="C116" t="inlineStr">
        <is>
          <t>+LS1</t>
        </is>
      </c>
      <c r="D116" t="inlineStr">
        <is>
          <t>-102K18.0</t>
        </is>
      </c>
      <c r="E116" t="inlineStr">
        <is>
          <t>DIL_EM-10-G</t>
        </is>
      </c>
      <c r="F116" t="inlineStr">
        <is>
          <t>#KALK!</t>
        </is>
      </c>
      <c r="G116" t="inlineStr">
        <is>
          <t>LASTSCHUETZ</t>
        </is>
      </c>
      <c r="H116" t="inlineStr">
        <is>
          <t>4kW 1S</t>
        </is>
      </c>
      <c r="I116">
        <v>385</v>
      </c>
      <c r="J116">
        <f>GS31/102.6</f>
        <v>0</v>
      </c>
      <c r="M116" t="inlineStr">
        <is>
          <t>-102K18.0</t>
        </is>
      </c>
    </row>
    <row r="117">
      <c r="A117">
        <v>116</v>
      </c>
      <c r="B117">
        <f>GS11</f>
        <v>0</v>
      </c>
      <c r="C117" t="inlineStr">
        <is>
          <t>+LS1</t>
        </is>
      </c>
      <c r="D117" t="inlineStr">
        <is>
          <t>-102K26.1</t>
        </is>
      </c>
      <c r="E117" t="inlineStr">
        <is>
          <t>DIL_EM-10-G</t>
        </is>
      </c>
      <c r="F117" t="inlineStr">
        <is>
          <t>#KALK!</t>
        </is>
      </c>
      <c r="G117" t="inlineStr">
        <is>
          <t>LASTSCHUETZ</t>
        </is>
      </c>
      <c r="H117" t="inlineStr">
        <is>
          <t>4kW 1S</t>
        </is>
      </c>
      <c r="I117">
        <v>213</v>
      </c>
      <c r="J117">
        <f>GS11/102.7</f>
        <v>0</v>
      </c>
      <c r="M117" t="inlineStr">
        <is>
          <t>-102K26.1</t>
        </is>
      </c>
    </row>
    <row r="118">
      <c r="A118">
        <v>117</v>
      </c>
      <c r="B118">
        <f>GS21</f>
        <v>0</v>
      </c>
      <c r="C118" t="inlineStr">
        <is>
          <t>+LS1</t>
        </is>
      </c>
      <c r="D118" t="inlineStr">
        <is>
          <t>-102K26.1</t>
        </is>
      </c>
      <c r="E118" t="inlineStr">
        <is>
          <t>DIL_EM-10-G</t>
        </is>
      </c>
      <c r="F118" t="inlineStr">
        <is>
          <t>#KALK!</t>
        </is>
      </c>
      <c r="G118" t="inlineStr">
        <is>
          <t>LASTSCHUETZ</t>
        </is>
      </c>
      <c r="H118" t="inlineStr">
        <is>
          <t>4kW 1S</t>
        </is>
      </c>
      <c r="I118">
        <v>69</v>
      </c>
      <c r="J118">
        <f>GS21/102.7</f>
        <v>0</v>
      </c>
      <c r="M118" t="inlineStr">
        <is>
          <t>-102K26.1</t>
        </is>
      </c>
    </row>
    <row r="119">
      <c r="A119">
        <v>118</v>
      </c>
      <c r="B119">
        <f>GS23</f>
        <v>0</v>
      </c>
      <c r="C119" t="inlineStr">
        <is>
          <t>+LS1</t>
        </is>
      </c>
      <c r="D119" t="inlineStr">
        <is>
          <t>-102K48.3</t>
        </is>
      </c>
      <c r="E119" t="inlineStr">
        <is>
          <t>DIL_EM-10-G</t>
        </is>
      </c>
      <c r="F119" t="inlineStr">
        <is>
          <t>#KALK!</t>
        </is>
      </c>
      <c r="G119" t="inlineStr">
        <is>
          <t>LASTSCHUETZ</t>
        </is>
      </c>
      <c r="H119" t="inlineStr">
        <is>
          <t>4kW 1S</t>
        </is>
      </c>
      <c r="I119">
        <v>401</v>
      </c>
      <c r="J119">
        <f>GS23/102.7</f>
        <v>0</v>
      </c>
      <c r="M119" t="inlineStr">
        <is>
          <t>-102K48.3</t>
        </is>
      </c>
    </row>
    <row r="120">
      <c r="A120">
        <v>119</v>
      </c>
      <c r="B120">
        <f>GS61</f>
        <v>0</v>
      </c>
      <c r="C120" t="inlineStr">
        <is>
          <t>+ES1</t>
        </is>
      </c>
      <c r="D120" t="inlineStr">
        <is>
          <t>-102K54.2</t>
        </is>
      </c>
      <c r="E120" t="inlineStr">
        <is>
          <t>DIL_EM-10-G</t>
        </is>
      </c>
      <c r="F120" t="inlineStr">
        <is>
          <t>#KALK!</t>
        </is>
      </c>
      <c r="G120" t="inlineStr">
        <is>
          <t>LASTSCHUETZ</t>
        </is>
      </c>
      <c r="H120" t="inlineStr">
        <is>
          <t>4kW 1S</t>
        </is>
      </c>
      <c r="I120">
        <v>224</v>
      </c>
      <c r="J120">
        <f>GS61/102.6</f>
        <v>0</v>
      </c>
      <c r="M120" t="inlineStr">
        <is>
          <t>-102K54.2</t>
        </is>
      </c>
    </row>
    <row r="121">
      <c r="A121">
        <v>120</v>
      </c>
      <c r="B121">
        <f>GS62</f>
        <v>0</v>
      </c>
      <c r="C121" t="inlineStr">
        <is>
          <t>+ES1</t>
        </is>
      </c>
      <c r="D121" t="inlineStr">
        <is>
          <t>-102K54.2</t>
        </is>
      </c>
      <c r="E121" t="inlineStr">
        <is>
          <t>DIL_EM-10-G</t>
        </is>
      </c>
      <c r="F121" t="inlineStr">
        <is>
          <t>#KALK!</t>
        </is>
      </c>
      <c r="G121" t="inlineStr">
        <is>
          <t>LASTSCHUETZ</t>
        </is>
      </c>
      <c r="H121" t="inlineStr">
        <is>
          <t>4kW 1S</t>
        </is>
      </c>
      <c r="I121">
        <v>299</v>
      </c>
      <c r="J121">
        <f>GS62/102.6</f>
        <v>0</v>
      </c>
      <c r="M121" t="inlineStr">
        <is>
          <t>-102K54.2</t>
        </is>
      </c>
    </row>
    <row r="122">
      <c r="A122">
        <v>121</v>
      </c>
      <c r="B122">
        <f>GS61</f>
        <v>0</v>
      </c>
      <c r="C122" t="inlineStr">
        <is>
          <t>+ES1</t>
        </is>
      </c>
      <c r="D122" t="inlineStr">
        <is>
          <t>-102K54.3</t>
        </is>
      </c>
      <c r="E122" t="inlineStr">
        <is>
          <t>DIL_EM-10-G</t>
        </is>
      </c>
      <c r="F122" t="inlineStr">
        <is>
          <t>#KALK!</t>
        </is>
      </c>
      <c r="G122" t="inlineStr">
        <is>
          <t>LASTSCHUETZ</t>
        </is>
      </c>
      <c r="H122" t="inlineStr">
        <is>
          <t>4kW 1S</t>
        </is>
      </c>
      <c r="I122">
        <v>224</v>
      </c>
      <c r="J122">
        <f>GS61/102.7</f>
        <v>0</v>
      </c>
      <c r="M122" t="inlineStr">
        <is>
          <t>-102K54.3</t>
        </is>
      </c>
    </row>
    <row r="123">
      <c r="A123">
        <v>122</v>
      </c>
      <c r="B123">
        <f>GS62</f>
        <v>0</v>
      </c>
      <c r="C123" t="inlineStr">
        <is>
          <t>+ES1</t>
        </is>
      </c>
      <c r="D123" t="inlineStr">
        <is>
          <t>-102K54.3</t>
        </is>
      </c>
      <c r="E123" t="inlineStr">
        <is>
          <t>DIL_EM-10-G</t>
        </is>
      </c>
      <c r="F123" t="inlineStr">
        <is>
          <t>#KALK!</t>
        </is>
      </c>
      <c r="G123" t="inlineStr">
        <is>
          <t>LASTSCHUETZ</t>
        </is>
      </c>
      <c r="H123" t="inlineStr">
        <is>
          <t>4kW 1S</t>
        </is>
      </c>
      <c r="I123">
        <v>299</v>
      </c>
      <c r="J123">
        <f>GS62/102.7</f>
        <v>0</v>
      </c>
      <c r="M123" t="inlineStr">
        <is>
          <t>-102K54.3</t>
        </is>
      </c>
    </row>
    <row r="124">
      <c r="A124">
        <v>123</v>
      </c>
      <c r="B124">
        <f>GC22</f>
        <v>0</v>
      </c>
      <c r="C124" t="inlineStr">
        <is>
          <t>+ES2</t>
        </is>
      </c>
      <c r="D124" t="inlineStr">
        <is>
          <t>-102K92.2</t>
        </is>
      </c>
      <c r="E124" t="inlineStr">
        <is>
          <t>DIL_ER-22-G</t>
        </is>
      </c>
      <c r="F124" t="inlineStr">
        <is>
          <t>#KALK!</t>
        </is>
      </c>
      <c r="G124" t="inlineStr">
        <is>
          <t>HILFSSCHUETZ</t>
        </is>
      </c>
      <c r="H124" t="inlineStr">
        <is>
          <t>2S 2OE</t>
        </is>
      </c>
      <c r="I124">
        <v>3618</v>
      </c>
      <c r="J124">
        <f>GC22/102.6</f>
        <v>0</v>
      </c>
      <c r="M124" t="inlineStr">
        <is>
          <t>-102K92.2</t>
        </is>
      </c>
    </row>
    <row r="125">
      <c r="A125">
        <v>124</v>
      </c>
      <c r="B125">
        <f>GS12</f>
        <v>0</v>
      </c>
      <c r="C125" t="inlineStr">
        <is>
          <t>+ES2</t>
        </is>
      </c>
      <c r="D125" t="inlineStr">
        <is>
          <t>-102K92.2</t>
        </is>
      </c>
      <c r="E125" t="inlineStr">
        <is>
          <t>DIL_ER-22-G</t>
        </is>
      </c>
      <c r="F125" t="inlineStr">
        <is>
          <t>#KALK!</t>
        </is>
      </c>
      <c r="G125" t="inlineStr">
        <is>
          <t>HILFSSCHUETZ</t>
        </is>
      </c>
      <c r="H125" t="inlineStr">
        <is>
          <t>2S 2OE</t>
        </is>
      </c>
      <c r="I125">
        <v>234</v>
      </c>
      <c r="J125">
        <f>GS12/102.6</f>
        <v>0</v>
      </c>
      <c r="M125" t="inlineStr">
        <is>
          <t>-102K92.2</t>
        </is>
      </c>
    </row>
    <row r="126">
      <c r="A126">
        <v>125</v>
      </c>
      <c r="B126">
        <f>GS33</f>
        <v>0</v>
      </c>
      <c r="C126" t="inlineStr">
        <is>
          <t>+LS12</t>
        </is>
      </c>
      <c r="D126" t="inlineStr">
        <is>
          <t>-1030.1K71.1</t>
        </is>
      </c>
      <c r="E126" t="inlineStr">
        <is>
          <t>DILM-9-01</t>
        </is>
      </c>
      <c r="F126" t="inlineStr">
        <is>
          <t>#KALK!</t>
        </is>
      </c>
      <c r="G126" t="inlineStr">
        <is>
          <t>LASTSCHUETZ</t>
        </is>
      </c>
      <c r="H126" t="inlineStr">
        <is>
          <t>4kW 1Oe Federzugkl.</t>
        </is>
      </c>
      <c r="I126">
        <v>1489</v>
      </c>
      <c r="J126">
        <f>GS33/1030.1.7</f>
        <v>0</v>
      </c>
      <c r="M126" t="inlineStr">
        <is>
          <t>-1030.1K71.1</t>
        </is>
      </c>
    </row>
    <row r="127">
      <c r="A127">
        <v>126</v>
      </c>
      <c r="B127">
        <f>GS33</f>
        <v>0</v>
      </c>
      <c r="C127" t="inlineStr">
        <is>
          <t>+LS12</t>
        </is>
      </c>
      <c r="D127" t="inlineStr">
        <is>
          <t>-1030.1K71.2</t>
        </is>
      </c>
      <c r="E127" t="inlineStr">
        <is>
          <t>DILM-9-10</t>
        </is>
      </c>
      <c r="F127" t="inlineStr">
        <is>
          <t>#KALK!</t>
        </is>
      </c>
      <c r="G127" t="inlineStr">
        <is>
          <t>LASTSCHUETZ</t>
        </is>
      </c>
      <c r="H127" t="inlineStr">
        <is>
          <t>4kW 1S Federzugkl.</t>
        </is>
      </c>
      <c r="I127">
        <v>1489</v>
      </c>
      <c r="J127">
        <f>GS33/1030.1.5</f>
        <v>0</v>
      </c>
      <c r="M127" t="inlineStr">
        <is>
          <t>-1030.1K71.2</t>
        </is>
      </c>
    </row>
    <row r="128">
      <c r="A128">
        <v>127</v>
      </c>
      <c r="B128">
        <f>GS33</f>
        <v>0</v>
      </c>
      <c r="C128" t="inlineStr">
        <is>
          <t>+LS12</t>
        </is>
      </c>
      <c r="D128" t="inlineStr">
        <is>
          <t>-1030.1K72.2</t>
        </is>
      </c>
      <c r="E128" t="inlineStr">
        <is>
          <t>DILM-9-10</t>
        </is>
      </c>
      <c r="F128" t="inlineStr">
        <is>
          <t>#KALK!</t>
        </is>
      </c>
      <c r="G128" t="inlineStr">
        <is>
          <t>LASTSCHUETZ</t>
        </is>
      </c>
      <c r="H128" t="inlineStr">
        <is>
          <t>4kW 1S Federzugkl.</t>
        </is>
      </c>
      <c r="I128">
        <v>1489</v>
      </c>
      <c r="J128">
        <f>GS33/1030.1.6</f>
        <v>0</v>
      </c>
      <c r="M128" t="inlineStr">
        <is>
          <t>-1030.1K72.2</t>
        </is>
      </c>
    </row>
    <row r="129">
      <c r="A129">
        <v>128</v>
      </c>
      <c r="B129">
        <f>GS33</f>
        <v>0</v>
      </c>
      <c r="C129" t="inlineStr">
        <is>
          <t>+LS12</t>
        </is>
      </c>
      <c r="D129" t="inlineStr">
        <is>
          <t>-1030.1K72.3</t>
        </is>
      </c>
      <c r="E129" t="inlineStr">
        <is>
          <t>DILM-9-01</t>
        </is>
      </c>
      <c r="F129" t="inlineStr">
        <is>
          <t>#KALK!</t>
        </is>
      </c>
      <c r="G129" t="inlineStr">
        <is>
          <t>LASTSCHUETZ</t>
        </is>
      </c>
      <c r="H129" t="inlineStr">
        <is>
          <t>4kW 1Oe Federzugkl.</t>
        </is>
      </c>
      <c r="I129">
        <v>1489</v>
      </c>
      <c r="J129">
        <f>GS33/1030.1.8</f>
        <v>0</v>
      </c>
      <c r="M129" t="inlineStr">
        <is>
          <t>-1030.1K72.3</t>
        </is>
      </c>
    </row>
    <row r="130">
      <c r="A130">
        <v>129</v>
      </c>
      <c r="B130">
        <f>GS33</f>
        <v>0</v>
      </c>
      <c r="C130" t="inlineStr">
        <is>
          <t>+LS12</t>
        </is>
      </c>
      <c r="D130" t="inlineStr">
        <is>
          <t>-1031K71.3</t>
        </is>
      </c>
      <c r="E130" t="inlineStr">
        <is>
          <t>DIL_EM-10-G</t>
        </is>
      </c>
      <c r="F130" t="inlineStr">
        <is>
          <t>#KALK!</t>
        </is>
      </c>
      <c r="G130" t="inlineStr">
        <is>
          <t>LASTSCHUETZ</t>
        </is>
      </c>
      <c r="H130" t="inlineStr">
        <is>
          <t>4kW 1S</t>
        </is>
      </c>
      <c r="I130">
        <v>1490</v>
      </c>
      <c r="J130">
        <f>GS33/1031.6</f>
        <v>0</v>
      </c>
      <c r="M130" t="inlineStr">
        <is>
          <t>-1031K71.3</t>
        </is>
      </c>
    </row>
    <row r="131">
      <c r="A131">
        <v>130</v>
      </c>
      <c r="B131">
        <f>GS33</f>
        <v>0</v>
      </c>
      <c r="C131" t="inlineStr">
        <is>
          <t>+LS12</t>
        </is>
      </c>
      <c r="D131" t="inlineStr">
        <is>
          <t>-1031K71.4</t>
        </is>
      </c>
      <c r="E131" t="inlineStr">
        <is>
          <t>DIL_EM-10-G</t>
        </is>
      </c>
      <c r="F131" t="inlineStr">
        <is>
          <t>#KALK!</t>
        </is>
      </c>
      <c r="G131" t="inlineStr">
        <is>
          <t>LASTSCHUETZ</t>
        </is>
      </c>
      <c r="H131" t="inlineStr">
        <is>
          <t>4kW 1S</t>
        </is>
      </c>
      <c r="I131">
        <v>1490</v>
      </c>
      <c r="J131">
        <f>GS33/1031.6</f>
        <v>0</v>
      </c>
      <c r="M131" t="inlineStr">
        <is>
          <t>-1031K71.4</t>
        </is>
      </c>
    </row>
    <row r="132">
      <c r="A132">
        <v>131</v>
      </c>
      <c r="B132">
        <f>GS33</f>
        <v>0</v>
      </c>
      <c r="C132" t="inlineStr">
        <is>
          <t>+LS12</t>
        </is>
      </c>
      <c r="D132" t="inlineStr">
        <is>
          <t>-1032K71.5</t>
        </is>
      </c>
      <c r="E132" t="inlineStr">
        <is>
          <t>DIL_EM-10-G</t>
        </is>
      </c>
      <c r="F132" t="inlineStr">
        <is>
          <t>#KALK!</t>
        </is>
      </c>
      <c r="G132" t="inlineStr">
        <is>
          <t>LASTSCHUETZ</t>
        </is>
      </c>
      <c r="H132" t="inlineStr">
        <is>
          <t>4kW 1S</t>
        </is>
      </c>
      <c r="I132">
        <v>1491</v>
      </c>
      <c r="J132">
        <f>GS33/1032.6</f>
        <v>0</v>
      </c>
      <c r="M132" t="inlineStr">
        <is>
          <t>-1032K71.5</t>
        </is>
      </c>
    </row>
    <row r="133">
      <c r="A133">
        <v>132</v>
      </c>
      <c r="B133">
        <f>GS33</f>
        <v>0</v>
      </c>
      <c r="C133" t="inlineStr">
        <is>
          <t>+LS12</t>
        </is>
      </c>
      <c r="D133" t="inlineStr">
        <is>
          <t>-1032K71.6</t>
        </is>
      </c>
      <c r="E133" t="inlineStr">
        <is>
          <t>DIL_EM-10-G</t>
        </is>
      </c>
      <c r="F133" t="inlineStr">
        <is>
          <t>#KALK!</t>
        </is>
      </c>
      <c r="G133" t="inlineStr">
        <is>
          <t>LASTSCHUETZ</t>
        </is>
      </c>
      <c r="H133" t="inlineStr">
        <is>
          <t>4kW 1S</t>
        </is>
      </c>
      <c r="I133">
        <v>1491</v>
      </c>
      <c r="J133">
        <f>GS33/1032.6</f>
        <v>0</v>
      </c>
      <c r="M133" t="inlineStr">
        <is>
          <t>-1032K71.6</t>
        </is>
      </c>
    </row>
    <row r="134">
      <c r="A134">
        <v>133</v>
      </c>
      <c r="B134">
        <f>GS33</f>
        <v>0</v>
      </c>
      <c r="C134" t="inlineStr">
        <is>
          <t>+LS12</t>
        </is>
      </c>
      <c r="D134" t="inlineStr">
        <is>
          <t>-1033K71.7</t>
        </is>
      </c>
      <c r="E134" t="inlineStr">
        <is>
          <t>DIL_EM-10-G</t>
        </is>
      </c>
      <c r="F134" t="inlineStr">
        <is>
          <t>#KALK!</t>
        </is>
      </c>
      <c r="G134" t="inlineStr">
        <is>
          <t>LASTSCHUETZ</t>
        </is>
      </c>
      <c r="H134" t="inlineStr">
        <is>
          <t>4kW 1S</t>
        </is>
      </c>
      <c r="I134">
        <v>1492</v>
      </c>
      <c r="J134">
        <f>GS33/1033.6</f>
        <v>0</v>
      </c>
      <c r="M134" t="inlineStr">
        <is>
          <t>-1033K71.7</t>
        </is>
      </c>
    </row>
    <row r="135">
      <c r="A135">
        <v>134</v>
      </c>
      <c r="B135">
        <f>GS33</f>
        <v>0</v>
      </c>
      <c r="C135" t="inlineStr">
        <is>
          <t>+LS12</t>
        </is>
      </c>
      <c r="D135" t="inlineStr">
        <is>
          <t>-1033K72.0</t>
        </is>
      </c>
      <c r="E135" t="inlineStr">
        <is>
          <t>DIL_EM-10-G</t>
        </is>
      </c>
      <c r="F135" t="inlineStr">
        <is>
          <t>#KALK!</t>
        </is>
      </c>
      <c r="G135" t="inlineStr">
        <is>
          <t>LASTSCHUETZ</t>
        </is>
      </c>
      <c r="H135" t="inlineStr">
        <is>
          <t>4kW 1S</t>
        </is>
      </c>
      <c r="I135">
        <v>1492</v>
      </c>
      <c r="J135">
        <f>GS33/1033.6</f>
        <v>0</v>
      </c>
      <c r="M135" t="inlineStr">
        <is>
          <t>-1033K72.0</t>
        </is>
      </c>
    </row>
    <row r="136">
      <c r="A136">
        <v>135</v>
      </c>
      <c r="B136">
        <f>GS13</f>
        <v>0</v>
      </c>
      <c r="C136" t="inlineStr">
        <is>
          <t>+LS1</t>
        </is>
      </c>
      <c r="D136" t="inlineStr">
        <is>
          <t>-10348.4</t>
        </is>
      </c>
      <c r="E136" t="inlineStr">
        <is>
          <t>DIL_EM-10-G</t>
        </is>
      </c>
      <c r="F136" t="inlineStr">
        <is>
          <t>#KALK!</t>
        </is>
      </c>
      <c r="G136" t="inlineStr">
        <is>
          <t>LASTSCHUETZ</t>
        </is>
      </c>
      <c r="H136" t="inlineStr">
        <is>
          <t>4kW 1S</t>
        </is>
      </c>
      <c r="I136">
        <v>342</v>
      </c>
      <c r="J136">
        <f>GS13/103.6</f>
        <v>0</v>
      </c>
      <c r="M136" t="inlineStr">
        <is>
          <t>-10348.4</t>
        </is>
      </c>
    </row>
    <row r="137">
      <c r="A137">
        <v>136</v>
      </c>
      <c r="B137">
        <f>GS36</f>
        <v>0</v>
      </c>
      <c r="C137" t="inlineStr">
        <is>
          <t>+ES02</t>
        </is>
      </c>
      <c r="D137" t="inlineStr">
        <is>
          <t>-27.1K4</t>
        </is>
      </c>
      <c r="E137" t="inlineStr">
        <is>
          <t>DILM-9-01</t>
        </is>
      </c>
      <c r="F137" t="inlineStr">
        <is>
          <t>DILA-XHIC31</t>
        </is>
      </c>
      <c r="G137" t="inlineStr">
        <is>
          <t>LASTSCHUETZ</t>
        </is>
      </c>
      <c r="H137" t="inlineStr">
        <is>
          <t>4kW 1Oe Federzugkl.</t>
        </is>
      </c>
      <c r="I137">
        <v>197</v>
      </c>
      <c r="J137">
        <f>GS36/27.1.4</f>
        <v>0</v>
      </c>
      <c r="M137" t="inlineStr">
        <is>
          <t>-27.1K4</t>
        </is>
      </c>
    </row>
    <row r="138">
      <c r="A138">
        <v>137</v>
      </c>
      <c r="B138">
        <f>GS06</f>
        <v>0</v>
      </c>
      <c r="C138" t="inlineStr">
        <is>
          <t>+LS16</t>
        </is>
      </c>
      <c r="D138" t="inlineStr">
        <is>
          <t>-1035Q1</t>
        </is>
      </c>
      <c r="E138" t="inlineStr">
        <is>
          <t>DILMC25-10(RDC24)</t>
        </is>
      </c>
      <c r="F138" t="inlineStr">
        <is>
          <t>DILA-XHI22</t>
        </is>
      </c>
      <c r="G138" t="inlineStr">
        <is>
          <t>LASTSCHUETZ</t>
        </is>
      </c>
      <c r="H138" t="inlineStr">
        <is>
          <t>11kW 1S Federzugkl.</t>
        </is>
      </c>
      <c r="I138">
        <v>3103</v>
      </c>
      <c r="J138">
        <f>GS06/1035.6</f>
        <v>0</v>
      </c>
      <c r="K138" t="inlineStr">
        <is>
          <t>DIL MC25</t>
        </is>
      </c>
      <c r="M138" t="inlineStr">
        <is>
          <t>-1035Q1</t>
        </is>
      </c>
    </row>
    <row r="139">
      <c r="A139">
        <v>138</v>
      </c>
      <c r="B139">
        <f>GS06</f>
        <v>0</v>
      </c>
      <c r="C139" t="inlineStr">
        <is>
          <t>+LS16</t>
        </is>
      </c>
      <c r="D139" t="inlineStr">
        <is>
          <t>-1035Q1</t>
        </is>
      </c>
      <c r="E139" t="inlineStr">
        <is>
          <t>DILA-XHI22</t>
        </is>
      </c>
      <c r="F139" t="inlineStr">
        <is>
          <t>DILA-XHI22</t>
        </is>
      </c>
      <c r="G139" t="inlineStr">
        <is>
          <t>HILFSKONTAKTBLOCK</t>
        </is>
      </c>
      <c r="H139" t="inlineStr">
        <is>
          <t>2S 2OE Last+Hilfssch. Cage</t>
        </is>
      </c>
      <c r="I139">
        <v>3103</v>
      </c>
      <c r="J139">
        <f>GS06/1035.6</f>
        <v>0</v>
      </c>
      <c r="K139" t="inlineStr">
        <is>
          <t>DIL MC25</t>
        </is>
      </c>
      <c r="M139" t="inlineStr">
        <is>
          <t>-1035Q1</t>
        </is>
      </c>
    </row>
    <row r="140">
      <c r="A140">
        <v>139</v>
      </c>
      <c r="B140">
        <f>GS36</f>
        <v>0</v>
      </c>
      <c r="C140" t="inlineStr">
        <is>
          <t>+LS13</t>
        </is>
      </c>
      <c r="D140" t="inlineStr">
        <is>
          <t>-1035Q1</t>
        </is>
      </c>
      <c r="E140" t="inlineStr">
        <is>
          <t>DILMC25-10(RDC24)</t>
        </is>
      </c>
      <c r="F140" t="inlineStr">
        <is>
          <t>DILA-XHI22</t>
        </is>
      </c>
      <c r="G140" t="inlineStr">
        <is>
          <t>LASTSCHUETZ</t>
        </is>
      </c>
      <c r="H140" t="inlineStr">
        <is>
          <t>11kW 1S Federzugkl.</t>
        </is>
      </c>
      <c r="I140">
        <v>1489</v>
      </c>
      <c r="J140">
        <f>GS36/1035.4</f>
        <v>0</v>
      </c>
      <c r="K140" t="inlineStr">
        <is>
          <t>DIL MC25</t>
        </is>
      </c>
      <c r="L140" t="inlineStr">
        <is>
          <t>HVO 40</t>
        </is>
      </c>
      <c r="M140" t="inlineStr">
        <is>
          <t>HVO 40
-1035Q1</t>
        </is>
      </c>
      <c r="N140" t="inlineStr">
        <is>
          <t>P</t>
        </is>
      </c>
    </row>
    <row r="141">
      <c r="A141">
        <v>140</v>
      </c>
      <c r="B141">
        <f>GS36</f>
        <v>0</v>
      </c>
      <c r="C141" t="inlineStr">
        <is>
          <t>+LS13</t>
        </is>
      </c>
      <c r="D141" t="inlineStr">
        <is>
          <t>-1035Q1</t>
        </is>
      </c>
      <c r="E141" t="inlineStr">
        <is>
          <t>DILA-XHI22</t>
        </is>
      </c>
      <c r="F141" t="inlineStr">
        <is>
          <t>DILA-XHI22</t>
        </is>
      </c>
      <c r="G141" t="inlineStr">
        <is>
          <t>HILFSKONTAKTBLOCK</t>
        </is>
      </c>
      <c r="H141" t="inlineStr">
        <is>
          <t>2S 2OE Last+Hilfssch. Cage</t>
        </is>
      </c>
      <c r="I141">
        <v>1489</v>
      </c>
      <c r="J141">
        <f>GS36/1035.4</f>
        <v>0</v>
      </c>
      <c r="K141" t="inlineStr">
        <is>
          <t>DIL MC25</t>
        </is>
      </c>
      <c r="L141" t="inlineStr">
        <is>
          <t>HVO 40</t>
        </is>
      </c>
      <c r="M141" t="inlineStr">
        <is>
          <t>HVO 40
-1035Q1</t>
        </is>
      </c>
      <c r="N141" t="inlineStr">
        <is>
          <t>P</t>
        </is>
      </c>
    </row>
    <row r="142">
      <c r="A142">
        <v>141</v>
      </c>
      <c r="B142">
        <f>GS51</f>
        <v>0</v>
      </c>
      <c r="C142" t="inlineStr">
        <is>
          <t>+LS16</t>
        </is>
      </c>
      <c r="D142" t="inlineStr">
        <is>
          <t>-1035Q1</t>
        </is>
      </c>
      <c r="E142" t="inlineStr">
        <is>
          <t>DILA-XHI22</t>
        </is>
      </c>
      <c r="F142" t="inlineStr">
        <is>
          <t>DILA-XHI22</t>
        </is>
      </c>
      <c r="G142" t="inlineStr">
        <is>
          <t>HILFSKONTAKTBLOCK</t>
        </is>
      </c>
      <c r="H142" t="inlineStr">
        <is>
          <t>2S 2OE Last+Hilfssch. Cage</t>
        </is>
      </c>
      <c r="I142">
        <v>1169</v>
      </c>
      <c r="J142">
        <f>GS51/1035.6</f>
        <v>0</v>
      </c>
      <c r="K142" t="inlineStr">
        <is>
          <t>DIL MC25</t>
        </is>
      </c>
      <c r="M142" t="inlineStr">
        <is>
          <t>-1035Q1</t>
        </is>
      </c>
    </row>
    <row r="143">
      <c r="A143">
        <v>142</v>
      </c>
      <c r="B143">
        <f>GS51</f>
        <v>0</v>
      </c>
      <c r="C143" t="inlineStr">
        <is>
          <t>+LS16</t>
        </is>
      </c>
      <c r="D143" t="inlineStr">
        <is>
          <t>-1035Q1</t>
        </is>
      </c>
      <c r="E143" t="inlineStr">
        <is>
          <t>DILMC25-10(RDC24)</t>
        </is>
      </c>
      <c r="F143" t="inlineStr">
        <is>
          <t>DILA-XHI22</t>
        </is>
      </c>
      <c r="G143" t="inlineStr">
        <is>
          <t>LASTSCHUETZ</t>
        </is>
      </c>
      <c r="H143" t="inlineStr">
        <is>
          <t>11kW 1S Federzugkl.</t>
        </is>
      </c>
      <c r="I143">
        <v>1169</v>
      </c>
      <c r="J143">
        <f>GS51/1035.6</f>
        <v>0</v>
      </c>
      <c r="K143" t="inlineStr">
        <is>
          <t>DIL MC25</t>
        </is>
      </c>
      <c r="M143" t="inlineStr">
        <is>
          <t>-1035Q1</t>
        </is>
      </c>
    </row>
    <row r="144">
      <c r="A144">
        <v>143</v>
      </c>
      <c r="B144">
        <f>GC22</f>
        <v>0</v>
      </c>
      <c r="C144" t="inlineStr">
        <is>
          <t>+LS10</t>
        </is>
      </c>
      <c r="D144" t="inlineStr">
        <is>
          <t>-1036K1</t>
        </is>
      </c>
      <c r="E144" t="inlineStr">
        <is>
          <t>DILA-XHI22</t>
        </is>
      </c>
      <c r="F144" t="inlineStr">
        <is>
          <t>DILA-XHI22</t>
        </is>
      </c>
      <c r="G144" t="inlineStr">
        <is>
          <t>HILFSKONTAKTBLOCK</t>
        </is>
      </c>
      <c r="H144" t="inlineStr">
        <is>
          <t>2S 2OE Last+Hilfssch. Cage</t>
        </is>
      </c>
      <c r="I144">
        <v>3916</v>
      </c>
      <c r="J144">
        <f>GC22/1036.4</f>
        <v>0</v>
      </c>
      <c r="K144" t="inlineStr">
        <is>
          <t>DIL MC25</t>
        </is>
      </c>
      <c r="M144" t="inlineStr">
        <is>
          <t>-1036K1</t>
        </is>
      </c>
    </row>
    <row r="145">
      <c r="A145">
        <v>144</v>
      </c>
      <c r="B145">
        <f>GC22</f>
        <v>0</v>
      </c>
      <c r="C145" t="inlineStr">
        <is>
          <t>+LS10</t>
        </is>
      </c>
      <c r="D145" t="inlineStr">
        <is>
          <t>-1036K1</t>
        </is>
      </c>
      <c r="E145" t="inlineStr">
        <is>
          <t>DILMC25-10230V50HZ</t>
        </is>
      </c>
      <c r="F145" t="inlineStr">
        <is>
          <t>DILA-XHI22</t>
        </is>
      </c>
      <c r="G145" t="inlineStr">
        <is>
          <t>LASTSCHUETZ</t>
        </is>
      </c>
      <c r="H145" t="inlineStr">
        <is>
          <t>11kW 1S Federzugkl.</t>
        </is>
      </c>
      <c r="I145">
        <v>3916</v>
      </c>
      <c r="J145">
        <f>GC22/1036.4</f>
        <v>0</v>
      </c>
      <c r="K145" t="inlineStr">
        <is>
          <t>DIL MC25</t>
        </is>
      </c>
      <c r="M145" t="inlineStr">
        <is>
          <t>-1036K1</t>
        </is>
      </c>
    </row>
    <row r="146">
      <c r="A146">
        <v>145</v>
      </c>
      <c r="B146">
        <f>GS12</f>
        <v>0</v>
      </c>
      <c r="C146" t="inlineStr">
        <is>
          <t>+LS10</t>
        </is>
      </c>
      <c r="D146" t="inlineStr">
        <is>
          <t>-1036K1</t>
        </is>
      </c>
      <c r="E146" t="inlineStr">
        <is>
          <t>DILMC25-10230V50HZ</t>
        </is>
      </c>
      <c r="F146" t="inlineStr">
        <is>
          <t>DILA-XHI22</t>
        </is>
      </c>
      <c r="G146" t="inlineStr">
        <is>
          <t>LASTSCHUETZ</t>
        </is>
      </c>
      <c r="H146" t="inlineStr">
        <is>
          <t>11kW 1S Federzugkl.</t>
        </is>
      </c>
      <c r="I146">
        <v>1547</v>
      </c>
      <c r="J146">
        <f>GS12/1036.4</f>
        <v>0</v>
      </c>
      <c r="K146" t="inlineStr">
        <is>
          <t>DIL MC25</t>
        </is>
      </c>
      <c r="M146" t="inlineStr">
        <is>
          <t>-1036K1</t>
        </is>
      </c>
    </row>
    <row r="147">
      <c r="A147">
        <v>146</v>
      </c>
      <c r="B147">
        <f>GS12</f>
        <v>0</v>
      </c>
      <c r="C147" t="inlineStr">
        <is>
          <t>+LS10</t>
        </is>
      </c>
      <c r="D147" t="inlineStr">
        <is>
          <t>-1036K1</t>
        </is>
      </c>
      <c r="E147" t="inlineStr">
        <is>
          <t>DILA-XHI22</t>
        </is>
      </c>
      <c r="F147" t="inlineStr">
        <is>
          <t>DILA-XHI22</t>
        </is>
      </c>
      <c r="G147" t="inlineStr">
        <is>
          <t>HILFSKONTAKTBLOCK</t>
        </is>
      </c>
      <c r="H147" t="inlineStr">
        <is>
          <t>2S 2OE Last+Hilfssch. Cage</t>
        </is>
      </c>
      <c r="I147">
        <v>1547</v>
      </c>
      <c r="J147">
        <f>GS12/1036.4</f>
        <v>0</v>
      </c>
      <c r="K147" t="inlineStr">
        <is>
          <t>DIL MC25</t>
        </is>
      </c>
      <c r="M147" t="inlineStr">
        <is>
          <t>-1036K1</t>
        </is>
      </c>
    </row>
    <row r="148">
      <c r="A148">
        <v>147</v>
      </c>
      <c r="B148">
        <f>GS51</f>
        <v>0</v>
      </c>
      <c r="C148" t="inlineStr">
        <is>
          <t>+LS16</t>
        </is>
      </c>
      <c r="D148" t="inlineStr">
        <is>
          <t>-1036Q744.1</t>
        </is>
      </c>
      <c r="E148" t="inlineStr">
        <is>
          <t>DILM-9-10</t>
        </is>
      </c>
      <c r="F148" t="inlineStr">
        <is>
          <t>DILA-XHI22</t>
        </is>
      </c>
      <c r="G148" t="inlineStr">
        <is>
          <t>LASTSCHUETZ</t>
        </is>
      </c>
      <c r="H148" t="inlineStr">
        <is>
          <t>4kW 1S Federzugkl.</t>
        </is>
      </c>
      <c r="I148">
        <v>1170</v>
      </c>
      <c r="J148">
        <f>GS51/1036.6</f>
        <v>0</v>
      </c>
      <c r="K148" t="inlineStr">
        <is>
          <t>DIL MC9</t>
        </is>
      </c>
      <c r="M148" t="inlineStr">
        <is>
          <t>-1036Q744.1</t>
        </is>
      </c>
    </row>
    <row r="149">
      <c r="A149">
        <v>148</v>
      </c>
      <c r="B149">
        <f>GS51</f>
        <v>0</v>
      </c>
      <c r="C149" t="inlineStr">
        <is>
          <t>+LS16</t>
        </is>
      </c>
      <c r="D149" t="inlineStr">
        <is>
          <t>-1036Q744.1</t>
        </is>
      </c>
      <c r="E149" t="inlineStr">
        <is>
          <t>DILA-XHI22</t>
        </is>
      </c>
      <c r="F149" t="inlineStr">
        <is>
          <t>DILA-XHI22</t>
        </is>
      </c>
      <c r="G149" t="inlineStr">
        <is>
          <t>HILFSKONTAKTBLOCK</t>
        </is>
      </c>
      <c r="H149" t="inlineStr">
        <is>
          <t>2S 2OE Last+Hilfssch. Cage</t>
        </is>
      </c>
      <c r="I149">
        <v>1170</v>
      </c>
      <c r="J149">
        <f>GS51/1036.6</f>
        <v>0</v>
      </c>
      <c r="K149" t="inlineStr">
        <is>
          <t>DIL MC9</t>
        </is>
      </c>
      <c r="M149" t="inlineStr">
        <is>
          <t>-1036Q744.1</t>
        </is>
      </c>
    </row>
    <row r="150">
      <c r="A150">
        <v>149</v>
      </c>
      <c r="B150">
        <f>GS51</f>
        <v>0</v>
      </c>
      <c r="C150" t="inlineStr">
        <is>
          <t>+LS16</t>
        </is>
      </c>
      <c r="D150" t="inlineStr">
        <is>
          <t>-1036Q744.2</t>
        </is>
      </c>
      <c r="E150" t="inlineStr">
        <is>
          <t>DILM-9-10</t>
        </is>
      </c>
      <c r="F150" t="inlineStr">
        <is>
          <t>DILA-XHI22</t>
        </is>
      </c>
      <c r="G150" t="inlineStr">
        <is>
          <t>LASTSCHUETZ</t>
        </is>
      </c>
      <c r="H150" t="inlineStr">
        <is>
          <t>4kW 1S Federzugkl.</t>
        </is>
      </c>
      <c r="I150">
        <v>1170</v>
      </c>
      <c r="J150">
        <f>GS51/1036.7</f>
        <v>0</v>
      </c>
      <c r="K150" t="inlineStr">
        <is>
          <t>DIL MC9</t>
        </is>
      </c>
      <c r="M150" t="inlineStr">
        <is>
          <t>-1036Q744.2</t>
        </is>
      </c>
    </row>
    <row r="151">
      <c r="A151">
        <v>150</v>
      </c>
      <c r="B151">
        <f>GS51</f>
        <v>0</v>
      </c>
      <c r="C151" t="inlineStr">
        <is>
          <t>+LS16</t>
        </is>
      </c>
      <c r="D151" t="inlineStr">
        <is>
          <t>-1036Q744.2</t>
        </is>
      </c>
      <c r="E151" t="inlineStr">
        <is>
          <t>DILA-XHI22</t>
        </is>
      </c>
      <c r="F151" t="inlineStr">
        <is>
          <t>DILA-XHI22</t>
        </is>
      </c>
      <c r="G151" t="inlineStr">
        <is>
          <t>HILFSKONTAKTBLOCK</t>
        </is>
      </c>
      <c r="H151" t="inlineStr">
        <is>
          <t>2S 2OE Last+Hilfssch. Cage</t>
        </is>
      </c>
      <c r="I151">
        <v>1170</v>
      </c>
      <c r="J151">
        <f>GS51/1036.7</f>
        <v>0</v>
      </c>
      <c r="K151" t="inlineStr">
        <is>
          <t>DIL MC9</t>
        </is>
      </c>
      <c r="M151" t="inlineStr">
        <is>
          <t>-1036Q744.2</t>
        </is>
      </c>
    </row>
    <row r="152">
      <c r="A152">
        <v>151</v>
      </c>
      <c r="B152">
        <f>GS16</f>
        <v>0</v>
      </c>
      <c r="C152" t="inlineStr">
        <is>
          <t>+1KK13</t>
        </is>
      </c>
      <c r="D152" t="inlineStr">
        <is>
          <t>-1038K1</t>
        </is>
      </c>
      <c r="E152" t="inlineStr">
        <is>
          <t>DIL_ER-40-G</t>
        </is>
      </c>
      <c r="F152" t="inlineStr">
        <is>
          <t>#KALK!</t>
        </is>
      </c>
      <c r="G152" t="inlineStr">
        <is>
          <t>HILFSSCHUETZ</t>
        </is>
      </c>
      <c r="H152" t="inlineStr">
        <is>
          <t>4S</t>
        </is>
      </c>
      <c r="I152">
        <v>1288</v>
      </c>
      <c r="J152">
        <f>GS16/1038.3</f>
        <v>0</v>
      </c>
      <c r="M152" t="inlineStr">
        <is>
          <t>-1038K1</t>
        </is>
      </c>
    </row>
    <row r="153">
      <c r="A153">
        <v>152</v>
      </c>
      <c r="B153">
        <f>GS32</f>
        <v>0</v>
      </c>
      <c r="C153" t="inlineStr">
        <is>
          <t>+LS10</t>
        </is>
      </c>
      <c r="D153" t="inlineStr">
        <is>
          <t>-1038K1</t>
        </is>
      </c>
      <c r="E153" t="inlineStr">
        <is>
          <t>DILA-XHI04</t>
        </is>
      </c>
      <c r="F153" t="inlineStr">
        <is>
          <t>DILA-XHI04</t>
        </is>
      </c>
      <c r="G153" t="inlineStr">
        <is>
          <t>HILFSKONTAKTBLOCK</t>
        </is>
      </c>
      <c r="H153" t="inlineStr">
        <is>
          <t>4OE Last+Hilfssch. Cage</t>
        </is>
      </c>
      <c r="I153">
        <v>291</v>
      </c>
      <c r="J153">
        <f>GS32/1038.6</f>
        <v>0</v>
      </c>
      <c r="M153" t="inlineStr">
        <is>
          <t>-1038K1</t>
        </is>
      </c>
    </row>
    <row r="154">
      <c r="A154">
        <v>153</v>
      </c>
      <c r="B154">
        <f>GS32</f>
        <v>0</v>
      </c>
      <c r="C154" t="inlineStr">
        <is>
          <t>+LS10</t>
        </is>
      </c>
      <c r="D154" t="inlineStr">
        <is>
          <t>-1038K1</t>
        </is>
      </c>
      <c r="E154" t="inlineStr">
        <is>
          <t>DILA-40</t>
        </is>
      </c>
      <c r="F154" t="inlineStr">
        <is>
          <t>DILA-XHI04</t>
        </is>
      </c>
      <c r="G154" t="inlineStr">
        <is>
          <t>HILFSSCHUETZ</t>
        </is>
      </c>
      <c r="H154" t="inlineStr">
        <is>
          <t>4S Federzugkl.</t>
        </is>
      </c>
      <c r="I154">
        <v>291</v>
      </c>
      <c r="J154">
        <f>GS32/1038.6</f>
        <v>0</v>
      </c>
      <c r="M154" t="inlineStr">
        <is>
          <t>-1038K1</t>
        </is>
      </c>
    </row>
    <row r="155">
      <c r="A155">
        <v>154</v>
      </c>
      <c r="B155">
        <f>GS16</f>
        <v>0</v>
      </c>
      <c r="C155" t="inlineStr">
        <is>
          <t>+1KK13</t>
        </is>
      </c>
      <c r="D155" t="inlineStr">
        <is>
          <t>-1038K2</t>
        </is>
      </c>
      <c r="E155" t="inlineStr">
        <is>
          <t>DIL_ER-40-G</t>
        </is>
      </c>
      <c r="F155" t="inlineStr">
        <is>
          <t>#KALK!</t>
        </is>
      </c>
      <c r="G155" t="inlineStr">
        <is>
          <t>HILFSSCHUETZ</t>
        </is>
      </c>
      <c r="H155" t="inlineStr">
        <is>
          <t>4S</t>
        </is>
      </c>
      <c r="I155">
        <v>1288</v>
      </c>
      <c r="J155">
        <f>GS16/1038.4</f>
        <v>0</v>
      </c>
      <c r="M155" t="inlineStr">
        <is>
          <t>-1038K2</t>
        </is>
      </c>
    </row>
    <row r="156">
      <c r="A156">
        <v>155</v>
      </c>
      <c r="B156">
        <f>GS36</f>
        <v>0</v>
      </c>
      <c r="C156" t="inlineStr">
        <is>
          <t>+ES02</t>
        </is>
      </c>
      <c r="D156" t="inlineStr">
        <is>
          <t>-27.1K5</t>
        </is>
      </c>
      <c r="E156" t="inlineStr">
        <is>
          <t>DILM-9-01</t>
        </is>
      </c>
      <c r="F156" t="inlineStr">
        <is>
          <t>DILA-XHIC31</t>
        </is>
      </c>
      <c r="G156" t="inlineStr">
        <is>
          <t>LASTSCHUETZ</t>
        </is>
      </c>
      <c r="H156" t="inlineStr">
        <is>
          <t>4kW 1Oe Federzugkl.</t>
        </is>
      </c>
      <c r="I156">
        <v>197</v>
      </c>
      <c r="J156">
        <f>GS36/27.1.5</f>
        <v>0</v>
      </c>
      <c r="M156" t="inlineStr">
        <is>
          <t>-27.1K5</t>
        </is>
      </c>
    </row>
    <row r="157">
      <c r="A157">
        <v>156</v>
      </c>
      <c r="B157">
        <f>GC22</f>
        <v>0</v>
      </c>
      <c r="C157" t="inlineStr">
        <is>
          <t>+LS10</t>
        </is>
      </c>
      <c r="D157" t="inlineStr">
        <is>
          <t>-1039K3780.1</t>
        </is>
      </c>
      <c r="E157" t="inlineStr">
        <is>
          <t>DILMC12-10(24VDC)</t>
        </is>
      </c>
      <c r="F157" t="inlineStr">
        <is>
          <t>#KALK!</t>
        </is>
      </c>
      <c r="G157" t="inlineStr">
        <is>
          <t>LASTSCHUETZ</t>
        </is>
      </c>
      <c r="H157" t="inlineStr">
        <is>
          <t>5,5kW 1S Federzugkl.</t>
        </is>
      </c>
      <c r="I157">
        <v>3337</v>
      </c>
      <c r="J157">
        <f>GC22/1039.5</f>
        <v>0</v>
      </c>
      <c r="K157" t="inlineStr">
        <is>
          <t>DIL MC12</t>
        </is>
      </c>
      <c r="M157" t="inlineStr">
        <is>
          <t>-1039K3780.1</t>
        </is>
      </c>
    </row>
    <row r="158">
      <c r="A158">
        <v>157</v>
      </c>
      <c r="B158">
        <f>GS51</f>
        <v>0</v>
      </c>
      <c r="C158" t="inlineStr">
        <is>
          <t>+LS16</t>
        </is>
      </c>
      <c r="D158" t="inlineStr">
        <is>
          <t>-1039Q744.3</t>
        </is>
      </c>
      <c r="E158" t="inlineStr">
        <is>
          <t>DILM-9-10</t>
        </is>
      </c>
      <c r="F158" t="inlineStr">
        <is>
          <t>#KALK!</t>
        </is>
      </c>
      <c r="G158" t="inlineStr">
        <is>
          <t>LASTSCHUETZ</t>
        </is>
      </c>
      <c r="H158" t="inlineStr">
        <is>
          <t>4kW 1S Federzugkl.</t>
        </is>
      </c>
      <c r="I158">
        <v>1173</v>
      </c>
      <c r="J158">
        <f>GS51/1039.6</f>
        <v>0</v>
      </c>
      <c r="K158" t="inlineStr">
        <is>
          <t>DIL MC9</t>
        </is>
      </c>
      <c r="M158" t="inlineStr">
        <is>
          <t>-1039Q744.3</t>
        </is>
      </c>
    </row>
    <row r="159">
      <c r="A159">
        <v>158</v>
      </c>
      <c r="B159">
        <f>GS34</f>
        <v>0</v>
      </c>
      <c r="C159" t="inlineStr">
        <is>
          <t>+LS1</t>
        </is>
      </c>
      <c r="D159" t="inlineStr">
        <is>
          <t>-103K12.2</t>
        </is>
      </c>
      <c r="E159" t="inlineStr">
        <is>
          <t>DIL_EM-10-G</t>
        </is>
      </c>
      <c r="F159" t="inlineStr">
        <is>
          <t>#KALK!</t>
        </is>
      </c>
      <c r="G159" t="inlineStr">
        <is>
          <t>LASTSCHUETZ</t>
        </is>
      </c>
      <c r="H159" t="inlineStr">
        <is>
          <t>4kW 1S</t>
        </is>
      </c>
      <c r="I159">
        <v>227</v>
      </c>
      <c r="J159">
        <f>GS34/103.6</f>
        <v>0</v>
      </c>
      <c r="M159" t="inlineStr">
        <is>
          <t>-103K12.2</t>
        </is>
      </c>
    </row>
    <row r="160">
      <c r="A160">
        <v>159</v>
      </c>
      <c r="B160">
        <f>GS34</f>
        <v>0</v>
      </c>
      <c r="C160" t="inlineStr">
        <is>
          <t>+LS1</t>
        </is>
      </c>
      <c r="D160" t="inlineStr">
        <is>
          <t>-103K12.3</t>
        </is>
      </c>
      <c r="E160" t="inlineStr">
        <is>
          <t>DIL_EM-10-G</t>
        </is>
      </c>
      <c r="F160" t="inlineStr">
        <is>
          <t>#KALK!</t>
        </is>
      </c>
      <c r="G160" t="inlineStr">
        <is>
          <t>LASTSCHUETZ</t>
        </is>
      </c>
      <c r="H160" t="inlineStr">
        <is>
          <t>4kW 1S</t>
        </is>
      </c>
      <c r="I160">
        <v>227</v>
      </c>
      <c r="J160">
        <f>GS34/103.6</f>
        <v>0</v>
      </c>
      <c r="M160" t="inlineStr">
        <is>
          <t>-103K12.3</t>
        </is>
      </c>
    </row>
    <row r="161">
      <c r="A161">
        <v>160</v>
      </c>
      <c r="B161">
        <f>GS16</f>
        <v>0</v>
      </c>
      <c r="C161" t="inlineStr">
        <is>
          <t>+LS1</t>
        </is>
      </c>
      <c r="D161" t="inlineStr">
        <is>
          <t>-103K14.0</t>
        </is>
      </c>
      <c r="E161" t="inlineStr">
        <is>
          <t>DIL_EM-10-G</t>
        </is>
      </c>
      <c r="F161" t="inlineStr">
        <is>
          <t>#KALK!</t>
        </is>
      </c>
      <c r="G161" t="inlineStr">
        <is>
          <t>LASTSCHUETZ</t>
        </is>
      </c>
      <c r="H161" t="inlineStr">
        <is>
          <t>4kW 1S</t>
        </is>
      </c>
      <c r="I161">
        <v>323</v>
      </c>
      <c r="J161">
        <f>GS16/103.6</f>
        <v>0</v>
      </c>
      <c r="M161" t="inlineStr">
        <is>
          <t>-103K14.0</t>
        </is>
      </c>
    </row>
    <row r="162">
      <c r="A162">
        <v>161</v>
      </c>
      <c r="B162">
        <f>GS16</f>
        <v>0</v>
      </c>
      <c r="C162" t="inlineStr">
        <is>
          <t>+LS1</t>
        </is>
      </c>
      <c r="D162" t="inlineStr">
        <is>
          <t>-103K14.1</t>
        </is>
      </c>
      <c r="E162" t="inlineStr">
        <is>
          <t>DIL_EM-10-G</t>
        </is>
      </c>
      <c r="F162" t="inlineStr">
        <is>
          <t>#KALK!</t>
        </is>
      </c>
      <c r="G162" t="inlineStr">
        <is>
          <t>LASTSCHUETZ</t>
        </is>
      </c>
      <c r="H162" t="inlineStr">
        <is>
          <t>4kW 1S</t>
        </is>
      </c>
      <c r="I162">
        <v>323</v>
      </c>
      <c r="J162">
        <f>GS16/103.6</f>
        <v>0</v>
      </c>
      <c r="M162" t="inlineStr">
        <is>
          <t>-103K14.1</t>
        </is>
      </c>
    </row>
    <row r="163">
      <c r="A163">
        <v>162</v>
      </c>
      <c r="B163">
        <f>GS31</f>
        <v>0</v>
      </c>
      <c r="C163" t="inlineStr">
        <is>
          <t>+LS1</t>
        </is>
      </c>
      <c r="D163" t="inlineStr">
        <is>
          <t>-103K18.1</t>
        </is>
      </c>
      <c r="E163" t="inlineStr">
        <is>
          <t>DIL_EM-10-G</t>
        </is>
      </c>
      <c r="F163" t="inlineStr">
        <is>
          <t>#KALK!</t>
        </is>
      </c>
      <c r="G163" t="inlineStr">
        <is>
          <t>LASTSCHUETZ</t>
        </is>
      </c>
      <c r="H163" t="inlineStr">
        <is>
          <t>4kW 1S</t>
        </is>
      </c>
      <c r="I163">
        <v>386</v>
      </c>
      <c r="J163">
        <f>GS31/103.6</f>
        <v>0</v>
      </c>
      <c r="M163" t="inlineStr">
        <is>
          <t>-103K18.1</t>
        </is>
      </c>
    </row>
    <row r="164">
      <c r="A164">
        <v>163</v>
      </c>
      <c r="B164">
        <f>GS31</f>
        <v>0</v>
      </c>
      <c r="C164" t="inlineStr">
        <is>
          <t>+LS1</t>
        </is>
      </c>
      <c r="D164" t="inlineStr">
        <is>
          <t>-103K18.2</t>
        </is>
      </c>
      <c r="E164" t="inlineStr">
        <is>
          <t>DIL_EM-10-G</t>
        </is>
      </c>
      <c r="F164" t="inlineStr">
        <is>
          <t>#KALK!</t>
        </is>
      </c>
      <c r="G164" t="inlineStr">
        <is>
          <t>LASTSCHUETZ</t>
        </is>
      </c>
      <c r="H164" t="inlineStr">
        <is>
          <t>4kW 1S</t>
        </is>
      </c>
      <c r="I164">
        <v>386</v>
      </c>
      <c r="J164">
        <f>GS31/103.6</f>
        <v>0</v>
      </c>
      <c r="M164" t="inlineStr">
        <is>
          <t>-103K18.2</t>
        </is>
      </c>
    </row>
    <row r="165">
      <c r="A165">
        <v>164</v>
      </c>
      <c r="B165">
        <f>GS11</f>
        <v>0</v>
      </c>
      <c r="C165" t="inlineStr">
        <is>
          <t>+LS1</t>
        </is>
      </c>
      <c r="D165" t="inlineStr">
        <is>
          <t>-103K26.2</t>
        </is>
      </c>
      <c r="E165" t="inlineStr">
        <is>
          <t>DIL_EM-10-G</t>
        </is>
      </c>
      <c r="F165" t="inlineStr">
        <is>
          <t>#KALK!</t>
        </is>
      </c>
      <c r="G165" t="inlineStr">
        <is>
          <t>LASTSCHUETZ</t>
        </is>
      </c>
      <c r="H165" t="inlineStr">
        <is>
          <t>4kW 1S</t>
        </is>
      </c>
      <c r="I165">
        <v>214</v>
      </c>
      <c r="J165">
        <f>GS11/103.6</f>
        <v>0</v>
      </c>
      <c r="M165" t="inlineStr">
        <is>
          <t>-103K26.2</t>
        </is>
      </c>
    </row>
    <row r="166">
      <c r="A166">
        <v>165</v>
      </c>
      <c r="B166">
        <f>GS21</f>
        <v>0</v>
      </c>
      <c r="C166" t="inlineStr">
        <is>
          <t>+LS1</t>
        </is>
      </c>
      <c r="D166" t="inlineStr">
        <is>
          <t>-103K26.2</t>
        </is>
      </c>
      <c r="E166" t="inlineStr">
        <is>
          <t>DIL_EM-10-G</t>
        </is>
      </c>
      <c r="F166" t="inlineStr">
        <is>
          <t>#KALK!</t>
        </is>
      </c>
      <c r="G166" t="inlineStr">
        <is>
          <t>LASTSCHUETZ</t>
        </is>
      </c>
      <c r="H166" t="inlineStr">
        <is>
          <t>4kW 1S</t>
        </is>
      </c>
      <c r="I166">
        <v>71</v>
      </c>
      <c r="J166">
        <f>GS21/103.6</f>
        <v>0</v>
      </c>
      <c r="M166" t="inlineStr">
        <is>
          <t>-103K26.2</t>
        </is>
      </c>
    </row>
    <row r="167">
      <c r="A167">
        <v>166</v>
      </c>
      <c r="B167">
        <f>GS23</f>
        <v>0</v>
      </c>
      <c r="C167" t="inlineStr">
        <is>
          <t>+LS1</t>
        </is>
      </c>
      <c r="D167" t="inlineStr">
        <is>
          <t>-103K48.4</t>
        </is>
      </c>
      <c r="E167" t="inlineStr">
        <is>
          <t>DIL_EM-10-G</t>
        </is>
      </c>
      <c r="F167" t="inlineStr">
        <is>
          <t>#KALK!</t>
        </is>
      </c>
      <c r="G167" t="inlineStr">
        <is>
          <t>LASTSCHUETZ</t>
        </is>
      </c>
      <c r="H167" t="inlineStr">
        <is>
          <t>4kW 1S</t>
        </is>
      </c>
      <c r="I167">
        <v>402</v>
      </c>
      <c r="J167">
        <f>GS23/103.6</f>
        <v>0</v>
      </c>
      <c r="M167" t="inlineStr">
        <is>
          <t>-103K48.4</t>
        </is>
      </c>
    </row>
    <row r="168">
      <c r="A168">
        <v>167</v>
      </c>
      <c r="B168">
        <f>GS32</f>
        <v>0</v>
      </c>
      <c r="C168" t="inlineStr">
        <is>
          <t>+LS10</t>
        </is>
      </c>
      <c r="D168" t="inlineStr">
        <is>
          <t>-1040K1</t>
        </is>
      </c>
      <c r="E168" t="inlineStr">
        <is>
          <t>DILA-22</t>
        </is>
      </c>
      <c r="F168" t="inlineStr">
        <is>
          <t>#KALK!</t>
        </is>
      </c>
      <c r="G168" t="inlineStr">
        <is>
          <t>HILFSSCHUETZ</t>
        </is>
      </c>
      <c r="H168" t="inlineStr">
        <is>
          <t>2S 2Oe Federzugkl.</t>
        </is>
      </c>
      <c r="I168">
        <v>289</v>
      </c>
      <c r="J168">
        <f>GS32/1040.7</f>
        <v>0</v>
      </c>
      <c r="M168" t="inlineStr">
        <is>
          <t>-1040K1</t>
        </is>
      </c>
    </row>
    <row r="169">
      <c r="A169">
        <v>168</v>
      </c>
      <c r="B169">
        <f>GS32</f>
        <v>0</v>
      </c>
      <c r="C169" t="inlineStr">
        <is>
          <t>+LS10</t>
        </is>
      </c>
      <c r="D169" t="inlineStr">
        <is>
          <t>-1040K2</t>
        </is>
      </c>
      <c r="E169" t="inlineStr">
        <is>
          <t>DILA-22</t>
        </is>
      </c>
      <c r="F169" t="inlineStr">
        <is>
          <t>#KALK!</t>
        </is>
      </c>
      <c r="G169" t="inlineStr">
        <is>
          <t>HILFSSCHUETZ</t>
        </is>
      </c>
      <c r="H169" t="inlineStr">
        <is>
          <t>2S 2Oe Federzugkl.</t>
        </is>
      </c>
      <c r="I169">
        <v>289</v>
      </c>
      <c r="J169">
        <f>GS32/1040.7</f>
        <v>0</v>
      </c>
      <c r="M169" t="inlineStr">
        <is>
          <t>-1040K2</t>
        </is>
      </c>
    </row>
    <row r="170">
      <c r="A170">
        <v>169</v>
      </c>
      <c r="B170">
        <f>GS32</f>
        <v>0</v>
      </c>
      <c r="C170" t="inlineStr">
        <is>
          <t>+LS10</t>
        </is>
      </c>
      <c r="D170" t="inlineStr">
        <is>
          <t>-1040K3</t>
        </is>
      </c>
      <c r="E170" t="inlineStr">
        <is>
          <t>DILA-40</t>
        </is>
      </c>
      <c r="F170" t="inlineStr">
        <is>
          <t>#KALK!</t>
        </is>
      </c>
      <c r="G170" t="inlineStr">
        <is>
          <t>HILFSSCHUETZ</t>
        </is>
      </c>
      <c r="H170" t="inlineStr">
        <is>
          <t>4S Federzugkl.</t>
        </is>
      </c>
      <c r="I170">
        <v>289</v>
      </c>
      <c r="J170">
        <f>GS32/1040.8</f>
        <v>0</v>
      </c>
      <c r="M170" t="inlineStr">
        <is>
          <t>-1040K3</t>
        </is>
      </c>
    </row>
    <row r="171">
      <c r="A171">
        <v>170</v>
      </c>
      <c r="B171">
        <f>GS32</f>
        <v>0</v>
      </c>
      <c r="C171" t="inlineStr">
        <is>
          <t>+LS10</t>
        </is>
      </c>
      <c r="D171" t="inlineStr">
        <is>
          <t>-1040K3500.0</t>
        </is>
      </c>
      <c r="E171" t="inlineStr">
        <is>
          <t>DILM-9-10</t>
        </is>
      </c>
      <c r="F171" t="inlineStr">
        <is>
          <t>#KALK!</t>
        </is>
      </c>
      <c r="G171" t="inlineStr">
        <is>
          <t>LASTSCHUETZ</t>
        </is>
      </c>
      <c r="H171" t="inlineStr">
        <is>
          <t>4kW 1S Federzugkl.</t>
        </is>
      </c>
      <c r="I171">
        <v>289</v>
      </c>
      <c r="J171">
        <f>GS32/1040.4</f>
        <v>0</v>
      </c>
      <c r="M171" t="inlineStr">
        <is>
          <t>-1040K3500.0</t>
        </is>
      </c>
    </row>
    <row r="172">
      <c r="A172">
        <v>171</v>
      </c>
      <c r="B172">
        <f>GS32</f>
        <v>0</v>
      </c>
      <c r="C172" t="inlineStr">
        <is>
          <t>+LS10</t>
        </is>
      </c>
      <c r="D172" t="inlineStr">
        <is>
          <t>-1040K3500.1</t>
        </is>
      </c>
      <c r="E172" t="inlineStr">
        <is>
          <t>DILA-22</t>
        </is>
      </c>
      <c r="F172" t="inlineStr">
        <is>
          <t>#KALK!</t>
        </is>
      </c>
      <c r="G172" t="inlineStr">
        <is>
          <t>HILFSSCHUETZ</t>
        </is>
      </c>
      <c r="H172" t="inlineStr">
        <is>
          <t>2S 2Oe Federzugkl.</t>
        </is>
      </c>
      <c r="I172">
        <v>289</v>
      </c>
      <c r="J172">
        <f>GS32/1040.5</f>
        <v>0</v>
      </c>
      <c r="M172" t="inlineStr">
        <is>
          <t>-1040K3500.1</t>
        </is>
      </c>
    </row>
    <row r="173">
      <c r="A173">
        <v>172</v>
      </c>
      <c r="B173">
        <f>GS32</f>
        <v>0</v>
      </c>
      <c r="C173" t="inlineStr">
        <is>
          <t>+LS10</t>
        </is>
      </c>
      <c r="D173" t="inlineStr">
        <is>
          <t>-1040K3500.2</t>
        </is>
      </c>
      <c r="E173" t="inlineStr">
        <is>
          <t>DILA-22</t>
        </is>
      </c>
      <c r="F173" t="inlineStr">
        <is>
          <t>#KALK!</t>
        </is>
      </c>
      <c r="G173" t="inlineStr">
        <is>
          <t>HILFSSCHUETZ</t>
        </is>
      </c>
      <c r="H173" t="inlineStr">
        <is>
          <t>2S 2Oe Federzugkl.</t>
        </is>
      </c>
      <c r="I173">
        <v>289</v>
      </c>
      <c r="J173">
        <f>GS32/1040.6</f>
        <v>0</v>
      </c>
      <c r="M173" t="inlineStr">
        <is>
          <t>-1040K3500.2</t>
        </is>
      </c>
    </row>
    <row r="174">
      <c r="A174">
        <v>173</v>
      </c>
      <c r="B174">
        <f>GS36</f>
        <v>0</v>
      </c>
      <c r="C174" t="inlineStr">
        <is>
          <t>+ES02</t>
        </is>
      </c>
      <c r="D174" t="inlineStr">
        <is>
          <t>-27.1K6</t>
        </is>
      </c>
      <c r="E174" t="inlineStr">
        <is>
          <t>DILM-9-01</t>
        </is>
      </c>
      <c r="F174" t="inlineStr">
        <is>
          <t>DILA-XHIC31</t>
        </is>
      </c>
      <c r="G174" t="inlineStr">
        <is>
          <t>LASTSCHUETZ</t>
        </is>
      </c>
      <c r="H174" t="inlineStr">
        <is>
          <t>4kW 1Oe Federzugkl.</t>
        </is>
      </c>
      <c r="I174">
        <v>197</v>
      </c>
      <c r="J174">
        <f>GS36/27.1.6</f>
        <v>0</v>
      </c>
      <c r="M174" t="inlineStr">
        <is>
          <t>-27.1K6</t>
        </is>
      </c>
    </row>
    <row r="175">
      <c r="A175">
        <v>174</v>
      </c>
      <c r="B175">
        <f>GS13</f>
        <v>0</v>
      </c>
      <c r="C175" t="inlineStr">
        <is>
          <t>+LS1</t>
        </is>
      </c>
      <c r="D175" t="inlineStr">
        <is>
          <t>-10449.3</t>
        </is>
      </c>
      <c r="E175" t="inlineStr">
        <is>
          <t>DIL_EM-10-G</t>
        </is>
      </c>
      <c r="F175" t="inlineStr">
        <is>
          <t>#KALK!</t>
        </is>
      </c>
      <c r="G175" t="inlineStr">
        <is>
          <t>LASTSCHUETZ</t>
        </is>
      </c>
      <c r="H175" t="inlineStr">
        <is>
          <t>4kW 1S</t>
        </is>
      </c>
      <c r="I175">
        <v>343</v>
      </c>
      <c r="J175">
        <f>GS13/104.7</f>
        <v>0</v>
      </c>
      <c r="M175" t="inlineStr">
        <is>
          <t>-10449.3</t>
        </is>
      </c>
    </row>
    <row r="176">
      <c r="A176">
        <v>175</v>
      </c>
      <c r="B176">
        <f>GS32</f>
        <v>0</v>
      </c>
      <c r="C176" t="inlineStr">
        <is>
          <t>+LS10</t>
        </is>
      </c>
      <c r="D176" t="inlineStr">
        <is>
          <t>-1045K3</t>
        </is>
      </c>
      <c r="E176" t="inlineStr">
        <is>
          <t>DILA-40</t>
        </is>
      </c>
      <c r="F176" t="inlineStr">
        <is>
          <t>#KALK!</t>
        </is>
      </c>
      <c r="G176" t="inlineStr">
        <is>
          <t>HILFSSCHUETZ</t>
        </is>
      </c>
      <c r="H176" t="inlineStr">
        <is>
          <t>4S Federzugkl.</t>
        </is>
      </c>
      <c r="I176">
        <v>284</v>
      </c>
      <c r="J176">
        <f>GS32/1045.5</f>
        <v>0</v>
      </c>
      <c r="M176" t="inlineStr">
        <is>
          <t>-1045K3</t>
        </is>
      </c>
    </row>
    <row r="177">
      <c r="A177">
        <v>176</v>
      </c>
      <c r="B177">
        <f>GS32</f>
        <v>0</v>
      </c>
      <c r="C177" t="inlineStr">
        <is>
          <t>+LS10</t>
        </is>
      </c>
      <c r="D177" t="inlineStr">
        <is>
          <t>-1045K3500.5</t>
        </is>
      </c>
      <c r="E177" t="inlineStr">
        <is>
          <t>DILA-22</t>
        </is>
      </c>
      <c r="F177" t="inlineStr">
        <is>
          <t>#KALK!</t>
        </is>
      </c>
      <c r="G177" t="inlineStr">
        <is>
          <t>HILFSSCHUETZ</t>
        </is>
      </c>
      <c r="H177" t="inlineStr">
        <is>
          <t>2S 2Oe Federzugkl.</t>
        </is>
      </c>
      <c r="I177">
        <v>284</v>
      </c>
      <c r="J177">
        <f>GS32/1045.2</f>
        <v>0</v>
      </c>
      <c r="M177" t="inlineStr">
        <is>
          <t>-1045K3500.5</t>
        </is>
      </c>
    </row>
    <row r="178">
      <c r="A178">
        <v>177</v>
      </c>
      <c r="B178">
        <f>GS32</f>
        <v>0</v>
      </c>
      <c r="C178" t="inlineStr">
        <is>
          <t>+LS10</t>
        </is>
      </c>
      <c r="D178" t="inlineStr">
        <is>
          <t>-1045K3500.6</t>
        </is>
      </c>
      <c r="E178" t="inlineStr">
        <is>
          <t>DILA-40</t>
        </is>
      </c>
      <c r="F178" t="inlineStr">
        <is>
          <t>#KALK!</t>
        </is>
      </c>
      <c r="G178" t="inlineStr">
        <is>
          <t>HILFSSCHUETZ</t>
        </is>
      </c>
      <c r="H178" t="inlineStr">
        <is>
          <t>4S Federzugkl.</t>
        </is>
      </c>
      <c r="I178">
        <v>284</v>
      </c>
      <c r="J178">
        <f>GS32/1045.3</f>
        <v>0</v>
      </c>
      <c r="M178" t="inlineStr">
        <is>
          <t>-1045K3500.6</t>
        </is>
      </c>
    </row>
    <row r="179">
      <c r="A179">
        <v>178</v>
      </c>
      <c r="B179">
        <f>GS32</f>
        <v>0</v>
      </c>
      <c r="C179" t="inlineStr">
        <is>
          <t>+LS10</t>
        </is>
      </c>
      <c r="D179" t="inlineStr">
        <is>
          <t>-1045K5</t>
        </is>
      </c>
      <c r="E179" t="inlineStr">
        <is>
          <t>DILA-40</t>
        </is>
      </c>
      <c r="F179" t="inlineStr">
        <is>
          <t>#KALK!</t>
        </is>
      </c>
      <c r="G179" t="inlineStr">
        <is>
          <t>HILFSSCHUETZ</t>
        </is>
      </c>
      <c r="H179" t="inlineStr">
        <is>
          <t>4S Federzugkl.</t>
        </is>
      </c>
      <c r="I179">
        <v>284</v>
      </c>
      <c r="J179">
        <f>GS32/1045.7</f>
        <v>0</v>
      </c>
      <c r="M179" t="inlineStr">
        <is>
          <t>-1045K5</t>
        </is>
      </c>
    </row>
    <row r="180">
      <c r="A180">
        <v>179</v>
      </c>
      <c r="B180">
        <f>GS35</f>
        <v>0</v>
      </c>
      <c r="C180" t="inlineStr">
        <is>
          <t>+LS17</t>
        </is>
      </c>
      <c r="D180" t="inlineStr">
        <is>
          <t>-1045K535.4</t>
        </is>
      </c>
      <c r="E180" t="inlineStr">
        <is>
          <t>DILA-40</t>
        </is>
      </c>
      <c r="F180" t="inlineStr">
        <is>
          <t>#KALK!</t>
        </is>
      </c>
      <c r="G180" t="inlineStr">
        <is>
          <t>HILFSSCHUETZ</t>
        </is>
      </c>
      <c r="H180" t="inlineStr">
        <is>
          <t>4S Federzugkl.</t>
        </is>
      </c>
      <c r="I180">
        <v>1745</v>
      </c>
      <c r="J180">
        <f>GS35/1045.7</f>
        <v>0</v>
      </c>
      <c r="M180" t="inlineStr">
        <is>
          <t>-1045K535.4</t>
        </is>
      </c>
    </row>
    <row r="181">
      <c r="A181">
        <v>180</v>
      </c>
      <c r="B181">
        <f>GS35</f>
        <v>0</v>
      </c>
      <c r="C181" t="inlineStr">
        <is>
          <t>+LS17</t>
        </is>
      </c>
      <c r="D181" t="inlineStr">
        <is>
          <t>-1045Q1</t>
        </is>
      </c>
      <c r="E181" t="inlineStr">
        <is>
          <t>DILM-25-10</t>
        </is>
      </c>
      <c r="F181" t="inlineStr">
        <is>
          <t>DILA-XHI22</t>
        </is>
      </c>
      <c r="G181" t="inlineStr">
        <is>
          <t>LASTSCHUETZ</t>
        </is>
      </c>
      <c r="H181" t="inlineStr">
        <is>
          <t>11kW 1S Federzugkl.</t>
        </is>
      </c>
      <c r="I181">
        <v>1745</v>
      </c>
      <c r="J181">
        <f>GS35/1045.4</f>
        <v>0</v>
      </c>
      <c r="K181" t="inlineStr">
        <is>
          <t>DIL MC25</t>
        </is>
      </c>
      <c r="M181" t="inlineStr">
        <is>
          <t>-1045Q1</t>
        </is>
      </c>
    </row>
    <row r="182">
      <c r="A182">
        <v>181</v>
      </c>
      <c r="B182">
        <f>GS35</f>
        <v>0</v>
      </c>
      <c r="C182" t="inlineStr">
        <is>
          <t>+LS17</t>
        </is>
      </c>
      <c r="D182" t="inlineStr">
        <is>
          <t>-1045Q1</t>
        </is>
      </c>
      <c r="E182" t="inlineStr">
        <is>
          <t>DILA-XHI22</t>
        </is>
      </c>
      <c r="F182" t="inlineStr">
        <is>
          <t>DILA-XHI22</t>
        </is>
      </c>
      <c r="G182" t="inlineStr">
        <is>
          <t>HILFSKONTAKTBLOCK</t>
        </is>
      </c>
      <c r="H182" t="inlineStr">
        <is>
          <t>2S 2OE Last+Hilfssch. Cage</t>
        </is>
      </c>
      <c r="I182">
        <v>1745</v>
      </c>
      <c r="J182">
        <f>GS35/1045.4</f>
        <v>0</v>
      </c>
      <c r="K182" t="inlineStr">
        <is>
          <t>DIL MC25</t>
        </is>
      </c>
      <c r="M182" t="inlineStr">
        <is>
          <t>-1045Q1</t>
        </is>
      </c>
    </row>
    <row r="183">
      <c r="A183">
        <v>182</v>
      </c>
      <c r="B183">
        <f>GS51</f>
        <v>0</v>
      </c>
      <c r="C183" t="inlineStr">
        <is>
          <t>+LS16</t>
        </is>
      </c>
      <c r="D183" t="inlineStr">
        <is>
          <t>-1045Q1</t>
        </is>
      </c>
      <c r="E183" t="inlineStr">
        <is>
          <t>DILA-XHI22</t>
        </is>
      </c>
      <c r="F183" t="inlineStr">
        <is>
          <t>DILA-XHI22</t>
        </is>
      </c>
      <c r="G183" t="inlineStr">
        <is>
          <t>HILFSKONTAKTBLOCK</t>
        </is>
      </c>
      <c r="H183" t="inlineStr">
        <is>
          <t>2S 2OE Last+Hilfssch. Cage</t>
        </is>
      </c>
      <c r="I183">
        <v>1179</v>
      </c>
      <c r="J183">
        <f>GS51/1045.6</f>
        <v>0</v>
      </c>
      <c r="K183" t="inlineStr">
        <is>
          <t>DIL MC25</t>
        </is>
      </c>
      <c r="M183" t="inlineStr">
        <is>
          <t>-1045Q1</t>
        </is>
      </c>
    </row>
    <row r="184">
      <c r="A184">
        <v>183</v>
      </c>
      <c r="B184">
        <f>GS51</f>
        <v>0</v>
      </c>
      <c r="C184" t="inlineStr">
        <is>
          <t>+LS16</t>
        </is>
      </c>
      <c r="D184" t="inlineStr">
        <is>
          <t>-1045Q1</t>
        </is>
      </c>
      <c r="E184" t="inlineStr">
        <is>
          <t>DILMC25-10(RDC24)</t>
        </is>
      </c>
      <c r="F184" t="inlineStr">
        <is>
          <t>DILA-XHI22</t>
        </is>
      </c>
      <c r="G184" t="inlineStr">
        <is>
          <t>LASTSCHUETZ</t>
        </is>
      </c>
      <c r="H184" t="inlineStr">
        <is>
          <t>11kW 1S Federzugkl.</t>
        </is>
      </c>
      <c r="I184">
        <v>1179</v>
      </c>
      <c r="J184">
        <f>GS51/1045.6</f>
        <v>0</v>
      </c>
      <c r="K184" t="inlineStr">
        <is>
          <t>DIL MC25</t>
        </is>
      </c>
      <c r="M184" t="inlineStr">
        <is>
          <t>-1045Q1</t>
        </is>
      </c>
    </row>
    <row r="185">
      <c r="A185">
        <v>184</v>
      </c>
      <c r="B185">
        <f>GS55</f>
        <v>0</v>
      </c>
      <c r="C185" t="inlineStr">
        <is>
          <t>+LS17</t>
        </is>
      </c>
      <c r="D185" t="inlineStr">
        <is>
          <t>-1045Q1</t>
        </is>
      </c>
      <c r="E185" t="inlineStr">
        <is>
          <t>DILA-XHI22</t>
        </is>
      </c>
      <c r="F185" t="inlineStr">
        <is>
          <t>DILA-XHI22</t>
        </is>
      </c>
      <c r="G185" t="inlineStr">
        <is>
          <t>HILFSKONTAKTBLOCK</t>
        </is>
      </c>
      <c r="H185" t="inlineStr">
        <is>
          <t>2S 2OE Last+Hilfssch. Cage</t>
        </is>
      </c>
      <c r="I185">
        <v>1293</v>
      </c>
      <c r="J185">
        <f>GS55/1045.6</f>
        <v>0</v>
      </c>
      <c r="K185" t="inlineStr">
        <is>
          <t>DIL MC25</t>
        </is>
      </c>
      <c r="M185" t="inlineStr">
        <is>
          <t>-1045Q1</t>
        </is>
      </c>
    </row>
    <row r="186">
      <c r="A186">
        <v>185</v>
      </c>
      <c r="B186">
        <f>GS55</f>
        <v>0</v>
      </c>
      <c r="C186" t="inlineStr">
        <is>
          <t>+LS17</t>
        </is>
      </c>
      <c r="D186" t="inlineStr">
        <is>
          <t>-1045Q1</t>
        </is>
      </c>
      <c r="E186" t="inlineStr">
        <is>
          <t>DILMC25-10(RDC24)</t>
        </is>
      </c>
      <c r="F186" t="inlineStr">
        <is>
          <t>DILA-XHI22</t>
        </is>
      </c>
      <c r="G186" t="inlineStr">
        <is>
          <t>LASTSCHUETZ</t>
        </is>
      </c>
      <c r="H186" t="inlineStr">
        <is>
          <t>11kW 1S Federzugkl.</t>
        </is>
      </c>
      <c r="I186">
        <v>1293</v>
      </c>
      <c r="J186">
        <f>GS55/1045.6</f>
        <v>0</v>
      </c>
      <c r="K186" t="inlineStr">
        <is>
          <t>DIL MC25</t>
        </is>
      </c>
      <c r="M186" t="inlineStr">
        <is>
          <t>-1045Q1</t>
        </is>
      </c>
    </row>
    <row r="187">
      <c r="A187">
        <v>186</v>
      </c>
      <c r="B187">
        <f>GS55</f>
        <v>0</v>
      </c>
      <c r="C187" t="inlineStr">
        <is>
          <t>+LS17</t>
        </is>
      </c>
      <c r="D187" t="inlineStr">
        <is>
          <t>-1046Q437.1</t>
        </is>
      </c>
      <c r="E187" t="inlineStr">
        <is>
          <t>DILM-9-10</t>
        </is>
      </c>
      <c r="F187" t="inlineStr">
        <is>
          <t>DILA-XHI22</t>
        </is>
      </c>
      <c r="G187" t="inlineStr">
        <is>
          <t>LASTSCHUETZ</t>
        </is>
      </c>
      <c r="H187" t="inlineStr">
        <is>
          <t>4kW 1S Federzugkl.</t>
        </is>
      </c>
      <c r="I187">
        <v>1294</v>
      </c>
      <c r="J187">
        <f>GS55/1046.6</f>
        <v>0</v>
      </c>
      <c r="K187" t="inlineStr">
        <is>
          <t>DIL MC9</t>
        </is>
      </c>
      <c r="M187" t="inlineStr">
        <is>
          <t>-1046Q437.1</t>
        </is>
      </c>
    </row>
    <row r="188">
      <c r="A188">
        <v>187</v>
      </c>
      <c r="B188">
        <f>GS55</f>
        <v>0</v>
      </c>
      <c r="C188" t="inlineStr">
        <is>
          <t>+LS17</t>
        </is>
      </c>
      <c r="D188" t="inlineStr">
        <is>
          <t>-1046Q437.1</t>
        </is>
      </c>
      <c r="E188" t="inlineStr">
        <is>
          <t>DILA-XHI22</t>
        </is>
      </c>
      <c r="F188" t="inlineStr">
        <is>
          <t>DILA-XHI22</t>
        </is>
      </c>
      <c r="G188" t="inlineStr">
        <is>
          <t>HILFSKONTAKTBLOCK</t>
        </is>
      </c>
      <c r="H188" t="inlineStr">
        <is>
          <t>2S 2OE Last+Hilfssch. Cage</t>
        </is>
      </c>
      <c r="I188">
        <v>1294</v>
      </c>
      <c r="J188">
        <f>GS55/1046.6</f>
        <v>0</v>
      </c>
      <c r="K188" t="inlineStr">
        <is>
          <t>DIL MC9</t>
        </is>
      </c>
      <c r="M188" t="inlineStr">
        <is>
          <t>-1046Q437.1</t>
        </is>
      </c>
    </row>
    <row r="189">
      <c r="A189">
        <v>188</v>
      </c>
      <c r="B189">
        <f>GS55</f>
        <v>0</v>
      </c>
      <c r="C189" t="inlineStr">
        <is>
          <t>+LS17</t>
        </is>
      </c>
      <c r="D189" t="inlineStr">
        <is>
          <t>-1046Q437.2</t>
        </is>
      </c>
      <c r="E189" t="inlineStr">
        <is>
          <t>DILM-9-10</t>
        </is>
      </c>
      <c r="F189" t="inlineStr">
        <is>
          <t>DILA-XHI22</t>
        </is>
      </c>
      <c r="G189" t="inlineStr">
        <is>
          <t>LASTSCHUETZ</t>
        </is>
      </c>
      <c r="H189" t="inlineStr">
        <is>
          <t>4kW 1S Federzugkl.</t>
        </is>
      </c>
      <c r="I189">
        <v>1294</v>
      </c>
      <c r="J189">
        <f>GS55/1046.7</f>
        <v>0</v>
      </c>
      <c r="K189" t="inlineStr">
        <is>
          <t>DIL MC9</t>
        </is>
      </c>
      <c r="M189" t="inlineStr">
        <is>
          <t>-1046Q437.2</t>
        </is>
      </c>
    </row>
    <row r="190">
      <c r="A190">
        <v>189</v>
      </c>
      <c r="B190">
        <f>GS55</f>
        <v>0</v>
      </c>
      <c r="C190" t="inlineStr">
        <is>
          <t>+LS17</t>
        </is>
      </c>
      <c r="D190" t="inlineStr">
        <is>
          <t>-1046Q437.2</t>
        </is>
      </c>
      <c r="E190" t="inlineStr">
        <is>
          <t>DILA-XHI22</t>
        </is>
      </c>
      <c r="F190" t="inlineStr">
        <is>
          <t>DILA-XHI22</t>
        </is>
      </c>
      <c r="G190" t="inlineStr">
        <is>
          <t>HILFSKONTAKTBLOCK</t>
        </is>
      </c>
      <c r="H190" t="inlineStr">
        <is>
          <t>2S 2OE Last+Hilfssch. Cage</t>
        </is>
      </c>
      <c r="I190">
        <v>1294</v>
      </c>
      <c r="J190">
        <f>GS55/1046.7</f>
        <v>0</v>
      </c>
      <c r="K190" t="inlineStr">
        <is>
          <t>DIL MC9</t>
        </is>
      </c>
      <c r="M190" t="inlineStr">
        <is>
          <t>-1046Q437.2</t>
        </is>
      </c>
    </row>
    <row r="191">
      <c r="A191">
        <v>190</v>
      </c>
      <c r="B191">
        <f>GS32</f>
        <v>0</v>
      </c>
      <c r="C191" t="inlineStr">
        <is>
          <t>+LS10</t>
        </is>
      </c>
      <c r="D191" t="inlineStr">
        <is>
          <t>-1047K1</t>
        </is>
      </c>
      <c r="E191" t="inlineStr">
        <is>
          <t>DILA-40</t>
        </is>
      </c>
      <c r="F191" t="inlineStr">
        <is>
          <t>#KALK!</t>
        </is>
      </c>
      <c r="G191" t="inlineStr">
        <is>
          <t>HILFSSCHUETZ</t>
        </is>
      </c>
      <c r="H191" t="inlineStr">
        <is>
          <t>4S Federzugkl.</t>
        </is>
      </c>
      <c r="I191">
        <v>282</v>
      </c>
      <c r="J191">
        <f>GS32/1047.2</f>
        <v>0</v>
      </c>
      <c r="M191" t="inlineStr">
        <is>
          <t>-1047K1</t>
        </is>
      </c>
    </row>
    <row r="192">
      <c r="A192">
        <v>191</v>
      </c>
      <c r="B192">
        <f>GS32</f>
        <v>0</v>
      </c>
      <c r="C192" t="inlineStr">
        <is>
          <t>+LS10</t>
        </is>
      </c>
      <c r="D192" t="inlineStr">
        <is>
          <t>-1047K2</t>
        </is>
      </c>
      <c r="E192" t="inlineStr">
        <is>
          <t>DILA-40</t>
        </is>
      </c>
      <c r="F192" t="inlineStr">
        <is>
          <t>#KALK!</t>
        </is>
      </c>
      <c r="G192" t="inlineStr">
        <is>
          <t>HILFSSCHUETZ</t>
        </is>
      </c>
      <c r="H192" t="inlineStr">
        <is>
          <t>4S Federzugkl.</t>
        </is>
      </c>
      <c r="I192">
        <v>282</v>
      </c>
      <c r="J192">
        <f>GS32/1047.4</f>
        <v>0</v>
      </c>
      <c r="M192" t="inlineStr">
        <is>
          <t>-1047K2</t>
        </is>
      </c>
    </row>
    <row r="193">
      <c r="A193">
        <v>192</v>
      </c>
      <c r="B193">
        <f>GS32</f>
        <v>0</v>
      </c>
      <c r="C193" t="inlineStr">
        <is>
          <t>+LS10</t>
        </is>
      </c>
      <c r="D193" t="inlineStr">
        <is>
          <t>-1047K3</t>
        </is>
      </c>
      <c r="E193" t="inlineStr">
        <is>
          <t>DILA-40</t>
        </is>
      </c>
      <c r="F193" t="inlineStr">
        <is>
          <t>#KALK!</t>
        </is>
      </c>
      <c r="G193" t="inlineStr">
        <is>
          <t>HILFSSCHUETZ</t>
        </is>
      </c>
      <c r="H193" t="inlineStr">
        <is>
          <t>4S Federzugkl.</t>
        </is>
      </c>
      <c r="I193">
        <v>282</v>
      </c>
      <c r="J193">
        <f>GS32/1047.5</f>
        <v>0</v>
      </c>
      <c r="M193" t="inlineStr">
        <is>
          <t>-1047K3</t>
        </is>
      </c>
    </row>
    <row r="194">
      <c r="A194">
        <v>193</v>
      </c>
      <c r="B194">
        <f>GS32</f>
        <v>0</v>
      </c>
      <c r="C194" t="inlineStr">
        <is>
          <t>+LS10</t>
        </is>
      </c>
      <c r="D194" t="inlineStr">
        <is>
          <t>-1047K4</t>
        </is>
      </c>
      <c r="E194" t="inlineStr">
        <is>
          <t>DILA-40</t>
        </is>
      </c>
      <c r="F194" t="inlineStr">
        <is>
          <t>#KALK!</t>
        </is>
      </c>
      <c r="G194" t="inlineStr">
        <is>
          <t>HILFSSCHUETZ</t>
        </is>
      </c>
      <c r="H194" t="inlineStr">
        <is>
          <t>4S Federzugkl.</t>
        </is>
      </c>
      <c r="I194">
        <v>282</v>
      </c>
      <c r="J194">
        <f>GS32/1047.6</f>
        <v>0</v>
      </c>
      <c r="M194" t="inlineStr">
        <is>
          <t>-1047K4</t>
        </is>
      </c>
    </row>
    <row r="195">
      <c r="A195">
        <v>194</v>
      </c>
      <c r="B195">
        <f>GS32</f>
        <v>0</v>
      </c>
      <c r="C195" t="inlineStr">
        <is>
          <t>+LS10</t>
        </is>
      </c>
      <c r="D195" t="inlineStr">
        <is>
          <t>-1047K5</t>
        </is>
      </c>
      <c r="E195" t="inlineStr">
        <is>
          <t>DILA-40</t>
        </is>
      </c>
      <c r="F195" t="inlineStr">
        <is>
          <t>#KALK!</t>
        </is>
      </c>
      <c r="G195" t="inlineStr">
        <is>
          <t>HILFSSCHUETZ</t>
        </is>
      </c>
      <c r="H195" t="inlineStr">
        <is>
          <t>4S Federzugkl.</t>
        </is>
      </c>
      <c r="I195">
        <v>282</v>
      </c>
      <c r="J195">
        <f>GS32/1047.7</f>
        <v>0</v>
      </c>
      <c r="M195" t="inlineStr">
        <is>
          <t>-1047K5</t>
        </is>
      </c>
    </row>
    <row r="196">
      <c r="A196">
        <v>195</v>
      </c>
      <c r="B196">
        <f>GS32</f>
        <v>0</v>
      </c>
      <c r="C196" t="inlineStr">
        <is>
          <t>+LS10</t>
        </is>
      </c>
      <c r="D196" t="inlineStr">
        <is>
          <t>-1047K6</t>
        </is>
      </c>
      <c r="E196" t="inlineStr">
        <is>
          <t>DILA-40</t>
        </is>
      </c>
      <c r="F196" t="inlineStr">
        <is>
          <t>#KALK!</t>
        </is>
      </c>
      <c r="G196" t="inlineStr">
        <is>
          <t>HILFSSCHUETZ</t>
        </is>
      </c>
      <c r="H196" t="inlineStr">
        <is>
          <t>4S Federzugkl.</t>
        </is>
      </c>
      <c r="I196">
        <v>282</v>
      </c>
      <c r="J196">
        <f>GS32/1047.8</f>
        <v>0</v>
      </c>
      <c r="M196" t="inlineStr">
        <is>
          <t>-1047K6</t>
        </is>
      </c>
    </row>
    <row r="197">
      <c r="A197">
        <v>196</v>
      </c>
      <c r="B197">
        <f>GC22</f>
        <v>0</v>
      </c>
      <c r="C197" t="inlineStr">
        <is>
          <t>+LS10</t>
        </is>
      </c>
      <c r="D197" t="inlineStr">
        <is>
          <t>-1049K1</t>
        </is>
      </c>
      <c r="E197" t="inlineStr">
        <is>
          <t>DILM150-XHIC22</t>
        </is>
      </c>
      <c r="F197" t="inlineStr">
        <is>
          <t>DILM150-XHIC22</t>
        </is>
      </c>
      <c r="G197" t="inlineStr">
        <is>
          <t>HILFSKONTAKTBLOCK</t>
        </is>
      </c>
      <c r="H197" t="inlineStr">
        <is>
          <t>2S 2OE ab DILMC40</t>
        </is>
      </c>
      <c r="I197">
        <v>248</v>
      </c>
      <c r="J197">
        <f>GC22/1049.5</f>
        <v>0</v>
      </c>
      <c r="K197" t="inlineStr">
        <is>
          <t>DIL MC 65</t>
        </is>
      </c>
      <c r="M197" t="inlineStr">
        <is>
          <t>-1049K1</t>
        </is>
      </c>
    </row>
    <row r="198">
      <c r="A198">
        <v>197</v>
      </c>
      <c r="B198">
        <f>GC22</f>
        <v>0</v>
      </c>
      <c r="C198" t="inlineStr">
        <is>
          <t>+LS10</t>
        </is>
      </c>
      <c r="D198" t="inlineStr">
        <is>
          <t>-1049K1</t>
        </is>
      </c>
      <c r="E198" t="inlineStr">
        <is>
          <t>DILMC65(230V50HZ)</t>
        </is>
      </c>
      <c r="F198" t="inlineStr">
        <is>
          <t>DILM150-XHIC22</t>
        </is>
      </c>
      <c r="G198" t="inlineStr">
        <is>
          <t>LASTSCHUETZ</t>
        </is>
      </c>
      <c r="H198" t="inlineStr">
        <is>
          <t>30kW Federzugkl.</t>
        </is>
      </c>
      <c r="I198">
        <v>248</v>
      </c>
      <c r="J198">
        <f>GC22/1049.5</f>
        <v>0</v>
      </c>
      <c r="K198" t="inlineStr">
        <is>
          <t>DIL MC 65</t>
        </is>
      </c>
      <c r="M198" t="inlineStr">
        <is>
          <t>-1049K1</t>
        </is>
      </c>
    </row>
    <row r="199">
      <c r="A199">
        <v>198</v>
      </c>
      <c r="B199">
        <f>GS12</f>
        <v>0</v>
      </c>
      <c r="C199" t="inlineStr">
        <is>
          <t>+LS10</t>
        </is>
      </c>
      <c r="D199" t="inlineStr">
        <is>
          <t>-1049K1</t>
        </is>
      </c>
      <c r="E199" t="inlineStr">
        <is>
          <t>DILMC65(230V50HZ)</t>
        </is>
      </c>
      <c r="F199" t="inlineStr">
        <is>
          <t>DILM150-XHIC22</t>
        </is>
      </c>
      <c r="G199" t="inlineStr">
        <is>
          <t>LASTSCHUETZ</t>
        </is>
      </c>
      <c r="H199" t="inlineStr">
        <is>
          <t>30kW Federzugkl.</t>
        </is>
      </c>
      <c r="I199">
        <v>1560</v>
      </c>
      <c r="J199">
        <f>GS12/1049.5</f>
        <v>0</v>
      </c>
      <c r="K199" t="inlineStr">
        <is>
          <t>DIL MC 65</t>
        </is>
      </c>
      <c r="M199" t="inlineStr">
        <is>
          <t>-1049K1</t>
        </is>
      </c>
    </row>
    <row r="200">
      <c r="A200">
        <v>199</v>
      </c>
      <c r="B200">
        <f>GS12</f>
        <v>0</v>
      </c>
      <c r="C200" t="inlineStr">
        <is>
          <t>+LS10</t>
        </is>
      </c>
      <c r="D200" t="inlineStr">
        <is>
          <t>-1049K1</t>
        </is>
      </c>
      <c r="E200" t="inlineStr">
        <is>
          <t>DILM150-XHIC22</t>
        </is>
      </c>
      <c r="F200" t="inlineStr">
        <is>
          <t>DILM150-XHIC22</t>
        </is>
      </c>
      <c r="G200" t="inlineStr">
        <is>
          <t>HILFSKONTAKTBLOCK</t>
        </is>
      </c>
      <c r="H200" t="inlineStr">
        <is>
          <t>2S 2OE ab DILMC40</t>
        </is>
      </c>
      <c r="I200">
        <v>1560</v>
      </c>
      <c r="J200">
        <f>GS12/1049.5</f>
        <v>0</v>
      </c>
      <c r="K200" t="inlineStr">
        <is>
          <t>DIL MC 65</t>
        </is>
      </c>
      <c r="M200" t="inlineStr">
        <is>
          <t>-1049K1</t>
        </is>
      </c>
    </row>
    <row r="201">
      <c r="A201">
        <v>200</v>
      </c>
      <c r="B201">
        <f>GC22</f>
        <v>0</v>
      </c>
      <c r="C201" t="inlineStr">
        <is>
          <t>+LS10</t>
        </is>
      </c>
      <c r="D201" t="inlineStr">
        <is>
          <t>-1049K2</t>
        </is>
      </c>
      <c r="E201" t="inlineStr">
        <is>
          <t>DILA-40</t>
        </is>
      </c>
      <c r="F201" t="inlineStr">
        <is>
          <t>#KALK!</t>
        </is>
      </c>
      <c r="G201" t="inlineStr">
        <is>
          <t>HILFSSCHUETZ</t>
        </is>
      </c>
      <c r="H201" t="inlineStr">
        <is>
          <t>4S Federzugkl.</t>
        </is>
      </c>
      <c r="I201">
        <v>248</v>
      </c>
      <c r="J201">
        <f>GC22/1049.7</f>
        <v>0</v>
      </c>
      <c r="M201" t="inlineStr">
        <is>
          <t>-1049K2</t>
        </is>
      </c>
    </row>
    <row r="202">
      <c r="A202">
        <v>201</v>
      </c>
      <c r="B202">
        <f>GS12</f>
        <v>0</v>
      </c>
      <c r="C202" t="inlineStr">
        <is>
          <t>+LS10</t>
        </is>
      </c>
      <c r="D202" t="inlineStr">
        <is>
          <t>-1049K2</t>
        </is>
      </c>
      <c r="E202" t="inlineStr">
        <is>
          <t>DILA-40</t>
        </is>
      </c>
      <c r="F202" t="inlineStr">
        <is>
          <t>#KALK!</t>
        </is>
      </c>
      <c r="G202" t="inlineStr">
        <is>
          <t>HILFSSCHUETZ</t>
        </is>
      </c>
      <c r="H202" t="inlineStr">
        <is>
          <t>4S Federzugkl.</t>
        </is>
      </c>
      <c r="I202">
        <v>1560</v>
      </c>
      <c r="J202">
        <f>GS12/1049.7</f>
        <v>0</v>
      </c>
      <c r="M202" t="inlineStr">
        <is>
          <t>-1049K2</t>
        </is>
      </c>
    </row>
    <row r="203">
      <c r="A203">
        <v>202</v>
      </c>
      <c r="B203">
        <f>GS15</f>
        <v>0</v>
      </c>
      <c r="C203" t="inlineStr">
        <is>
          <t>+LS1</t>
        </is>
      </c>
      <c r="D203" t="inlineStr">
        <is>
          <t>-104K1</t>
        </is>
      </c>
      <c r="E203" t="inlineStr">
        <is>
          <t>22_DIL-M</t>
        </is>
      </c>
      <c r="F203" t="inlineStr">
        <is>
          <t>22_DIL-M</t>
        </is>
      </c>
      <c r="G203" t="inlineStr">
        <is>
          <t>HILFSKONTAKTBLOCK</t>
        </is>
      </c>
      <c r="H203" t="inlineStr">
        <is>
          <t>2S 2OE Lastschuetz DIL M</t>
        </is>
      </c>
      <c r="I203">
        <v>591</v>
      </c>
      <c r="J203">
        <f>GS15/104.2</f>
        <v>0</v>
      </c>
      <c r="K203" t="inlineStr">
        <is>
          <t>DIL0AM</t>
        </is>
      </c>
      <c r="M203" t="inlineStr">
        <is>
          <t>-104K1</t>
        </is>
      </c>
    </row>
    <row r="204">
      <c r="A204">
        <v>203</v>
      </c>
      <c r="B204">
        <f>GS15</f>
        <v>0</v>
      </c>
      <c r="C204" t="inlineStr">
        <is>
          <t>+LS1</t>
        </is>
      </c>
      <c r="D204" t="inlineStr">
        <is>
          <t>-104K1</t>
        </is>
      </c>
      <c r="E204" t="inlineStr">
        <is>
          <t>DIL_0AM</t>
        </is>
      </c>
      <c r="F204" t="inlineStr">
        <is>
          <t>22_DIL-M</t>
        </is>
      </c>
      <c r="G204" t="inlineStr">
        <is>
          <t>LASTSCHUETZ</t>
        </is>
      </c>
      <c r="H204" t="inlineStr">
        <is>
          <t>11 kW</t>
        </is>
      </c>
      <c r="I204">
        <v>591</v>
      </c>
      <c r="J204">
        <f>GS15/104.2</f>
        <v>0</v>
      </c>
      <c r="K204" t="inlineStr">
        <is>
          <t>DIL0AM</t>
        </is>
      </c>
      <c r="M204" t="inlineStr">
        <is>
          <t>-104K1</t>
        </is>
      </c>
    </row>
    <row r="205">
      <c r="A205">
        <v>204</v>
      </c>
      <c r="B205">
        <f>GS33</f>
        <v>0</v>
      </c>
      <c r="C205" t="inlineStr">
        <is>
          <t>+LS1</t>
        </is>
      </c>
      <c r="D205" t="inlineStr">
        <is>
          <t>-104K12.0</t>
        </is>
      </c>
      <c r="E205" t="inlineStr">
        <is>
          <t>DIL_ER-22-G</t>
        </is>
      </c>
      <c r="F205" t="inlineStr">
        <is>
          <t>#KALK!</t>
        </is>
      </c>
      <c r="G205" t="inlineStr">
        <is>
          <t>HILFSSCHUETZ</t>
        </is>
      </c>
      <c r="H205" t="inlineStr">
        <is>
          <t>2S 2OE</t>
        </is>
      </c>
      <c r="I205">
        <v>536</v>
      </c>
      <c r="J205">
        <f>GS33/104.5</f>
        <v>0</v>
      </c>
      <c r="M205" t="inlineStr">
        <is>
          <t>-104K12.0</t>
        </is>
      </c>
    </row>
    <row r="206">
      <c r="A206">
        <v>205</v>
      </c>
      <c r="B206">
        <f>GS33</f>
        <v>0</v>
      </c>
      <c r="C206" t="inlineStr">
        <is>
          <t>+LS1</t>
        </is>
      </c>
      <c r="D206" t="inlineStr">
        <is>
          <t>-104K12.1</t>
        </is>
      </c>
      <c r="E206" t="inlineStr">
        <is>
          <t>DIL_ER-22-G</t>
        </is>
      </c>
      <c r="F206" t="inlineStr">
        <is>
          <t>#KALK!</t>
        </is>
      </c>
      <c r="G206" t="inlineStr">
        <is>
          <t>HILFSSCHUETZ</t>
        </is>
      </c>
      <c r="H206" t="inlineStr">
        <is>
          <t>2S 2OE</t>
        </is>
      </c>
      <c r="I206">
        <v>536</v>
      </c>
      <c r="J206">
        <f>GS33/104.6</f>
        <v>0</v>
      </c>
      <c r="M206" t="inlineStr">
        <is>
          <t>-104K12.1</t>
        </is>
      </c>
    </row>
    <row r="207">
      <c r="A207">
        <v>206</v>
      </c>
      <c r="B207">
        <f>GS33</f>
        <v>0</v>
      </c>
      <c r="C207" t="inlineStr">
        <is>
          <t>+LS1</t>
        </is>
      </c>
      <c r="D207" t="inlineStr">
        <is>
          <t>-104K12.2</t>
        </is>
      </c>
      <c r="E207" t="inlineStr">
        <is>
          <t>DIL_ER-22-G</t>
        </is>
      </c>
      <c r="F207" t="inlineStr">
        <is>
          <t>#KALK!</t>
        </is>
      </c>
      <c r="G207" t="inlineStr">
        <is>
          <t>HILFSSCHUETZ</t>
        </is>
      </c>
      <c r="H207" t="inlineStr">
        <is>
          <t>2S 2OE</t>
        </is>
      </c>
      <c r="I207">
        <v>536</v>
      </c>
      <c r="J207">
        <f>GS33/104.7</f>
        <v>0</v>
      </c>
      <c r="M207" t="inlineStr">
        <is>
          <t>-104K12.2</t>
        </is>
      </c>
    </row>
    <row r="208">
      <c r="A208">
        <v>207</v>
      </c>
      <c r="B208">
        <f>GS33</f>
        <v>0</v>
      </c>
      <c r="C208" t="inlineStr">
        <is>
          <t>+LS1</t>
        </is>
      </c>
      <c r="D208" t="inlineStr">
        <is>
          <t>-104K12.4</t>
        </is>
      </c>
      <c r="E208" t="inlineStr">
        <is>
          <t>DIL_EM-10-G</t>
        </is>
      </c>
      <c r="F208" t="inlineStr">
        <is>
          <t>#KALK!</t>
        </is>
      </c>
      <c r="G208" t="inlineStr">
        <is>
          <t>LASTSCHUETZ</t>
        </is>
      </c>
      <c r="H208" t="inlineStr">
        <is>
          <t>4kW 1S</t>
        </is>
      </c>
      <c r="I208">
        <v>536</v>
      </c>
      <c r="J208">
        <f>GS33/104.7</f>
        <v>0</v>
      </c>
      <c r="M208" t="inlineStr">
        <is>
          <t>-104K12.4</t>
        </is>
      </c>
    </row>
    <row r="209">
      <c r="A209">
        <v>208</v>
      </c>
      <c r="B209">
        <f>GS34</f>
        <v>0</v>
      </c>
      <c r="C209" t="inlineStr">
        <is>
          <t>+LS1</t>
        </is>
      </c>
      <c r="D209" t="inlineStr">
        <is>
          <t>-104K12.7</t>
        </is>
      </c>
      <c r="E209" t="inlineStr">
        <is>
          <t>DIL_EM-10-G</t>
        </is>
      </c>
      <c r="F209" t="inlineStr">
        <is>
          <t>#KALK!</t>
        </is>
      </c>
      <c r="G209" t="inlineStr">
        <is>
          <t>LASTSCHUETZ</t>
        </is>
      </c>
      <c r="H209" t="inlineStr">
        <is>
          <t>4kW 1S</t>
        </is>
      </c>
      <c r="I209">
        <v>228</v>
      </c>
      <c r="J209">
        <f>GS34/104.7</f>
        <v>0</v>
      </c>
      <c r="M209" t="inlineStr">
        <is>
          <t>-104K12.7</t>
        </is>
      </c>
    </row>
    <row r="210">
      <c r="A210">
        <v>209</v>
      </c>
      <c r="B210">
        <f>GS16</f>
        <v>0</v>
      </c>
      <c r="C210" t="inlineStr">
        <is>
          <t>+LS1</t>
        </is>
      </c>
      <c r="D210" t="inlineStr">
        <is>
          <t>-104K14.2</t>
        </is>
      </c>
      <c r="E210" t="inlineStr">
        <is>
          <t>DIL_EM-10-G</t>
        </is>
      </c>
      <c r="F210" t="inlineStr">
        <is>
          <t>#KALK!</t>
        </is>
      </c>
      <c r="G210" t="inlineStr">
        <is>
          <t>LASTSCHUETZ</t>
        </is>
      </c>
      <c r="H210" t="inlineStr">
        <is>
          <t>4kW 1S</t>
        </is>
      </c>
      <c r="I210">
        <v>324</v>
      </c>
      <c r="J210">
        <f>GS16/104.6</f>
        <v>0</v>
      </c>
      <c r="M210" t="inlineStr">
        <is>
          <t>-104K14.2</t>
        </is>
      </c>
    </row>
    <row r="211">
      <c r="A211">
        <v>210</v>
      </c>
      <c r="B211">
        <f>GS16</f>
        <v>0</v>
      </c>
      <c r="C211" t="inlineStr">
        <is>
          <t>+LS1</t>
        </is>
      </c>
      <c r="D211" t="inlineStr">
        <is>
          <t>-104K14.3</t>
        </is>
      </c>
      <c r="E211" t="inlineStr">
        <is>
          <t>DIL_EM-10-G</t>
        </is>
      </c>
      <c r="F211" t="inlineStr">
        <is>
          <t>#KALK!</t>
        </is>
      </c>
      <c r="G211" t="inlineStr">
        <is>
          <t>LASTSCHUETZ</t>
        </is>
      </c>
      <c r="H211" t="inlineStr">
        <is>
          <t>4kW 1S</t>
        </is>
      </c>
      <c r="I211">
        <v>324</v>
      </c>
      <c r="J211">
        <f>GS16/104.6</f>
        <v>0</v>
      </c>
      <c r="M211" t="inlineStr">
        <is>
          <t>-104K14.3</t>
        </is>
      </c>
    </row>
    <row r="212">
      <c r="A212">
        <v>211</v>
      </c>
      <c r="B212">
        <f>GS31</f>
        <v>0</v>
      </c>
      <c r="C212" t="inlineStr">
        <is>
          <t>+LS1</t>
        </is>
      </c>
      <c r="D212" t="inlineStr">
        <is>
          <t>-104K18.3</t>
        </is>
      </c>
      <c r="E212" t="inlineStr">
        <is>
          <t>DIL_EM-10-G</t>
        </is>
      </c>
      <c r="F212" t="inlineStr">
        <is>
          <t>#KALK!</t>
        </is>
      </c>
      <c r="G212" t="inlineStr">
        <is>
          <t>LASTSCHUETZ</t>
        </is>
      </c>
      <c r="H212" t="inlineStr">
        <is>
          <t>4kW 1S</t>
        </is>
      </c>
      <c r="I212">
        <v>387</v>
      </c>
      <c r="J212">
        <f>GS31/104.6</f>
        <v>0</v>
      </c>
      <c r="M212" t="inlineStr">
        <is>
          <t>-104K18.3</t>
        </is>
      </c>
    </row>
    <row r="213">
      <c r="A213">
        <v>212</v>
      </c>
      <c r="B213">
        <f>GS31</f>
        <v>0</v>
      </c>
      <c r="C213" t="inlineStr">
        <is>
          <t>+LS1</t>
        </is>
      </c>
      <c r="D213" t="inlineStr">
        <is>
          <t>-104K18.4</t>
        </is>
      </c>
      <c r="E213" t="inlineStr">
        <is>
          <t>DIL_EM-10-G</t>
        </is>
      </c>
      <c r="F213" t="inlineStr">
        <is>
          <t>#KALK!</t>
        </is>
      </c>
      <c r="G213" t="inlineStr">
        <is>
          <t>LASTSCHUETZ</t>
        </is>
      </c>
      <c r="H213" t="inlineStr">
        <is>
          <t>4kW 1S</t>
        </is>
      </c>
      <c r="I213">
        <v>387</v>
      </c>
      <c r="J213">
        <f>GS31/104.6</f>
        <v>0</v>
      </c>
      <c r="M213" t="inlineStr">
        <is>
          <t>-104K18.4</t>
        </is>
      </c>
    </row>
    <row r="214">
      <c r="A214">
        <v>213</v>
      </c>
      <c r="B214">
        <f>GS11</f>
        <v>0</v>
      </c>
      <c r="C214" t="inlineStr">
        <is>
          <t>+LS1</t>
        </is>
      </c>
      <c r="D214" t="inlineStr">
        <is>
          <t>-104K26.4</t>
        </is>
      </c>
      <c r="E214" t="inlineStr">
        <is>
          <t>DIL_EM-10-G</t>
        </is>
      </c>
      <c r="F214" t="inlineStr">
        <is>
          <t>#KALK!</t>
        </is>
      </c>
      <c r="G214" t="inlineStr">
        <is>
          <t>LASTSCHUETZ</t>
        </is>
      </c>
      <c r="H214" t="inlineStr">
        <is>
          <t>4kW 1S</t>
        </is>
      </c>
      <c r="I214">
        <v>215</v>
      </c>
      <c r="J214">
        <f>GS11/104.6</f>
        <v>0</v>
      </c>
      <c r="M214" t="inlineStr">
        <is>
          <t>-104K26.4</t>
        </is>
      </c>
    </row>
    <row r="215">
      <c r="A215">
        <v>214</v>
      </c>
      <c r="B215">
        <f>GS21</f>
        <v>0</v>
      </c>
      <c r="C215" t="inlineStr">
        <is>
          <t>+LS1</t>
        </is>
      </c>
      <c r="D215" t="inlineStr">
        <is>
          <t>-104K26.4</t>
        </is>
      </c>
      <c r="E215" t="inlineStr">
        <is>
          <t>DIL_EM-10-G</t>
        </is>
      </c>
      <c r="F215" t="inlineStr">
        <is>
          <t>#KALK!</t>
        </is>
      </c>
      <c r="G215" t="inlineStr">
        <is>
          <t>LASTSCHUETZ</t>
        </is>
      </c>
      <c r="H215" t="inlineStr">
        <is>
          <t>4kW 1S</t>
        </is>
      </c>
      <c r="I215">
        <v>72</v>
      </c>
      <c r="J215">
        <f>GS21/104.6</f>
        <v>0</v>
      </c>
      <c r="M215" t="inlineStr">
        <is>
          <t>-104K26.4</t>
        </is>
      </c>
    </row>
    <row r="216">
      <c r="A216">
        <v>215</v>
      </c>
      <c r="B216">
        <f>GS23</f>
        <v>0</v>
      </c>
      <c r="C216" t="inlineStr">
        <is>
          <t>+LS1</t>
        </is>
      </c>
      <c r="D216" t="inlineStr">
        <is>
          <t>-104K49.3</t>
        </is>
      </c>
      <c r="E216" t="inlineStr">
        <is>
          <t>DIL_EM-10-G</t>
        </is>
      </c>
      <c r="F216" t="inlineStr">
        <is>
          <t>#KALK!</t>
        </is>
      </c>
      <c r="G216" t="inlineStr">
        <is>
          <t>LASTSCHUETZ</t>
        </is>
      </c>
      <c r="H216" t="inlineStr">
        <is>
          <t>4kW 1S</t>
        </is>
      </c>
      <c r="I216">
        <v>403</v>
      </c>
      <c r="J216">
        <f>GS23/104.7</f>
        <v>0</v>
      </c>
      <c r="M216" t="inlineStr">
        <is>
          <t>-104K49.3</t>
        </is>
      </c>
    </row>
    <row r="217">
      <c r="A217">
        <v>216</v>
      </c>
      <c r="B217">
        <f>GS11</f>
        <v>0</v>
      </c>
      <c r="C217" t="inlineStr">
        <is>
          <t>+LS1</t>
        </is>
      </c>
      <c r="D217" t="inlineStr">
        <is>
          <t>-104K78.0</t>
        </is>
      </c>
      <c r="E217" t="inlineStr">
        <is>
          <t>DIL_EM-10-G</t>
        </is>
      </c>
      <c r="F217" t="inlineStr">
        <is>
          <t>#KALK!</t>
        </is>
      </c>
      <c r="G217" t="inlineStr">
        <is>
          <t>LASTSCHUETZ</t>
        </is>
      </c>
      <c r="H217" t="inlineStr">
        <is>
          <t>4kW 1S</t>
        </is>
      </c>
      <c r="I217">
        <v>215</v>
      </c>
      <c r="J217">
        <f>GS11/104.6</f>
        <v>0</v>
      </c>
      <c r="M217" t="inlineStr">
        <is>
          <t>-104K78.0</t>
        </is>
      </c>
    </row>
    <row r="218">
      <c r="A218">
        <v>217</v>
      </c>
      <c r="B218">
        <f>GS21</f>
        <v>0</v>
      </c>
      <c r="C218" t="inlineStr">
        <is>
          <t>+LS1</t>
        </is>
      </c>
      <c r="D218" t="inlineStr">
        <is>
          <t>-104K78.0</t>
        </is>
      </c>
      <c r="E218" t="inlineStr">
        <is>
          <t>DIL_EM-10-G</t>
        </is>
      </c>
      <c r="F218" t="inlineStr">
        <is>
          <t>#KALK!</t>
        </is>
      </c>
      <c r="G218" t="inlineStr">
        <is>
          <t>LASTSCHUETZ</t>
        </is>
      </c>
      <c r="H218" t="inlineStr">
        <is>
          <t>4kW 1S</t>
        </is>
      </c>
      <c r="I218">
        <v>72</v>
      </c>
      <c r="J218">
        <f>GS21/104.6</f>
        <v>0</v>
      </c>
      <c r="M218" t="inlineStr">
        <is>
          <t>-104K78.0</t>
        </is>
      </c>
    </row>
    <row r="219">
      <c r="A219">
        <v>218</v>
      </c>
      <c r="B219">
        <f>GS13</f>
        <v>0</v>
      </c>
      <c r="C219" t="inlineStr">
        <is>
          <t>+LS1</t>
        </is>
      </c>
      <c r="D219" t="inlineStr">
        <is>
          <t>-10549.4</t>
        </is>
      </c>
      <c r="E219" t="inlineStr">
        <is>
          <t>DIL_EM-10-G</t>
        </is>
      </c>
      <c r="F219" t="inlineStr">
        <is>
          <t>#KALK!</t>
        </is>
      </c>
      <c r="G219" t="inlineStr">
        <is>
          <t>LASTSCHUETZ</t>
        </is>
      </c>
      <c r="H219" t="inlineStr">
        <is>
          <t>4kW 1S</t>
        </is>
      </c>
      <c r="I219">
        <v>344</v>
      </c>
      <c r="J219">
        <f>GS13/105.6</f>
        <v>0</v>
      </c>
      <c r="M219" t="inlineStr">
        <is>
          <t>-10549.4</t>
        </is>
      </c>
    </row>
    <row r="220">
      <c r="A220">
        <v>219</v>
      </c>
      <c r="B220">
        <f>GC22</f>
        <v>0</v>
      </c>
      <c r="C220" t="inlineStr">
        <is>
          <t>+LS10</t>
        </is>
      </c>
      <c r="D220" t="inlineStr">
        <is>
          <t>-1054K1</t>
        </is>
      </c>
      <c r="E220" t="inlineStr">
        <is>
          <t>DILM-9-01</t>
        </is>
      </c>
      <c r="F220" t="inlineStr">
        <is>
          <t>#KALK!</t>
        </is>
      </c>
      <c r="G220" t="inlineStr">
        <is>
          <t>LASTSCHUETZ</t>
        </is>
      </c>
      <c r="H220" t="inlineStr">
        <is>
          <t>4kW 1Oe Federzugkl.</t>
        </is>
      </c>
      <c r="I220">
        <v>2224</v>
      </c>
      <c r="J220">
        <f>GC22/1054.6</f>
        <v>0</v>
      </c>
      <c r="M220" t="inlineStr">
        <is>
          <t>-1054K1</t>
        </is>
      </c>
    </row>
    <row r="221">
      <c r="A221">
        <v>220</v>
      </c>
      <c r="B221">
        <f>GS12</f>
        <v>0</v>
      </c>
      <c r="C221" t="inlineStr">
        <is>
          <t>+LS10</t>
        </is>
      </c>
      <c r="D221" t="inlineStr">
        <is>
          <t>-1054K1</t>
        </is>
      </c>
      <c r="E221" t="inlineStr">
        <is>
          <t>22_DIL-E</t>
        </is>
      </c>
      <c r="F221" t="inlineStr">
        <is>
          <t>22_DIL-E</t>
        </is>
      </c>
      <c r="G221" t="inlineStr">
        <is>
          <t>HILFSKONTAKTBLOCK</t>
        </is>
      </c>
      <c r="H221" t="inlineStr">
        <is>
          <t>2S 2OE Last+Hilfsschuetz</t>
        </is>
      </c>
      <c r="I221">
        <v>1689</v>
      </c>
      <c r="J221">
        <f>GS12/1054.6</f>
        <v>0</v>
      </c>
      <c r="M221" t="inlineStr">
        <is>
          <t>-1054K1</t>
        </is>
      </c>
    </row>
    <row r="222">
      <c r="A222">
        <v>221</v>
      </c>
      <c r="B222">
        <f>GS12</f>
        <v>0</v>
      </c>
      <c r="C222" t="inlineStr">
        <is>
          <t>+LS10</t>
        </is>
      </c>
      <c r="D222" t="inlineStr">
        <is>
          <t>-1054K1</t>
        </is>
      </c>
      <c r="E222" t="inlineStr">
        <is>
          <t>DILM-9-01</t>
        </is>
      </c>
      <c r="F222" t="inlineStr">
        <is>
          <t>22_DIL-E</t>
        </is>
      </c>
      <c r="G222" t="inlineStr">
        <is>
          <t>LASTSCHUETZ</t>
        </is>
      </c>
      <c r="H222" t="inlineStr">
        <is>
          <t>4kW 1Oe Federzugkl.</t>
        </is>
      </c>
      <c r="I222">
        <v>1689</v>
      </c>
      <c r="J222">
        <f>GS12/1054.6</f>
        <v>0</v>
      </c>
      <c r="M222" t="inlineStr">
        <is>
          <t>-1054K1</t>
        </is>
      </c>
    </row>
    <row r="223">
      <c r="A223">
        <v>222</v>
      </c>
      <c r="B223">
        <f>GC22</f>
        <v>0</v>
      </c>
      <c r="C223" t="inlineStr">
        <is>
          <t>+LS10</t>
        </is>
      </c>
      <c r="D223" t="inlineStr">
        <is>
          <t>-1054K2</t>
        </is>
      </c>
      <c r="E223" t="inlineStr">
        <is>
          <t>DILM-9-01</t>
        </is>
      </c>
      <c r="F223" t="inlineStr">
        <is>
          <t>#KALK!</t>
        </is>
      </c>
      <c r="G223" t="inlineStr">
        <is>
          <t>LASTSCHUETZ</t>
        </is>
      </c>
      <c r="H223" t="inlineStr">
        <is>
          <t>4kW 1Oe Federzugkl.</t>
        </is>
      </c>
      <c r="I223">
        <v>2224</v>
      </c>
      <c r="J223">
        <f>GC22/1054.7</f>
        <v>0</v>
      </c>
      <c r="M223" t="inlineStr">
        <is>
          <t>-1054K2</t>
        </is>
      </c>
    </row>
    <row r="224">
      <c r="A224">
        <v>223</v>
      </c>
      <c r="B224">
        <f>GS12</f>
        <v>0</v>
      </c>
      <c r="C224" t="inlineStr">
        <is>
          <t>+LS10</t>
        </is>
      </c>
      <c r="D224" t="inlineStr">
        <is>
          <t>-1054K2</t>
        </is>
      </c>
      <c r="E224" t="inlineStr">
        <is>
          <t>22_DIL-E</t>
        </is>
      </c>
      <c r="F224" t="inlineStr">
        <is>
          <t>22_DIL-E</t>
        </is>
      </c>
      <c r="G224" t="inlineStr">
        <is>
          <t>HILFSKONTAKTBLOCK</t>
        </is>
      </c>
      <c r="H224" t="inlineStr">
        <is>
          <t>2S 2OE Last+Hilfsschuetz</t>
        </is>
      </c>
      <c r="I224">
        <v>1689</v>
      </c>
      <c r="J224">
        <f>GS12/1054.7</f>
        <v>0</v>
      </c>
      <c r="M224" t="inlineStr">
        <is>
          <t>-1054K2</t>
        </is>
      </c>
    </row>
    <row r="225">
      <c r="A225">
        <v>224</v>
      </c>
      <c r="B225">
        <f>GS12</f>
        <v>0</v>
      </c>
      <c r="C225" t="inlineStr">
        <is>
          <t>+LS10</t>
        </is>
      </c>
      <c r="D225" t="inlineStr">
        <is>
          <t>-1054K2</t>
        </is>
      </c>
      <c r="E225" t="inlineStr">
        <is>
          <t>DILM-9-01</t>
        </is>
      </c>
      <c r="F225" t="inlineStr">
        <is>
          <t>22_DIL-E</t>
        </is>
      </c>
      <c r="G225" t="inlineStr">
        <is>
          <t>LASTSCHUETZ</t>
        </is>
      </c>
      <c r="H225" t="inlineStr">
        <is>
          <t>4kW 1Oe Federzugkl.</t>
        </is>
      </c>
      <c r="I225">
        <v>1689</v>
      </c>
      <c r="J225">
        <f>GS12/1054.7</f>
        <v>0</v>
      </c>
      <c r="M225" t="inlineStr">
        <is>
          <t>-1054K2</t>
        </is>
      </c>
    </row>
    <row r="226">
      <c r="A226">
        <v>225</v>
      </c>
      <c r="B226">
        <f>GC22</f>
        <v>0</v>
      </c>
      <c r="C226" t="inlineStr">
        <is>
          <t>+LS10</t>
        </is>
      </c>
      <c r="D226" t="inlineStr">
        <is>
          <t>-1055K1</t>
        </is>
      </c>
      <c r="E226" t="inlineStr">
        <is>
          <t>DILM-9-01</t>
        </is>
      </c>
      <c r="F226" t="inlineStr">
        <is>
          <t>#KALK!</t>
        </is>
      </c>
      <c r="G226" t="inlineStr">
        <is>
          <t>LASTSCHUETZ</t>
        </is>
      </c>
      <c r="H226" t="inlineStr">
        <is>
          <t>4kW 1Oe Federzugkl.</t>
        </is>
      </c>
      <c r="I226">
        <v>4022</v>
      </c>
      <c r="J226">
        <f>GC22/1055.6</f>
        <v>0</v>
      </c>
      <c r="M226" t="inlineStr">
        <is>
          <t>-1055K1</t>
        </is>
      </c>
    </row>
    <row r="227">
      <c r="A227">
        <v>226</v>
      </c>
      <c r="B227">
        <f>GS12</f>
        <v>0</v>
      </c>
      <c r="C227" t="inlineStr">
        <is>
          <t>+LS10</t>
        </is>
      </c>
      <c r="D227" t="inlineStr">
        <is>
          <t>-1055K1</t>
        </is>
      </c>
      <c r="E227" t="inlineStr">
        <is>
          <t>22_DIL-E</t>
        </is>
      </c>
      <c r="F227" t="inlineStr">
        <is>
          <t>22_DIL-E</t>
        </is>
      </c>
      <c r="G227" t="inlineStr">
        <is>
          <t>HILFSKONTAKTBLOCK</t>
        </is>
      </c>
      <c r="H227" t="inlineStr">
        <is>
          <t>2S 2OE Last+Hilfsschuetz</t>
        </is>
      </c>
      <c r="I227">
        <v>1695</v>
      </c>
      <c r="J227">
        <f>GS12/1055.6</f>
        <v>0</v>
      </c>
      <c r="M227" t="inlineStr">
        <is>
          <t>-1055K1</t>
        </is>
      </c>
    </row>
    <row r="228">
      <c r="A228">
        <v>227</v>
      </c>
      <c r="B228">
        <f>GS12</f>
        <v>0</v>
      </c>
      <c r="C228" t="inlineStr">
        <is>
          <t>+LS10</t>
        </is>
      </c>
      <c r="D228" t="inlineStr">
        <is>
          <t>-1055K1</t>
        </is>
      </c>
      <c r="E228" t="inlineStr">
        <is>
          <t>DILM-9-01</t>
        </is>
      </c>
      <c r="F228" t="inlineStr">
        <is>
          <t>22_DIL-E</t>
        </is>
      </c>
      <c r="G228" t="inlineStr">
        <is>
          <t>LASTSCHUETZ</t>
        </is>
      </c>
      <c r="H228" t="inlineStr">
        <is>
          <t>4kW 1Oe Federzugkl.</t>
        </is>
      </c>
      <c r="I228">
        <v>1695</v>
      </c>
      <c r="J228">
        <f>GS12/1055.6</f>
        <v>0</v>
      </c>
      <c r="M228" t="inlineStr">
        <is>
          <t>-1055K1</t>
        </is>
      </c>
    </row>
    <row r="229">
      <c r="A229">
        <v>228</v>
      </c>
      <c r="B229">
        <f>GC22</f>
        <v>0</v>
      </c>
      <c r="C229" t="inlineStr">
        <is>
          <t>+LS10</t>
        </is>
      </c>
      <c r="D229" t="inlineStr">
        <is>
          <t>-1055K2</t>
        </is>
      </c>
      <c r="E229" t="inlineStr">
        <is>
          <t>DILM-9-01</t>
        </is>
      </c>
      <c r="F229" t="inlineStr">
        <is>
          <t>#KALK!</t>
        </is>
      </c>
      <c r="G229" t="inlineStr">
        <is>
          <t>LASTSCHUETZ</t>
        </is>
      </c>
      <c r="H229" t="inlineStr">
        <is>
          <t>4kW 1Oe Federzugkl.</t>
        </is>
      </c>
      <c r="I229">
        <v>4022</v>
      </c>
      <c r="J229">
        <f>GC22/1055.7</f>
        <v>0</v>
      </c>
      <c r="M229" t="inlineStr">
        <is>
          <t>-1055K2</t>
        </is>
      </c>
    </row>
    <row r="230">
      <c r="A230">
        <v>229</v>
      </c>
      <c r="B230">
        <f>GS12</f>
        <v>0</v>
      </c>
      <c r="C230" t="inlineStr">
        <is>
          <t>+LS10</t>
        </is>
      </c>
      <c r="D230" t="inlineStr">
        <is>
          <t>-1055K2</t>
        </is>
      </c>
      <c r="E230" t="inlineStr">
        <is>
          <t>22_DIL-E</t>
        </is>
      </c>
      <c r="F230" t="inlineStr">
        <is>
          <t>22_DIL-E</t>
        </is>
      </c>
      <c r="G230" t="inlineStr">
        <is>
          <t>HILFSKONTAKTBLOCK</t>
        </is>
      </c>
      <c r="H230" t="inlineStr">
        <is>
          <t>2S 2OE Last+Hilfsschuetz</t>
        </is>
      </c>
      <c r="I230">
        <v>1695</v>
      </c>
      <c r="J230">
        <f>GS12/1055.7</f>
        <v>0</v>
      </c>
      <c r="M230" t="inlineStr">
        <is>
          <t>-1055K2</t>
        </is>
      </c>
    </row>
    <row r="231">
      <c r="A231">
        <v>230</v>
      </c>
      <c r="B231">
        <f>GS12</f>
        <v>0</v>
      </c>
      <c r="C231" t="inlineStr">
        <is>
          <t>+LS10</t>
        </is>
      </c>
      <c r="D231" t="inlineStr">
        <is>
          <t>-1055K2</t>
        </is>
      </c>
      <c r="E231" t="inlineStr">
        <is>
          <t>DILM-9-01</t>
        </is>
      </c>
      <c r="F231" t="inlineStr">
        <is>
          <t>22_DIL-E</t>
        </is>
      </c>
      <c r="G231" t="inlineStr">
        <is>
          <t>LASTSCHUETZ</t>
        </is>
      </c>
      <c r="H231" t="inlineStr">
        <is>
          <t>4kW 1Oe Federzugkl.</t>
        </is>
      </c>
      <c r="I231">
        <v>1695</v>
      </c>
      <c r="J231">
        <f>GS12/1055.7</f>
        <v>0</v>
      </c>
      <c r="M231" t="inlineStr">
        <is>
          <t>-1055K2</t>
        </is>
      </c>
    </row>
    <row r="232">
      <c r="A232">
        <v>231</v>
      </c>
      <c r="B232">
        <f>GS05</f>
        <v>0</v>
      </c>
      <c r="C232" t="inlineStr">
        <is>
          <t>+LS17</t>
        </is>
      </c>
      <c r="D232" t="inlineStr">
        <is>
          <t>-1055Q1</t>
        </is>
      </c>
      <c r="E232" t="inlineStr">
        <is>
          <t>DILA-XHI22</t>
        </is>
      </c>
      <c r="F232" t="inlineStr">
        <is>
          <t>DILA-XHI22</t>
        </is>
      </c>
      <c r="G232" t="inlineStr">
        <is>
          <t>HILFSKONTAKTBLOCK</t>
        </is>
      </c>
      <c r="H232" t="inlineStr">
        <is>
          <t>2S 2OE Last+Hilfssch. Cage</t>
        </is>
      </c>
      <c r="I232">
        <v>3033</v>
      </c>
      <c r="J232">
        <f>GS05/1055.6</f>
        <v>0</v>
      </c>
      <c r="K232" t="inlineStr">
        <is>
          <t>DIL MC25</t>
        </is>
      </c>
      <c r="M232" t="inlineStr">
        <is>
          <t>-1055Q1</t>
        </is>
      </c>
    </row>
    <row r="233">
      <c r="A233">
        <v>232</v>
      </c>
      <c r="B233">
        <f>GS05</f>
        <v>0</v>
      </c>
      <c r="C233" t="inlineStr">
        <is>
          <t>+LS17</t>
        </is>
      </c>
      <c r="D233" t="inlineStr">
        <is>
          <t>-1055Q1</t>
        </is>
      </c>
      <c r="E233" t="inlineStr">
        <is>
          <t>DILMC25-10(RDC24)</t>
        </is>
      </c>
      <c r="F233" t="inlineStr">
        <is>
          <t>DILA-XHI22</t>
        </is>
      </c>
      <c r="G233" t="inlineStr">
        <is>
          <t>LASTSCHUETZ</t>
        </is>
      </c>
      <c r="H233" t="inlineStr">
        <is>
          <t>11kW 1S Federzugkl.</t>
        </is>
      </c>
      <c r="I233">
        <v>3033</v>
      </c>
      <c r="J233">
        <f>GS05/1055.6</f>
        <v>0</v>
      </c>
      <c r="K233" t="inlineStr">
        <is>
          <t>DIL MC25</t>
        </is>
      </c>
      <c r="M233" t="inlineStr">
        <is>
          <t>-1055Q1</t>
        </is>
      </c>
    </row>
    <row r="234">
      <c r="A234">
        <v>233</v>
      </c>
      <c r="B234">
        <f>GS05</f>
        <v>0</v>
      </c>
      <c r="C234" t="inlineStr">
        <is>
          <t>+LS17</t>
        </is>
      </c>
      <c r="D234" t="inlineStr">
        <is>
          <t>-1057Q738.1</t>
        </is>
      </c>
      <c r="E234" t="inlineStr">
        <is>
          <t>DILM-9-10</t>
        </is>
      </c>
      <c r="F234" t="inlineStr">
        <is>
          <t>#KALK!</t>
        </is>
      </c>
      <c r="G234" t="inlineStr">
        <is>
          <t>LASTSCHUETZ</t>
        </is>
      </c>
      <c r="H234" t="inlineStr">
        <is>
          <t>4kW 1S Federzugkl.</t>
        </is>
      </c>
      <c r="I234">
        <v>3035</v>
      </c>
      <c r="J234">
        <f>GS05/1057.6</f>
        <v>0</v>
      </c>
      <c r="K234" t="inlineStr">
        <is>
          <t>DIL MC9</t>
        </is>
      </c>
      <c r="M234" t="inlineStr">
        <is>
          <t>-1057Q738.1</t>
        </is>
      </c>
    </row>
    <row r="235">
      <c r="A235">
        <v>234</v>
      </c>
      <c r="B235">
        <f>GS38</f>
        <v>0</v>
      </c>
      <c r="C235" t="inlineStr">
        <is>
          <t>+LS01</t>
        </is>
      </c>
      <c r="D235" t="inlineStr">
        <is>
          <t>-105K1</t>
        </is>
      </c>
      <c r="E235" t="inlineStr">
        <is>
          <t>DILA-XHIC40</t>
        </is>
      </c>
      <c r="F235" t="inlineStr">
        <is>
          <t>DILA-XHIC40</t>
        </is>
      </c>
      <c r="G235" t="inlineStr">
        <is>
          <t>HILFSKONTAKTBLOCK</t>
        </is>
      </c>
      <c r="H235" t="inlineStr">
        <is>
          <t>4S Last+Hilfssch. Cage</t>
        </is>
      </c>
      <c r="I235">
        <v>265</v>
      </c>
      <c r="J235">
        <f>GS38/105.5</f>
        <v>0</v>
      </c>
      <c r="M235" t="inlineStr">
        <is>
          <t>-105K1</t>
        </is>
      </c>
    </row>
    <row r="236">
      <c r="A236">
        <v>235</v>
      </c>
      <c r="B236">
        <f>GS38</f>
        <v>0</v>
      </c>
      <c r="C236" t="inlineStr">
        <is>
          <t>+LS01</t>
        </is>
      </c>
      <c r="D236" t="inlineStr">
        <is>
          <t>-105K1</t>
        </is>
      </c>
      <c r="E236" t="inlineStr">
        <is>
          <t>DILA-40</t>
        </is>
      </c>
      <c r="F236" t="inlineStr">
        <is>
          <t>DILA-XHIC40</t>
        </is>
      </c>
      <c r="G236" t="inlineStr">
        <is>
          <t>HILFSSCHUETZ</t>
        </is>
      </c>
      <c r="H236" t="inlineStr">
        <is>
          <t>4S Federzugkl.</t>
        </is>
      </c>
      <c r="I236">
        <v>265</v>
      </c>
      <c r="J236">
        <f>GS38/105.5</f>
        <v>0</v>
      </c>
      <c r="M236" t="inlineStr">
        <is>
          <t>-105K1</t>
        </is>
      </c>
    </row>
    <row r="237">
      <c r="A237">
        <v>236</v>
      </c>
      <c r="B237">
        <f>GS39</f>
        <v>0</v>
      </c>
      <c r="C237" t="inlineStr">
        <is>
          <t>+LS01</t>
        </is>
      </c>
      <c r="D237" t="inlineStr">
        <is>
          <t>-105K1</t>
        </is>
      </c>
      <c r="E237" t="inlineStr">
        <is>
          <t>DILA-40</t>
        </is>
      </c>
      <c r="F237" t="inlineStr">
        <is>
          <t>DILA-XHIC40</t>
        </is>
      </c>
      <c r="G237" t="inlineStr">
        <is>
          <t>HILFSSCHUETZ</t>
        </is>
      </c>
      <c r="H237" t="inlineStr">
        <is>
          <t>4S Federzugkl.</t>
        </is>
      </c>
      <c r="I237">
        <v>288</v>
      </c>
      <c r="J237">
        <f>GS39/105.5</f>
        <v>0</v>
      </c>
      <c r="M237" t="inlineStr">
        <is>
          <t>-105K1</t>
        </is>
      </c>
    </row>
    <row r="238">
      <c r="A238">
        <v>237</v>
      </c>
      <c r="B238">
        <f>GS39</f>
        <v>0</v>
      </c>
      <c r="C238" t="inlineStr">
        <is>
          <t>+LS01</t>
        </is>
      </c>
      <c r="D238" t="inlineStr">
        <is>
          <t>-105K1</t>
        </is>
      </c>
      <c r="E238" t="inlineStr">
        <is>
          <t>DILA-XHIC40</t>
        </is>
      </c>
      <c r="F238" t="inlineStr">
        <is>
          <t>DILA-XHIC40</t>
        </is>
      </c>
      <c r="G238" t="inlineStr">
        <is>
          <t>HILFSKONTAKTBLOCK</t>
        </is>
      </c>
      <c r="H238" t="inlineStr">
        <is>
          <t>4S Last+Hilfssch. Cage</t>
        </is>
      </c>
      <c r="I238">
        <v>288</v>
      </c>
      <c r="J238">
        <f>GS39/105.5</f>
        <v>0</v>
      </c>
      <c r="M238" t="inlineStr">
        <is>
          <t>-105K1</t>
        </is>
      </c>
    </row>
    <row r="239">
      <c r="A239">
        <v>238</v>
      </c>
      <c r="B239">
        <f>GS36</f>
        <v>0</v>
      </c>
      <c r="C239" t="inlineStr">
        <is>
          <t>+ES02</t>
        </is>
      </c>
      <c r="D239" t="inlineStr">
        <is>
          <t>-37Q4.7</t>
        </is>
      </c>
      <c r="E239" t="inlineStr">
        <is>
          <t>DILM-9-10</t>
        </is>
      </c>
      <c r="F239" t="inlineStr">
        <is>
          <t>#KALK!</t>
        </is>
      </c>
      <c r="G239" t="inlineStr">
        <is>
          <t>LASTSCHUETZ</t>
        </is>
      </c>
      <c r="H239" t="inlineStr">
        <is>
          <t>4kW 1S Federzugkl.</t>
        </is>
      </c>
      <c r="I239">
        <v>208</v>
      </c>
      <c r="J239">
        <f>GS36/37.6</f>
        <v>0</v>
      </c>
      <c r="M239" t="inlineStr">
        <is>
          <t>-37Q4.7</t>
        </is>
      </c>
    </row>
    <row r="240">
      <c r="A240">
        <v>239</v>
      </c>
      <c r="B240">
        <f>GS34</f>
        <v>0</v>
      </c>
      <c r="C240" t="inlineStr">
        <is>
          <t>+LS1</t>
        </is>
      </c>
      <c r="D240" t="inlineStr">
        <is>
          <t>-105K13.0</t>
        </is>
      </c>
      <c r="E240" t="inlineStr">
        <is>
          <t>DIL_EM-10-G</t>
        </is>
      </c>
      <c r="F240" t="inlineStr">
        <is>
          <t>#KALK!</t>
        </is>
      </c>
      <c r="G240" t="inlineStr">
        <is>
          <t>LASTSCHUETZ</t>
        </is>
      </c>
      <c r="H240" t="inlineStr">
        <is>
          <t>4kW 1S</t>
        </is>
      </c>
      <c r="I240">
        <v>229</v>
      </c>
      <c r="J240">
        <f>GS34/105.6</f>
        <v>0</v>
      </c>
      <c r="M240" t="inlineStr">
        <is>
          <t>-105K13.0</t>
        </is>
      </c>
    </row>
    <row r="241">
      <c r="A241">
        <v>240</v>
      </c>
      <c r="B241">
        <f>GS16</f>
        <v>0</v>
      </c>
      <c r="C241" t="inlineStr">
        <is>
          <t>+LS1</t>
        </is>
      </c>
      <c r="D241" t="inlineStr">
        <is>
          <t>-105K14.4</t>
        </is>
      </c>
      <c r="E241" t="inlineStr">
        <is>
          <t>DIL_EM-10-G</t>
        </is>
      </c>
      <c r="F241" t="inlineStr">
        <is>
          <t>#KALK!</t>
        </is>
      </c>
      <c r="G241" t="inlineStr">
        <is>
          <t>LASTSCHUETZ</t>
        </is>
      </c>
      <c r="H241" t="inlineStr">
        <is>
          <t>4kW 1S</t>
        </is>
      </c>
      <c r="I241">
        <v>325</v>
      </c>
      <c r="J241">
        <f>GS16/105.6</f>
        <v>0</v>
      </c>
      <c r="M241" t="inlineStr">
        <is>
          <t>-105K14.4</t>
        </is>
      </c>
    </row>
    <row r="242">
      <c r="A242">
        <v>241</v>
      </c>
      <c r="B242">
        <f>GS16</f>
        <v>0</v>
      </c>
      <c r="C242" t="inlineStr">
        <is>
          <t>+LS1</t>
        </is>
      </c>
      <c r="D242" t="inlineStr">
        <is>
          <t>-105K14.5</t>
        </is>
      </c>
      <c r="E242" t="inlineStr">
        <is>
          <t>DIL_EM-10-G</t>
        </is>
      </c>
      <c r="F242" t="inlineStr">
        <is>
          <t>#KALK!</t>
        </is>
      </c>
      <c r="G242" t="inlineStr">
        <is>
          <t>LASTSCHUETZ</t>
        </is>
      </c>
      <c r="H242" t="inlineStr">
        <is>
          <t>4kW 1S</t>
        </is>
      </c>
      <c r="I242">
        <v>325</v>
      </c>
      <c r="J242">
        <f>GS16/105.6</f>
        <v>0</v>
      </c>
      <c r="M242" t="inlineStr">
        <is>
          <t>-105K14.5</t>
        </is>
      </c>
    </row>
    <row r="243">
      <c r="A243">
        <v>242</v>
      </c>
      <c r="B243">
        <f>GS92</f>
        <v>0</v>
      </c>
      <c r="C243" t="inlineStr">
        <is>
          <t>+LS01</t>
        </is>
      </c>
      <c r="D243" t="inlineStr">
        <is>
          <t>-105K150.0</t>
        </is>
      </c>
      <c r="E243" t="inlineStr">
        <is>
          <t>DILA-40</t>
        </is>
      </c>
      <c r="F243" t="inlineStr">
        <is>
          <t>#KALK!</t>
        </is>
      </c>
      <c r="G243" t="inlineStr">
        <is>
          <t>HILFSSCHUETZ</t>
        </is>
      </c>
      <c r="H243" t="inlineStr">
        <is>
          <t>4S Federzugkl.</t>
        </is>
      </c>
      <c r="I243">
        <v>253</v>
      </c>
      <c r="J243">
        <f>GS92/105.7</f>
        <v>0</v>
      </c>
      <c r="M243" t="inlineStr">
        <is>
          <t>-105K150.0</t>
        </is>
      </c>
    </row>
    <row r="244">
      <c r="A244">
        <v>243</v>
      </c>
      <c r="B244">
        <f>GS93</f>
        <v>0</v>
      </c>
      <c r="C244" t="inlineStr">
        <is>
          <t>+LS01</t>
        </is>
      </c>
      <c r="D244" t="inlineStr">
        <is>
          <t>-105K150.0</t>
        </is>
      </c>
      <c r="E244" t="inlineStr">
        <is>
          <t>DILA-40</t>
        </is>
      </c>
      <c r="F244" t="inlineStr">
        <is>
          <t>#KALK!</t>
        </is>
      </c>
      <c r="G244" t="inlineStr">
        <is>
          <t>HILFSSCHUETZ</t>
        </is>
      </c>
      <c r="H244" t="inlineStr">
        <is>
          <t>4S Federzugkl.</t>
        </is>
      </c>
      <c r="I244">
        <v>674</v>
      </c>
      <c r="J244">
        <f>GS93/105.7</f>
        <v>0</v>
      </c>
      <c r="M244" t="inlineStr">
        <is>
          <t>-105K150.0</t>
        </is>
      </c>
    </row>
    <row r="245">
      <c r="A245">
        <v>244</v>
      </c>
      <c r="B245">
        <f>GS90</f>
        <v>0</v>
      </c>
      <c r="C245" t="inlineStr">
        <is>
          <t>+LS01</t>
        </is>
      </c>
      <c r="D245" t="inlineStr">
        <is>
          <t>-105K151.0</t>
        </is>
      </c>
      <c r="E245" t="inlineStr">
        <is>
          <t>DILA-40</t>
        </is>
      </c>
      <c r="F245" t="inlineStr">
        <is>
          <t>#KALK!</t>
        </is>
      </c>
      <c r="G245" t="inlineStr">
        <is>
          <t>HILFSSCHUETZ</t>
        </is>
      </c>
      <c r="H245" t="inlineStr">
        <is>
          <t>4S Federzugkl.</t>
        </is>
      </c>
      <c r="I245">
        <v>1131</v>
      </c>
      <c r="J245">
        <f>GS90/105.7</f>
        <v>0</v>
      </c>
      <c r="M245" t="inlineStr">
        <is>
          <t>-105K151.0</t>
        </is>
      </c>
    </row>
    <row r="246">
      <c r="A246">
        <v>245</v>
      </c>
      <c r="B246">
        <f>GS91</f>
        <v>0</v>
      </c>
      <c r="C246" t="inlineStr">
        <is>
          <t>+LS01</t>
        </is>
      </c>
      <c r="D246" t="inlineStr">
        <is>
          <t>-105K151.0</t>
        </is>
      </c>
      <c r="E246" t="inlineStr">
        <is>
          <t>DILA-40</t>
        </is>
      </c>
      <c r="F246" t="inlineStr">
        <is>
          <t>#KALK!</t>
        </is>
      </c>
      <c r="G246" t="inlineStr">
        <is>
          <t>HILFSSCHUETZ</t>
        </is>
      </c>
      <c r="H246" t="inlineStr">
        <is>
          <t>4S Federzugkl.</t>
        </is>
      </c>
      <c r="I246">
        <v>253</v>
      </c>
      <c r="J246">
        <f>GS91/105.7</f>
        <v>0</v>
      </c>
      <c r="M246" t="inlineStr">
        <is>
          <t>-105K151.0</t>
        </is>
      </c>
    </row>
    <row r="247">
      <c r="A247">
        <v>246</v>
      </c>
      <c r="B247">
        <f>GS11</f>
        <v>0</v>
      </c>
      <c r="C247" t="inlineStr">
        <is>
          <t>+LS1</t>
        </is>
      </c>
      <c r="D247" t="inlineStr">
        <is>
          <t>-105K26.5</t>
        </is>
      </c>
      <c r="E247" t="inlineStr">
        <is>
          <t>DIL_EM-10-G</t>
        </is>
      </c>
      <c r="F247" t="inlineStr">
        <is>
          <t>#KALK!</t>
        </is>
      </c>
      <c r="G247" t="inlineStr">
        <is>
          <t>LASTSCHUETZ</t>
        </is>
      </c>
      <c r="H247" t="inlineStr">
        <is>
          <t>4kW 1S</t>
        </is>
      </c>
      <c r="I247">
        <v>216</v>
      </c>
      <c r="J247">
        <f>GS11/105.6</f>
        <v>0</v>
      </c>
      <c r="M247" t="inlineStr">
        <is>
          <t>-105K26.5</t>
        </is>
      </c>
    </row>
    <row r="248">
      <c r="A248">
        <v>247</v>
      </c>
      <c r="B248">
        <f>GS21</f>
        <v>0</v>
      </c>
      <c r="C248" t="inlineStr">
        <is>
          <t>+LS1</t>
        </is>
      </c>
      <c r="D248" t="inlineStr">
        <is>
          <t>-105K26.5</t>
        </is>
      </c>
      <c r="E248" t="inlineStr">
        <is>
          <t>DIL_EM-10-G</t>
        </is>
      </c>
      <c r="F248" t="inlineStr">
        <is>
          <t>#KALK!</t>
        </is>
      </c>
      <c r="G248" t="inlineStr">
        <is>
          <t>LASTSCHUETZ</t>
        </is>
      </c>
      <c r="H248" t="inlineStr">
        <is>
          <t>4kW 1S</t>
        </is>
      </c>
      <c r="I248">
        <v>77</v>
      </c>
      <c r="J248">
        <f>GS21/105.6</f>
        <v>0</v>
      </c>
      <c r="M248" t="inlineStr">
        <is>
          <t>-105K26.5</t>
        </is>
      </c>
    </row>
    <row r="249">
      <c r="A249">
        <v>248</v>
      </c>
      <c r="B249">
        <f>GS31</f>
        <v>0</v>
      </c>
      <c r="C249" t="inlineStr">
        <is>
          <t>+LS1</t>
        </is>
      </c>
      <c r="D249" t="inlineStr">
        <is>
          <t>-105K32.2</t>
        </is>
      </c>
      <c r="E249" t="inlineStr">
        <is>
          <t>DIL_EM-10-G</t>
        </is>
      </c>
      <c r="F249" t="inlineStr">
        <is>
          <t>#KALK!</t>
        </is>
      </c>
      <c r="G249" t="inlineStr">
        <is>
          <t>LASTSCHUETZ</t>
        </is>
      </c>
      <c r="H249" t="inlineStr">
        <is>
          <t>4kW 1S</t>
        </is>
      </c>
      <c r="I249">
        <v>388</v>
      </c>
      <c r="J249">
        <f>GS31/105.7</f>
        <v>0</v>
      </c>
      <c r="M249" t="inlineStr">
        <is>
          <t>-105K32.2</t>
        </is>
      </c>
    </row>
    <row r="250">
      <c r="A250">
        <v>249</v>
      </c>
      <c r="B250">
        <f>GS37</f>
        <v>0</v>
      </c>
      <c r="C250" t="inlineStr">
        <is>
          <t>+LS01</t>
        </is>
      </c>
      <c r="D250" t="inlineStr">
        <is>
          <t>-105K401.0</t>
        </is>
      </c>
      <c r="E250" t="inlineStr">
        <is>
          <t>DILA-40</t>
        </is>
      </c>
      <c r="F250" t="inlineStr">
        <is>
          <t>#KALK!</t>
        </is>
      </c>
      <c r="G250" t="inlineStr">
        <is>
          <t>HILFSSCHUETZ</t>
        </is>
      </c>
      <c r="H250" t="inlineStr">
        <is>
          <t>4S Federzugkl.</t>
        </is>
      </c>
      <c r="I250">
        <v>366</v>
      </c>
      <c r="J250">
        <f>GS37/105.7</f>
        <v>0</v>
      </c>
      <c r="M250" t="inlineStr">
        <is>
          <t>-105K401.0</t>
        </is>
      </c>
    </row>
    <row r="251">
      <c r="A251">
        <v>250</v>
      </c>
      <c r="B251">
        <f>GS35</f>
        <v>0</v>
      </c>
      <c r="C251" t="inlineStr">
        <is>
          <t>+LS01</t>
        </is>
      </c>
      <c r="D251" t="inlineStr">
        <is>
          <t>-105K403.0</t>
        </is>
      </c>
      <c r="E251" t="inlineStr">
        <is>
          <t>DILA-40</t>
        </is>
      </c>
      <c r="F251" t="inlineStr">
        <is>
          <t>#KALK!</t>
        </is>
      </c>
      <c r="G251" t="inlineStr">
        <is>
          <t>HILFSSCHUETZ</t>
        </is>
      </c>
      <c r="H251" t="inlineStr">
        <is>
          <t>4S Federzugkl.</t>
        </is>
      </c>
      <c r="I251">
        <v>299</v>
      </c>
      <c r="J251">
        <f>GS35/105.7</f>
        <v>0</v>
      </c>
      <c r="M251" t="inlineStr">
        <is>
          <t>-105K403.0</t>
        </is>
      </c>
    </row>
    <row r="252">
      <c r="A252">
        <v>251</v>
      </c>
      <c r="B252">
        <f>GS23</f>
        <v>0</v>
      </c>
      <c r="C252" t="inlineStr">
        <is>
          <t>+LS1</t>
        </is>
      </c>
      <c r="D252" t="inlineStr">
        <is>
          <t>-105K49.4</t>
        </is>
      </c>
      <c r="E252" t="inlineStr">
        <is>
          <t>DIL_EM-10-G</t>
        </is>
      </c>
      <c r="F252" t="inlineStr">
        <is>
          <t>#KALK!</t>
        </is>
      </c>
      <c r="G252" t="inlineStr">
        <is>
          <t>LASTSCHUETZ</t>
        </is>
      </c>
      <c r="H252" t="inlineStr">
        <is>
          <t>4kW 1S</t>
        </is>
      </c>
      <c r="I252">
        <v>404</v>
      </c>
      <c r="J252">
        <f>GS23/105.6</f>
        <v>0</v>
      </c>
      <c r="M252" t="inlineStr">
        <is>
          <t>-105K49.4</t>
        </is>
      </c>
    </row>
    <row r="253">
      <c r="A253">
        <v>252</v>
      </c>
      <c r="B253">
        <f>GS38</f>
        <v>0</v>
      </c>
      <c r="C253" t="inlineStr">
        <is>
          <t>+LS01</t>
        </is>
      </c>
      <c r="D253" t="inlineStr">
        <is>
          <t>-105K703.4</t>
        </is>
      </c>
      <c r="E253" t="inlineStr">
        <is>
          <t>DILA-40</t>
        </is>
      </c>
      <c r="F253" t="inlineStr">
        <is>
          <t>#KALK!</t>
        </is>
      </c>
      <c r="G253" t="inlineStr">
        <is>
          <t>HILFSSCHUETZ</t>
        </is>
      </c>
      <c r="H253" t="inlineStr">
        <is>
          <t>4S Federzugkl.</t>
        </is>
      </c>
      <c r="I253">
        <v>265</v>
      </c>
      <c r="J253">
        <f>GS38/105.7</f>
        <v>0</v>
      </c>
      <c r="M253" t="inlineStr">
        <is>
          <t>-105K703.4</t>
        </is>
      </c>
    </row>
    <row r="254">
      <c r="A254">
        <v>253</v>
      </c>
      <c r="B254">
        <f>GS39</f>
        <v>0</v>
      </c>
      <c r="C254" t="inlineStr">
        <is>
          <t>+LS01</t>
        </is>
      </c>
      <c r="D254" t="inlineStr">
        <is>
          <t>-105K703.4</t>
        </is>
      </c>
      <c r="E254" t="inlineStr">
        <is>
          <t>DILA-40</t>
        </is>
      </c>
      <c r="F254" t="inlineStr">
        <is>
          <t>#KALK!</t>
        </is>
      </c>
      <c r="G254" t="inlineStr">
        <is>
          <t>HILFSSCHUETZ</t>
        </is>
      </c>
      <c r="H254" t="inlineStr">
        <is>
          <t>4S Federzugkl.</t>
        </is>
      </c>
      <c r="I254">
        <v>288</v>
      </c>
      <c r="J254">
        <f>GS39/105.7</f>
        <v>0</v>
      </c>
      <c r="M254" t="inlineStr">
        <is>
          <t>-105K703.4</t>
        </is>
      </c>
    </row>
    <row r="255">
      <c r="A255">
        <v>254</v>
      </c>
      <c r="B255">
        <f>GS11</f>
        <v>0</v>
      </c>
      <c r="C255" t="inlineStr">
        <is>
          <t>+LS1</t>
        </is>
      </c>
      <c r="D255" t="inlineStr">
        <is>
          <t>-105K78.1</t>
        </is>
      </c>
      <c r="E255" t="inlineStr">
        <is>
          <t>DIL_EM-10-G</t>
        </is>
      </c>
      <c r="F255" t="inlineStr">
        <is>
          <t>#KALK!</t>
        </is>
      </c>
      <c r="G255" t="inlineStr">
        <is>
          <t>LASTSCHUETZ</t>
        </is>
      </c>
      <c r="H255" t="inlineStr">
        <is>
          <t>4kW 1S</t>
        </is>
      </c>
      <c r="I255">
        <v>216</v>
      </c>
      <c r="J255">
        <f>GS11/105.6</f>
        <v>0</v>
      </c>
      <c r="M255" t="inlineStr">
        <is>
          <t>-105K78.1</t>
        </is>
      </c>
    </row>
    <row r="256">
      <c r="A256">
        <v>255</v>
      </c>
      <c r="B256">
        <f>GS21</f>
        <v>0</v>
      </c>
      <c r="C256" t="inlineStr">
        <is>
          <t>+LS1</t>
        </is>
      </c>
      <c r="D256" t="inlineStr">
        <is>
          <t>-105K78.1</t>
        </is>
      </c>
      <c r="E256" t="inlineStr">
        <is>
          <t>DIL_EM-10-G</t>
        </is>
      </c>
      <c r="F256" t="inlineStr">
        <is>
          <t>#KALK!</t>
        </is>
      </c>
      <c r="G256" t="inlineStr">
        <is>
          <t>LASTSCHUETZ</t>
        </is>
      </c>
      <c r="H256" t="inlineStr">
        <is>
          <t>4kW 1S</t>
        </is>
      </c>
      <c r="I256">
        <v>77</v>
      </c>
      <c r="J256">
        <f>GS21/105.6</f>
        <v>0</v>
      </c>
      <c r="M256" t="inlineStr">
        <is>
          <t>-105K78.1</t>
        </is>
      </c>
    </row>
    <row r="257">
      <c r="A257">
        <v>256</v>
      </c>
      <c r="B257">
        <f>GS05</f>
        <v>0</v>
      </c>
      <c r="C257" t="inlineStr">
        <is>
          <t>+LS01</t>
        </is>
      </c>
      <c r="D257" t="inlineStr">
        <is>
          <t>-105Q1</t>
        </is>
      </c>
      <c r="E257" t="inlineStr">
        <is>
          <t>DILA-XHI22</t>
        </is>
      </c>
      <c r="F257" t="inlineStr">
        <is>
          <t>DILA-XHI22</t>
        </is>
      </c>
      <c r="G257" t="inlineStr">
        <is>
          <t>HILFSKONTAKTBLOCK</t>
        </is>
      </c>
      <c r="H257" t="inlineStr">
        <is>
          <t>2S 2OE Last+Hilfssch. Cage</t>
        </is>
      </c>
      <c r="I257">
        <v>1860</v>
      </c>
      <c r="J257">
        <f>GS05/105.6</f>
        <v>0</v>
      </c>
      <c r="K257" t="inlineStr">
        <is>
          <t>DIL MC25</t>
        </is>
      </c>
      <c r="M257" t="inlineStr">
        <is>
          <t>-105Q1</t>
        </is>
      </c>
    </row>
    <row r="258">
      <c r="A258">
        <v>257</v>
      </c>
      <c r="B258">
        <f>GS05</f>
        <v>0</v>
      </c>
      <c r="C258" t="inlineStr">
        <is>
          <t>+LS01</t>
        </is>
      </c>
      <c r="D258" t="inlineStr">
        <is>
          <t>-105Q1</t>
        </is>
      </c>
      <c r="E258" t="inlineStr">
        <is>
          <t>DILMC25-10(RDC24)</t>
        </is>
      </c>
      <c r="F258" t="inlineStr">
        <is>
          <t>DILA-XHI22</t>
        </is>
      </c>
      <c r="G258" t="inlineStr">
        <is>
          <t>LASTSCHUETZ</t>
        </is>
      </c>
      <c r="H258" t="inlineStr">
        <is>
          <t>11kW 1S Federzugkl.</t>
        </is>
      </c>
      <c r="I258">
        <v>1860</v>
      </c>
      <c r="J258">
        <f>GS05/105.6</f>
        <v>0</v>
      </c>
      <c r="K258" t="inlineStr">
        <is>
          <t>DIL MC25</t>
        </is>
      </c>
      <c r="M258" t="inlineStr">
        <is>
          <t>-105Q1</t>
        </is>
      </c>
    </row>
    <row r="259">
      <c r="A259">
        <v>258</v>
      </c>
      <c r="B259">
        <f>GS06</f>
        <v>0</v>
      </c>
      <c r="C259" t="inlineStr">
        <is>
          <t>+LS01</t>
        </is>
      </c>
      <c r="D259" t="inlineStr">
        <is>
          <t>-105Q1</t>
        </is>
      </c>
      <c r="E259" t="inlineStr">
        <is>
          <t>DILA-XHI22</t>
        </is>
      </c>
      <c r="F259" t="inlineStr">
        <is>
          <t>DILA-XHI22</t>
        </is>
      </c>
      <c r="G259" t="inlineStr">
        <is>
          <t>HILFSKONTAKTBLOCK</t>
        </is>
      </c>
      <c r="H259" t="inlineStr">
        <is>
          <t>2S 2OE Last+Hilfssch. Cage</t>
        </is>
      </c>
      <c r="I259">
        <v>1764</v>
      </c>
      <c r="J259">
        <f>GS06/105.6</f>
        <v>0</v>
      </c>
      <c r="K259" t="inlineStr">
        <is>
          <t>DIL MC25</t>
        </is>
      </c>
      <c r="M259" t="inlineStr">
        <is>
          <t>-105Q1</t>
        </is>
      </c>
    </row>
    <row r="260">
      <c r="A260">
        <v>259</v>
      </c>
      <c r="B260">
        <f>GS06</f>
        <v>0</v>
      </c>
      <c r="C260" t="inlineStr">
        <is>
          <t>+LS01</t>
        </is>
      </c>
      <c r="D260" t="inlineStr">
        <is>
          <t>-105Q1</t>
        </is>
      </c>
      <c r="E260" t="inlineStr">
        <is>
          <t>DILMC25-10(RDC24)</t>
        </is>
      </c>
      <c r="F260" t="inlineStr">
        <is>
          <t>DILA-XHI22</t>
        </is>
      </c>
      <c r="G260" t="inlineStr">
        <is>
          <t>LASTSCHUETZ</t>
        </is>
      </c>
      <c r="H260" t="inlineStr">
        <is>
          <t>11kW 1S Federzugkl.</t>
        </is>
      </c>
      <c r="I260">
        <v>1764</v>
      </c>
      <c r="J260">
        <f>GS06/105.6</f>
        <v>0</v>
      </c>
      <c r="K260" t="inlineStr">
        <is>
          <t>DIL MC25</t>
        </is>
      </c>
      <c r="M260" t="inlineStr">
        <is>
          <t>-105Q1</t>
        </is>
      </c>
    </row>
    <row r="261">
      <c r="A261">
        <v>260</v>
      </c>
      <c r="B261">
        <f>GS07</f>
        <v>0</v>
      </c>
      <c r="C261" t="inlineStr">
        <is>
          <t>+LS01</t>
        </is>
      </c>
      <c r="D261" t="inlineStr">
        <is>
          <t>-105Q1</t>
        </is>
      </c>
      <c r="E261" t="inlineStr">
        <is>
          <t>DILA-XHI22</t>
        </is>
      </c>
      <c r="F261" t="inlineStr">
        <is>
          <t>DILA-XHI22</t>
        </is>
      </c>
      <c r="G261" t="inlineStr">
        <is>
          <t>HILFSKONTAKTBLOCK</t>
        </is>
      </c>
      <c r="H261" t="inlineStr">
        <is>
          <t>2S 2OE Last+Hilfssch. Cage</t>
        </is>
      </c>
      <c r="I261">
        <v>258</v>
      </c>
      <c r="J261">
        <f>GS07/105.6</f>
        <v>0</v>
      </c>
      <c r="K261" t="inlineStr">
        <is>
          <t>DIL MC25</t>
        </is>
      </c>
      <c r="M261" t="inlineStr">
        <is>
          <t>-105Q1</t>
        </is>
      </c>
    </row>
    <row r="262">
      <c r="A262">
        <v>261</v>
      </c>
      <c r="B262">
        <f>GS07</f>
        <v>0</v>
      </c>
      <c r="C262" t="inlineStr">
        <is>
          <t>+LS01</t>
        </is>
      </c>
      <c r="D262" t="inlineStr">
        <is>
          <t>-105Q1</t>
        </is>
      </c>
      <c r="E262" t="inlineStr">
        <is>
          <t>DILMC25-10(RDC24)</t>
        </is>
      </c>
      <c r="F262" t="inlineStr">
        <is>
          <t>DILA-XHI22</t>
        </is>
      </c>
      <c r="G262" t="inlineStr">
        <is>
          <t>LASTSCHUETZ</t>
        </is>
      </c>
      <c r="H262" t="inlineStr">
        <is>
          <t>11kW 1S Federzugkl.</t>
        </is>
      </c>
      <c r="I262">
        <v>258</v>
      </c>
      <c r="J262">
        <f>GS07/105.6</f>
        <v>0</v>
      </c>
      <c r="K262" t="inlineStr">
        <is>
          <t>DIL MC25</t>
        </is>
      </c>
      <c r="M262" t="inlineStr">
        <is>
          <t>-105Q1</t>
        </is>
      </c>
    </row>
    <row r="263">
      <c r="A263">
        <v>262</v>
      </c>
      <c r="B263">
        <f>GS08</f>
        <v>0</v>
      </c>
      <c r="C263" t="inlineStr">
        <is>
          <t>+LS01</t>
        </is>
      </c>
      <c r="D263" t="inlineStr">
        <is>
          <t>-105Q1</t>
        </is>
      </c>
      <c r="E263" t="inlineStr">
        <is>
          <t>DILA-XHI22</t>
        </is>
      </c>
      <c r="F263" t="inlineStr">
        <is>
          <t>DILA-XHI22</t>
        </is>
      </c>
      <c r="G263" t="inlineStr">
        <is>
          <t>HILFSKONTAKTBLOCK</t>
        </is>
      </c>
      <c r="H263" t="inlineStr">
        <is>
          <t>2S 2OE Last+Hilfssch. Cage</t>
        </is>
      </c>
      <c r="I263">
        <v>2127</v>
      </c>
      <c r="J263">
        <f>GS08/105.6</f>
        <v>0</v>
      </c>
      <c r="K263" t="inlineStr">
        <is>
          <t>DIL MC25</t>
        </is>
      </c>
      <c r="M263" t="inlineStr">
        <is>
          <t>-105Q1</t>
        </is>
      </c>
    </row>
    <row r="264">
      <c r="A264">
        <v>263</v>
      </c>
      <c r="B264">
        <f>GS08</f>
        <v>0</v>
      </c>
      <c r="C264" t="inlineStr">
        <is>
          <t>+LS01</t>
        </is>
      </c>
      <c r="D264" t="inlineStr">
        <is>
          <t>-105Q1</t>
        </is>
      </c>
      <c r="E264" t="inlineStr">
        <is>
          <t>DILMC25-10(RDC24)</t>
        </is>
      </c>
      <c r="F264" t="inlineStr">
        <is>
          <t>DILA-XHI22</t>
        </is>
      </c>
      <c r="G264" t="inlineStr">
        <is>
          <t>LASTSCHUETZ</t>
        </is>
      </c>
      <c r="H264" t="inlineStr">
        <is>
          <t>11kW 1S Federzugkl.</t>
        </is>
      </c>
      <c r="I264">
        <v>2127</v>
      </c>
      <c r="J264">
        <f>GS08/105.6</f>
        <v>0</v>
      </c>
      <c r="K264" t="inlineStr">
        <is>
          <t>DIL MC25</t>
        </is>
      </c>
      <c r="M264" t="inlineStr">
        <is>
          <t>-105Q1</t>
        </is>
      </c>
    </row>
    <row r="265">
      <c r="A265">
        <v>264</v>
      </c>
      <c r="B265">
        <f>GS35</f>
        <v>0</v>
      </c>
      <c r="C265" t="inlineStr">
        <is>
          <t>+LS01</t>
        </is>
      </c>
      <c r="D265" t="inlineStr">
        <is>
          <t>-105Q1</t>
        </is>
      </c>
      <c r="E265" t="inlineStr">
        <is>
          <t>DILM-25-10</t>
        </is>
      </c>
      <c r="F265" t="inlineStr">
        <is>
          <t>DILA-XHI22</t>
        </is>
      </c>
      <c r="G265" t="inlineStr">
        <is>
          <t>LASTSCHUETZ</t>
        </is>
      </c>
      <c r="H265" t="inlineStr">
        <is>
          <t>11kW 1S Federzugkl.</t>
        </is>
      </c>
      <c r="I265">
        <v>299</v>
      </c>
      <c r="J265">
        <f>GS35/105.4</f>
        <v>0</v>
      </c>
      <c r="K265" t="inlineStr">
        <is>
          <t>DIL MC25</t>
        </is>
      </c>
      <c r="M265" t="inlineStr">
        <is>
          <t>-105Q1</t>
        </is>
      </c>
    </row>
    <row r="266">
      <c r="A266">
        <v>265</v>
      </c>
      <c r="B266">
        <f>GS35</f>
        <v>0</v>
      </c>
      <c r="C266" t="inlineStr">
        <is>
          <t>+LS01</t>
        </is>
      </c>
      <c r="D266" t="inlineStr">
        <is>
          <t>-105Q1</t>
        </is>
      </c>
      <c r="E266" t="inlineStr">
        <is>
          <t>DILA-XHI22</t>
        </is>
      </c>
      <c r="F266" t="inlineStr">
        <is>
          <t>DILA-XHI22</t>
        </is>
      </c>
      <c r="G266" t="inlineStr">
        <is>
          <t>HILFSKONTAKTBLOCK</t>
        </is>
      </c>
      <c r="H266" t="inlineStr">
        <is>
          <t>2S 2OE Last+Hilfssch. Cage</t>
        </is>
      </c>
      <c r="I266">
        <v>299</v>
      </c>
      <c r="J266">
        <f>GS35/105.4</f>
        <v>0</v>
      </c>
      <c r="K266" t="inlineStr">
        <is>
          <t>DIL MC25</t>
        </is>
      </c>
      <c r="M266" t="inlineStr">
        <is>
          <t>-105Q1</t>
        </is>
      </c>
    </row>
    <row r="267">
      <c r="A267">
        <v>266</v>
      </c>
      <c r="B267">
        <f>GS36</f>
        <v>0</v>
      </c>
      <c r="C267" t="inlineStr">
        <is>
          <t>+LS01</t>
        </is>
      </c>
      <c r="D267" t="inlineStr">
        <is>
          <t>-105Q1</t>
        </is>
      </c>
      <c r="E267" t="inlineStr">
        <is>
          <t>DILMC25-10(RDC24)</t>
        </is>
      </c>
      <c r="F267" t="inlineStr">
        <is>
          <t>DILA-XHI22</t>
        </is>
      </c>
      <c r="G267" t="inlineStr">
        <is>
          <t>LASTSCHUETZ</t>
        </is>
      </c>
      <c r="H267" t="inlineStr">
        <is>
          <t>11kW 1S Federzugkl.</t>
        </is>
      </c>
      <c r="I267">
        <v>277</v>
      </c>
      <c r="J267">
        <f>GS36/105.4</f>
        <v>0</v>
      </c>
      <c r="K267" t="inlineStr">
        <is>
          <t>DIL MC25</t>
        </is>
      </c>
      <c r="L267" t="inlineStr">
        <is>
          <t>HVO 01</t>
        </is>
      </c>
      <c r="M267" t="inlineStr">
        <is>
          <t>HVO 01
-105Q1</t>
        </is>
      </c>
      <c r="N267" t="inlineStr">
        <is>
          <t>P</t>
        </is>
      </c>
    </row>
    <row r="268">
      <c r="A268">
        <v>267</v>
      </c>
      <c r="B268">
        <f>GS36</f>
        <v>0</v>
      </c>
      <c r="C268" t="inlineStr">
        <is>
          <t>+LS01</t>
        </is>
      </c>
      <c r="D268" t="inlineStr">
        <is>
          <t>-105Q1</t>
        </is>
      </c>
      <c r="E268" t="inlineStr">
        <is>
          <t>DILA-XHI22</t>
        </is>
      </c>
      <c r="F268" t="inlineStr">
        <is>
          <t>DILA-XHI22</t>
        </is>
      </c>
      <c r="G268" t="inlineStr">
        <is>
          <t>HILFSKONTAKTBLOCK</t>
        </is>
      </c>
      <c r="H268" t="inlineStr">
        <is>
          <t>2S 2OE Last+Hilfssch. Cage</t>
        </is>
      </c>
      <c r="I268">
        <v>277</v>
      </c>
      <c r="J268">
        <f>GS36/105.4</f>
        <v>0</v>
      </c>
      <c r="K268" t="inlineStr">
        <is>
          <t>DIL MC25</t>
        </is>
      </c>
      <c r="L268" t="inlineStr">
        <is>
          <t>HVO 01</t>
        </is>
      </c>
      <c r="M268" t="inlineStr">
        <is>
          <t>HVO 01
-105Q1</t>
        </is>
      </c>
      <c r="N268" t="inlineStr">
        <is>
          <t>P</t>
        </is>
      </c>
    </row>
    <row r="269">
      <c r="A269">
        <v>268</v>
      </c>
      <c r="B269">
        <f>GS37</f>
        <v>0</v>
      </c>
      <c r="C269" t="inlineStr">
        <is>
          <t>+LS01</t>
        </is>
      </c>
      <c r="D269" t="inlineStr">
        <is>
          <t>-105Q1</t>
        </is>
      </c>
      <c r="E269" t="inlineStr">
        <is>
          <t>DILMC25-10(RDC24)</t>
        </is>
      </c>
      <c r="F269" t="inlineStr">
        <is>
          <t>DILA-XHI22</t>
        </is>
      </c>
      <c r="G269" t="inlineStr">
        <is>
          <t>LASTSCHUETZ</t>
        </is>
      </c>
      <c r="H269" t="inlineStr">
        <is>
          <t>11kW 1S Federzugkl.</t>
        </is>
      </c>
      <c r="I269">
        <v>366</v>
      </c>
      <c r="J269">
        <f>GS37/105.4</f>
        <v>0</v>
      </c>
      <c r="K269" t="inlineStr">
        <is>
          <t>DIL MC25</t>
        </is>
      </c>
      <c r="M269" t="inlineStr">
        <is>
          <t>-105Q1</t>
        </is>
      </c>
    </row>
    <row r="270">
      <c r="A270">
        <v>269</v>
      </c>
      <c r="B270">
        <f>GS37</f>
        <v>0</v>
      </c>
      <c r="C270" t="inlineStr">
        <is>
          <t>+LS01</t>
        </is>
      </c>
      <c r="D270" t="inlineStr">
        <is>
          <t>-105Q1</t>
        </is>
      </c>
      <c r="E270" t="inlineStr">
        <is>
          <t>DILA-XHI22</t>
        </is>
      </c>
      <c r="F270" t="inlineStr">
        <is>
          <t>DILA-XHI22</t>
        </is>
      </c>
      <c r="G270" t="inlineStr">
        <is>
          <t>HILFSKONTAKTBLOCK</t>
        </is>
      </c>
      <c r="H270" t="inlineStr">
        <is>
          <t>2S 2OE Last+Hilfssch. Cage</t>
        </is>
      </c>
      <c r="I270">
        <v>366</v>
      </c>
      <c r="J270">
        <f>GS37/105.4</f>
        <v>0</v>
      </c>
      <c r="K270" t="inlineStr">
        <is>
          <t>DIL MC25</t>
        </is>
      </c>
      <c r="M270" t="inlineStr">
        <is>
          <t>-105Q1</t>
        </is>
      </c>
    </row>
    <row r="271">
      <c r="A271">
        <v>270</v>
      </c>
      <c r="B271">
        <f>GS38</f>
        <v>0</v>
      </c>
      <c r="C271" t="inlineStr">
        <is>
          <t>+LS01</t>
        </is>
      </c>
      <c r="D271" t="inlineStr">
        <is>
          <t>-105Q1</t>
        </is>
      </c>
      <c r="E271" t="inlineStr">
        <is>
          <t>DILA-XHI22</t>
        </is>
      </c>
      <c r="F271" t="inlineStr">
        <is>
          <t>DILA-XHI22</t>
        </is>
      </c>
      <c r="G271" t="inlineStr">
        <is>
          <t>HILFSKONTAKTBLOCK</t>
        </is>
      </c>
      <c r="H271" t="inlineStr">
        <is>
          <t>2S 2OE Last+Hilfssch. Cage</t>
        </is>
      </c>
      <c r="I271">
        <v>265</v>
      </c>
      <c r="J271">
        <f>GS38/105.3</f>
        <v>0</v>
      </c>
      <c r="K271" t="inlineStr">
        <is>
          <t>DIL MC25</t>
        </is>
      </c>
      <c r="M271" t="inlineStr">
        <is>
          <t>-105Q1</t>
        </is>
      </c>
    </row>
    <row r="272">
      <c r="A272">
        <v>271</v>
      </c>
      <c r="B272">
        <f>GS38</f>
        <v>0</v>
      </c>
      <c r="C272" t="inlineStr">
        <is>
          <t>+LS01</t>
        </is>
      </c>
      <c r="D272" t="inlineStr">
        <is>
          <t>-105Q1</t>
        </is>
      </c>
      <c r="E272" t="inlineStr">
        <is>
          <t>DILMC25-10(RDC24)</t>
        </is>
      </c>
      <c r="F272" t="inlineStr">
        <is>
          <t>DILA-XHI22</t>
        </is>
      </c>
      <c r="G272" t="inlineStr">
        <is>
          <t>LASTSCHUETZ</t>
        </is>
      </c>
      <c r="H272" t="inlineStr">
        <is>
          <t>11kW 1S Federzugkl.</t>
        </is>
      </c>
      <c r="I272">
        <v>265</v>
      </c>
      <c r="J272">
        <f>GS38/105.3</f>
        <v>0</v>
      </c>
      <c r="K272" t="inlineStr">
        <is>
          <t>DIL MC25</t>
        </is>
      </c>
      <c r="M272" t="inlineStr">
        <is>
          <t>-105Q1</t>
        </is>
      </c>
    </row>
    <row r="273">
      <c r="A273">
        <v>272</v>
      </c>
      <c r="B273">
        <f>GS39</f>
        <v>0</v>
      </c>
      <c r="C273" t="inlineStr">
        <is>
          <t>+LS01</t>
        </is>
      </c>
      <c r="D273" t="inlineStr">
        <is>
          <t>-105Q1</t>
        </is>
      </c>
      <c r="E273" t="inlineStr">
        <is>
          <t>DILA-XHI22</t>
        </is>
      </c>
      <c r="F273" t="inlineStr">
        <is>
          <t>DILA-XHI22</t>
        </is>
      </c>
      <c r="G273" t="inlineStr">
        <is>
          <t>HILFSKONTAKTBLOCK</t>
        </is>
      </c>
      <c r="H273" t="inlineStr">
        <is>
          <t>2S 2OE Last+Hilfssch. Cage</t>
        </is>
      </c>
      <c r="I273">
        <v>288</v>
      </c>
      <c r="J273">
        <f>GS39/105.3</f>
        <v>0</v>
      </c>
      <c r="K273" t="inlineStr">
        <is>
          <t>DIL MC25</t>
        </is>
      </c>
      <c r="M273" t="inlineStr">
        <is>
          <t>-105Q1</t>
        </is>
      </c>
    </row>
    <row r="274">
      <c r="A274">
        <v>273</v>
      </c>
      <c r="B274">
        <f>GS39</f>
        <v>0</v>
      </c>
      <c r="C274" t="inlineStr">
        <is>
          <t>+LS01</t>
        </is>
      </c>
      <c r="D274" t="inlineStr">
        <is>
          <t>-105Q1</t>
        </is>
      </c>
      <c r="E274" t="inlineStr">
        <is>
          <t>DILMC25-10(RDC24)</t>
        </is>
      </c>
      <c r="F274" t="inlineStr">
        <is>
          <t>DILA-XHI22</t>
        </is>
      </c>
      <c r="G274" t="inlineStr">
        <is>
          <t>LASTSCHUETZ</t>
        </is>
      </c>
      <c r="H274" t="inlineStr">
        <is>
          <t>11kW 1S Federzugkl.</t>
        </is>
      </c>
      <c r="I274">
        <v>288</v>
      </c>
      <c r="J274">
        <f>GS39/105.3</f>
        <v>0</v>
      </c>
      <c r="K274" t="inlineStr">
        <is>
          <t>DIL MC25</t>
        </is>
      </c>
      <c r="M274" t="inlineStr">
        <is>
          <t>-105Q1</t>
        </is>
      </c>
    </row>
    <row r="275">
      <c r="A275">
        <v>274</v>
      </c>
      <c r="B275">
        <f>GS51</f>
        <v>0</v>
      </c>
      <c r="C275" t="inlineStr">
        <is>
          <t>+LS01</t>
        </is>
      </c>
      <c r="D275" t="inlineStr">
        <is>
          <t>-105Q1</t>
        </is>
      </c>
      <c r="E275" t="inlineStr">
        <is>
          <t>DILA-XHI22</t>
        </is>
      </c>
      <c r="F275" t="inlineStr">
        <is>
          <t>DILA-XHI22</t>
        </is>
      </c>
      <c r="G275" t="inlineStr">
        <is>
          <t>HILFSKONTAKTBLOCK</t>
        </is>
      </c>
      <c r="H275" t="inlineStr">
        <is>
          <t>2S 2OE Last+Hilfssch. Cage</t>
        </is>
      </c>
      <c r="I275">
        <v>308</v>
      </c>
      <c r="J275">
        <f>GS51/105.6</f>
        <v>0</v>
      </c>
      <c r="K275" t="inlineStr">
        <is>
          <t>DIL MC25</t>
        </is>
      </c>
      <c r="M275" t="inlineStr">
        <is>
          <t>-105Q1</t>
        </is>
      </c>
    </row>
    <row r="276">
      <c r="A276">
        <v>275</v>
      </c>
      <c r="B276">
        <f>GS51</f>
        <v>0</v>
      </c>
      <c r="C276" t="inlineStr">
        <is>
          <t>+LS01</t>
        </is>
      </c>
      <c r="D276" t="inlineStr">
        <is>
          <t>-105Q1</t>
        </is>
      </c>
      <c r="E276" t="inlineStr">
        <is>
          <t>DILMC25-10(RDC24)</t>
        </is>
      </c>
      <c r="F276" t="inlineStr">
        <is>
          <t>DILA-XHI22</t>
        </is>
      </c>
      <c r="G276" t="inlineStr">
        <is>
          <t>LASTSCHUETZ</t>
        </is>
      </c>
      <c r="H276" t="inlineStr">
        <is>
          <t>11kW 1S Federzugkl.</t>
        </is>
      </c>
      <c r="I276">
        <v>308</v>
      </c>
      <c r="J276">
        <f>GS51/105.6</f>
        <v>0</v>
      </c>
      <c r="K276" t="inlineStr">
        <is>
          <t>DIL MC25</t>
        </is>
      </c>
      <c r="M276" t="inlineStr">
        <is>
          <t>-105Q1</t>
        </is>
      </c>
    </row>
    <row r="277">
      <c r="A277">
        <v>276</v>
      </c>
      <c r="B277">
        <f>GS52</f>
        <v>0</v>
      </c>
      <c r="C277" t="inlineStr">
        <is>
          <t>+LS01</t>
        </is>
      </c>
      <c r="D277" t="inlineStr">
        <is>
          <t>-105Q1</t>
        </is>
      </c>
      <c r="E277" t="inlineStr">
        <is>
          <t>DILA-XHI22</t>
        </is>
      </c>
      <c r="F277" t="inlineStr">
        <is>
          <t>DILA-XHI22</t>
        </is>
      </c>
      <c r="G277" t="inlineStr">
        <is>
          <t>HILFSKONTAKTBLOCK</t>
        </is>
      </c>
      <c r="H277" t="inlineStr">
        <is>
          <t>2S 2OE Last+Hilfssch. Cage</t>
        </is>
      </c>
      <c r="I277">
        <v>567</v>
      </c>
      <c r="J277">
        <f>GS52/105.6</f>
        <v>0</v>
      </c>
      <c r="K277" t="inlineStr">
        <is>
          <t>DIL MC25</t>
        </is>
      </c>
      <c r="M277" t="inlineStr">
        <is>
          <t>-105Q1</t>
        </is>
      </c>
    </row>
    <row r="278">
      <c r="A278">
        <v>277</v>
      </c>
      <c r="B278">
        <f>GS52</f>
        <v>0</v>
      </c>
      <c r="C278" t="inlineStr">
        <is>
          <t>+LS01</t>
        </is>
      </c>
      <c r="D278" t="inlineStr">
        <is>
          <t>-105Q1</t>
        </is>
      </c>
      <c r="E278" t="inlineStr">
        <is>
          <t>DILMC25-10(RDC24)</t>
        </is>
      </c>
      <c r="F278" t="inlineStr">
        <is>
          <t>DILA-XHI22</t>
        </is>
      </c>
      <c r="G278" t="inlineStr">
        <is>
          <t>LASTSCHUETZ</t>
        </is>
      </c>
      <c r="H278" t="inlineStr">
        <is>
          <t>11kW 1S Federzugkl.</t>
        </is>
      </c>
      <c r="I278">
        <v>567</v>
      </c>
      <c r="J278">
        <f>GS52/105.6</f>
        <v>0</v>
      </c>
      <c r="K278" t="inlineStr">
        <is>
          <t>DIL MC25</t>
        </is>
      </c>
      <c r="M278" t="inlineStr">
        <is>
          <t>-105Q1</t>
        </is>
      </c>
    </row>
    <row r="279">
      <c r="A279">
        <v>278</v>
      </c>
      <c r="B279">
        <f>GS90</f>
        <v>0</v>
      </c>
      <c r="C279" t="inlineStr">
        <is>
          <t>+LS01</t>
        </is>
      </c>
      <c r="D279" t="inlineStr">
        <is>
          <t>-105Q1</t>
        </is>
      </c>
      <c r="E279" t="inlineStr">
        <is>
          <t>DILA-XHI22</t>
        </is>
      </c>
      <c r="F279" t="inlineStr">
        <is>
          <t>DILA-XHI22</t>
        </is>
      </c>
      <c r="G279" t="inlineStr">
        <is>
          <t>HILFSKONTAKTBLOCK</t>
        </is>
      </c>
      <c r="H279" t="inlineStr">
        <is>
          <t>2S 2OE Last+Hilfssch. Cage</t>
        </is>
      </c>
      <c r="I279">
        <v>1131</v>
      </c>
      <c r="J279">
        <f>GS90/105.4</f>
        <v>0</v>
      </c>
      <c r="K279" t="inlineStr">
        <is>
          <t>DIL MC25</t>
        </is>
      </c>
      <c r="M279" t="inlineStr">
        <is>
          <t>-105Q1</t>
        </is>
      </c>
    </row>
    <row r="280">
      <c r="A280">
        <v>279</v>
      </c>
      <c r="B280">
        <f>GS90</f>
        <v>0</v>
      </c>
      <c r="C280" t="inlineStr">
        <is>
          <t>+LS01</t>
        </is>
      </c>
      <c r="D280" t="inlineStr">
        <is>
          <t>-105Q1</t>
        </is>
      </c>
      <c r="E280" t="inlineStr">
        <is>
          <t>DILMC25-10(RDC24)</t>
        </is>
      </c>
      <c r="F280" t="inlineStr">
        <is>
          <t>DILA-XHI22</t>
        </is>
      </c>
      <c r="G280" t="inlineStr">
        <is>
          <t>LASTSCHUETZ</t>
        </is>
      </c>
      <c r="H280" t="inlineStr">
        <is>
          <t>11kW 1S Federzugkl.</t>
        </is>
      </c>
      <c r="I280">
        <v>1131</v>
      </c>
      <c r="J280">
        <f>GS90/105.4</f>
        <v>0</v>
      </c>
      <c r="K280" t="inlineStr">
        <is>
          <t>DIL MC25</t>
        </is>
      </c>
      <c r="M280" t="inlineStr">
        <is>
          <t>-105Q1</t>
        </is>
      </c>
    </row>
    <row r="281">
      <c r="A281">
        <v>280</v>
      </c>
      <c r="B281">
        <f>GS91</f>
        <v>0</v>
      </c>
      <c r="C281" t="inlineStr">
        <is>
          <t>+LS01</t>
        </is>
      </c>
      <c r="D281" t="inlineStr">
        <is>
          <t>-105Q1</t>
        </is>
      </c>
      <c r="E281" t="inlineStr">
        <is>
          <t>DILA-XHI22</t>
        </is>
      </c>
      <c r="F281" t="inlineStr">
        <is>
          <t>DILA-XHI22</t>
        </is>
      </c>
      <c r="G281" t="inlineStr">
        <is>
          <t>HILFSKONTAKTBLOCK</t>
        </is>
      </c>
      <c r="H281" t="inlineStr">
        <is>
          <t>2S 2OE Last+Hilfssch. Cage</t>
        </is>
      </c>
      <c r="I281">
        <v>253</v>
      </c>
      <c r="J281">
        <f>GS91/105.4</f>
        <v>0</v>
      </c>
      <c r="K281" t="inlineStr">
        <is>
          <t>DIL MC25</t>
        </is>
      </c>
      <c r="M281" t="inlineStr">
        <is>
          <t>-105Q1</t>
        </is>
      </c>
    </row>
    <row r="282">
      <c r="A282">
        <v>281</v>
      </c>
      <c r="B282">
        <f>GS91</f>
        <v>0</v>
      </c>
      <c r="C282" t="inlineStr">
        <is>
          <t>+LS01</t>
        </is>
      </c>
      <c r="D282" t="inlineStr">
        <is>
          <t>-105Q1</t>
        </is>
      </c>
      <c r="E282" t="inlineStr">
        <is>
          <t>DILMC25-10(RDC24)</t>
        </is>
      </c>
      <c r="F282" t="inlineStr">
        <is>
          <t>DILA-XHI22</t>
        </is>
      </c>
      <c r="G282" t="inlineStr">
        <is>
          <t>LASTSCHUETZ</t>
        </is>
      </c>
      <c r="H282" t="inlineStr">
        <is>
          <t>11kW 1S Federzugkl.</t>
        </is>
      </c>
      <c r="I282">
        <v>253</v>
      </c>
      <c r="J282">
        <f>GS91/105.4</f>
        <v>0</v>
      </c>
      <c r="K282" t="inlineStr">
        <is>
          <t>DIL MC25</t>
        </is>
      </c>
      <c r="M282" t="inlineStr">
        <is>
          <t>-105Q1</t>
        </is>
      </c>
    </row>
    <row r="283">
      <c r="A283">
        <v>282</v>
      </c>
      <c r="B283">
        <f>GS92</f>
        <v>0</v>
      </c>
      <c r="C283" t="inlineStr">
        <is>
          <t>+LS01</t>
        </is>
      </c>
      <c r="D283" t="inlineStr">
        <is>
          <t>-105Q1</t>
        </is>
      </c>
      <c r="E283" t="inlineStr">
        <is>
          <t>DILA-XHI22</t>
        </is>
      </c>
      <c r="F283" t="inlineStr">
        <is>
          <t>DILA-XHI22</t>
        </is>
      </c>
      <c r="G283" t="inlineStr">
        <is>
          <t>HILFSKONTAKTBLOCK</t>
        </is>
      </c>
      <c r="H283" t="inlineStr">
        <is>
          <t>2S 2OE Last+Hilfssch. Cage</t>
        </is>
      </c>
      <c r="I283">
        <v>253</v>
      </c>
      <c r="J283">
        <f>GS92/105.4</f>
        <v>0</v>
      </c>
      <c r="K283" t="inlineStr">
        <is>
          <t>DIL MC25</t>
        </is>
      </c>
      <c r="M283" t="inlineStr">
        <is>
          <t>-105Q1</t>
        </is>
      </c>
    </row>
    <row r="284">
      <c r="A284">
        <v>283</v>
      </c>
      <c r="B284">
        <f>GS92</f>
        <v>0</v>
      </c>
      <c r="C284" t="inlineStr">
        <is>
          <t>+LS01</t>
        </is>
      </c>
      <c r="D284" t="inlineStr">
        <is>
          <t>-105Q1</t>
        </is>
      </c>
      <c r="E284" t="inlineStr">
        <is>
          <t>DILMC25-10(RDC24)</t>
        </is>
      </c>
      <c r="F284" t="inlineStr">
        <is>
          <t>DILA-XHI22</t>
        </is>
      </c>
      <c r="G284" t="inlineStr">
        <is>
          <t>LASTSCHUETZ</t>
        </is>
      </c>
      <c r="H284" t="inlineStr">
        <is>
          <t>11kW 1S Federzugkl.</t>
        </is>
      </c>
      <c r="I284">
        <v>253</v>
      </c>
      <c r="J284">
        <f>GS92/105.4</f>
        <v>0</v>
      </c>
      <c r="K284" t="inlineStr">
        <is>
          <t>DIL MC25</t>
        </is>
      </c>
      <c r="M284" t="inlineStr">
        <is>
          <t>-105Q1</t>
        </is>
      </c>
    </row>
    <row r="285">
      <c r="A285">
        <v>284</v>
      </c>
      <c r="B285">
        <f>GS93</f>
        <v>0</v>
      </c>
      <c r="C285" t="inlineStr">
        <is>
          <t>+LS01</t>
        </is>
      </c>
      <c r="D285" t="inlineStr">
        <is>
          <t>-105Q1</t>
        </is>
      </c>
      <c r="E285" t="inlineStr">
        <is>
          <t>DILMC25-10(RDC24)</t>
        </is>
      </c>
      <c r="F285" t="inlineStr">
        <is>
          <t>DILA-XHI22</t>
        </is>
      </c>
      <c r="G285" t="inlineStr">
        <is>
          <t>LASTSCHUETZ</t>
        </is>
      </c>
      <c r="H285" t="inlineStr">
        <is>
          <t>11kW 1S Federzugkl.</t>
        </is>
      </c>
      <c r="I285">
        <v>674</v>
      </c>
      <c r="J285">
        <f>GS93/105.4</f>
        <v>0</v>
      </c>
      <c r="K285" t="inlineStr">
        <is>
          <t>DIL MC25</t>
        </is>
      </c>
      <c r="M285" t="inlineStr">
        <is>
          <t>-105Q1</t>
        </is>
      </c>
    </row>
    <row r="286">
      <c r="A286">
        <v>285</v>
      </c>
      <c r="B286">
        <f>GS93</f>
        <v>0</v>
      </c>
      <c r="C286" t="inlineStr">
        <is>
          <t>+LS01</t>
        </is>
      </c>
      <c r="D286" t="inlineStr">
        <is>
          <t>-105Q1</t>
        </is>
      </c>
      <c r="E286" t="inlineStr">
        <is>
          <t>DILA-XHI22</t>
        </is>
      </c>
      <c r="F286" t="inlineStr">
        <is>
          <t>DILA-XHI22</t>
        </is>
      </c>
      <c r="G286" t="inlineStr">
        <is>
          <t>HILFSKONTAKTBLOCK</t>
        </is>
      </c>
      <c r="H286" t="inlineStr">
        <is>
          <t>2S 2OE Last+Hilfssch. Cage</t>
        </is>
      </c>
      <c r="I286">
        <v>674</v>
      </c>
      <c r="J286">
        <f>GS93/105.4</f>
        <v>0</v>
      </c>
      <c r="K286" t="inlineStr">
        <is>
          <t>DIL MC25</t>
        </is>
      </c>
      <c r="M286" t="inlineStr">
        <is>
          <t>-105Q1</t>
        </is>
      </c>
    </row>
    <row r="287">
      <c r="A287">
        <v>286</v>
      </c>
      <c r="B287">
        <f>GS31</f>
        <v>0</v>
      </c>
      <c r="C287" t="inlineStr">
        <is>
          <t>+LS1</t>
        </is>
      </c>
      <c r="D287" t="inlineStr">
        <is>
          <t>-106.1K33.2</t>
        </is>
      </c>
      <c r="E287" t="inlineStr">
        <is>
          <t>22_DIL-E</t>
        </is>
      </c>
      <c r="F287" t="inlineStr">
        <is>
          <t>22_DIL-E</t>
        </is>
      </c>
      <c r="G287" t="inlineStr">
        <is>
          <t>HILFSKONTAKTBLOCK</t>
        </is>
      </c>
      <c r="H287" t="inlineStr">
        <is>
          <t>2S 2OE Last+Hilfsschuetz</t>
        </is>
      </c>
      <c r="I287">
        <v>390</v>
      </c>
      <c r="J287">
        <f>GS31/106.1.6</f>
        <v>0</v>
      </c>
      <c r="M287" t="inlineStr">
        <is>
          <t>-106.1K33.2</t>
        </is>
      </c>
    </row>
    <row r="288">
      <c r="A288">
        <v>287</v>
      </c>
      <c r="B288">
        <f>GS31</f>
        <v>0</v>
      </c>
      <c r="C288" t="inlineStr">
        <is>
          <t>+LS1</t>
        </is>
      </c>
      <c r="D288" t="inlineStr">
        <is>
          <t>-106.1K33.2</t>
        </is>
      </c>
      <c r="E288" t="inlineStr">
        <is>
          <t>DIL_EM-10-G</t>
        </is>
      </c>
      <c r="F288" t="inlineStr">
        <is>
          <t>22_DIL-E</t>
        </is>
      </c>
      <c r="G288" t="inlineStr">
        <is>
          <t>LASTSCHUETZ</t>
        </is>
      </c>
      <c r="H288" t="inlineStr">
        <is>
          <t>4kW 1S</t>
        </is>
      </c>
      <c r="I288">
        <v>390</v>
      </c>
      <c r="J288">
        <f>GS31/106.1.6</f>
        <v>0</v>
      </c>
      <c r="M288" t="inlineStr">
        <is>
          <t>-106.1K33.2</t>
        </is>
      </c>
    </row>
    <row r="289">
      <c r="A289">
        <v>288</v>
      </c>
      <c r="B289">
        <f>GS31</f>
        <v>0</v>
      </c>
      <c r="C289" t="inlineStr">
        <is>
          <t>+LS1</t>
        </is>
      </c>
      <c r="D289" t="inlineStr">
        <is>
          <t>-106.1K33.3</t>
        </is>
      </c>
      <c r="E289" t="inlineStr">
        <is>
          <t>22_DIL-E</t>
        </is>
      </c>
      <c r="F289" t="inlineStr">
        <is>
          <t>22_DIL-E</t>
        </is>
      </c>
      <c r="G289" t="inlineStr">
        <is>
          <t>HILFSKONTAKTBLOCK</t>
        </is>
      </c>
      <c r="H289" t="inlineStr">
        <is>
          <t>2S 2OE Last+Hilfsschuetz</t>
        </is>
      </c>
      <c r="I289">
        <v>390</v>
      </c>
      <c r="J289">
        <f>GS31/106.1.6</f>
        <v>0</v>
      </c>
      <c r="M289" t="inlineStr">
        <is>
          <t>-106.1K33.3</t>
        </is>
      </c>
    </row>
    <row r="290">
      <c r="A290">
        <v>289</v>
      </c>
      <c r="B290">
        <f>GS31</f>
        <v>0</v>
      </c>
      <c r="C290" t="inlineStr">
        <is>
          <t>+LS1</t>
        </is>
      </c>
      <c r="D290" t="inlineStr">
        <is>
          <t>-106.1K33.3</t>
        </is>
      </c>
      <c r="E290" t="inlineStr">
        <is>
          <t>DIL_EM-10-G</t>
        </is>
      </c>
      <c r="F290" t="inlineStr">
        <is>
          <t>22_DIL-E</t>
        </is>
      </c>
      <c r="G290" t="inlineStr">
        <is>
          <t>LASTSCHUETZ</t>
        </is>
      </c>
      <c r="H290" t="inlineStr">
        <is>
          <t>4kW 1S</t>
        </is>
      </c>
      <c r="I290">
        <v>390</v>
      </c>
      <c r="J290">
        <f>GS31/106.1.6</f>
        <v>0</v>
      </c>
      <c r="M290" t="inlineStr">
        <is>
          <t>-106.1K33.3</t>
        </is>
      </c>
    </row>
    <row r="291">
      <c r="A291">
        <v>290</v>
      </c>
      <c r="B291">
        <f>GS55</f>
        <v>0</v>
      </c>
      <c r="C291" t="inlineStr">
        <is>
          <t>+LS17</t>
        </is>
      </c>
      <c r="D291" t="inlineStr">
        <is>
          <t>-1060Q1</t>
        </is>
      </c>
      <c r="E291" t="inlineStr">
        <is>
          <t>DILA-XHI22</t>
        </is>
      </c>
      <c r="F291" t="inlineStr">
        <is>
          <t>DILA-XHI22</t>
        </is>
      </c>
      <c r="G291" t="inlineStr">
        <is>
          <t>HILFSKONTAKTBLOCK</t>
        </is>
      </c>
      <c r="H291" t="inlineStr">
        <is>
          <t>2S 2OE Last+Hilfssch. Cage</t>
        </is>
      </c>
      <c r="I291">
        <v>1308</v>
      </c>
      <c r="J291">
        <f>GS55/1060.6</f>
        <v>0</v>
      </c>
      <c r="K291" t="inlineStr">
        <is>
          <t>DIL MC25</t>
        </is>
      </c>
      <c r="M291" t="inlineStr">
        <is>
          <t>-1060Q1</t>
        </is>
      </c>
    </row>
    <row r="292">
      <c r="A292">
        <v>291</v>
      </c>
      <c r="B292">
        <f>GS55</f>
        <v>0</v>
      </c>
      <c r="C292" t="inlineStr">
        <is>
          <t>+LS17</t>
        </is>
      </c>
      <c r="D292" t="inlineStr">
        <is>
          <t>-1060Q1</t>
        </is>
      </c>
      <c r="E292" t="inlineStr">
        <is>
          <t>DILMC25-10(RDC24)</t>
        </is>
      </c>
      <c r="F292" t="inlineStr">
        <is>
          <t>DILA-XHI22</t>
        </is>
      </c>
      <c r="G292" t="inlineStr">
        <is>
          <t>LASTSCHUETZ</t>
        </is>
      </c>
      <c r="H292" t="inlineStr">
        <is>
          <t>11kW 1S Federzugkl.</t>
        </is>
      </c>
      <c r="I292">
        <v>1308</v>
      </c>
      <c r="J292">
        <f>GS55/1060.6</f>
        <v>0</v>
      </c>
      <c r="K292" t="inlineStr">
        <is>
          <t>DIL MC25</t>
        </is>
      </c>
      <c r="M292" t="inlineStr">
        <is>
          <t>-1060Q1</t>
        </is>
      </c>
    </row>
    <row r="293">
      <c r="A293">
        <v>292</v>
      </c>
      <c r="B293">
        <f>GS55</f>
        <v>0</v>
      </c>
      <c r="C293" t="inlineStr">
        <is>
          <t>+LS17</t>
        </is>
      </c>
      <c r="D293" t="inlineStr">
        <is>
          <t>-1061Q440.1</t>
        </is>
      </c>
      <c r="E293" t="inlineStr">
        <is>
          <t>DILM-9-10</t>
        </is>
      </c>
      <c r="F293" t="inlineStr">
        <is>
          <t>DILA-XHI22</t>
        </is>
      </c>
      <c r="G293" t="inlineStr">
        <is>
          <t>LASTSCHUETZ</t>
        </is>
      </c>
      <c r="H293" t="inlineStr">
        <is>
          <t>4kW 1S Federzugkl.</t>
        </is>
      </c>
      <c r="I293">
        <v>1309</v>
      </c>
      <c r="J293">
        <f>GS55/1061.6</f>
        <v>0</v>
      </c>
      <c r="K293" t="inlineStr">
        <is>
          <t>DIL MC9</t>
        </is>
      </c>
      <c r="M293" t="inlineStr">
        <is>
          <t>-1061Q440.1</t>
        </is>
      </c>
    </row>
    <row r="294">
      <c r="A294">
        <v>293</v>
      </c>
      <c r="B294">
        <f>GS55</f>
        <v>0</v>
      </c>
      <c r="C294" t="inlineStr">
        <is>
          <t>+LS17</t>
        </is>
      </c>
      <c r="D294" t="inlineStr">
        <is>
          <t>-1061Q440.1</t>
        </is>
      </c>
      <c r="E294" t="inlineStr">
        <is>
          <t>DILA-XHI22</t>
        </is>
      </c>
      <c r="F294" t="inlineStr">
        <is>
          <t>DILA-XHI22</t>
        </is>
      </c>
      <c r="G294" t="inlineStr">
        <is>
          <t>HILFSKONTAKTBLOCK</t>
        </is>
      </c>
      <c r="H294" t="inlineStr">
        <is>
          <t>2S 2OE Last+Hilfssch. Cage</t>
        </is>
      </c>
      <c r="I294">
        <v>1309</v>
      </c>
      <c r="J294">
        <f>GS55/1061.6</f>
        <v>0</v>
      </c>
      <c r="K294" t="inlineStr">
        <is>
          <t>DIL MC9</t>
        </is>
      </c>
      <c r="M294" t="inlineStr">
        <is>
          <t>-1061Q440.1</t>
        </is>
      </c>
    </row>
    <row r="295">
      <c r="A295">
        <v>294</v>
      </c>
      <c r="B295">
        <f>GS55</f>
        <v>0</v>
      </c>
      <c r="C295" t="inlineStr">
        <is>
          <t>+LS17</t>
        </is>
      </c>
      <c r="D295" t="inlineStr">
        <is>
          <t>-1061Q440.2</t>
        </is>
      </c>
      <c r="E295" t="inlineStr">
        <is>
          <t>DILM-9-10</t>
        </is>
      </c>
      <c r="F295" t="inlineStr">
        <is>
          <t>DILA-XHI22</t>
        </is>
      </c>
      <c r="G295" t="inlineStr">
        <is>
          <t>LASTSCHUETZ</t>
        </is>
      </c>
      <c r="H295" t="inlineStr">
        <is>
          <t>4kW 1S Federzugkl.</t>
        </is>
      </c>
      <c r="I295">
        <v>1309</v>
      </c>
      <c r="J295">
        <f>GS55/1061.7</f>
        <v>0</v>
      </c>
      <c r="K295" t="inlineStr">
        <is>
          <t>DIL MC9</t>
        </is>
      </c>
      <c r="M295" t="inlineStr">
        <is>
          <t>-1061Q440.2</t>
        </is>
      </c>
    </row>
    <row r="296">
      <c r="A296">
        <v>295</v>
      </c>
      <c r="B296">
        <f>GS55</f>
        <v>0</v>
      </c>
      <c r="C296" t="inlineStr">
        <is>
          <t>+LS17</t>
        </is>
      </c>
      <c r="D296" t="inlineStr">
        <is>
          <t>-1061Q440.2</t>
        </is>
      </c>
      <c r="E296" t="inlineStr">
        <is>
          <t>DILA-XHI22</t>
        </is>
      </c>
      <c r="F296" t="inlineStr">
        <is>
          <t>DILA-XHI22</t>
        </is>
      </c>
      <c r="G296" t="inlineStr">
        <is>
          <t>HILFSKONTAKTBLOCK</t>
        </is>
      </c>
      <c r="H296" t="inlineStr">
        <is>
          <t>2S 2OE Last+Hilfssch. Cage</t>
        </is>
      </c>
      <c r="I296">
        <v>1309</v>
      </c>
      <c r="J296">
        <f>GS55/1061.7</f>
        <v>0</v>
      </c>
      <c r="K296" t="inlineStr">
        <is>
          <t>DIL MC9</t>
        </is>
      </c>
      <c r="M296" t="inlineStr">
        <is>
          <t>-1061Q440.2</t>
        </is>
      </c>
    </row>
    <row r="297">
      <c r="A297">
        <v>296</v>
      </c>
      <c r="B297">
        <f>GS05</f>
        <v>0</v>
      </c>
      <c r="C297" t="inlineStr">
        <is>
          <t>+LS17</t>
        </is>
      </c>
      <c r="D297" t="inlineStr">
        <is>
          <t>-1061Q738.2</t>
        </is>
      </c>
      <c r="E297" t="inlineStr">
        <is>
          <t>DILM-9-10</t>
        </is>
      </c>
      <c r="F297" t="inlineStr">
        <is>
          <t>#KALK!</t>
        </is>
      </c>
      <c r="G297" t="inlineStr">
        <is>
          <t>LASTSCHUETZ</t>
        </is>
      </c>
      <c r="H297" t="inlineStr">
        <is>
          <t>4kW 1S Federzugkl.</t>
        </is>
      </c>
      <c r="I297">
        <v>3039</v>
      </c>
      <c r="J297">
        <f>GS05/1061.6</f>
        <v>0</v>
      </c>
      <c r="K297" t="inlineStr">
        <is>
          <t>DIL MC9</t>
        </is>
      </c>
      <c r="M297" t="inlineStr">
        <is>
          <t>-1061Q738.2</t>
        </is>
      </c>
    </row>
    <row r="298">
      <c r="A298">
        <v>297</v>
      </c>
      <c r="B298">
        <f>GS55</f>
        <v>0</v>
      </c>
      <c r="C298" t="inlineStr">
        <is>
          <t>+LS17</t>
        </is>
      </c>
      <c r="D298" t="inlineStr">
        <is>
          <t>-1064Q440.3</t>
        </is>
      </c>
      <c r="E298" t="inlineStr">
        <is>
          <t>DILM-9-10</t>
        </is>
      </c>
      <c r="F298" t="inlineStr">
        <is>
          <t>#KALK!</t>
        </is>
      </c>
      <c r="G298" t="inlineStr">
        <is>
          <t>LASTSCHUETZ</t>
        </is>
      </c>
      <c r="H298" t="inlineStr">
        <is>
          <t>4kW 1S Federzugkl.</t>
        </is>
      </c>
      <c r="I298">
        <v>1312</v>
      </c>
      <c r="J298">
        <f>GS55/1064.6</f>
        <v>0</v>
      </c>
      <c r="K298" t="inlineStr">
        <is>
          <t>DIL MC9</t>
        </is>
      </c>
      <c r="M298" t="inlineStr">
        <is>
          <t>-1064Q440.3</t>
        </is>
      </c>
    </row>
    <row r="299">
      <c r="A299">
        <v>298</v>
      </c>
      <c r="B299">
        <f>GS13</f>
        <v>0</v>
      </c>
      <c r="C299" t="inlineStr">
        <is>
          <t>+LS1</t>
        </is>
      </c>
      <c r="D299" t="inlineStr">
        <is>
          <t>-10650.3</t>
        </is>
      </c>
      <c r="E299" t="inlineStr">
        <is>
          <t>DIL_EM-10-G</t>
        </is>
      </c>
      <c r="F299" t="inlineStr">
        <is>
          <t>#KALK!</t>
        </is>
      </c>
      <c r="G299" t="inlineStr">
        <is>
          <t>LASTSCHUETZ</t>
        </is>
      </c>
      <c r="H299" t="inlineStr">
        <is>
          <t>4kW 1S</t>
        </is>
      </c>
      <c r="I299">
        <v>345</v>
      </c>
      <c r="J299">
        <f>GS13/106.7</f>
        <v>0</v>
      </c>
      <c r="M299" t="inlineStr">
        <is>
          <t>-10650.3</t>
        </is>
      </c>
    </row>
    <row r="300">
      <c r="A300">
        <v>299</v>
      </c>
      <c r="B300">
        <f>GS36</f>
        <v>0</v>
      </c>
      <c r="C300" t="inlineStr">
        <is>
          <t>+LS</t>
        </is>
      </c>
      <c r="D300" t="inlineStr">
        <is>
          <t>-7K2</t>
        </is>
      </c>
      <c r="E300" t="inlineStr">
        <is>
          <t>DILA-40</t>
        </is>
      </c>
      <c r="F300" t="inlineStr">
        <is>
          <t>#KALK!</t>
        </is>
      </c>
      <c r="G300" t="inlineStr">
        <is>
          <t>HILFSSCHUETZ</t>
        </is>
      </c>
      <c r="H300" t="inlineStr">
        <is>
          <t>4S Federzugkl.</t>
        </is>
      </c>
      <c r="I300">
        <v>146</v>
      </c>
      <c r="J300">
        <f>GS36/7.3</f>
        <v>0</v>
      </c>
      <c r="M300" t="inlineStr">
        <is>
          <t>-7K2</t>
        </is>
      </c>
    </row>
    <row r="301">
      <c r="A301">
        <v>300</v>
      </c>
      <c r="B301">
        <f>GS36</f>
        <v>0</v>
      </c>
      <c r="C301" t="inlineStr">
        <is>
          <t>+LS14</t>
        </is>
      </c>
      <c r="D301" t="inlineStr">
        <is>
          <t>-1065Q1</t>
        </is>
      </c>
      <c r="E301" t="inlineStr">
        <is>
          <t>DILA-XHI22</t>
        </is>
      </c>
      <c r="F301" t="inlineStr">
        <is>
          <t>DILA-XHI22</t>
        </is>
      </c>
      <c r="G301" t="inlineStr">
        <is>
          <t>HILFSKONTAKTBLOCK</t>
        </is>
      </c>
      <c r="H301" t="inlineStr">
        <is>
          <t>2S 2OE Last+Hilfssch. Cage</t>
        </is>
      </c>
      <c r="I301">
        <v>1597</v>
      </c>
      <c r="J301">
        <f>GS36/1065.4</f>
        <v>0</v>
      </c>
      <c r="K301" t="inlineStr">
        <is>
          <t>DIL MC25</t>
        </is>
      </c>
      <c r="L301" t="inlineStr">
        <is>
          <t>HVO 41</t>
        </is>
      </c>
      <c r="M301" t="inlineStr">
        <is>
          <t>HVO 41
-1065Q1</t>
        </is>
      </c>
      <c r="N301" t="inlineStr">
        <is>
          <t>P</t>
        </is>
      </c>
    </row>
    <row r="302">
      <c r="A302">
        <v>301</v>
      </c>
      <c r="B302">
        <f>GS36</f>
        <v>0</v>
      </c>
      <c r="C302" t="inlineStr">
        <is>
          <t>+LS14</t>
        </is>
      </c>
      <c r="D302" t="inlineStr">
        <is>
          <t>-1065Q1</t>
        </is>
      </c>
      <c r="E302" t="inlineStr">
        <is>
          <t>DILMC25-10(RDC24)</t>
        </is>
      </c>
      <c r="F302" t="inlineStr">
        <is>
          <t>DILA-XHI22</t>
        </is>
      </c>
      <c r="G302" t="inlineStr">
        <is>
          <t>LASTSCHUETZ</t>
        </is>
      </c>
      <c r="H302" t="inlineStr">
        <is>
          <t>11kW 1S Federzugkl.</t>
        </is>
      </c>
      <c r="I302">
        <v>1597</v>
      </c>
      <c r="J302">
        <f>GS36/1065.4</f>
        <v>0</v>
      </c>
      <c r="K302" t="inlineStr">
        <is>
          <t>DIL MC25</t>
        </is>
      </c>
      <c r="L302" t="inlineStr">
        <is>
          <t>HVO 41</t>
        </is>
      </c>
      <c r="M302" t="inlineStr">
        <is>
          <t>HVO 41
-1065Q1</t>
        </is>
      </c>
      <c r="N302" t="inlineStr">
        <is>
          <t>P</t>
        </is>
      </c>
    </row>
    <row r="303">
      <c r="A303">
        <v>302</v>
      </c>
      <c r="B303">
        <f>GS33</f>
        <v>0</v>
      </c>
      <c r="C303" t="inlineStr">
        <is>
          <t>+LS13</t>
        </is>
      </c>
      <c r="D303" t="inlineStr">
        <is>
          <t>-1066K78.3</t>
        </is>
      </c>
      <c r="E303" t="inlineStr">
        <is>
          <t>DILM-9-10</t>
        </is>
      </c>
      <c r="F303" t="inlineStr">
        <is>
          <t>#KALK!</t>
        </is>
      </c>
      <c r="G303" t="inlineStr">
        <is>
          <t>LASTSCHUETZ</t>
        </is>
      </c>
      <c r="H303" t="inlineStr">
        <is>
          <t>4kW 1S Federzugkl.</t>
        </is>
      </c>
      <c r="I303">
        <v>1525</v>
      </c>
      <c r="J303">
        <f>GS33/1066.8</f>
        <v>0</v>
      </c>
      <c r="M303" t="inlineStr">
        <is>
          <t>-1066K78.3</t>
        </is>
      </c>
    </row>
    <row r="304">
      <c r="A304">
        <v>303</v>
      </c>
      <c r="B304">
        <f>GS05</f>
        <v>0</v>
      </c>
      <c r="C304" t="inlineStr">
        <is>
          <t>+LS17</t>
        </is>
      </c>
      <c r="D304" t="inlineStr">
        <is>
          <t>-1066Q738.3</t>
        </is>
      </c>
      <c r="E304" t="inlineStr">
        <is>
          <t>DILM-9-10</t>
        </is>
      </c>
      <c r="F304" t="inlineStr">
        <is>
          <t>#KALK!</t>
        </is>
      </c>
      <c r="G304" t="inlineStr">
        <is>
          <t>LASTSCHUETZ</t>
        </is>
      </c>
      <c r="H304" t="inlineStr">
        <is>
          <t>4kW 1S Federzugkl.</t>
        </is>
      </c>
      <c r="I304">
        <v>3043</v>
      </c>
      <c r="J304">
        <f>GS05/1066.6</f>
        <v>0</v>
      </c>
      <c r="K304" t="inlineStr">
        <is>
          <t>DIL MC9</t>
        </is>
      </c>
      <c r="M304" t="inlineStr">
        <is>
          <t>-1066Q738.3</t>
        </is>
      </c>
    </row>
    <row r="305">
      <c r="A305">
        <v>304</v>
      </c>
      <c r="B305">
        <f>GS33</f>
        <v>0</v>
      </c>
      <c r="C305" t="inlineStr">
        <is>
          <t>+LS13</t>
        </is>
      </c>
      <c r="D305" t="inlineStr">
        <is>
          <t>-1067K78.7</t>
        </is>
      </c>
      <c r="E305" t="inlineStr">
        <is>
          <t>DILM-9-10</t>
        </is>
      </c>
      <c r="F305" t="inlineStr">
        <is>
          <t>#KALK!</t>
        </is>
      </c>
      <c r="G305" t="inlineStr">
        <is>
          <t>LASTSCHUETZ</t>
        </is>
      </c>
      <c r="H305" t="inlineStr">
        <is>
          <t>4kW 1S Federzugkl.</t>
        </is>
      </c>
      <c r="I305">
        <v>1526</v>
      </c>
      <c r="J305">
        <f>GS33/1067.8</f>
        <v>0</v>
      </c>
      <c r="M305" t="inlineStr">
        <is>
          <t>-1067K78.7</t>
        </is>
      </c>
    </row>
    <row r="306">
      <c r="A306">
        <v>305</v>
      </c>
      <c r="B306">
        <f>GS36</f>
        <v>0</v>
      </c>
      <c r="C306" t="inlineStr">
        <is>
          <t>+LS14</t>
        </is>
      </c>
      <c r="D306" t="inlineStr">
        <is>
          <t>-1068Q736.7</t>
        </is>
      </c>
      <c r="E306" t="inlineStr">
        <is>
          <t>DILA-XHI22</t>
        </is>
      </c>
      <c r="F306" t="inlineStr">
        <is>
          <t>DILA-XHI22</t>
        </is>
      </c>
      <c r="G306" t="inlineStr">
        <is>
          <t>HILFSKONTAKTBLOCK</t>
        </is>
      </c>
      <c r="H306" t="inlineStr">
        <is>
          <t>2S 2OE Last+Hilfssch. Cage</t>
        </is>
      </c>
      <c r="I306">
        <v>1594</v>
      </c>
      <c r="J306">
        <f>GS36/1068.5</f>
        <v>0</v>
      </c>
      <c r="L306" t="inlineStr">
        <is>
          <t>KL_4101</t>
        </is>
      </c>
      <c r="M306" t="inlineStr">
        <is>
          <t>KL_4101
-1068Q736.7</t>
        </is>
      </c>
      <c r="N306" t="inlineStr">
        <is>
          <t>P</t>
        </is>
      </c>
    </row>
    <row r="307">
      <c r="A307">
        <v>306</v>
      </c>
      <c r="B307">
        <f>GS36</f>
        <v>0</v>
      </c>
      <c r="C307" t="inlineStr">
        <is>
          <t>+LS</t>
        </is>
      </c>
      <c r="D307" t="inlineStr">
        <is>
          <t>-7K4</t>
        </is>
      </c>
      <c r="E307" t="inlineStr">
        <is>
          <t>DILA-40</t>
        </is>
      </c>
      <c r="F307" t="inlineStr">
        <is>
          <t>#KALK!</t>
        </is>
      </c>
      <c r="G307" t="inlineStr">
        <is>
          <t>HILFSSCHUETZ</t>
        </is>
      </c>
      <c r="H307" t="inlineStr">
        <is>
          <t>4S Federzugkl.</t>
        </is>
      </c>
      <c r="I307">
        <v>146</v>
      </c>
      <c r="J307">
        <f>GS36/7.4</f>
        <v>0</v>
      </c>
      <c r="M307" t="inlineStr">
        <is>
          <t>-7K4</t>
        </is>
      </c>
    </row>
    <row r="308">
      <c r="A308">
        <v>307</v>
      </c>
      <c r="B308">
        <f>GS36</f>
        <v>0</v>
      </c>
      <c r="C308" t="inlineStr">
        <is>
          <t>+LS14</t>
        </is>
      </c>
      <c r="D308" t="inlineStr">
        <is>
          <t>-1068Q737.0</t>
        </is>
      </c>
      <c r="E308" t="inlineStr">
        <is>
          <t>DILA-XHI22</t>
        </is>
      </c>
      <c r="F308" t="inlineStr">
        <is>
          <t>DILA-XHI22</t>
        </is>
      </c>
      <c r="G308" t="inlineStr">
        <is>
          <t>HILFSKONTAKTBLOCK</t>
        </is>
      </c>
      <c r="H308" t="inlineStr">
        <is>
          <t>2S 2OE Last+Hilfssch. Cage</t>
        </is>
      </c>
      <c r="I308">
        <v>1594</v>
      </c>
      <c r="J308">
        <f>GS36/1068.6</f>
        <v>0</v>
      </c>
      <c r="L308" t="inlineStr">
        <is>
          <t>KL_4101</t>
        </is>
      </c>
      <c r="M308" t="inlineStr">
        <is>
          <t>KL_4101
-1068Q737.0</t>
        </is>
      </c>
      <c r="N308" t="inlineStr">
        <is>
          <t>P</t>
        </is>
      </c>
    </row>
    <row r="309">
      <c r="A309">
        <v>308</v>
      </c>
      <c r="B309">
        <f>GS36</f>
        <v>0</v>
      </c>
      <c r="C309" t="inlineStr">
        <is>
          <t>+LS</t>
        </is>
      </c>
      <c r="D309" t="inlineStr">
        <is>
          <t>-9Q3</t>
        </is>
      </c>
      <c r="E309" t="inlineStr">
        <is>
          <t>DILM-9-10</t>
        </is>
      </c>
      <c r="F309" t="inlineStr">
        <is>
          <t>#KALK!</t>
        </is>
      </c>
      <c r="G309" t="inlineStr">
        <is>
          <t>LASTSCHUETZ</t>
        </is>
      </c>
      <c r="H309" t="inlineStr">
        <is>
          <t>4kW 1S Federzugkl.</t>
        </is>
      </c>
      <c r="I309">
        <v>148</v>
      </c>
      <c r="J309">
        <f>GS36/9.5</f>
        <v>0</v>
      </c>
      <c r="M309" t="inlineStr">
        <is>
          <t>-9Q3</t>
        </is>
      </c>
    </row>
    <row r="310">
      <c r="A310">
        <v>309</v>
      </c>
      <c r="B310">
        <f>GS33</f>
        <v>0</v>
      </c>
      <c r="C310" t="inlineStr">
        <is>
          <t>+LS13</t>
        </is>
      </c>
      <c r="D310" t="inlineStr">
        <is>
          <t>-1069K80.5</t>
        </is>
      </c>
      <c r="E310" t="inlineStr">
        <is>
          <t>DILM-9-10</t>
        </is>
      </c>
      <c r="F310" t="inlineStr">
        <is>
          <t>#KALK!</t>
        </is>
      </c>
      <c r="G310" t="inlineStr">
        <is>
          <t>LASTSCHUETZ</t>
        </is>
      </c>
      <c r="H310" t="inlineStr">
        <is>
          <t>4kW 1S Federzugkl.</t>
        </is>
      </c>
      <c r="I310">
        <v>1528</v>
      </c>
      <c r="J310">
        <f>GS33/1069.8</f>
        <v>0</v>
      </c>
      <c r="M310" t="inlineStr">
        <is>
          <t>-1069K80.5</t>
        </is>
      </c>
    </row>
    <row r="311">
      <c r="A311">
        <v>310</v>
      </c>
      <c r="B311">
        <f>GS02</f>
        <v>0</v>
      </c>
      <c r="C311" t="inlineStr">
        <is>
          <t>+LS1</t>
        </is>
      </c>
      <c r="D311" t="inlineStr">
        <is>
          <t>-106K1</t>
        </is>
      </c>
      <c r="E311" t="inlineStr">
        <is>
          <t>22_DIL-M</t>
        </is>
      </c>
      <c r="F311" t="inlineStr">
        <is>
          <t>22_DIL-M</t>
        </is>
      </c>
      <c r="G311" t="inlineStr">
        <is>
          <t>HILFSKONTAKTBLOCK</t>
        </is>
      </c>
      <c r="H311" t="inlineStr">
        <is>
          <t>2S 2OE Lastschuetz DIL M</t>
        </is>
      </c>
      <c r="I311">
        <v>504</v>
      </c>
      <c r="J311">
        <f>GS02/106.2</f>
        <v>0</v>
      </c>
      <c r="K311" t="inlineStr">
        <is>
          <t>DIL0AM</t>
        </is>
      </c>
      <c r="M311" t="inlineStr">
        <is>
          <t>-106K1</t>
        </is>
      </c>
    </row>
    <row r="312">
      <c r="A312">
        <v>311</v>
      </c>
      <c r="B312">
        <f>GS02</f>
        <v>0</v>
      </c>
      <c r="C312" t="inlineStr">
        <is>
          <t>+LS1</t>
        </is>
      </c>
      <c r="D312" t="inlineStr">
        <is>
          <t>-106K1</t>
        </is>
      </c>
      <c r="E312" t="inlineStr">
        <is>
          <t>DIL_0AM</t>
        </is>
      </c>
      <c r="F312" t="inlineStr">
        <is>
          <t>22_DIL-M</t>
        </is>
      </c>
      <c r="G312" t="inlineStr">
        <is>
          <t>LASTSCHUETZ</t>
        </is>
      </c>
      <c r="H312" t="inlineStr">
        <is>
          <t>11 kW</t>
        </is>
      </c>
      <c r="I312">
        <v>504</v>
      </c>
      <c r="J312">
        <f>GS02/106.2</f>
        <v>0</v>
      </c>
      <c r="K312" t="inlineStr">
        <is>
          <t>DIL0AM</t>
        </is>
      </c>
      <c r="M312" t="inlineStr">
        <is>
          <t>-106K1</t>
        </is>
      </c>
    </row>
    <row r="313">
      <c r="A313">
        <v>312</v>
      </c>
      <c r="B313">
        <f>GS04</f>
        <v>0</v>
      </c>
      <c r="C313" t="inlineStr">
        <is>
          <t>+LS1</t>
        </is>
      </c>
      <c r="D313" t="inlineStr">
        <is>
          <t>-106K1</t>
        </is>
      </c>
      <c r="E313" t="inlineStr">
        <is>
          <t>22_DIL-M</t>
        </is>
      </c>
      <c r="F313" t="inlineStr">
        <is>
          <t>22_DIL-M</t>
        </is>
      </c>
      <c r="G313" t="inlineStr">
        <is>
          <t>HILFSKONTAKTBLOCK</t>
        </is>
      </c>
      <c r="H313" t="inlineStr">
        <is>
          <t>2S 2OE Lastschuetz DIL M</t>
        </is>
      </c>
      <c r="I313">
        <v>356</v>
      </c>
      <c r="J313">
        <f>GS04/106.2</f>
        <v>0</v>
      </c>
      <c r="K313" t="inlineStr">
        <is>
          <t>DIL2AM</t>
        </is>
      </c>
      <c r="M313" t="inlineStr">
        <is>
          <t>-106K1</t>
        </is>
      </c>
    </row>
    <row r="314">
      <c r="A314">
        <v>313</v>
      </c>
      <c r="B314">
        <f>GS04</f>
        <v>0</v>
      </c>
      <c r="C314" t="inlineStr">
        <is>
          <t>+LS1</t>
        </is>
      </c>
      <c r="D314" t="inlineStr">
        <is>
          <t>-106K1</t>
        </is>
      </c>
      <c r="E314" t="inlineStr">
        <is>
          <t>DIL_2AM</t>
        </is>
      </c>
      <c r="F314" t="inlineStr">
        <is>
          <t>22_DIL-M</t>
        </is>
      </c>
      <c r="G314" t="inlineStr">
        <is>
          <t>LASTSCHUETZ</t>
        </is>
      </c>
      <c r="H314" t="inlineStr">
        <is>
          <t>30 kW</t>
        </is>
      </c>
      <c r="I314">
        <v>356</v>
      </c>
      <c r="J314">
        <f>GS04/106.2</f>
        <v>0</v>
      </c>
      <c r="K314" t="inlineStr">
        <is>
          <t>DIL2AM</t>
        </is>
      </c>
      <c r="M314" t="inlineStr">
        <is>
          <t>-106K1</t>
        </is>
      </c>
    </row>
    <row r="315">
      <c r="A315">
        <v>314</v>
      </c>
      <c r="B315">
        <f>GS26</f>
        <v>0</v>
      </c>
      <c r="C315" t="inlineStr">
        <is>
          <t>+LS1</t>
        </is>
      </c>
      <c r="D315" t="inlineStr">
        <is>
          <t>-106K1</t>
        </is>
      </c>
      <c r="E315" t="inlineStr">
        <is>
          <t>DILMC25-10230V50HZ</t>
        </is>
      </c>
      <c r="F315" t="inlineStr">
        <is>
          <t>DILA-XHI22</t>
        </is>
      </c>
      <c r="G315" t="inlineStr">
        <is>
          <t>LASTSCHUETZ</t>
        </is>
      </c>
      <c r="H315" t="inlineStr">
        <is>
          <t>11kW 1S Federzugkl.</t>
        </is>
      </c>
      <c r="I315">
        <v>250</v>
      </c>
      <c r="J315">
        <f>GS26/106.2</f>
        <v>0</v>
      </c>
      <c r="K315" t="inlineStr">
        <is>
          <t>DIL MC 25</t>
        </is>
      </c>
      <c r="M315" t="inlineStr">
        <is>
          <t>-106K1</t>
        </is>
      </c>
    </row>
    <row r="316">
      <c r="A316">
        <v>315</v>
      </c>
      <c r="B316">
        <f>GS26</f>
        <v>0</v>
      </c>
      <c r="C316" t="inlineStr">
        <is>
          <t>+LS1</t>
        </is>
      </c>
      <c r="D316" t="inlineStr">
        <is>
          <t>-106K1</t>
        </is>
      </c>
      <c r="E316" t="inlineStr">
        <is>
          <t>DILA-XHI22</t>
        </is>
      </c>
      <c r="F316" t="inlineStr">
        <is>
          <t>DILA-XHI22</t>
        </is>
      </c>
      <c r="G316" t="inlineStr">
        <is>
          <t>HILFSKONTAKTBLOCK</t>
        </is>
      </c>
      <c r="H316" t="inlineStr">
        <is>
          <t>2S 2OE Last+Hilfssch. Cage</t>
        </is>
      </c>
      <c r="I316">
        <v>250</v>
      </c>
      <c r="J316">
        <f>GS26/106.2</f>
        <v>0</v>
      </c>
      <c r="K316" t="inlineStr">
        <is>
          <t>DIL MC 25</t>
        </is>
      </c>
      <c r="M316" t="inlineStr">
        <is>
          <t>-106K1</t>
        </is>
      </c>
    </row>
    <row r="317">
      <c r="A317">
        <v>316</v>
      </c>
      <c r="B317">
        <f>GS34</f>
        <v>0</v>
      </c>
      <c r="C317" t="inlineStr">
        <is>
          <t>+LS1</t>
        </is>
      </c>
      <c r="D317" t="inlineStr">
        <is>
          <t>-106K13.4</t>
        </is>
      </c>
      <c r="E317" t="inlineStr">
        <is>
          <t>DIL_EM-10-G</t>
        </is>
      </c>
      <c r="F317" t="inlineStr">
        <is>
          <t>#KALK!</t>
        </is>
      </c>
      <c r="G317" t="inlineStr">
        <is>
          <t>LASTSCHUETZ</t>
        </is>
      </c>
      <c r="H317" t="inlineStr">
        <is>
          <t>4kW 1S</t>
        </is>
      </c>
      <c r="I317">
        <v>230</v>
      </c>
      <c r="J317">
        <f>GS34/106.7</f>
        <v>0</v>
      </c>
      <c r="M317" t="inlineStr">
        <is>
          <t>-106K13.4</t>
        </is>
      </c>
    </row>
    <row r="318">
      <c r="A318">
        <v>317</v>
      </c>
      <c r="B318">
        <f>GS16</f>
        <v>0</v>
      </c>
      <c r="C318" t="inlineStr">
        <is>
          <t>+LS1</t>
        </is>
      </c>
      <c r="D318" t="inlineStr">
        <is>
          <t>-106K14.6</t>
        </is>
      </c>
      <c r="E318" t="inlineStr">
        <is>
          <t>DIL_EM-10-G</t>
        </is>
      </c>
      <c r="F318" t="inlineStr">
        <is>
          <t>#KALK!</t>
        </is>
      </c>
      <c r="G318" t="inlineStr">
        <is>
          <t>LASTSCHUETZ</t>
        </is>
      </c>
      <c r="H318" t="inlineStr">
        <is>
          <t>4kW 1S</t>
        </is>
      </c>
      <c r="I318">
        <v>326</v>
      </c>
      <c r="J318">
        <f>GS16/106.6</f>
        <v>0</v>
      </c>
      <c r="M318" t="inlineStr">
        <is>
          <t>-106K14.6</t>
        </is>
      </c>
    </row>
    <row r="319">
      <c r="A319">
        <v>318</v>
      </c>
      <c r="B319">
        <f>GS16</f>
        <v>0</v>
      </c>
      <c r="C319" t="inlineStr">
        <is>
          <t>+LS1</t>
        </is>
      </c>
      <c r="D319" t="inlineStr">
        <is>
          <t>-106K14.7</t>
        </is>
      </c>
      <c r="E319" t="inlineStr">
        <is>
          <t>DIL_EM-10-G</t>
        </is>
      </c>
      <c r="F319" t="inlineStr">
        <is>
          <t>#KALK!</t>
        </is>
      </c>
      <c r="G319" t="inlineStr">
        <is>
          <t>LASTSCHUETZ</t>
        </is>
      </c>
      <c r="H319" t="inlineStr">
        <is>
          <t>4kW 1S</t>
        </is>
      </c>
      <c r="I319">
        <v>326</v>
      </c>
      <c r="J319">
        <f>GS16/106.6</f>
        <v>0</v>
      </c>
      <c r="M319" t="inlineStr">
        <is>
          <t>-106K14.7</t>
        </is>
      </c>
    </row>
    <row r="320">
      <c r="A320">
        <v>319</v>
      </c>
      <c r="B320">
        <f>GS11</f>
        <v>0</v>
      </c>
      <c r="C320" t="inlineStr">
        <is>
          <t>+LS1</t>
        </is>
      </c>
      <c r="D320" t="inlineStr">
        <is>
          <t>-106K26.6</t>
        </is>
      </c>
      <c r="E320" t="inlineStr">
        <is>
          <t>DIL_EM-10-G</t>
        </is>
      </c>
      <c r="F320" t="inlineStr">
        <is>
          <t>#KALK!</t>
        </is>
      </c>
      <c r="G320" t="inlineStr">
        <is>
          <t>LASTSCHUETZ</t>
        </is>
      </c>
      <c r="H320" t="inlineStr">
        <is>
          <t>4kW 1S</t>
        </is>
      </c>
      <c r="I320">
        <v>217</v>
      </c>
      <c r="J320">
        <f>GS11/106.6</f>
        <v>0</v>
      </c>
      <c r="M320" t="inlineStr">
        <is>
          <t>-106K26.6</t>
        </is>
      </c>
    </row>
    <row r="321">
      <c r="A321">
        <v>320</v>
      </c>
      <c r="B321">
        <f>GS21</f>
        <v>0</v>
      </c>
      <c r="C321" t="inlineStr">
        <is>
          <t>+LS1</t>
        </is>
      </c>
      <c r="D321" t="inlineStr">
        <is>
          <t>-106K26.6</t>
        </is>
      </c>
      <c r="E321" t="inlineStr">
        <is>
          <t>DIL_EM-10-G</t>
        </is>
      </c>
      <c r="F321" t="inlineStr">
        <is>
          <t>#KALK!</t>
        </is>
      </c>
      <c r="G321" t="inlineStr">
        <is>
          <t>LASTSCHUETZ</t>
        </is>
      </c>
      <c r="H321" t="inlineStr">
        <is>
          <t>4kW 1S</t>
        </is>
      </c>
      <c r="I321">
        <v>76</v>
      </c>
      <c r="J321">
        <f>GS21/106.6</f>
        <v>0</v>
      </c>
      <c r="M321" t="inlineStr">
        <is>
          <t>-106K26.6</t>
        </is>
      </c>
    </row>
    <row r="322">
      <c r="A322">
        <v>321</v>
      </c>
      <c r="B322">
        <f>GS31</f>
        <v>0</v>
      </c>
      <c r="C322" t="inlineStr">
        <is>
          <t>+LS1</t>
        </is>
      </c>
      <c r="D322" t="inlineStr">
        <is>
          <t>-106K33.0</t>
        </is>
      </c>
      <c r="E322" t="inlineStr">
        <is>
          <t>22_DIL-E</t>
        </is>
      </c>
      <c r="F322" t="inlineStr">
        <is>
          <t>22_DIL-E</t>
        </is>
      </c>
      <c r="G322" t="inlineStr">
        <is>
          <t>HILFSKONTAKTBLOCK</t>
        </is>
      </c>
      <c r="H322" t="inlineStr">
        <is>
          <t>2S 2OE Last+Hilfsschuetz</t>
        </is>
      </c>
      <c r="I322">
        <v>389</v>
      </c>
      <c r="J322">
        <f>GS31/106.6</f>
        <v>0</v>
      </c>
      <c r="M322" t="inlineStr">
        <is>
          <t>-106K33.0</t>
        </is>
      </c>
    </row>
    <row r="323">
      <c r="A323">
        <v>322</v>
      </c>
      <c r="B323">
        <f>GS31</f>
        <v>0</v>
      </c>
      <c r="C323" t="inlineStr">
        <is>
          <t>+LS1</t>
        </is>
      </c>
      <c r="D323" t="inlineStr">
        <is>
          <t>-106K33.0</t>
        </is>
      </c>
      <c r="E323" t="inlineStr">
        <is>
          <t>DIL_EM-10-G</t>
        </is>
      </c>
      <c r="F323" t="inlineStr">
        <is>
          <t>22_DIL-E</t>
        </is>
      </c>
      <c r="G323" t="inlineStr">
        <is>
          <t>LASTSCHUETZ</t>
        </is>
      </c>
      <c r="H323" t="inlineStr">
        <is>
          <t>4kW 1S</t>
        </is>
      </c>
      <c r="I323">
        <v>389</v>
      </c>
      <c r="J323">
        <f>GS31/106.6</f>
        <v>0</v>
      </c>
      <c r="M323" t="inlineStr">
        <is>
          <t>-106K33.0</t>
        </is>
      </c>
    </row>
    <row r="324">
      <c r="A324">
        <v>323</v>
      </c>
      <c r="B324">
        <f>GS31</f>
        <v>0</v>
      </c>
      <c r="C324" t="inlineStr">
        <is>
          <t>+LS1</t>
        </is>
      </c>
      <c r="D324" t="inlineStr">
        <is>
          <t>-106K33.1</t>
        </is>
      </c>
      <c r="E324" t="inlineStr">
        <is>
          <t>22_DIL-E</t>
        </is>
      </c>
      <c r="F324" t="inlineStr">
        <is>
          <t>22_DIL-E</t>
        </is>
      </c>
      <c r="G324" t="inlineStr">
        <is>
          <t>HILFSKONTAKTBLOCK</t>
        </is>
      </c>
      <c r="H324" t="inlineStr">
        <is>
          <t>2S 2OE Last+Hilfsschuetz</t>
        </is>
      </c>
      <c r="I324">
        <v>389</v>
      </c>
      <c r="J324">
        <f>GS31/106.6</f>
        <v>0</v>
      </c>
      <c r="M324" t="inlineStr">
        <is>
          <t>-106K33.1</t>
        </is>
      </c>
    </row>
    <row r="325">
      <c r="A325">
        <v>324</v>
      </c>
      <c r="B325">
        <f>GS31</f>
        <v>0</v>
      </c>
      <c r="C325" t="inlineStr">
        <is>
          <t>+LS1</t>
        </is>
      </c>
      <c r="D325" t="inlineStr">
        <is>
          <t>-106K33.1</t>
        </is>
      </c>
      <c r="E325" t="inlineStr">
        <is>
          <t>DIL_EM-10-G</t>
        </is>
      </c>
      <c r="F325" t="inlineStr">
        <is>
          <t>22_DIL-E</t>
        </is>
      </c>
      <c r="G325" t="inlineStr">
        <is>
          <t>LASTSCHUETZ</t>
        </is>
      </c>
      <c r="H325" t="inlineStr">
        <is>
          <t>4kW 1S</t>
        </is>
      </c>
      <c r="I325">
        <v>389</v>
      </c>
      <c r="J325">
        <f>GS31/106.6</f>
        <v>0</v>
      </c>
      <c r="M325" t="inlineStr">
        <is>
          <t>-106K33.1</t>
        </is>
      </c>
    </row>
    <row r="326">
      <c r="A326">
        <v>325</v>
      </c>
      <c r="B326">
        <f>GS23</f>
        <v>0</v>
      </c>
      <c r="C326" t="inlineStr">
        <is>
          <t>+LS1</t>
        </is>
      </c>
      <c r="D326" t="inlineStr">
        <is>
          <t>-106K50.3</t>
        </is>
      </c>
      <c r="E326" t="inlineStr">
        <is>
          <t>DIL_EM-10-G</t>
        </is>
      </c>
      <c r="F326" t="inlineStr">
        <is>
          <t>#KALK!</t>
        </is>
      </c>
      <c r="G326" t="inlineStr">
        <is>
          <t>LASTSCHUETZ</t>
        </is>
      </c>
      <c r="H326" t="inlineStr">
        <is>
          <t>4kW 1S</t>
        </is>
      </c>
      <c r="I326">
        <v>405</v>
      </c>
      <c r="J326">
        <f>GS23/106.7</f>
        <v>0</v>
      </c>
      <c r="M326" t="inlineStr">
        <is>
          <t>-106K50.3</t>
        </is>
      </c>
    </row>
    <row r="327">
      <c r="A327">
        <v>326</v>
      </c>
      <c r="B327">
        <f>GS61</f>
        <v>0</v>
      </c>
      <c r="C327" t="inlineStr">
        <is>
          <t>+ES1</t>
        </is>
      </c>
      <c r="D327" t="inlineStr">
        <is>
          <t>-106K54.4</t>
        </is>
      </c>
      <c r="E327" t="inlineStr">
        <is>
          <t>DIL_EM-10-G</t>
        </is>
      </c>
      <c r="F327" t="inlineStr">
        <is>
          <t>#KALK!</t>
        </is>
      </c>
      <c r="G327" t="inlineStr">
        <is>
          <t>LASTSCHUETZ</t>
        </is>
      </c>
      <c r="H327" t="inlineStr">
        <is>
          <t>4kW 1S</t>
        </is>
      </c>
      <c r="I327">
        <v>220</v>
      </c>
      <c r="J327">
        <f>GS61/106.6</f>
        <v>0</v>
      </c>
      <c r="M327" t="inlineStr">
        <is>
          <t>-106K54.4</t>
        </is>
      </c>
    </row>
    <row r="328">
      <c r="A328">
        <v>327</v>
      </c>
      <c r="B328">
        <f>GS62</f>
        <v>0</v>
      </c>
      <c r="C328" t="inlineStr">
        <is>
          <t>+ES1</t>
        </is>
      </c>
      <c r="D328" t="inlineStr">
        <is>
          <t>-106K54.4</t>
        </is>
      </c>
      <c r="E328" t="inlineStr">
        <is>
          <t>DIL_EM-10-G</t>
        </is>
      </c>
      <c r="F328" t="inlineStr">
        <is>
          <t>#KALK!</t>
        </is>
      </c>
      <c r="G328" t="inlineStr">
        <is>
          <t>LASTSCHUETZ</t>
        </is>
      </c>
      <c r="H328" t="inlineStr">
        <is>
          <t>4kW 1S</t>
        </is>
      </c>
      <c r="I328">
        <v>303</v>
      </c>
      <c r="J328">
        <f>GS62/106.6</f>
        <v>0</v>
      </c>
      <c r="M328" t="inlineStr">
        <is>
          <t>-106K54.4</t>
        </is>
      </c>
    </row>
    <row r="329">
      <c r="A329">
        <v>328</v>
      </c>
      <c r="B329">
        <f>GS61</f>
        <v>0</v>
      </c>
      <c r="C329" t="inlineStr">
        <is>
          <t>+ES1</t>
        </is>
      </c>
      <c r="D329" t="inlineStr">
        <is>
          <t>-106K54.5</t>
        </is>
      </c>
      <c r="E329" t="inlineStr">
        <is>
          <t>DIL_EM-10-G</t>
        </is>
      </c>
      <c r="F329" t="inlineStr">
        <is>
          <t>#KALK!</t>
        </is>
      </c>
      <c r="G329" t="inlineStr">
        <is>
          <t>LASTSCHUETZ</t>
        </is>
      </c>
      <c r="H329" t="inlineStr">
        <is>
          <t>4kW 1S</t>
        </is>
      </c>
      <c r="I329">
        <v>220</v>
      </c>
      <c r="J329">
        <f>GS61/106.7</f>
        <v>0</v>
      </c>
      <c r="M329" t="inlineStr">
        <is>
          <t>-106K54.5</t>
        </is>
      </c>
    </row>
    <row r="330">
      <c r="A330">
        <v>329</v>
      </c>
      <c r="B330">
        <f>GS62</f>
        <v>0</v>
      </c>
      <c r="C330" t="inlineStr">
        <is>
          <t>+ES1</t>
        </is>
      </c>
      <c r="D330" t="inlineStr">
        <is>
          <t>-106K54.5</t>
        </is>
      </c>
      <c r="E330" t="inlineStr">
        <is>
          <t>DIL_EM-10-G</t>
        </is>
      </c>
      <c r="F330" t="inlineStr">
        <is>
          <t>#KALK!</t>
        </is>
      </c>
      <c r="G330" t="inlineStr">
        <is>
          <t>LASTSCHUETZ</t>
        </is>
      </c>
      <c r="H330" t="inlineStr">
        <is>
          <t>4kW 1S</t>
        </is>
      </c>
      <c r="I330">
        <v>303</v>
      </c>
      <c r="J330">
        <f>GS62/106.7</f>
        <v>0</v>
      </c>
      <c r="M330" t="inlineStr">
        <is>
          <t>-106K54.5</t>
        </is>
      </c>
    </row>
    <row r="331">
      <c r="A331">
        <v>330</v>
      </c>
      <c r="B331">
        <f>GS15</f>
        <v>0</v>
      </c>
      <c r="C331" t="inlineStr">
        <is>
          <t>+LS1</t>
        </is>
      </c>
      <c r="D331" t="inlineStr">
        <is>
          <t>-106K58.0</t>
        </is>
      </c>
      <c r="E331" t="inlineStr">
        <is>
          <t>DIL_EM-10-G</t>
        </is>
      </c>
      <c r="F331" t="inlineStr">
        <is>
          <t>#KALK!</t>
        </is>
      </c>
      <c r="G331" t="inlineStr">
        <is>
          <t>LASTSCHUETZ</t>
        </is>
      </c>
      <c r="H331" t="inlineStr">
        <is>
          <t>4kW 1S</t>
        </is>
      </c>
      <c r="I331">
        <v>593</v>
      </c>
      <c r="J331">
        <f>GS15/106.6</f>
        <v>0</v>
      </c>
      <c r="M331" t="inlineStr">
        <is>
          <t>-106K58.0</t>
        </is>
      </c>
    </row>
    <row r="332">
      <c r="A332">
        <v>331</v>
      </c>
      <c r="B332">
        <f>GS15</f>
        <v>0</v>
      </c>
      <c r="C332" t="inlineStr">
        <is>
          <t>+LS1</t>
        </is>
      </c>
      <c r="D332" t="inlineStr">
        <is>
          <t>-106K58.1</t>
        </is>
      </c>
      <c r="E332" t="inlineStr">
        <is>
          <t>DIL_EM-10-G</t>
        </is>
      </c>
      <c r="F332" t="inlineStr">
        <is>
          <t>#KALK!</t>
        </is>
      </c>
      <c r="G332" t="inlineStr">
        <is>
          <t>LASTSCHUETZ</t>
        </is>
      </c>
      <c r="H332" t="inlineStr">
        <is>
          <t>4kW 1S</t>
        </is>
      </c>
      <c r="I332">
        <v>593</v>
      </c>
      <c r="J332">
        <f>GS15/106.6</f>
        <v>0</v>
      </c>
      <c r="M332" t="inlineStr">
        <is>
          <t>-106K58.1</t>
        </is>
      </c>
    </row>
    <row r="333">
      <c r="A333">
        <v>332</v>
      </c>
      <c r="B333">
        <f>GS11</f>
        <v>0</v>
      </c>
      <c r="C333" t="inlineStr">
        <is>
          <t>+LS1</t>
        </is>
      </c>
      <c r="D333" t="inlineStr">
        <is>
          <t>-106K78.2</t>
        </is>
      </c>
      <c r="E333" t="inlineStr">
        <is>
          <t>DIL_EM-10-G</t>
        </is>
      </c>
      <c r="F333" t="inlineStr">
        <is>
          <t>#KALK!</t>
        </is>
      </c>
      <c r="G333" t="inlineStr">
        <is>
          <t>LASTSCHUETZ</t>
        </is>
      </c>
      <c r="H333" t="inlineStr">
        <is>
          <t>4kW 1S</t>
        </is>
      </c>
      <c r="I333">
        <v>217</v>
      </c>
      <c r="J333">
        <f>GS11/106.6</f>
        <v>0</v>
      </c>
      <c r="M333" t="inlineStr">
        <is>
          <t>-106K78.2</t>
        </is>
      </c>
    </row>
    <row r="334">
      <c r="A334">
        <v>333</v>
      </c>
      <c r="B334">
        <f>GS21</f>
        <v>0</v>
      </c>
      <c r="C334" t="inlineStr">
        <is>
          <t>+LS1</t>
        </is>
      </c>
      <c r="D334" t="inlineStr">
        <is>
          <t>-106K78.2</t>
        </is>
      </c>
      <c r="E334" t="inlineStr">
        <is>
          <t>DIL_EM-10-G</t>
        </is>
      </c>
      <c r="F334" t="inlineStr">
        <is>
          <t>#KALK!</t>
        </is>
      </c>
      <c r="G334" t="inlineStr">
        <is>
          <t>LASTSCHUETZ</t>
        </is>
      </c>
      <c r="H334" t="inlineStr">
        <is>
          <t>4kW 1S</t>
        </is>
      </c>
      <c r="I334">
        <v>76</v>
      </c>
      <c r="J334">
        <f>GS21/106.6</f>
        <v>0</v>
      </c>
      <c r="M334" t="inlineStr">
        <is>
          <t>-106K78.2</t>
        </is>
      </c>
    </row>
    <row r="335">
      <c r="A335">
        <v>334</v>
      </c>
      <c r="B335">
        <f>GS79</f>
        <v>0</v>
      </c>
      <c r="C335" t="inlineStr">
        <is>
          <t>+LS[l2]</t>
        </is>
      </c>
      <c r="D335" t="inlineStr">
        <is>
          <t>-106Q1</t>
        </is>
      </c>
      <c r="E335" t="inlineStr">
        <is>
          <t>DILMC40(RDC24)</t>
        </is>
      </c>
      <c r="F335" t="inlineStr">
        <is>
          <t>DILM150-XHIC22</t>
        </is>
      </c>
      <c r="G335" t="inlineStr">
        <is>
          <t>LASTSCHUETZ</t>
        </is>
      </c>
      <c r="H335" t="inlineStr">
        <is>
          <t>18,5kW Federzugkl.</t>
        </is>
      </c>
      <c r="I335">
        <v>197</v>
      </c>
      <c r="J335">
        <f>GS79/106.5</f>
        <v>0</v>
      </c>
      <c r="K335" t="inlineStr">
        <is>
          <t>DILMC40</t>
        </is>
      </c>
      <c r="M335" t="inlineStr">
        <is>
          <t>-106Q1</t>
        </is>
      </c>
    </row>
    <row r="336">
      <c r="A336">
        <v>335</v>
      </c>
      <c r="B336">
        <f>GS79</f>
        <v>0</v>
      </c>
      <c r="C336" t="inlineStr">
        <is>
          <t>+LS[l2]</t>
        </is>
      </c>
      <c r="D336" t="inlineStr">
        <is>
          <t>-106Q1</t>
        </is>
      </c>
      <c r="E336" t="inlineStr">
        <is>
          <t>DILMC40(RDC24)</t>
        </is>
      </c>
      <c r="F336" t="inlineStr">
        <is>
          <t>DILM150-XHIC22</t>
        </is>
      </c>
      <c r="G336" t="inlineStr">
        <is>
          <t>LASTSCHUETZ</t>
        </is>
      </c>
      <c r="H336" t="inlineStr">
        <is>
          <t>18,5kW Federzugkl.</t>
        </is>
      </c>
      <c r="I336">
        <v>147</v>
      </c>
      <c r="J336">
        <f>GS79/106.6</f>
        <v>0</v>
      </c>
      <c r="K336" t="inlineStr">
        <is>
          <t>DILMC40</t>
        </is>
      </c>
      <c r="M336" t="inlineStr">
        <is>
          <t>-106Q1</t>
        </is>
      </c>
    </row>
    <row r="337">
      <c r="A337">
        <v>336</v>
      </c>
      <c r="B337">
        <f>GS79</f>
        <v>0</v>
      </c>
      <c r="C337" t="inlineStr">
        <is>
          <t>+LS[l2]</t>
        </is>
      </c>
      <c r="D337" t="inlineStr">
        <is>
          <t>-106Q1</t>
        </is>
      </c>
      <c r="E337" t="inlineStr">
        <is>
          <t>DILM150-XHIC22</t>
        </is>
      </c>
      <c r="F337" t="inlineStr">
        <is>
          <t>DILM150-XHIC22</t>
        </is>
      </c>
      <c r="G337" t="inlineStr">
        <is>
          <t>HILFSKONTAKTBLOCK</t>
        </is>
      </c>
      <c r="H337" t="inlineStr">
        <is>
          <t>2S 2OE ab DILMC40</t>
        </is>
      </c>
      <c r="I337">
        <v>197</v>
      </c>
      <c r="J337">
        <f>GS79/106.5</f>
        <v>0</v>
      </c>
      <c r="K337" t="inlineStr">
        <is>
          <t>DILMC40</t>
        </is>
      </c>
      <c r="M337" t="inlineStr">
        <is>
          <t>-106Q1</t>
        </is>
      </c>
    </row>
    <row r="338">
      <c r="A338">
        <v>337</v>
      </c>
      <c r="B338">
        <f>GS79</f>
        <v>0</v>
      </c>
      <c r="C338" t="inlineStr">
        <is>
          <t>+LS[l2]</t>
        </is>
      </c>
      <c r="D338" t="inlineStr">
        <is>
          <t>-106Q1</t>
        </is>
      </c>
      <c r="E338" t="inlineStr">
        <is>
          <t>DILM150-XHIC22</t>
        </is>
      </c>
      <c r="F338" t="inlineStr">
        <is>
          <t>DILM150-XHIC22</t>
        </is>
      </c>
      <c r="G338" t="inlineStr">
        <is>
          <t>HILFSKONTAKTBLOCK</t>
        </is>
      </c>
      <c r="H338" t="inlineStr">
        <is>
          <t>2S 2OE ab DILMC40</t>
        </is>
      </c>
      <c r="I338">
        <v>147</v>
      </c>
      <c r="J338">
        <f>GS79/106.6</f>
        <v>0</v>
      </c>
      <c r="K338" t="inlineStr">
        <is>
          <t>DILMC40</t>
        </is>
      </c>
      <c r="M338" t="inlineStr">
        <is>
          <t>-106Q1</t>
        </is>
      </c>
    </row>
    <row r="339">
      <c r="A339">
        <v>338</v>
      </c>
      <c r="B339">
        <f>GS32</f>
        <v>0</v>
      </c>
      <c r="C339" t="inlineStr">
        <is>
          <t>+LS1</t>
        </is>
      </c>
      <c r="D339" t="inlineStr">
        <is>
          <t>-106Q15.1</t>
        </is>
      </c>
      <c r="E339" t="inlineStr">
        <is>
          <t>DILA-XHI22</t>
        </is>
      </c>
      <c r="F339" t="inlineStr">
        <is>
          <t>DILA-XHI22</t>
        </is>
      </c>
      <c r="G339" t="inlineStr">
        <is>
          <t>HILFSKONTAKTBLOCK</t>
        </is>
      </c>
      <c r="H339" t="inlineStr">
        <is>
          <t>2S 2OE Last+Hilfssch. Cage</t>
        </is>
      </c>
      <c r="I339">
        <v>907</v>
      </c>
      <c r="J339">
        <f>GS32/106.5</f>
        <v>0</v>
      </c>
      <c r="K339" t="inlineStr">
        <is>
          <t>DIL MC25</t>
        </is>
      </c>
      <c r="M339" t="inlineStr">
        <is>
          <t>-106Q15.1</t>
        </is>
      </c>
    </row>
    <row r="340">
      <c r="A340">
        <v>339</v>
      </c>
      <c r="B340">
        <f>GS32</f>
        <v>0</v>
      </c>
      <c r="C340" t="inlineStr">
        <is>
          <t>+LS1</t>
        </is>
      </c>
      <c r="D340" t="inlineStr">
        <is>
          <t>-106Q15.1</t>
        </is>
      </c>
      <c r="E340" t="inlineStr">
        <is>
          <t>DILMC25-10(RDC24)</t>
        </is>
      </c>
      <c r="F340" t="inlineStr">
        <is>
          <t>DILA-XHI22</t>
        </is>
      </c>
      <c r="G340" t="inlineStr">
        <is>
          <t>LASTSCHUETZ</t>
        </is>
      </c>
      <c r="H340" t="inlineStr">
        <is>
          <t>11kW 1S Federzugkl.</t>
        </is>
      </c>
      <c r="I340">
        <v>907</v>
      </c>
      <c r="J340">
        <f>GS32/106.5</f>
        <v>0</v>
      </c>
      <c r="K340" t="inlineStr">
        <is>
          <t>DIL MC25</t>
        </is>
      </c>
      <c r="M340" t="inlineStr">
        <is>
          <t>-106Q15.1</t>
        </is>
      </c>
    </row>
    <row r="341">
      <c r="A341">
        <v>340</v>
      </c>
      <c r="B341">
        <f>GS92</f>
        <v>0</v>
      </c>
      <c r="C341" t="inlineStr">
        <is>
          <t>+LS01</t>
        </is>
      </c>
      <c r="D341" t="inlineStr">
        <is>
          <t>-106Q150.1</t>
        </is>
      </c>
      <c r="E341" t="inlineStr">
        <is>
          <t>DILM-9-10</t>
        </is>
      </c>
      <c r="F341" t="inlineStr">
        <is>
          <t>#KALK!</t>
        </is>
      </c>
      <c r="G341" t="inlineStr">
        <is>
          <t>LASTSCHUETZ</t>
        </is>
      </c>
      <c r="H341" t="inlineStr">
        <is>
          <t>4kW 1S Federzugkl.</t>
        </is>
      </c>
      <c r="I341">
        <v>254</v>
      </c>
      <c r="J341">
        <f>GS92/106.5</f>
        <v>0</v>
      </c>
      <c r="M341" t="inlineStr">
        <is>
          <t>-106Q150.1</t>
        </is>
      </c>
    </row>
    <row r="342">
      <c r="A342">
        <v>341</v>
      </c>
      <c r="B342">
        <f>GS93</f>
        <v>0</v>
      </c>
      <c r="C342" t="inlineStr">
        <is>
          <t>+LS01</t>
        </is>
      </c>
      <c r="D342" t="inlineStr">
        <is>
          <t>-106Q150.1</t>
        </is>
      </c>
      <c r="E342" t="inlineStr">
        <is>
          <t>DILM-9-10</t>
        </is>
      </c>
      <c r="F342" t="inlineStr">
        <is>
          <t>#KALK!</t>
        </is>
      </c>
      <c r="G342" t="inlineStr">
        <is>
          <t>LASTSCHUETZ</t>
        </is>
      </c>
      <c r="H342" t="inlineStr">
        <is>
          <t>4kW 1S Federzugkl.</t>
        </is>
      </c>
      <c r="I342">
        <v>675</v>
      </c>
      <c r="J342">
        <f>GS93/106.5</f>
        <v>0</v>
      </c>
      <c r="M342" t="inlineStr">
        <is>
          <t>-106Q150.1</t>
        </is>
      </c>
    </row>
    <row r="343">
      <c r="A343">
        <v>342</v>
      </c>
      <c r="B343">
        <f>GS90</f>
        <v>0</v>
      </c>
      <c r="C343" t="inlineStr">
        <is>
          <t>+LS01</t>
        </is>
      </c>
      <c r="D343" t="inlineStr">
        <is>
          <t>-106Q151.1</t>
        </is>
      </c>
      <c r="E343" t="inlineStr">
        <is>
          <t>DILM-9-10</t>
        </is>
      </c>
      <c r="F343" t="inlineStr">
        <is>
          <t>#KALK!</t>
        </is>
      </c>
      <c r="G343" t="inlineStr">
        <is>
          <t>LASTSCHUETZ</t>
        </is>
      </c>
      <c r="H343" t="inlineStr">
        <is>
          <t>4kW 1S Federzugkl.</t>
        </is>
      </c>
      <c r="I343">
        <v>1130</v>
      </c>
      <c r="J343">
        <f>GS90/106.5</f>
        <v>0</v>
      </c>
      <c r="M343" t="inlineStr">
        <is>
          <t>-106Q151.1</t>
        </is>
      </c>
    </row>
    <row r="344">
      <c r="A344">
        <v>343</v>
      </c>
      <c r="B344">
        <f>GS91</f>
        <v>0</v>
      </c>
      <c r="C344" t="inlineStr">
        <is>
          <t>+LS01</t>
        </is>
      </c>
      <c r="D344" t="inlineStr">
        <is>
          <t>-106Q151.1</t>
        </is>
      </c>
      <c r="E344" t="inlineStr">
        <is>
          <t>DILM-9-10</t>
        </is>
      </c>
      <c r="F344" t="inlineStr">
        <is>
          <t>#KALK!</t>
        </is>
      </c>
      <c r="G344" t="inlineStr">
        <is>
          <t>LASTSCHUETZ</t>
        </is>
      </c>
      <c r="H344" t="inlineStr">
        <is>
          <t>4kW 1S Federzugkl.</t>
        </is>
      </c>
      <c r="I344">
        <v>254</v>
      </c>
      <c r="J344">
        <f>GS91/106.5</f>
        <v>0</v>
      </c>
      <c r="M344" t="inlineStr">
        <is>
          <t>-106Q151.1</t>
        </is>
      </c>
    </row>
    <row r="345">
      <c r="A345">
        <v>344</v>
      </c>
      <c r="B345">
        <f>GS79</f>
        <v>0</v>
      </c>
      <c r="C345" t="inlineStr">
        <is>
          <t>+LS[l2]</t>
        </is>
      </c>
      <c r="D345" t="inlineStr">
        <is>
          <t>-106Q2</t>
        </is>
      </c>
      <c r="E345" t="inlineStr">
        <is>
          <t>DILM-9-10</t>
        </is>
      </c>
      <c r="F345" t="inlineStr">
        <is>
          <t>#KALK!</t>
        </is>
      </c>
      <c r="G345" t="inlineStr">
        <is>
          <t>LASTSCHUETZ</t>
        </is>
      </c>
      <c r="H345" t="inlineStr">
        <is>
          <t>4kW 1S Federzugkl.</t>
        </is>
      </c>
      <c r="I345">
        <v>197</v>
      </c>
      <c r="J345">
        <f>GS79/106.6</f>
        <v>0</v>
      </c>
      <c r="M345" t="inlineStr">
        <is>
          <t>-106Q2</t>
        </is>
      </c>
    </row>
    <row r="346">
      <c r="A346">
        <v>345</v>
      </c>
      <c r="B346">
        <f>GS32</f>
        <v>0</v>
      </c>
      <c r="C346" t="inlineStr">
        <is>
          <t>+LS1</t>
        </is>
      </c>
      <c r="D346" t="inlineStr">
        <is>
          <t>-107.1K1</t>
        </is>
      </c>
      <c r="E346" t="inlineStr">
        <is>
          <t>DILA-XHI22</t>
        </is>
      </c>
      <c r="F346" t="inlineStr">
        <is>
          <t>DILA-XHI22</t>
        </is>
      </c>
      <c r="G346" t="inlineStr">
        <is>
          <t>HILFSKONTAKTBLOCK</t>
        </is>
      </c>
      <c r="H346" t="inlineStr">
        <is>
          <t>2S 2OE Last+Hilfssch. Cage</t>
        </is>
      </c>
      <c r="I346">
        <v>1602</v>
      </c>
      <c r="J346">
        <f>GS32/107.1.5</f>
        <v>0</v>
      </c>
      <c r="M346" t="inlineStr">
        <is>
          <t>-107.1K1</t>
        </is>
      </c>
    </row>
    <row r="347">
      <c r="A347">
        <v>346</v>
      </c>
      <c r="B347">
        <f>GS32</f>
        <v>0</v>
      </c>
      <c r="C347" t="inlineStr">
        <is>
          <t>+LS1</t>
        </is>
      </c>
      <c r="D347" t="inlineStr">
        <is>
          <t>-107.1K1</t>
        </is>
      </c>
      <c r="E347" t="inlineStr">
        <is>
          <t>DILM-9-10</t>
        </is>
      </c>
      <c r="F347" t="inlineStr">
        <is>
          <t>DILA-XHI22</t>
        </is>
      </c>
      <c r="G347" t="inlineStr">
        <is>
          <t>LASTSCHUETZ</t>
        </is>
      </c>
      <c r="H347" t="inlineStr">
        <is>
          <t>4kW 1S Federzugkl.</t>
        </is>
      </c>
      <c r="I347">
        <v>1602</v>
      </c>
      <c r="J347">
        <f>GS32/107.1.5</f>
        <v>0</v>
      </c>
      <c r="M347" t="inlineStr">
        <is>
          <t>-107.1K1</t>
        </is>
      </c>
    </row>
    <row r="348">
      <c r="A348">
        <v>347</v>
      </c>
      <c r="B348">
        <f>GS32</f>
        <v>0</v>
      </c>
      <c r="C348" t="inlineStr">
        <is>
          <t>+LS1</t>
        </is>
      </c>
      <c r="D348" t="inlineStr">
        <is>
          <t>-107.1K2</t>
        </is>
      </c>
      <c r="E348" t="inlineStr">
        <is>
          <t>DILA-XHI22</t>
        </is>
      </c>
      <c r="F348" t="inlineStr">
        <is>
          <t>DILA-XHI22</t>
        </is>
      </c>
      <c r="G348" t="inlineStr">
        <is>
          <t>HILFSKONTAKTBLOCK</t>
        </is>
      </c>
      <c r="H348" t="inlineStr">
        <is>
          <t>2S 2OE Last+Hilfssch. Cage</t>
        </is>
      </c>
      <c r="I348">
        <v>1602</v>
      </c>
      <c r="J348">
        <f>GS32/107.1.6</f>
        <v>0</v>
      </c>
      <c r="M348" t="inlineStr">
        <is>
          <t>-107.1K2</t>
        </is>
      </c>
    </row>
    <row r="349">
      <c r="A349">
        <v>348</v>
      </c>
      <c r="B349">
        <f>GS32</f>
        <v>0</v>
      </c>
      <c r="C349" t="inlineStr">
        <is>
          <t>+LS1</t>
        </is>
      </c>
      <c r="D349" t="inlineStr">
        <is>
          <t>-107.1K2</t>
        </is>
      </c>
      <c r="E349" t="inlineStr">
        <is>
          <t>DILM-9-10</t>
        </is>
      </c>
      <c r="F349" t="inlineStr">
        <is>
          <t>DILA-XHI22</t>
        </is>
      </c>
      <c r="G349" t="inlineStr">
        <is>
          <t>LASTSCHUETZ</t>
        </is>
      </c>
      <c r="H349" t="inlineStr">
        <is>
          <t>4kW 1S Federzugkl.</t>
        </is>
      </c>
      <c r="I349">
        <v>1602</v>
      </c>
      <c r="J349">
        <f>GS32/107.1.6</f>
        <v>0</v>
      </c>
      <c r="M349" t="inlineStr">
        <is>
          <t>-107.1K2</t>
        </is>
      </c>
    </row>
    <row r="350">
      <c r="A350">
        <v>349</v>
      </c>
      <c r="B350">
        <f>GS32</f>
        <v>0</v>
      </c>
      <c r="C350" t="inlineStr">
        <is>
          <t>+LS1</t>
        </is>
      </c>
      <c r="D350" t="inlineStr">
        <is>
          <t>-107.2K1</t>
        </is>
      </c>
      <c r="E350" t="inlineStr">
        <is>
          <t>DILA-XHI22</t>
        </is>
      </c>
      <c r="F350" t="inlineStr">
        <is>
          <t>DILA-XHI22</t>
        </is>
      </c>
      <c r="G350" t="inlineStr">
        <is>
          <t>HILFSKONTAKTBLOCK</t>
        </is>
      </c>
      <c r="H350" t="inlineStr">
        <is>
          <t>2S 2OE Last+Hilfssch. Cage</t>
        </is>
      </c>
      <c r="I350">
        <v>1614</v>
      </c>
      <c r="J350">
        <f>GS32/107.2.5</f>
        <v>0</v>
      </c>
      <c r="M350" t="inlineStr">
        <is>
          <t>-107.2K1</t>
        </is>
      </c>
    </row>
    <row r="351">
      <c r="A351">
        <v>350</v>
      </c>
      <c r="B351">
        <f>GS32</f>
        <v>0</v>
      </c>
      <c r="C351" t="inlineStr">
        <is>
          <t>+LS1</t>
        </is>
      </c>
      <c r="D351" t="inlineStr">
        <is>
          <t>-107.2K1</t>
        </is>
      </c>
      <c r="E351" t="inlineStr">
        <is>
          <t>DILM-9-10</t>
        </is>
      </c>
      <c r="F351" t="inlineStr">
        <is>
          <t>DILA-XHI22</t>
        </is>
      </c>
      <c r="G351" t="inlineStr">
        <is>
          <t>LASTSCHUETZ</t>
        </is>
      </c>
      <c r="H351" t="inlineStr">
        <is>
          <t>4kW 1S Federzugkl.</t>
        </is>
      </c>
      <c r="I351">
        <v>1614</v>
      </c>
      <c r="J351">
        <f>GS32/107.2.5</f>
        <v>0</v>
      </c>
      <c r="M351" t="inlineStr">
        <is>
          <t>-107.2K1</t>
        </is>
      </c>
    </row>
    <row r="352">
      <c r="A352">
        <v>351</v>
      </c>
      <c r="B352">
        <f>GS32</f>
        <v>0</v>
      </c>
      <c r="C352" t="inlineStr">
        <is>
          <t>+LS1</t>
        </is>
      </c>
      <c r="D352" t="inlineStr">
        <is>
          <t>-107.2K2</t>
        </is>
      </c>
      <c r="E352" t="inlineStr">
        <is>
          <t>DILA-XHI22</t>
        </is>
      </c>
      <c r="F352" t="inlineStr">
        <is>
          <t>DILA-XHI22</t>
        </is>
      </c>
      <c r="G352" t="inlineStr">
        <is>
          <t>HILFSKONTAKTBLOCK</t>
        </is>
      </c>
      <c r="H352" t="inlineStr">
        <is>
          <t>2S 2OE Last+Hilfssch. Cage</t>
        </is>
      </c>
      <c r="I352">
        <v>1614</v>
      </c>
      <c r="J352">
        <f>GS32/107.2.6</f>
        <v>0</v>
      </c>
      <c r="M352" t="inlineStr">
        <is>
          <t>-107.2K2</t>
        </is>
      </c>
    </row>
    <row r="353">
      <c r="A353">
        <v>352</v>
      </c>
      <c r="B353">
        <f>GS32</f>
        <v>0</v>
      </c>
      <c r="C353" t="inlineStr">
        <is>
          <t>+LS1</t>
        </is>
      </c>
      <c r="D353" t="inlineStr">
        <is>
          <t>-107.2K2</t>
        </is>
      </c>
      <c r="E353" t="inlineStr">
        <is>
          <t>DILM-9-10</t>
        </is>
      </c>
      <c r="F353" t="inlineStr">
        <is>
          <t>DILA-XHI22</t>
        </is>
      </c>
      <c r="G353" t="inlineStr">
        <is>
          <t>LASTSCHUETZ</t>
        </is>
      </c>
      <c r="H353" t="inlineStr">
        <is>
          <t>4kW 1S Federzugkl.</t>
        </is>
      </c>
      <c r="I353">
        <v>1614</v>
      </c>
      <c r="J353">
        <f>GS32/107.2.6</f>
        <v>0</v>
      </c>
      <c r="M353" t="inlineStr">
        <is>
          <t>-107.2K2</t>
        </is>
      </c>
    </row>
    <row r="354">
      <c r="A354">
        <v>353</v>
      </c>
      <c r="B354">
        <f>GS32</f>
        <v>0</v>
      </c>
      <c r="C354" t="inlineStr">
        <is>
          <t>+LS1</t>
        </is>
      </c>
      <c r="D354" t="inlineStr">
        <is>
          <t>-107.3K1</t>
        </is>
      </c>
      <c r="E354" t="inlineStr">
        <is>
          <t>DILA-40</t>
        </is>
      </c>
      <c r="F354" t="inlineStr">
        <is>
          <t>#KALK!</t>
        </is>
      </c>
      <c r="G354" t="inlineStr">
        <is>
          <t>HILFSSCHUETZ</t>
        </is>
      </c>
      <c r="H354" t="inlineStr">
        <is>
          <t>4S Federzugkl.</t>
        </is>
      </c>
      <c r="I354">
        <v>1627</v>
      </c>
      <c r="J354">
        <f>GS32/107.3.2</f>
        <v>0</v>
      </c>
      <c r="M354" t="inlineStr">
        <is>
          <t>-107.3K1</t>
        </is>
      </c>
    </row>
    <row r="355">
      <c r="A355">
        <v>354</v>
      </c>
      <c r="B355">
        <f>GS33</f>
        <v>0</v>
      </c>
      <c r="C355" t="inlineStr">
        <is>
          <t>+LS13</t>
        </is>
      </c>
      <c r="D355" t="inlineStr">
        <is>
          <t>-1070K79.4</t>
        </is>
      </c>
      <c r="E355" t="inlineStr">
        <is>
          <t>DILM-9-10</t>
        </is>
      </c>
      <c r="F355" t="inlineStr">
        <is>
          <t>#KALK!</t>
        </is>
      </c>
      <c r="G355" t="inlineStr">
        <is>
          <t>LASTSCHUETZ</t>
        </is>
      </c>
      <c r="H355" t="inlineStr">
        <is>
          <t>4kW 1S Federzugkl.</t>
        </is>
      </c>
      <c r="I355">
        <v>1529</v>
      </c>
      <c r="J355">
        <f>GS33/1070.8</f>
        <v>0</v>
      </c>
      <c r="M355" t="inlineStr">
        <is>
          <t>-1070K79.4</t>
        </is>
      </c>
    </row>
    <row r="356">
      <c r="A356">
        <v>355</v>
      </c>
      <c r="B356">
        <f>GS33</f>
        <v>0</v>
      </c>
      <c r="C356" t="inlineStr">
        <is>
          <t>+LS13</t>
        </is>
      </c>
      <c r="D356" t="inlineStr">
        <is>
          <t>-1071K80.0</t>
        </is>
      </c>
      <c r="E356" t="inlineStr">
        <is>
          <t>DILM-9-10</t>
        </is>
      </c>
      <c r="F356" t="inlineStr">
        <is>
          <t>#KALK!</t>
        </is>
      </c>
      <c r="G356" t="inlineStr">
        <is>
          <t>LASTSCHUETZ</t>
        </is>
      </c>
      <c r="H356" t="inlineStr">
        <is>
          <t>4kW 1S Federzugkl.</t>
        </is>
      </c>
      <c r="I356">
        <v>1530</v>
      </c>
      <c r="J356">
        <f>GS33/1071.8</f>
        <v>0</v>
      </c>
      <c r="M356" t="inlineStr">
        <is>
          <t>-1071K80.0</t>
        </is>
      </c>
    </row>
    <row r="357">
      <c r="A357">
        <v>356</v>
      </c>
      <c r="B357">
        <f>GS32</f>
        <v>0</v>
      </c>
      <c r="C357" t="inlineStr">
        <is>
          <t>+LS10</t>
        </is>
      </c>
      <c r="D357" t="inlineStr">
        <is>
          <t>-1072K3502.3</t>
        </is>
      </c>
      <c r="E357" t="inlineStr">
        <is>
          <t>DILM-9-10</t>
        </is>
      </c>
      <c r="F357" t="inlineStr">
        <is>
          <t>#KALK!</t>
        </is>
      </c>
      <c r="G357" t="inlineStr">
        <is>
          <t>LASTSCHUETZ</t>
        </is>
      </c>
      <c r="H357" t="inlineStr">
        <is>
          <t>4kW 1S Federzugkl.</t>
        </is>
      </c>
      <c r="I357">
        <v>257</v>
      </c>
      <c r="J357">
        <f>GS32/1072.7</f>
        <v>0</v>
      </c>
      <c r="M357" t="inlineStr">
        <is>
          <t>-1072K3502.3</t>
        </is>
      </c>
    </row>
    <row r="358">
      <c r="A358">
        <v>357</v>
      </c>
      <c r="B358">
        <f>GS33</f>
        <v>0</v>
      </c>
      <c r="C358" t="inlineStr">
        <is>
          <t>+LS13</t>
        </is>
      </c>
      <c r="D358" t="inlineStr">
        <is>
          <t>-1073.1K81.2</t>
        </is>
      </c>
      <c r="E358" t="inlineStr">
        <is>
          <t>DILM-9-10</t>
        </is>
      </c>
      <c r="F358" t="inlineStr">
        <is>
          <t>#KALK!</t>
        </is>
      </c>
      <c r="G358" t="inlineStr">
        <is>
          <t>LASTSCHUETZ</t>
        </is>
      </c>
      <c r="H358" t="inlineStr">
        <is>
          <t>4kW 1S Federzugkl.</t>
        </is>
      </c>
      <c r="I358">
        <v>1533</v>
      </c>
      <c r="J358">
        <f>GS33/1073.1.6</f>
        <v>0</v>
      </c>
      <c r="M358" t="inlineStr">
        <is>
          <t>-1073.1K81.2</t>
        </is>
      </c>
    </row>
    <row r="359">
      <c r="A359">
        <v>358</v>
      </c>
      <c r="B359">
        <f>GS32</f>
        <v>0</v>
      </c>
      <c r="C359" t="inlineStr">
        <is>
          <t>+LS10</t>
        </is>
      </c>
      <c r="D359" t="inlineStr">
        <is>
          <t>-1073K3503.3</t>
        </is>
      </c>
      <c r="E359" t="inlineStr">
        <is>
          <t>DILM-9-10</t>
        </is>
      </c>
      <c r="F359" t="inlineStr">
        <is>
          <t>#KALK!</t>
        </is>
      </c>
      <c r="G359" t="inlineStr">
        <is>
          <t>LASTSCHUETZ</t>
        </is>
      </c>
      <c r="H359" t="inlineStr">
        <is>
          <t>4kW 1S Federzugkl.</t>
        </is>
      </c>
      <c r="I359">
        <v>256</v>
      </c>
      <c r="J359">
        <f>GS32/1073.7</f>
        <v>0</v>
      </c>
      <c r="M359" t="inlineStr">
        <is>
          <t>-1073K3503.3</t>
        </is>
      </c>
    </row>
    <row r="360">
      <c r="A360">
        <v>359</v>
      </c>
      <c r="B360">
        <f>GS33</f>
        <v>0</v>
      </c>
      <c r="C360" t="inlineStr">
        <is>
          <t>+LS13</t>
        </is>
      </c>
      <c r="D360" t="inlineStr">
        <is>
          <t>-1073K81.1</t>
        </is>
      </c>
      <c r="E360" t="inlineStr">
        <is>
          <t>DILM-9-10</t>
        </is>
      </c>
      <c r="F360" t="inlineStr">
        <is>
          <t>#KALK!</t>
        </is>
      </c>
      <c r="G360" t="inlineStr">
        <is>
          <t>LASTSCHUETZ</t>
        </is>
      </c>
      <c r="H360" t="inlineStr">
        <is>
          <t>4kW 1S Federzugkl.</t>
        </is>
      </c>
      <c r="I360">
        <v>1532</v>
      </c>
      <c r="J360">
        <f>GS33/1073.8</f>
        <v>0</v>
      </c>
      <c r="M360" t="inlineStr">
        <is>
          <t>-1073K81.1</t>
        </is>
      </c>
    </row>
    <row r="361">
      <c r="A361">
        <v>360</v>
      </c>
      <c r="B361">
        <f>GS13</f>
        <v>0</v>
      </c>
      <c r="C361" t="inlineStr">
        <is>
          <t>+LS1</t>
        </is>
      </c>
      <c r="D361" t="inlineStr">
        <is>
          <t>-10750.4</t>
        </is>
      </c>
      <c r="E361" t="inlineStr">
        <is>
          <t>DIL_EM-10-G</t>
        </is>
      </c>
      <c r="F361" t="inlineStr">
        <is>
          <t>#KALK!</t>
        </is>
      </c>
      <c r="G361" t="inlineStr">
        <is>
          <t>LASTSCHUETZ</t>
        </is>
      </c>
      <c r="H361" t="inlineStr">
        <is>
          <t>4kW 1S</t>
        </is>
      </c>
      <c r="I361">
        <v>346</v>
      </c>
      <c r="J361">
        <f>GS13/107.6</f>
        <v>0</v>
      </c>
      <c r="M361" t="inlineStr">
        <is>
          <t>-10750.4</t>
        </is>
      </c>
    </row>
    <row r="362">
      <c r="A362">
        <v>361</v>
      </c>
      <c r="B362">
        <f>GS06</f>
        <v>0</v>
      </c>
      <c r="C362" t="inlineStr">
        <is>
          <t>+LS17</t>
        </is>
      </c>
      <c r="D362" t="inlineStr">
        <is>
          <t>-1075K1</t>
        </is>
      </c>
      <c r="E362" t="inlineStr">
        <is>
          <t>DILA-22</t>
        </is>
      </c>
      <c r="F362" t="inlineStr">
        <is>
          <t>#KALK!</t>
        </is>
      </c>
      <c r="G362" t="inlineStr">
        <is>
          <t>HILFSSCHUETZ</t>
        </is>
      </c>
      <c r="H362" t="inlineStr">
        <is>
          <t>2S 2Oe Federzugkl.</t>
        </is>
      </c>
      <c r="I362">
        <v>2693</v>
      </c>
      <c r="J362">
        <f>GS06/1075.8</f>
        <v>0</v>
      </c>
      <c r="M362" t="inlineStr">
        <is>
          <t>-1075K1</t>
        </is>
      </c>
    </row>
    <row r="363">
      <c r="A363">
        <v>362</v>
      </c>
      <c r="B363">
        <f>GS36</f>
        <v>0</v>
      </c>
      <c r="C363" t="inlineStr">
        <is>
          <t>+LS</t>
        </is>
      </c>
      <c r="D363" t="inlineStr">
        <is>
          <t>-9Q4</t>
        </is>
      </c>
      <c r="E363" t="inlineStr">
        <is>
          <t>DILM-9-10</t>
        </is>
      </c>
      <c r="F363" t="inlineStr">
        <is>
          <t>#KALK!</t>
        </is>
      </c>
      <c r="G363" t="inlineStr">
        <is>
          <t>LASTSCHUETZ</t>
        </is>
      </c>
      <c r="H363" t="inlineStr">
        <is>
          <t>4kW 1S Federzugkl.</t>
        </is>
      </c>
      <c r="I363">
        <v>148</v>
      </c>
      <c r="J363">
        <f>GS36/9.6</f>
        <v>0</v>
      </c>
      <c r="M363" t="inlineStr">
        <is>
          <t>-9Q4</t>
        </is>
      </c>
    </row>
    <row r="364">
      <c r="A364">
        <v>363</v>
      </c>
      <c r="B364">
        <f>GS06</f>
        <v>0</v>
      </c>
      <c r="C364" t="inlineStr">
        <is>
          <t>+LS17</t>
        </is>
      </c>
      <c r="D364" t="inlineStr">
        <is>
          <t>-1075Q1</t>
        </is>
      </c>
      <c r="E364" t="inlineStr">
        <is>
          <t>DILM150-XHIC22</t>
        </is>
      </c>
      <c r="F364" t="inlineStr">
        <is>
          <t>DILM150-XHIC22</t>
        </is>
      </c>
      <c r="G364" t="inlineStr">
        <is>
          <t>HILFSKONTAKTBLOCK</t>
        </is>
      </c>
      <c r="H364" t="inlineStr">
        <is>
          <t>2S 2OE ab DILMC40</t>
        </is>
      </c>
      <c r="I364">
        <v>2693</v>
      </c>
      <c r="J364">
        <f>GS06/1075.7</f>
        <v>0</v>
      </c>
      <c r="K364" t="inlineStr">
        <is>
          <t>DIL MC40</t>
        </is>
      </c>
      <c r="M364" t="inlineStr">
        <is>
          <t>-1075Q1</t>
        </is>
      </c>
    </row>
    <row r="365">
      <c r="A365">
        <v>364</v>
      </c>
      <c r="B365">
        <f>GS06</f>
        <v>0</v>
      </c>
      <c r="C365" t="inlineStr">
        <is>
          <t>+LS17</t>
        </is>
      </c>
      <c r="D365" t="inlineStr">
        <is>
          <t>-1075Q1</t>
        </is>
      </c>
      <c r="E365" t="inlineStr">
        <is>
          <t>DILMC40(RDC24)</t>
        </is>
      </c>
      <c r="F365" t="inlineStr">
        <is>
          <t>DILM150-XHIC22</t>
        </is>
      </c>
      <c r="G365" t="inlineStr">
        <is>
          <t>LASTSCHUETZ</t>
        </is>
      </c>
      <c r="H365" t="inlineStr">
        <is>
          <t>18,5kW Federzugkl.</t>
        </is>
      </c>
      <c r="I365">
        <v>2693</v>
      </c>
      <c r="J365">
        <f>GS06/1075.7</f>
        <v>0</v>
      </c>
      <c r="K365" t="inlineStr">
        <is>
          <t>DIL MC40</t>
        </is>
      </c>
      <c r="M365" t="inlineStr">
        <is>
          <t>-1075Q1</t>
        </is>
      </c>
    </row>
    <row r="366">
      <c r="A366">
        <v>365</v>
      </c>
      <c r="B366">
        <f>GS36</f>
        <v>0</v>
      </c>
      <c r="C366" t="inlineStr">
        <is>
          <t>+LS14</t>
        </is>
      </c>
      <c r="D366" t="inlineStr">
        <is>
          <t>-1075Q1</t>
        </is>
      </c>
      <c r="E366" t="inlineStr">
        <is>
          <t>DILA-XHI22</t>
        </is>
      </c>
      <c r="F366" t="inlineStr">
        <is>
          <t>DILA-XHI22</t>
        </is>
      </c>
      <c r="G366" t="inlineStr">
        <is>
          <t>HILFSKONTAKTBLOCK</t>
        </is>
      </c>
      <c r="H366" t="inlineStr">
        <is>
          <t>2S 2OE Last+Hilfssch. Cage</t>
        </is>
      </c>
      <c r="I366">
        <v>1587</v>
      </c>
      <c r="J366">
        <f>GS36/1075.4</f>
        <v>0</v>
      </c>
      <c r="K366" t="inlineStr">
        <is>
          <t>DIL MC25</t>
        </is>
      </c>
      <c r="L366" t="inlineStr">
        <is>
          <t>HVO 42</t>
        </is>
      </c>
      <c r="M366" t="inlineStr">
        <is>
          <t>HVO 42
-1075Q1</t>
        </is>
      </c>
      <c r="N366" t="inlineStr">
        <is>
          <t>P</t>
        </is>
      </c>
    </row>
    <row r="367">
      <c r="A367">
        <v>366</v>
      </c>
      <c r="B367">
        <f>GS36</f>
        <v>0</v>
      </c>
      <c r="C367" t="inlineStr">
        <is>
          <t>+LS14</t>
        </is>
      </c>
      <c r="D367" t="inlineStr">
        <is>
          <t>-1075Q1</t>
        </is>
      </c>
      <c r="E367" t="inlineStr">
        <is>
          <t>DILMC25-10(RDC24)</t>
        </is>
      </c>
      <c r="F367" t="inlineStr">
        <is>
          <t>DILA-XHI22</t>
        </is>
      </c>
      <c r="G367" t="inlineStr">
        <is>
          <t>LASTSCHUETZ</t>
        </is>
      </c>
      <c r="H367" t="inlineStr">
        <is>
          <t>11kW 1S Federzugkl.</t>
        </is>
      </c>
      <c r="I367">
        <v>1587</v>
      </c>
      <c r="J367">
        <f>GS36/1075.4</f>
        <v>0</v>
      </c>
      <c r="K367" t="inlineStr">
        <is>
          <t>DIL MC25</t>
        </is>
      </c>
      <c r="L367" t="inlineStr">
        <is>
          <t>HVO 42</t>
        </is>
      </c>
      <c r="M367" t="inlineStr">
        <is>
          <t>HVO 42
-1075Q1</t>
        </is>
      </c>
      <c r="N367" t="inlineStr">
        <is>
          <t>P</t>
        </is>
      </c>
    </row>
    <row r="368">
      <c r="A368">
        <v>367</v>
      </c>
      <c r="B368">
        <f>GS06</f>
        <v>0</v>
      </c>
      <c r="C368" t="inlineStr">
        <is>
          <t>+LS17</t>
        </is>
      </c>
      <c r="D368" t="inlineStr">
        <is>
          <t>-1078K1</t>
        </is>
      </c>
      <c r="E368" t="inlineStr">
        <is>
          <t>DILM-9-10</t>
        </is>
      </c>
      <c r="F368" t="inlineStr">
        <is>
          <t>#KALK!</t>
        </is>
      </c>
      <c r="G368" t="inlineStr">
        <is>
          <t>LASTSCHUETZ</t>
        </is>
      </c>
      <c r="H368" t="inlineStr">
        <is>
          <t>4kW 1S Federzugkl.</t>
        </is>
      </c>
      <c r="I368">
        <v>2754</v>
      </c>
      <c r="J368">
        <f>GS06/1078.5</f>
        <v>0</v>
      </c>
      <c r="M368" t="inlineStr">
        <is>
          <t>-1078K1</t>
        </is>
      </c>
    </row>
    <row r="369">
      <c r="A369">
        <v>368</v>
      </c>
      <c r="B369">
        <f>GS31</f>
        <v>0</v>
      </c>
      <c r="C369" t="inlineStr">
        <is>
          <t>+LS12</t>
        </is>
      </c>
      <c r="D369" t="inlineStr">
        <is>
          <t>-1079KQ3521.4</t>
        </is>
      </c>
      <c r="E369" t="inlineStr">
        <is>
          <t>DILM-9-01</t>
        </is>
      </c>
      <c r="F369" t="inlineStr">
        <is>
          <t>#KALK!</t>
        </is>
      </c>
      <c r="G369" t="inlineStr">
        <is>
          <t>LASTSCHUETZ</t>
        </is>
      </c>
      <c r="H369" t="inlineStr">
        <is>
          <t>4kW 1Oe Federzugkl.</t>
        </is>
      </c>
      <c r="I369">
        <v>2546</v>
      </c>
      <c r="J369">
        <f>GS31/1079.6</f>
        <v>0</v>
      </c>
      <c r="M369" t="inlineStr">
        <is>
          <t>-1079KQ3521.4</t>
        </is>
      </c>
    </row>
    <row r="370">
      <c r="A370">
        <v>369</v>
      </c>
      <c r="B370">
        <f>GC03</f>
        <v>0</v>
      </c>
      <c r="C370" t="inlineStr">
        <is>
          <t>+LS1</t>
        </is>
      </c>
      <c r="D370" t="inlineStr">
        <is>
          <t>-107K1</t>
        </is>
      </c>
      <c r="E370" t="inlineStr">
        <is>
          <t>22_DIL-M</t>
        </is>
      </c>
      <c r="F370" t="inlineStr">
        <is>
          <t>22_DIL-M</t>
        </is>
      </c>
      <c r="G370" t="inlineStr">
        <is>
          <t>HILFSKONTAKTBLOCK</t>
        </is>
      </c>
      <c r="H370" t="inlineStr">
        <is>
          <t>2S 2OE Lastschuetz DIL M</t>
        </is>
      </c>
      <c r="I370">
        <v>674</v>
      </c>
      <c r="J370">
        <f>GC03/107.2</f>
        <v>0</v>
      </c>
      <c r="K370" t="inlineStr">
        <is>
          <t>DIL0AM</t>
        </is>
      </c>
      <c r="M370" t="inlineStr">
        <is>
          <t>-107K1</t>
        </is>
      </c>
    </row>
    <row r="371">
      <c r="A371">
        <v>370</v>
      </c>
      <c r="B371">
        <f>GC03</f>
        <v>0</v>
      </c>
      <c r="C371" t="inlineStr">
        <is>
          <t>+LS1</t>
        </is>
      </c>
      <c r="D371" t="inlineStr">
        <is>
          <t>-107K1</t>
        </is>
      </c>
      <c r="E371" t="inlineStr">
        <is>
          <t>DIL_0AM</t>
        </is>
      </c>
      <c r="F371" t="inlineStr">
        <is>
          <t>22_DIL-M</t>
        </is>
      </c>
      <c r="G371" t="inlineStr">
        <is>
          <t>LASTSCHUETZ</t>
        </is>
      </c>
      <c r="H371" t="inlineStr">
        <is>
          <t>11 kW</t>
        </is>
      </c>
      <c r="I371">
        <v>674</v>
      </c>
      <c r="J371">
        <f>GC03/107.2</f>
        <v>0</v>
      </c>
      <c r="K371" t="inlineStr">
        <is>
          <t>DIL0AM</t>
        </is>
      </c>
      <c r="M371" t="inlineStr">
        <is>
          <t>-107K1</t>
        </is>
      </c>
    </row>
    <row r="372">
      <c r="A372">
        <v>371</v>
      </c>
      <c r="B372">
        <f>GS02</f>
        <v>0</v>
      </c>
      <c r="C372" t="inlineStr">
        <is>
          <t>+LS1</t>
        </is>
      </c>
      <c r="D372" t="inlineStr">
        <is>
          <t>-107K12.5</t>
        </is>
      </c>
      <c r="E372" t="inlineStr">
        <is>
          <t>DIL_EM-10-G</t>
        </is>
      </c>
      <c r="F372" t="inlineStr">
        <is>
          <t>#KALK!</t>
        </is>
      </c>
      <c r="G372" t="inlineStr">
        <is>
          <t>LASTSCHUETZ</t>
        </is>
      </c>
      <c r="H372" t="inlineStr">
        <is>
          <t>4kW 1S</t>
        </is>
      </c>
      <c r="I372">
        <v>505</v>
      </c>
      <c r="J372">
        <f>GS02/107.7</f>
        <v>0</v>
      </c>
      <c r="M372" t="inlineStr">
        <is>
          <t>-107K12.5</t>
        </is>
      </c>
    </row>
    <row r="373">
      <c r="A373">
        <v>372</v>
      </c>
      <c r="B373">
        <f>GS34</f>
        <v>0</v>
      </c>
      <c r="C373" t="inlineStr">
        <is>
          <t>+LS1</t>
        </is>
      </c>
      <c r="D373" t="inlineStr">
        <is>
          <t>-107K13.5</t>
        </is>
      </c>
      <c r="E373" t="inlineStr">
        <is>
          <t>DIL_EM-10-G</t>
        </is>
      </c>
      <c r="F373" t="inlineStr">
        <is>
          <t>#KALK!</t>
        </is>
      </c>
      <c r="G373" t="inlineStr">
        <is>
          <t>LASTSCHUETZ</t>
        </is>
      </c>
      <c r="H373" t="inlineStr">
        <is>
          <t>4kW 1S</t>
        </is>
      </c>
      <c r="I373">
        <v>231</v>
      </c>
      <c r="J373">
        <f>GS34/107.6</f>
        <v>0</v>
      </c>
      <c r="M373" t="inlineStr">
        <is>
          <t>-107K13.5</t>
        </is>
      </c>
    </row>
    <row r="374">
      <c r="A374">
        <v>373</v>
      </c>
      <c r="B374">
        <f>GS34</f>
        <v>0</v>
      </c>
      <c r="C374" t="inlineStr">
        <is>
          <t>+LS1</t>
        </is>
      </c>
      <c r="D374" t="inlineStr">
        <is>
          <t>-107K13.6</t>
        </is>
      </c>
      <c r="E374" t="inlineStr">
        <is>
          <t>DIL_EM-10-G</t>
        </is>
      </c>
      <c r="F374" t="inlineStr">
        <is>
          <t>#KALK!</t>
        </is>
      </c>
      <c r="G374" t="inlineStr">
        <is>
          <t>LASTSCHUETZ</t>
        </is>
      </c>
      <c r="H374" t="inlineStr">
        <is>
          <t>4kW 1S</t>
        </is>
      </c>
      <c r="I374">
        <v>231</v>
      </c>
      <c r="J374">
        <f>GS34/107.6</f>
        <v>0</v>
      </c>
      <c r="M374" t="inlineStr">
        <is>
          <t>-107K13.6</t>
        </is>
      </c>
    </row>
    <row r="375">
      <c r="A375">
        <v>374</v>
      </c>
      <c r="B375">
        <f>GS16</f>
        <v>0</v>
      </c>
      <c r="C375" t="inlineStr">
        <is>
          <t>+LS1</t>
        </is>
      </c>
      <c r="D375" t="inlineStr">
        <is>
          <t>-107K15.0</t>
        </is>
      </c>
      <c r="E375" t="inlineStr">
        <is>
          <t>DIL_EM-10-G</t>
        </is>
      </c>
      <c r="F375" t="inlineStr">
        <is>
          <t>#KALK!</t>
        </is>
      </c>
      <c r="G375" t="inlineStr">
        <is>
          <t>LASTSCHUETZ</t>
        </is>
      </c>
      <c r="H375" t="inlineStr">
        <is>
          <t>4kW 1S</t>
        </is>
      </c>
      <c r="I375">
        <v>327</v>
      </c>
      <c r="J375">
        <f>GS16/107.6</f>
        <v>0</v>
      </c>
      <c r="M375" t="inlineStr">
        <is>
          <t>-107K15.0</t>
        </is>
      </c>
    </row>
    <row r="376">
      <c r="A376">
        <v>375</v>
      </c>
      <c r="B376">
        <f>GS16</f>
        <v>0</v>
      </c>
      <c r="C376" t="inlineStr">
        <is>
          <t>+LS1</t>
        </is>
      </c>
      <c r="D376" t="inlineStr">
        <is>
          <t>-107K15.1</t>
        </is>
      </c>
      <c r="E376" t="inlineStr">
        <is>
          <t>DIL_EM-10-G</t>
        </is>
      </c>
      <c r="F376" t="inlineStr">
        <is>
          <t>#KALK!</t>
        </is>
      </c>
      <c r="G376" t="inlineStr">
        <is>
          <t>LASTSCHUETZ</t>
        </is>
      </c>
      <c r="H376" t="inlineStr">
        <is>
          <t>4kW 1S</t>
        </is>
      </c>
      <c r="I376">
        <v>327</v>
      </c>
      <c r="J376">
        <f>GS16/107.6</f>
        <v>0</v>
      </c>
      <c r="M376" t="inlineStr">
        <is>
          <t>-107K15.1</t>
        </is>
      </c>
    </row>
    <row r="377">
      <c r="A377">
        <v>376</v>
      </c>
      <c r="B377">
        <f>GS11</f>
        <v>0</v>
      </c>
      <c r="C377" t="inlineStr">
        <is>
          <t>+LS1</t>
        </is>
      </c>
      <c r="D377" t="inlineStr">
        <is>
          <t>-107K26.7</t>
        </is>
      </c>
      <c r="E377" t="inlineStr">
        <is>
          <t>DIL_EM-10-G</t>
        </is>
      </c>
      <c r="F377" t="inlineStr">
        <is>
          <t>#KALK!</t>
        </is>
      </c>
      <c r="G377" t="inlineStr">
        <is>
          <t>LASTSCHUETZ</t>
        </is>
      </c>
      <c r="H377" t="inlineStr">
        <is>
          <t>4kW 1S</t>
        </is>
      </c>
      <c r="I377">
        <v>218</v>
      </c>
      <c r="J377">
        <f>GS11/107.6</f>
        <v>0</v>
      </c>
      <c r="M377" t="inlineStr">
        <is>
          <t>-107K26.7</t>
        </is>
      </c>
    </row>
    <row r="378">
      <c r="A378">
        <v>377</v>
      </c>
      <c r="B378">
        <f>GS21</f>
        <v>0</v>
      </c>
      <c r="C378" t="inlineStr">
        <is>
          <t>+LS1</t>
        </is>
      </c>
      <c r="D378" t="inlineStr">
        <is>
          <t>-107K26.7</t>
        </is>
      </c>
      <c r="E378" t="inlineStr">
        <is>
          <t>DIL_EM-10-G</t>
        </is>
      </c>
      <c r="F378" t="inlineStr">
        <is>
          <t>#KALK!</t>
        </is>
      </c>
      <c r="G378" t="inlineStr">
        <is>
          <t>LASTSCHUETZ</t>
        </is>
      </c>
      <c r="H378" t="inlineStr">
        <is>
          <t>4kW 1S</t>
        </is>
      </c>
      <c r="I378">
        <v>75</v>
      </c>
      <c r="J378">
        <f>GS21/107.6</f>
        <v>0</v>
      </c>
      <c r="M378" t="inlineStr">
        <is>
          <t>-107K26.7</t>
        </is>
      </c>
    </row>
    <row r="379">
      <c r="A379">
        <v>378</v>
      </c>
      <c r="B379">
        <f>GS26</f>
        <v>0</v>
      </c>
      <c r="C379" t="inlineStr">
        <is>
          <t>+LS1</t>
        </is>
      </c>
      <c r="D379" t="inlineStr">
        <is>
          <t>-107K3530.5</t>
        </is>
      </c>
      <c r="E379" t="inlineStr">
        <is>
          <t>DILM-9-10</t>
        </is>
      </c>
      <c r="F379" t="inlineStr">
        <is>
          <t>#KALK!</t>
        </is>
      </c>
      <c r="G379" t="inlineStr">
        <is>
          <t>LASTSCHUETZ</t>
        </is>
      </c>
      <c r="H379" t="inlineStr">
        <is>
          <t>4kW 1S Federzugkl.</t>
        </is>
      </c>
      <c r="I379">
        <v>249</v>
      </c>
      <c r="J379">
        <f>GS26/107.7</f>
        <v>0</v>
      </c>
      <c r="M379" t="inlineStr">
        <is>
          <t>-107K3530.5</t>
        </is>
      </c>
    </row>
    <row r="380">
      <c r="A380">
        <v>379</v>
      </c>
      <c r="B380">
        <f>GS23</f>
        <v>0</v>
      </c>
      <c r="C380" t="inlineStr">
        <is>
          <t>+LS1</t>
        </is>
      </c>
      <c r="D380" t="inlineStr">
        <is>
          <t>-107K50.4</t>
        </is>
      </c>
      <c r="E380" t="inlineStr">
        <is>
          <t>DIL_EM-10-G</t>
        </is>
      </c>
      <c r="F380" t="inlineStr">
        <is>
          <t>#KALK!</t>
        </is>
      </c>
      <c r="G380" t="inlineStr">
        <is>
          <t>LASTSCHUETZ</t>
        </is>
      </c>
      <c r="H380" t="inlineStr">
        <is>
          <t>4kW 1S</t>
        </is>
      </c>
      <c r="I380">
        <v>406</v>
      </c>
      <c r="J380">
        <f>GS23/107.6</f>
        <v>0</v>
      </c>
      <c r="M380" t="inlineStr">
        <is>
          <t>-107K50.4</t>
        </is>
      </c>
    </row>
    <row r="381">
      <c r="A381">
        <v>380</v>
      </c>
      <c r="B381">
        <f>GS61</f>
        <v>0</v>
      </c>
      <c r="C381" t="inlineStr">
        <is>
          <t>+ES1</t>
        </is>
      </c>
      <c r="D381" t="inlineStr">
        <is>
          <t>-107K54.6</t>
        </is>
      </c>
      <c r="E381" t="inlineStr">
        <is>
          <t>DIL_EM-10-G</t>
        </is>
      </c>
      <c r="F381" t="inlineStr">
        <is>
          <t>#KALK!</t>
        </is>
      </c>
      <c r="G381" t="inlineStr">
        <is>
          <t>LASTSCHUETZ</t>
        </is>
      </c>
      <c r="H381" t="inlineStr">
        <is>
          <t>4kW 1S</t>
        </is>
      </c>
      <c r="I381">
        <v>219</v>
      </c>
      <c r="J381">
        <f>GS61/107.6</f>
        <v>0</v>
      </c>
      <c r="M381" t="inlineStr">
        <is>
          <t>-107K54.6</t>
        </is>
      </c>
    </row>
    <row r="382">
      <c r="A382">
        <v>381</v>
      </c>
      <c r="B382">
        <f>GS62</f>
        <v>0</v>
      </c>
      <c r="C382" t="inlineStr">
        <is>
          <t>+ES1</t>
        </is>
      </c>
      <c r="D382" t="inlineStr">
        <is>
          <t>-107K54.6</t>
        </is>
      </c>
      <c r="E382" t="inlineStr">
        <is>
          <t>DIL_EM-10-G</t>
        </is>
      </c>
      <c r="F382" t="inlineStr">
        <is>
          <t>#KALK!</t>
        </is>
      </c>
      <c r="G382" t="inlineStr">
        <is>
          <t>LASTSCHUETZ</t>
        </is>
      </c>
      <c r="H382" t="inlineStr">
        <is>
          <t>4kW 1S</t>
        </is>
      </c>
      <c r="I382">
        <v>304</v>
      </c>
      <c r="J382">
        <f>GS62/107.6</f>
        <v>0</v>
      </c>
      <c r="M382" t="inlineStr">
        <is>
          <t>-107K54.6</t>
        </is>
      </c>
    </row>
    <row r="383">
      <c r="A383">
        <v>382</v>
      </c>
      <c r="B383">
        <f>GS61</f>
        <v>0</v>
      </c>
      <c r="C383" t="inlineStr">
        <is>
          <t>+ES1</t>
        </is>
      </c>
      <c r="D383" t="inlineStr">
        <is>
          <t>-107K54.7</t>
        </is>
      </c>
      <c r="E383" t="inlineStr">
        <is>
          <t>DIL_EM-10-G</t>
        </is>
      </c>
      <c r="F383" t="inlineStr">
        <is>
          <t>#KALK!</t>
        </is>
      </c>
      <c r="G383" t="inlineStr">
        <is>
          <t>LASTSCHUETZ</t>
        </is>
      </c>
      <c r="H383" t="inlineStr">
        <is>
          <t>4kW 1S</t>
        </is>
      </c>
      <c r="I383">
        <v>219</v>
      </c>
      <c r="J383">
        <f>GS61/107.7</f>
        <v>0</v>
      </c>
      <c r="M383" t="inlineStr">
        <is>
          <t>-107K54.7</t>
        </is>
      </c>
    </row>
    <row r="384">
      <c r="A384">
        <v>383</v>
      </c>
      <c r="B384">
        <f>GS62</f>
        <v>0</v>
      </c>
      <c r="C384" t="inlineStr">
        <is>
          <t>+ES1</t>
        </is>
      </c>
      <c r="D384" t="inlineStr">
        <is>
          <t>-107K54.7</t>
        </is>
      </c>
      <c r="E384" t="inlineStr">
        <is>
          <t>DIL_EM-10-G</t>
        </is>
      </c>
      <c r="F384" t="inlineStr">
        <is>
          <t>#KALK!</t>
        </is>
      </c>
      <c r="G384" t="inlineStr">
        <is>
          <t>LASTSCHUETZ</t>
        </is>
      </c>
      <c r="H384" t="inlineStr">
        <is>
          <t>4kW 1S</t>
        </is>
      </c>
      <c r="I384">
        <v>304</v>
      </c>
      <c r="J384">
        <f>GS62/107.7</f>
        <v>0</v>
      </c>
      <c r="M384" t="inlineStr">
        <is>
          <t>-107K54.7</t>
        </is>
      </c>
    </row>
    <row r="385">
      <c r="A385">
        <v>384</v>
      </c>
      <c r="B385">
        <f>GS15</f>
        <v>0</v>
      </c>
      <c r="C385" t="inlineStr">
        <is>
          <t>+LS1</t>
        </is>
      </c>
      <c r="D385" t="inlineStr">
        <is>
          <t>-107K58.2</t>
        </is>
      </c>
      <c r="E385" t="inlineStr">
        <is>
          <t>DIL_EM-10-G</t>
        </is>
      </c>
      <c r="F385" t="inlineStr">
        <is>
          <t>#KALK!</t>
        </is>
      </c>
      <c r="G385" t="inlineStr">
        <is>
          <t>LASTSCHUETZ</t>
        </is>
      </c>
      <c r="H385" t="inlineStr">
        <is>
          <t>4kW 1S</t>
        </is>
      </c>
      <c r="I385">
        <v>594</v>
      </c>
      <c r="J385">
        <f>GS15/107.6</f>
        <v>0</v>
      </c>
      <c r="M385" t="inlineStr">
        <is>
          <t>-107K58.2</t>
        </is>
      </c>
    </row>
    <row r="386">
      <c r="A386">
        <v>385</v>
      </c>
      <c r="B386">
        <f>GS15</f>
        <v>0</v>
      </c>
      <c r="C386" t="inlineStr">
        <is>
          <t>+LS1</t>
        </is>
      </c>
      <c r="D386" t="inlineStr">
        <is>
          <t>-107K58.3</t>
        </is>
      </c>
      <c r="E386" t="inlineStr">
        <is>
          <t>DIL_EM-10-G</t>
        </is>
      </c>
      <c r="F386" t="inlineStr">
        <is>
          <t>#KALK!</t>
        </is>
      </c>
      <c r="G386" t="inlineStr">
        <is>
          <t>LASTSCHUETZ</t>
        </is>
      </c>
      <c r="H386" t="inlineStr">
        <is>
          <t>4kW 1S</t>
        </is>
      </c>
      <c r="I386">
        <v>594</v>
      </c>
      <c r="J386">
        <f>GS15/107.6</f>
        <v>0</v>
      </c>
      <c r="M386" t="inlineStr">
        <is>
          <t>-107K58.3</t>
        </is>
      </c>
    </row>
    <row r="387">
      <c r="A387">
        <v>386</v>
      </c>
      <c r="B387">
        <f>GS11</f>
        <v>0</v>
      </c>
      <c r="C387" t="inlineStr">
        <is>
          <t>+LS1</t>
        </is>
      </c>
      <c r="D387" t="inlineStr">
        <is>
          <t>-107K78.3</t>
        </is>
      </c>
      <c r="E387" t="inlineStr">
        <is>
          <t>DIL_EM-10-G</t>
        </is>
      </c>
      <c r="F387" t="inlineStr">
        <is>
          <t>#KALK!</t>
        </is>
      </c>
      <c r="G387" t="inlineStr">
        <is>
          <t>LASTSCHUETZ</t>
        </is>
      </c>
      <c r="H387" t="inlineStr">
        <is>
          <t>4kW 1S</t>
        </is>
      </c>
      <c r="I387">
        <v>218</v>
      </c>
      <c r="J387">
        <f>GS11/107.6</f>
        <v>0</v>
      </c>
      <c r="M387" t="inlineStr">
        <is>
          <t>-107K78.3</t>
        </is>
      </c>
    </row>
    <row r="388">
      <c r="A388">
        <v>387</v>
      </c>
      <c r="B388">
        <f>GS21</f>
        <v>0</v>
      </c>
      <c r="C388" t="inlineStr">
        <is>
          <t>+LS1</t>
        </is>
      </c>
      <c r="D388" t="inlineStr">
        <is>
          <t>-107K78.3</t>
        </is>
      </c>
      <c r="E388" t="inlineStr">
        <is>
          <t>DIL_EM-10-G</t>
        </is>
      </c>
      <c r="F388" t="inlineStr">
        <is>
          <t>#KALK!</t>
        </is>
      </c>
      <c r="G388" t="inlineStr">
        <is>
          <t>LASTSCHUETZ</t>
        </is>
      </c>
      <c r="H388" t="inlineStr">
        <is>
          <t>4kW 1S</t>
        </is>
      </c>
      <c r="I388">
        <v>75</v>
      </c>
      <c r="J388">
        <f>GS21/107.6</f>
        <v>0</v>
      </c>
      <c r="M388" t="inlineStr">
        <is>
          <t>-107K78.3</t>
        </is>
      </c>
    </row>
    <row r="389">
      <c r="A389">
        <v>388</v>
      </c>
      <c r="B389">
        <f>GS36</f>
        <v>0</v>
      </c>
      <c r="C389" t="inlineStr">
        <is>
          <t>+LS01</t>
        </is>
      </c>
      <c r="D389" t="inlineStr">
        <is>
          <t>-105K102.4</t>
        </is>
      </c>
      <c r="E389" t="inlineStr">
        <is>
          <t>DILA-40</t>
        </is>
      </c>
      <c r="F389" t="inlineStr">
        <is>
          <t>#KALK!</t>
        </is>
      </c>
      <c r="G389" t="inlineStr">
        <is>
          <t>HILFSSCHUETZ</t>
        </is>
      </c>
      <c r="H389" t="inlineStr">
        <is>
          <t>4S Federzugkl.</t>
        </is>
      </c>
      <c r="I389">
        <v>277</v>
      </c>
      <c r="J389">
        <f>GS36/105.7</f>
        <v>0</v>
      </c>
      <c r="M389" t="inlineStr">
        <is>
          <t>-105K102.4</t>
        </is>
      </c>
    </row>
    <row r="390">
      <c r="A390">
        <v>389</v>
      </c>
      <c r="B390">
        <f>GS06</f>
        <v>0</v>
      </c>
      <c r="C390" t="inlineStr">
        <is>
          <t>+LS17</t>
        </is>
      </c>
      <c r="D390" t="inlineStr">
        <is>
          <t>-1083Q443.1</t>
        </is>
      </c>
      <c r="E390" t="inlineStr">
        <is>
          <t>DILM-9-10</t>
        </is>
      </c>
      <c r="F390" t="inlineStr">
        <is>
          <t>#KALK!</t>
        </is>
      </c>
      <c r="G390" t="inlineStr">
        <is>
          <t>LASTSCHUETZ</t>
        </is>
      </c>
      <c r="H390" t="inlineStr">
        <is>
          <t>4kW 1S Federzugkl.</t>
        </is>
      </c>
      <c r="I390">
        <v>2759</v>
      </c>
      <c r="J390">
        <f>GS06/1083.6</f>
        <v>0</v>
      </c>
      <c r="K390" t="inlineStr">
        <is>
          <t>DIL MC9</t>
        </is>
      </c>
      <c r="M390" t="inlineStr">
        <is>
          <t>-1083Q443.1</t>
        </is>
      </c>
    </row>
    <row r="391">
      <c r="A391">
        <v>390</v>
      </c>
      <c r="B391">
        <f>GS13</f>
        <v>0</v>
      </c>
      <c r="C391" t="inlineStr">
        <is>
          <t>+LS1</t>
        </is>
      </c>
      <c r="D391" t="inlineStr">
        <is>
          <t>-10851.3</t>
        </is>
      </c>
      <c r="E391" t="inlineStr">
        <is>
          <t>DIL_EM-10-G</t>
        </is>
      </c>
      <c r="F391" t="inlineStr">
        <is>
          <t>#KALK!</t>
        </is>
      </c>
      <c r="G391" t="inlineStr">
        <is>
          <t>LASTSCHUETZ</t>
        </is>
      </c>
      <c r="H391" t="inlineStr">
        <is>
          <t>4kW 1S</t>
        </is>
      </c>
      <c r="I391">
        <v>347</v>
      </c>
      <c r="J391">
        <f>GS13/108.7</f>
        <v>0</v>
      </c>
      <c r="M391" t="inlineStr">
        <is>
          <t>-10851.3</t>
        </is>
      </c>
    </row>
    <row r="392">
      <c r="A392">
        <v>391</v>
      </c>
      <c r="B392">
        <f>GS31</f>
        <v>0</v>
      </c>
      <c r="C392" t="inlineStr">
        <is>
          <t>+LS12</t>
        </is>
      </c>
      <c r="D392" t="inlineStr">
        <is>
          <t>-1086K1</t>
        </is>
      </c>
      <c r="E392" t="inlineStr">
        <is>
          <t>DILA-XHI22</t>
        </is>
      </c>
      <c r="F392" t="inlineStr">
        <is>
          <t>DILA-XHI22</t>
        </is>
      </c>
      <c r="G392" t="inlineStr">
        <is>
          <t>HILFSKONTAKTBLOCK</t>
        </is>
      </c>
      <c r="H392" t="inlineStr">
        <is>
          <t>2S 2OE Last+Hilfssch. Cage</t>
        </is>
      </c>
      <c r="I392">
        <v>2552</v>
      </c>
      <c r="J392">
        <f>GS31/1086.5</f>
        <v>0</v>
      </c>
      <c r="M392" t="inlineStr">
        <is>
          <t>-1086K1</t>
        </is>
      </c>
    </row>
    <row r="393">
      <c r="A393">
        <v>392</v>
      </c>
      <c r="B393">
        <f>GS31</f>
        <v>0</v>
      </c>
      <c r="C393" t="inlineStr">
        <is>
          <t>+LS12</t>
        </is>
      </c>
      <c r="D393" t="inlineStr">
        <is>
          <t>-1086K1</t>
        </is>
      </c>
      <c r="E393" t="inlineStr">
        <is>
          <t>DILM-9-10</t>
        </is>
      </c>
      <c r="F393" t="inlineStr">
        <is>
          <t>DILA-XHI22</t>
        </is>
      </c>
      <c r="G393" t="inlineStr">
        <is>
          <t>LASTSCHUETZ</t>
        </is>
      </c>
      <c r="H393" t="inlineStr">
        <is>
          <t>4kW 1S Federzugkl.</t>
        </is>
      </c>
      <c r="I393">
        <v>2552</v>
      </c>
      <c r="J393">
        <f>GS31/1086.5</f>
        <v>0</v>
      </c>
      <c r="M393" t="inlineStr">
        <is>
          <t>-1086K1</t>
        </is>
      </c>
    </row>
    <row r="394">
      <c r="A394">
        <v>393</v>
      </c>
      <c r="B394">
        <f>GS31</f>
        <v>0</v>
      </c>
      <c r="C394" t="inlineStr">
        <is>
          <t>+LS12</t>
        </is>
      </c>
      <c r="D394" t="inlineStr">
        <is>
          <t>-1086K2</t>
        </is>
      </c>
      <c r="E394" t="inlineStr">
        <is>
          <t>DILA-XHI22</t>
        </is>
      </c>
      <c r="F394" t="inlineStr">
        <is>
          <t>DILA-XHI22</t>
        </is>
      </c>
      <c r="G394" t="inlineStr">
        <is>
          <t>HILFSKONTAKTBLOCK</t>
        </is>
      </c>
      <c r="H394" t="inlineStr">
        <is>
          <t>2S 2OE Last+Hilfssch. Cage</t>
        </is>
      </c>
      <c r="I394">
        <v>2552</v>
      </c>
      <c r="J394">
        <f>GS31/1086.6</f>
        <v>0</v>
      </c>
      <c r="M394" t="inlineStr">
        <is>
          <t>-1086K2</t>
        </is>
      </c>
    </row>
    <row r="395">
      <c r="A395">
        <v>394</v>
      </c>
      <c r="B395">
        <f>GS31</f>
        <v>0</v>
      </c>
      <c r="C395" t="inlineStr">
        <is>
          <t>+LS12</t>
        </is>
      </c>
      <c r="D395" t="inlineStr">
        <is>
          <t>-1086K2</t>
        </is>
      </c>
      <c r="E395" t="inlineStr">
        <is>
          <t>DILM-9-10</t>
        </is>
      </c>
      <c r="F395" t="inlineStr">
        <is>
          <t>DILA-XHI22</t>
        </is>
      </c>
      <c r="G395" t="inlineStr">
        <is>
          <t>LASTSCHUETZ</t>
        </is>
      </c>
      <c r="H395" t="inlineStr">
        <is>
          <t>4kW 1S Federzugkl.</t>
        </is>
      </c>
      <c r="I395">
        <v>2552</v>
      </c>
      <c r="J395">
        <f>GS31/1086.6</f>
        <v>0</v>
      </c>
      <c r="M395" t="inlineStr">
        <is>
          <t>-1086K2</t>
        </is>
      </c>
    </row>
    <row r="396">
      <c r="A396">
        <v>395</v>
      </c>
      <c r="B396">
        <f>GS32</f>
        <v>0</v>
      </c>
      <c r="C396" t="inlineStr">
        <is>
          <t>+LS9</t>
        </is>
      </c>
      <c r="D396" t="inlineStr">
        <is>
          <t>-1086K3</t>
        </is>
      </c>
      <c r="E396" t="inlineStr">
        <is>
          <t>DILMC25-10230V50HZ</t>
        </is>
      </c>
      <c r="F396" t="inlineStr">
        <is>
          <t>DILA-XHI22</t>
        </is>
      </c>
      <c r="G396" t="inlineStr">
        <is>
          <t>LASTSCHUETZ</t>
        </is>
      </c>
      <c r="H396" t="inlineStr">
        <is>
          <t>11kW 1S Federzugkl.</t>
        </is>
      </c>
      <c r="I396">
        <v>248</v>
      </c>
      <c r="J396">
        <f>GS32/1086.2</f>
        <v>0</v>
      </c>
      <c r="K396" t="inlineStr">
        <is>
          <t>DILMC25</t>
        </is>
      </c>
      <c r="M396" t="inlineStr">
        <is>
          <t>-1086K3</t>
        </is>
      </c>
    </row>
    <row r="397">
      <c r="A397">
        <v>396</v>
      </c>
      <c r="B397">
        <f>GS32</f>
        <v>0</v>
      </c>
      <c r="C397" t="inlineStr">
        <is>
          <t>+LS9</t>
        </is>
      </c>
      <c r="D397" t="inlineStr">
        <is>
          <t>-1086K3</t>
        </is>
      </c>
      <c r="E397" t="inlineStr">
        <is>
          <t>DILA-XHI22</t>
        </is>
      </c>
      <c r="F397" t="inlineStr">
        <is>
          <t>DILA-XHI22</t>
        </is>
      </c>
      <c r="G397" t="inlineStr">
        <is>
          <t>HILFSKONTAKTBLOCK</t>
        </is>
      </c>
      <c r="H397" t="inlineStr">
        <is>
          <t>2S 2OE Last+Hilfssch. Cage</t>
        </is>
      </c>
      <c r="I397">
        <v>248</v>
      </c>
      <c r="J397">
        <f>GS32/1086.2</f>
        <v>0</v>
      </c>
      <c r="K397" t="inlineStr">
        <is>
          <t>DILMC25</t>
        </is>
      </c>
      <c r="M397" t="inlineStr">
        <is>
          <t>-1086K3</t>
        </is>
      </c>
    </row>
    <row r="398">
      <c r="A398">
        <v>397</v>
      </c>
      <c r="B398">
        <f>GS32</f>
        <v>0</v>
      </c>
      <c r="C398" t="inlineStr">
        <is>
          <t>+LS9</t>
        </is>
      </c>
      <c r="D398" t="inlineStr">
        <is>
          <t>-1086K4</t>
        </is>
      </c>
      <c r="E398" t="inlineStr">
        <is>
          <t>DILA-XHI22</t>
        </is>
      </c>
      <c r="F398" t="inlineStr">
        <is>
          <t>DILA-XHI22</t>
        </is>
      </c>
      <c r="G398" t="inlineStr">
        <is>
          <t>HILFSKONTAKTBLOCK</t>
        </is>
      </c>
      <c r="H398" t="inlineStr">
        <is>
          <t>2S 2OE Last+Hilfssch. Cage</t>
        </is>
      </c>
      <c r="I398">
        <v>248</v>
      </c>
      <c r="J398">
        <f>GS32/1086.3</f>
        <v>0</v>
      </c>
      <c r="K398" t="inlineStr">
        <is>
          <t>DILMC25</t>
        </is>
      </c>
      <c r="M398" t="inlineStr">
        <is>
          <t>-1086K4</t>
        </is>
      </c>
    </row>
    <row r="399">
      <c r="A399">
        <v>398</v>
      </c>
      <c r="B399">
        <f>GS32</f>
        <v>0</v>
      </c>
      <c r="C399" t="inlineStr">
        <is>
          <t>+LS9</t>
        </is>
      </c>
      <c r="D399" t="inlineStr">
        <is>
          <t>-1086K4</t>
        </is>
      </c>
      <c r="E399" t="inlineStr">
        <is>
          <t>DILMC25-10(RDC24)</t>
        </is>
      </c>
      <c r="F399" t="inlineStr">
        <is>
          <t>DILA-XHI22</t>
        </is>
      </c>
      <c r="G399" t="inlineStr">
        <is>
          <t>LASTSCHUETZ</t>
        </is>
      </c>
      <c r="H399" t="inlineStr">
        <is>
          <t>11kW 1S Federzugkl.</t>
        </is>
      </c>
      <c r="I399">
        <v>248</v>
      </c>
      <c r="J399">
        <f>GS32/1086.3</f>
        <v>0</v>
      </c>
      <c r="K399" t="inlineStr">
        <is>
          <t>DILMC25</t>
        </is>
      </c>
      <c r="M399" t="inlineStr">
        <is>
          <t>-1086K4</t>
        </is>
      </c>
    </row>
    <row r="400">
      <c r="A400">
        <v>399</v>
      </c>
      <c r="B400">
        <f>GS32</f>
        <v>0</v>
      </c>
      <c r="C400" t="inlineStr">
        <is>
          <t>+LS9</t>
        </is>
      </c>
      <c r="D400" t="inlineStr">
        <is>
          <t>-1087K3504.5</t>
        </is>
      </c>
      <c r="E400" t="inlineStr">
        <is>
          <t>DILM-9-10</t>
        </is>
      </c>
      <c r="F400" t="inlineStr">
        <is>
          <t>#KALK!</t>
        </is>
      </c>
      <c r="G400" t="inlineStr">
        <is>
          <t>LASTSCHUETZ</t>
        </is>
      </c>
      <c r="H400" t="inlineStr">
        <is>
          <t>4kW 1S Federzugkl.</t>
        </is>
      </c>
      <c r="I400">
        <v>247</v>
      </c>
      <c r="J400">
        <f>GS32/1087.7</f>
        <v>0</v>
      </c>
      <c r="M400" t="inlineStr">
        <is>
          <t>-1087K3504.5</t>
        </is>
      </c>
    </row>
    <row r="401">
      <c r="A401">
        <v>400</v>
      </c>
      <c r="B401">
        <f>GS16</f>
        <v>0</v>
      </c>
      <c r="C401" t="inlineStr">
        <is>
          <t>+1KK15</t>
        </is>
      </c>
      <c r="D401" t="inlineStr">
        <is>
          <t>-1088K1</t>
        </is>
      </c>
      <c r="E401" t="inlineStr">
        <is>
          <t>DIL_ER-40-G</t>
        </is>
      </c>
      <c r="F401" t="inlineStr">
        <is>
          <t>#KALK!</t>
        </is>
      </c>
      <c r="G401" t="inlineStr">
        <is>
          <t>HILFSSCHUETZ</t>
        </is>
      </c>
      <c r="H401" t="inlineStr">
        <is>
          <t>4S</t>
        </is>
      </c>
      <c r="I401">
        <v>1338</v>
      </c>
      <c r="J401">
        <f>GS16/1088.3</f>
        <v>0</v>
      </c>
      <c r="M401" t="inlineStr">
        <is>
          <t>-1088K1</t>
        </is>
      </c>
    </row>
    <row r="402">
      <c r="A402">
        <v>401</v>
      </c>
      <c r="B402">
        <f>GS16</f>
        <v>0</v>
      </c>
      <c r="C402" t="inlineStr">
        <is>
          <t>+1KK15</t>
        </is>
      </c>
      <c r="D402" t="inlineStr">
        <is>
          <t>-1088K2</t>
        </is>
      </c>
      <c r="E402" t="inlineStr">
        <is>
          <t>DIL_ER-40-G</t>
        </is>
      </c>
      <c r="F402" t="inlineStr">
        <is>
          <t>#KALK!</t>
        </is>
      </c>
      <c r="G402" t="inlineStr">
        <is>
          <t>HILFSSCHUETZ</t>
        </is>
      </c>
      <c r="H402" t="inlineStr">
        <is>
          <t>4S</t>
        </is>
      </c>
      <c r="I402">
        <v>1338</v>
      </c>
      <c r="J402">
        <f>GS16/1088.4</f>
        <v>0</v>
      </c>
      <c r="M402" t="inlineStr">
        <is>
          <t>-1088K2</t>
        </is>
      </c>
    </row>
    <row r="403">
      <c r="A403">
        <v>402</v>
      </c>
      <c r="B403">
        <f>GS32</f>
        <v>0</v>
      </c>
      <c r="C403" t="inlineStr">
        <is>
          <t>+LS9</t>
        </is>
      </c>
      <c r="D403" t="inlineStr">
        <is>
          <t>-1088K3504.0</t>
        </is>
      </c>
      <c r="E403" t="inlineStr">
        <is>
          <t>DILM-9-01</t>
        </is>
      </c>
      <c r="F403" t="inlineStr">
        <is>
          <t>#KALK!</t>
        </is>
      </c>
      <c r="G403" t="inlineStr">
        <is>
          <t>LASTSCHUETZ</t>
        </is>
      </c>
      <c r="H403" t="inlineStr">
        <is>
          <t>4kW 1Oe Federzugkl.</t>
        </is>
      </c>
      <c r="I403">
        <v>246</v>
      </c>
      <c r="J403">
        <f>GS32/1088.6</f>
        <v>0</v>
      </c>
      <c r="M403" t="inlineStr">
        <is>
          <t>-1088K3504.0</t>
        </is>
      </c>
    </row>
    <row r="404">
      <c r="A404">
        <v>403</v>
      </c>
      <c r="B404">
        <f>GS32</f>
        <v>0</v>
      </c>
      <c r="C404" t="inlineStr">
        <is>
          <t>+LS9</t>
        </is>
      </c>
      <c r="D404" t="inlineStr">
        <is>
          <t>-1088K3504.1</t>
        </is>
      </c>
      <c r="E404" t="inlineStr">
        <is>
          <t>DILM-9-01</t>
        </is>
      </c>
      <c r="F404" t="inlineStr">
        <is>
          <t>#KALK!</t>
        </is>
      </c>
      <c r="G404" t="inlineStr">
        <is>
          <t>LASTSCHUETZ</t>
        </is>
      </c>
      <c r="H404" t="inlineStr">
        <is>
          <t>4kW 1Oe Federzugkl.</t>
        </is>
      </c>
      <c r="I404">
        <v>246</v>
      </c>
      <c r="J404">
        <f>GS32/1088.6</f>
        <v>0</v>
      </c>
      <c r="M404" t="inlineStr">
        <is>
          <t>-1088K3504.1</t>
        </is>
      </c>
    </row>
    <row r="405">
      <c r="A405">
        <v>404</v>
      </c>
      <c r="B405">
        <f>GS06</f>
        <v>0</v>
      </c>
      <c r="C405" t="inlineStr">
        <is>
          <t>+LS17</t>
        </is>
      </c>
      <c r="D405" t="inlineStr">
        <is>
          <t>-1088Q443.2</t>
        </is>
      </c>
      <c r="E405" t="inlineStr">
        <is>
          <t>DILM-9-10</t>
        </is>
      </c>
      <c r="F405" t="inlineStr">
        <is>
          <t>#KALK!</t>
        </is>
      </c>
      <c r="G405" t="inlineStr">
        <is>
          <t>LASTSCHUETZ</t>
        </is>
      </c>
      <c r="H405" t="inlineStr">
        <is>
          <t>4kW 1S Federzugkl.</t>
        </is>
      </c>
      <c r="I405">
        <v>2748</v>
      </c>
      <c r="J405">
        <f>GS06/1088.6</f>
        <v>0</v>
      </c>
      <c r="K405" t="inlineStr">
        <is>
          <t>DIL MC9</t>
        </is>
      </c>
      <c r="M405" t="inlineStr">
        <is>
          <t>-1088Q443.2</t>
        </is>
      </c>
    </row>
    <row r="406">
      <c r="A406">
        <v>405</v>
      </c>
      <c r="B406">
        <f>GS32</f>
        <v>0</v>
      </c>
      <c r="C406" t="inlineStr">
        <is>
          <t>+LS9</t>
        </is>
      </c>
      <c r="D406" t="inlineStr">
        <is>
          <t>-1089K3505.5</t>
        </is>
      </c>
      <c r="E406" t="inlineStr">
        <is>
          <t>DILM-9-10</t>
        </is>
      </c>
      <c r="F406" t="inlineStr">
        <is>
          <t>#KALK!</t>
        </is>
      </c>
      <c r="G406" t="inlineStr">
        <is>
          <t>LASTSCHUETZ</t>
        </is>
      </c>
      <c r="H406" t="inlineStr">
        <is>
          <t>4kW 1S Federzugkl.</t>
        </is>
      </c>
      <c r="I406">
        <v>245</v>
      </c>
      <c r="J406">
        <f>GS32/1089.7</f>
        <v>0</v>
      </c>
      <c r="M406" t="inlineStr">
        <is>
          <t>-1089K3505.5</t>
        </is>
      </c>
    </row>
    <row r="407">
      <c r="A407">
        <v>406</v>
      </c>
      <c r="B407">
        <f>GS02</f>
        <v>0</v>
      </c>
      <c r="C407" t="inlineStr">
        <is>
          <t>+LS1</t>
        </is>
      </c>
      <c r="D407" t="inlineStr">
        <is>
          <t>-108K13.5</t>
        </is>
      </c>
      <c r="E407" t="inlineStr">
        <is>
          <t>DIL_EM-10-G</t>
        </is>
      </c>
      <c r="F407" t="inlineStr">
        <is>
          <t>#KALK!</t>
        </is>
      </c>
      <c r="G407" t="inlineStr">
        <is>
          <t>LASTSCHUETZ</t>
        </is>
      </c>
      <c r="H407" t="inlineStr">
        <is>
          <t>4kW 1S</t>
        </is>
      </c>
      <c r="I407">
        <v>506</v>
      </c>
      <c r="J407">
        <f>GS02/108.7</f>
        <v>0</v>
      </c>
      <c r="M407" t="inlineStr">
        <is>
          <t>-108K13.5</t>
        </is>
      </c>
    </row>
    <row r="408">
      <c r="A408">
        <v>407</v>
      </c>
      <c r="B408">
        <f>GS34</f>
        <v>0</v>
      </c>
      <c r="C408" t="inlineStr">
        <is>
          <t>+LS1</t>
        </is>
      </c>
      <c r="D408" t="inlineStr">
        <is>
          <t>-108K13.7</t>
        </is>
      </c>
      <c r="E408" t="inlineStr">
        <is>
          <t>DIL_EM-10-G</t>
        </is>
      </c>
      <c r="F408" t="inlineStr">
        <is>
          <t>#KALK!</t>
        </is>
      </c>
      <c r="G408" t="inlineStr">
        <is>
          <t>LASTSCHUETZ</t>
        </is>
      </c>
      <c r="H408" t="inlineStr">
        <is>
          <t>4kW 1S</t>
        </is>
      </c>
      <c r="I408">
        <v>232</v>
      </c>
      <c r="J408">
        <f>GS34/108.6</f>
        <v>0</v>
      </c>
      <c r="M408" t="inlineStr">
        <is>
          <t>-108K13.7</t>
        </is>
      </c>
    </row>
    <row r="409">
      <c r="A409">
        <v>408</v>
      </c>
      <c r="B409">
        <f>GS34</f>
        <v>0</v>
      </c>
      <c r="C409" t="inlineStr">
        <is>
          <t>+LS1</t>
        </is>
      </c>
      <c r="D409" t="inlineStr">
        <is>
          <t>-108K14.0</t>
        </is>
      </c>
      <c r="E409" t="inlineStr">
        <is>
          <t>DIL_EM-10-G</t>
        </is>
      </c>
      <c r="F409" t="inlineStr">
        <is>
          <t>#KALK!</t>
        </is>
      </c>
      <c r="G409" t="inlineStr">
        <is>
          <t>LASTSCHUETZ</t>
        </is>
      </c>
      <c r="H409" t="inlineStr">
        <is>
          <t>4kW 1S</t>
        </is>
      </c>
      <c r="I409">
        <v>232</v>
      </c>
      <c r="J409">
        <f>GS34/108.6</f>
        <v>0</v>
      </c>
      <c r="M409" t="inlineStr">
        <is>
          <t>-108K14.0</t>
        </is>
      </c>
    </row>
    <row r="410">
      <c r="A410">
        <v>409</v>
      </c>
      <c r="B410">
        <f>GS11</f>
        <v>0</v>
      </c>
      <c r="C410" t="inlineStr">
        <is>
          <t>+LS1</t>
        </is>
      </c>
      <c r="D410" t="inlineStr">
        <is>
          <t>-108K27.0</t>
        </is>
      </c>
      <c r="E410" t="inlineStr">
        <is>
          <t>DIL_EM-10-G</t>
        </is>
      </c>
      <c r="F410" t="inlineStr">
        <is>
          <t>#KALK!</t>
        </is>
      </c>
      <c r="G410" t="inlineStr">
        <is>
          <t>LASTSCHUETZ</t>
        </is>
      </c>
      <c r="H410" t="inlineStr">
        <is>
          <t>4kW 1S</t>
        </is>
      </c>
      <c r="I410">
        <v>219</v>
      </c>
      <c r="J410">
        <f>GS11/108.6</f>
        <v>0</v>
      </c>
      <c r="M410" t="inlineStr">
        <is>
          <t>-108K27.0</t>
        </is>
      </c>
    </row>
    <row r="411">
      <c r="A411">
        <v>410</v>
      </c>
      <c r="B411">
        <f>GS21</f>
        <v>0</v>
      </c>
      <c r="C411" t="inlineStr">
        <is>
          <t>+LS1</t>
        </is>
      </c>
      <c r="D411" t="inlineStr">
        <is>
          <t>-108K27.0</t>
        </is>
      </c>
      <c r="E411" t="inlineStr">
        <is>
          <t>DIL_EM-10-G</t>
        </is>
      </c>
      <c r="F411" t="inlineStr">
        <is>
          <t>#KALK!</t>
        </is>
      </c>
      <c r="G411" t="inlineStr">
        <is>
          <t>LASTSCHUETZ</t>
        </is>
      </c>
      <c r="H411" t="inlineStr">
        <is>
          <t>4kW 1S</t>
        </is>
      </c>
      <c r="I411">
        <v>193</v>
      </c>
      <c r="J411">
        <f>GS21/108.6</f>
        <v>0</v>
      </c>
      <c r="M411" t="inlineStr">
        <is>
          <t>-108K27.0</t>
        </is>
      </c>
    </row>
    <row r="412">
      <c r="A412">
        <v>411</v>
      </c>
      <c r="B412">
        <f>GS26</f>
        <v>0</v>
      </c>
      <c r="C412" t="inlineStr">
        <is>
          <t>+LS1</t>
        </is>
      </c>
      <c r="D412" t="inlineStr">
        <is>
          <t>-108K3530.6</t>
        </is>
      </c>
      <c r="E412" t="inlineStr">
        <is>
          <t>DILM-9-10</t>
        </is>
      </c>
      <c r="F412" t="inlineStr">
        <is>
          <t>#KALK!</t>
        </is>
      </c>
      <c r="G412" t="inlineStr">
        <is>
          <t>LASTSCHUETZ</t>
        </is>
      </c>
      <c r="H412" t="inlineStr">
        <is>
          <t>4kW 1S Federzugkl.</t>
        </is>
      </c>
      <c r="I412">
        <v>407</v>
      </c>
      <c r="J412">
        <f>GS26/108.6</f>
        <v>0</v>
      </c>
      <c r="M412" t="inlineStr">
        <is>
          <t>-108K3530.6</t>
        </is>
      </c>
    </row>
    <row r="413">
      <c r="A413">
        <v>412</v>
      </c>
      <c r="B413">
        <f>GS26</f>
        <v>0</v>
      </c>
      <c r="C413" t="inlineStr">
        <is>
          <t>+LS1</t>
        </is>
      </c>
      <c r="D413" t="inlineStr">
        <is>
          <t>-108K3530.7</t>
        </is>
      </c>
      <c r="E413" t="inlineStr">
        <is>
          <t>DILM-9-10</t>
        </is>
      </c>
      <c r="F413" t="inlineStr">
        <is>
          <t>#KALK!</t>
        </is>
      </c>
      <c r="G413" t="inlineStr">
        <is>
          <t>LASTSCHUETZ</t>
        </is>
      </c>
      <c r="H413" t="inlineStr">
        <is>
          <t>4kW 1S Federzugkl.</t>
        </is>
      </c>
      <c r="I413">
        <v>407</v>
      </c>
      <c r="J413">
        <f>GS26/108.6</f>
        <v>0</v>
      </c>
      <c r="M413" t="inlineStr">
        <is>
          <t>-108K3530.7</t>
        </is>
      </c>
    </row>
    <row r="414">
      <c r="A414">
        <v>413</v>
      </c>
      <c r="B414">
        <f>GS23</f>
        <v>0</v>
      </c>
      <c r="C414" t="inlineStr">
        <is>
          <t>+LS1</t>
        </is>
      </c>
      <c r="D414" t="inlineStr">
        <is>
          <t>-108K51.3</t>
        </is>
      </c>
      <c r="E414" t="inlineStr">
        <is>
          <t>DIL_EM-10-G</t>
        </is>
      </c>
      <c r="F414" t="inlineStr">
        <is>
          <t>#KALK!</t>
        </is>
      </c>
      <c r="G414" t="inlineStr">
        <is>
          <t>LASTSCHUETZ</t>
        </is>
      </c>
      <c r="H414" t="inlineStr">
        <is>
          <t>4kW 1S</t>
        </is>
      </c>
      <c r="I414">
        <v>407</v>
      </c>
      <c r="J414">
        <f>GS23/108.7</f>
        <v>0</v>
      </c>
      <c r="M414" t="inlineStr">
        <is>
          <t>-108K51.3</t>
        </is>
      </c>
    </row>
    <row r="415">
      <c r="A415">
        <v>414</v>
      </c>
      <c r="B415">
        <f>GS15</f>
        <v>0</v>
      </c>
      <c r="C415" t="inlineStr">
        <is>
          <t>+LS1</t>
        </is>
      </c>
      <c r="D415" t="inlineStr">
        <is>
          <t>-108K59.4</t>
        </is>
      </c>
      <c r="E415" t="inlineStr">
        <is>
          <t>DIL_EM-10-G</t>
        </is>
      </c>
      <c r="F415" t="inlineStr">
        <is>
          <t>#KALK!</t>
        </is>
      </c>
      <c r="G415" t="inlineStr">
        <is>
          <t>LASTSCHUETZ</t>
        </is>
      </c>
      <c r="H415" t="inlineStr">
        <is>
          <t>4kW 1S</t>
        </is>
      </c>
      <c r="I415">
        <v>595</v>
      </c>
      <c r="J415">
        <f>GS15/108.6</f>
        <v>0</v>
      </c>
      <c r="M415" t="inlineStr">
        <is>
          <t>-108K59.4</t>
        </is>
      </c>
    </row>
    <row r="416">
      <c r="A416">
        <v>415</v>
      </c>
      <c r="B416">
        <f>GS11</f>
        <v>0</v>
      </c>
      <c r="C416" t="inlineStr">
        <is>
          <t>+LS1</t>
        </is>
      </c>
      <c r="D416" t="inlineStr">
        <is>
          <t>-108K78.4</t>
        </is>
      </c>
      <c r="E416" t="inlineStr">
        <is>
          <t>DIL_EM-10-G</t>
        </is>
      </c>
      <c r="F416" t="inlineStr">
        <is>
          <t>#KALK!</t>
        </is>
      </c>
      <c r="G416" t="inlineStr">
        <is>
          <t>LASTSCHUETZ</t>
        </is>
      </c>
      <c r="H416" t="inlineStr">
        <is>
          <t>4kW 1S</t>
        </is>
      </c>
      <c r="I416">
        <v>219</v>
      </c>
      <c r="J416">
        <f>GS11/108.6</f>
        <v>0</v>
      </c>
      <c r="M416" t="inlineStr">
        <is>
          <t>-108K78.4</t>
        </is>
      </c>
    </row>
    <row r="417">
      <c r="A417">
        <v>416</v>
      </c>
      <c r="B417">
        <f>GS21</f>
        <v>0</v>
      </c>
      <c r="C417" t="inlineStr">
        <is>
          <t>+LS1</t>
        </is>
      </c>
      <c r="D417" t="inlineStr">
        <is>
          <t>-108K78.4</t>
        </is>
      </c>
      <c r="E417" t="inlineStr">
        <is>
          <t>DIL_EM-10-G</t>
        </is>
      </c>
      <c r="F417" t="inlineStr">
        <is>
          <t>#KALK!</t>
        </is>
      </c>
      <c r="G417" t="inlineStr">
        <is>
          <t>LASTSCHUETZ</t>
        </is>
      </c>
      <c r="H417" t="inlineStr">
        <is>
          <t>4kW 1S</t>
        </is>
      </c>
      <c r="I417">
        <v>193</v>
      </c>
      <c r="J417">
        <f>GS21/108.6</f>
        <v>0</v>
      </c>
      <c r="M417" t="inlineStr">
        <is>
          <t>-108K78.4</t>
        </is>
      </c>
    </row>
    <row r="418">
      <c r="A418">
        <v>417</v>
      </c>
      <c r="B418">
        <f>GS79</f>
        <v>0</v>
      </c>
      <c r="C418" t="inlineStr">
        <is>
          <t>+LS[l2]</t>
        </is>
      </c>
      <c r="D418" t="inlineStr">
        <is>
          <t>-108Q1</t>
        </is>
      </c>
      <c r="E418" t="inlineStr">
        <is>
          <t>DILM-9-10</t>
        </is>
      </c>
      <c r="F418" t="inlineStr">
        <is>
          <t>#KALK!</t>
        </is>
      </c>
      <c r="G418" t="inlineStr">
        <is>
          <t>LASTSCHUETZ</t>
        </is>
      </c>
      <c r="H418" t="inlineStr">
        <is>
          <t>4kW 1S Federzugkl.</t>
        </is>
      </c>
      <c r="I418">
        <v>149</v>
      </c>
      <c r="J418">
        <f>GS79/108.2</f>
        <v>0</v>
      </c>
      <c r="M418" t="inlineStr">
        <is>
          <t>-108Q1</t>
        </is>
      </c>
    </row>
    <row r="419">
      <c r="A419">
        <v>418</v>
      </c>
      <c r="B419">
        <f>GS79</f>
        <v>0</v>
      </c>
      <c r="C419" t="inlineStr">
        <is>
          <t>+LS[l2]</t>
        </is>
      </c>
      <c r="D419" t="inlineStr">
        <is>
          <t>-108Q1</t>
        </is>
      </c>
      <c r="E419" t="inlineStr">
        <is>
          <t>DILM-9-10</t>
        </is>
      </c>
      <c r="F419" t="inlineStr">
        <is>
          <t>#KALK!</t>
        </is>
      </c>
      <c r="G419" t="inlineStr">
        <is>
          <t>LASTSCHUETZ</t>
        </is>
      </c>
      <c r="H419" t="inlineStr">
        <is>
          <t>4kW 1S Federzugkl.</t>
        </is>
      </c>
      <c r="I419">
        <v>199</v>
      </c>
      <c r="J419">
        <f>GS79/108.2</f>
        <v>0</v>
      </c>
      <c r="M419" t="inlineStr">
        <is>
          <t>-108Q1</t>
        </is>
      </c>
    </row>
    <row r="420">
      <c r="A420">
        <v>419</v>
      </c>
      <c r="B420">
        <f>GS06</f>
        <v>0</v>
      </c>
      <c r="C420" t="inlineStr">
        <is>
          <t>+LS01</t>
        </is>
      </c>
      <c r="D420" t="inlineStr">
        <is>
          <t>-108Q104.5</t>
        </is>
      </c>
      <c r="E420" t="inlineStr">
        <is>
          <t>DILM-9-10</t>
        </is>
      </c>
      <c r="F420" t="inlineStr">
        <is>
          <t>#KALK!</t>
        </is>
      </c>
      <c r="G420" t="inlineStr">
        <is>
          <t>LASTSCHUETZ</t>
        </is>
      </c>
      <c r="H420" t="inlineStr">
        <is>
          <t>4kW 1S Federzugkl.</t>
        </is>
      </c>
      <c r="I420">
        <v>3001</v>
      </c>
      <c r="J420">
        <f>GS06/108.6</f>
        <v>0</v>
      </c>
      <c r="K420" t="inlineStr">
        <is>
          <t>DIL MC9</t>
        </is>
      </c>
      <c r="M420" t="inlineStr">
        <is>
          <t>-108Q104.5</t>
        </is>
      </c>
    </row>
    <row r="421">
      <c r="A421">
        <v>420</v>
      </c>
      <c r="B421">
        <f>GS52</f>
        <v>0</v>
      </c>
      <c r="C421" t="inlineStr">
        <is>
          <t>+LS01</t>
        </is>
      </c>
      <c r="D421" t="inlineStr">
        <is>
          <t>-108Q105.1</t>
        </is>
      </c>
      <c r="E421" t="inlineStr">
        <is>
          <t>DILM-9-10</t>
        </is>
      </c>
      <c r="F421" t="inlineStr">
        <is>
          <t>#KALK!</t>
        </is>
      </c>
      <c r="G421" t="inlineStr">
        <is>
          <t>LASTSCHUETZ</t>
        </is>
      </c>
      <c r="H421" t="inlineStr">
        <is>
          <t>4kW 1S Federzugkl.</t>
        </is>
      </c>
      <c r="I421">
        <v>565</v>
      </c>
      <c r="J421">
        <f>GS52/108.6</f>
        <v>0</v>
      </c>
      <c r="K421" t="inlineStr">
        <is>
          <t>DIL MC9</t>
        </is>
      </c>
      <c r="M421" t="inlineStr">
        <is>
          <t>-108Q105.1</t>
        </is>
      </c>
    </row>
    <row r="422">
      <c r="A422">
        <v>421</v>
      </c>
      <c r="B422">
        <f>GS90</f>
        <v>0</v>
      </c>
      <c r="C422" t="inlineStr">
        <is>
          <t>+LS01</t>
        </is>
      </c>
      <c r="D422" t="inlineStr">
        <is>
          <t>-108Q151.3</t>
        </is>
      </c>
      <c r="E422" t="inlineStr">
        <is>
          <t>DILM-9-10</t>
        </is>
      </c>
      <c r="F422" t="inlineStr">
        <is>
          <t>#KALK!</t>
        </is>
      </c>
      <c r="G422" t="inlineStr">
        <is>
          <t>LASTSCHUETZ</t>
        </is>
      </c>
      <c r="H422" t="inlineStr">
        <is>
          <t>4kW 1S Federzugkl.</t>
        </is>
      </c>
      <c r="I422">
        <v>1123</v>
      </c>
      <c r="J422">
        <f>GS90/108.5</f>
        <v>0</v>
      </c>
      <c r="M422" t="inlineStr">
        <is>
          <t>-108Q151.3</t>
        </is>
      </c>
    </row>
    <row r="423">
      <c r="A423">
        <v>422</v>
      </c>
      <c r="B423">
        <f>GS37</f>
        <v>0</v>
      </c>
      <c r="C423" t="inlineStr">
        <is>
          <t>+LS01</t>
        </is>
      </c>
      <c r="D423" t="inlineStr">
        <is>
          <t>-108Q401.3</t>
        </is>
      </c>
      <c r="E423" t="inlineStr">
        <is>
          <t>DILM-9-10</t>
        </is>
      </c>
      <c r="F423" t="inlineStr">
        <is>
          <t>#KALK!</t>
        </is>
      </c>
      <c r="G423" t="inlineStr">
        <is>
          <t>LASTSCHUETZ</t>
        </is>
      </c>
      <c r="H423" t="inlineStr">
        <is>
          <t>4kW 1S Federzugkl.</t>
        </is>
      </c>
      <c r="I423">
        <v>363</v>
      </c>
      <c r="J423">
        <f>GS37/108.5</f>
        <v>0</v>
      </c>
      <c r="M423" t="inlineStr">
        <is>
          <t>-108Q401.3</t>
        </is>
      </c>
    </row>
    <row r="424">
      <c r="A424">
        <v>423</v>
      </c>
      <c r="B424">
        <f>GS35</f>
        <v>0</v>
      </c>
      <c r="C424" t="inlineStr">
        <is>
          <t>+LS01</t>
        </is>
      </c>
      <c r="D424" t="inlineStr">
        <is>
          <t>-108Q403.3</t>
        </is>
      </c>
      <c r="E424" t="inlineStr">
        <is>
          <t>DILM-12-10</t>
        </is>
      </c>
      <c r="F424" t="inlineStr">
        <is>
          <t>#KALK!</t>
        </is>
      </c>
      <c r="G424" t="inlineStr">
        <is>
          <t>LASTSCHUETZ</t>
        </is>
      </c>
      <c r="H424" t="inlineStr">
        <is>
          <t>5,5kW 1S Federzugkl.</t>
        </is>
      </c>
      <c r="I424">
        <v>154</v>
      </c>
      <c r="J424">
        <f>GS35/108.5</f>
        <v>0</v>
      </c>
      <c r="K424" t="inlineStr">
        <is>
          <t>DIL MC12</t>
        </is>
      </c>
      <c r="M424" t="inlineStr">
        <is>
          <t>-108Q403.3</t>
        </is>
      </c>
    </row>
    <row r="425">
      <c r="A425">
        <v>424</v>
      </c>
      <c r="B425">
        <f>GS38</f>
        <v>0</v>
      </c>
      <c r="C425" t="inlineStr">
        <is>
          <t>+LS01</t>
        </is>
      </c>
      <c r="D425" t="inlineStr">
        <is>
          <t>-108Q703.7</t>
        </is>
      </c>
      <c r="E425" t="inlineStr">
        <is>
          <t>DILMC12-10(24VDC)</t>
        </is>
      </c>
      <c r="F425" t="inlineStr">
        <is>
          <t>#KALK!</t>
        </is>
      </c>
      <c r="G425" t="inlineStr">
        <is>
          <t>LASTSCHUETZ</t>
        </is>
      </c>
      <c r="H425" t="inlineStr">
        <is>
          <t>5,5kW 1S Federzugkl.</t>
        </is>
      </c>
      <c r="I425">
        <v>256</v>
      </c>
      <c r="J425">
        <f>GS38/108.5</f>
        <v>0</v>
      </c>
      <c r="K425" t="inlineStr">
        <is>
          <t>DIL MC12</t>
        </is>
      </c>
      <c r="M425" t="inlineStr">
        <is>
          <t>-108Q703.7</t>
        </is>
      </c>
    </row>
    <row r="426">
      <c r="A426">
        <v>425</v>
      </c>
      <c r="B426">
        <f>GS39</f>
        <v>0</v>
      </c>
      <c r="C426" t="inlineStr">
        <is>
          <t>+LS01</t>
        </is>
      </c>
      <c r="D426" t="inlineStr">
        <is>
          <t>-108Q703.7</t>
        </is>
      </c>
      <c r="E426" t="inlineStr">
        <is>
          <t>DILMC12-10(24VDC)</t>
        </is>
      </c>
      <c r="F426" t="inlineStr">
        <is>
          <t>#KALK!</t>
        </is>
      </c>
      <c r="G426" t="inlineStr">
        <is>
          <t>LASTSCHUETZ</t>
        </is>
      </c>
      <c r="H426" t="inlineStr">
        <is>
          <t>5,5kW 1S Federzugkl.</t>
        </is>
      </c>
      <c r="I426">
        <v>291</v>
      </c>
      <c r="J426">
        <f>GS39/108.5</f>
        <v>0</v>
      </c>
      <c r="K426" t="inlineStr">
        <is>
          <t>DIL MC12</t>
        </is>
      </c>
      <c r="M426" t="inlineStr">
        <is>
          <t>-108Q703.7</t>
        </is>
      </c>
    </row>
    <row r="427">
      <c r="A427">
        <v>426</v>
      </c>
      <c r="B427">
        <f>GS32</f>
        <v>0</v>
      </c>
      <c r="C427" t="inlineStr">
        <is>
          <t>+LS9</t>
        </is>
      </c>
      <c r="D427" t="inlineStr">
        <is>
          <t>-1090K3505.0</t>
        </is>
      </c>
      <c r="E427" t="inlineStr">
        <is>
          <t>DILM-9-01</t>
        </is>
      </c>
      <c r="F427" t="inlineStr">
        <is>
          <t>#KALK!</t>
        </is>
      </c>
      <c r="G427" t="inlineStr">
        <is>
          <t>LASTSCHUETZ</t>
        </is>
      </c>
      <c r="H427" t="inlineStr">
        <is>
          <t>4kW 1Oe Federzugkl.</t>
        </is>
      </c>
      <c r="I427">
        <v>244</v>
      </c>
      <c r="J427">
        <f>GS32/1090.6</f>
        <v>0</v>
      </c>
      <c r="M427" t="inlineStr">
        <is>
          <t>-1090K3505.0</t>
        </is>
      </c>
    </row>
    <row r="428">
      <c r="A428">
        <v>427</v>
      </c>
      <c r="B428">
        <f>GS32</f>
        <v>0</v>
      </c>
      <c r="C428" t="inlineStr">
        <is>
          <t>+LS9</t>
        </is>
      </c>
      <c r="D428" t="inlineStr">
        <is>
          <t>-1090K3505.1</t>
        </is>
      </c>
      <c r="E428" t="inlineStr">
        <is>
          <t>DILM-9-01</t>
        </is>
      </c>
      <c r="F428" t="inlineStr">
        <is>
          <t>#KALK!</t>
        </is>
      </c>
      <c r="G428" t="inlineStr">
        <is>
          <t>LASTSCHUETZ</t>
        </is>
      </c>
      <c r="H428" t="inlineStr">
        <is>
          <t>4kW 1Oe Federzugkl.</t>
        </is>
      </c>
      <c r="I428">
        <v>244</v>
      </c>
      <c r="J428">
        <f>GS32/1090.6</f>
        <v>0</v>
      </c>
      <c r="M428" t="inlineStr">
        <is>
          <t>-1090K3505.1</t>
        </is>
      </c>
    </row>
    <row r="429">
      <c r="A429">
        <v>428</v>
      </c>
      <c r="B429">
        <f>GS06</f>
        <v>0</v>
      </c>
      <c r="C429" t="inlineStr">
        <is>
          <t>+LS17</t>
        </is>
      </c>
      <c r="D429" t="inlineStr">
        <is>
          <t>-1090Q443.3</t>
        </is>
      </c>
      <c r="E429" t="inlineStr">
        <is>
          <t>DILM-9-10</t>
        </is>
      </c>
      <c r="F429" t="inlineStr">
        <is>
          <t>#KALK!</t>
        </is>
      </c>
      <c r="G429" t="inlineStr">
        <is>
          <t>LASTSCHUETZ</t>
        </is>
      </c>
      <c r="H429" t="inlineStr">
        <is>
          <t>4kW 1S Federzugkl.</t>
        </is>
      </c>
      <c r="I429">
        <v>2628</v>
      </c>
      <c r="J429">
        <f>GS06/1090.6</f>
        <v>0</v>
      </c>
      <c r="K429" t="inlineStr">
        <is>
          <t>DIL MC9</t>
        </is>
      </c>
      <c r="M429" t="inlineStr">
        <is>
          <t>-1090Q443.3</t>
        </is>
      </c>
    </row>
    <row r="430">
      <c r="A430">
        <v>429</v>
      </c>
      <c r="B430">
        <f>GS32</f>
        <v>0</v>
      </c>
      <c r="C430" t="inlineStr">
        <is>
          <t>+LS9</t>
        </is>
      </c>
      <c r="D430" t="inlineStr">
        <is>
          <t>-1091K3508.0</t>
        </is>
      </c>
      <c r="E430" t="inlineStr">
        <is>
          <t>DILM-9-10</t>
        </is>
      </c>
      <c r="F430" t="inlineStr">
        <is>
          <t>#KALK!</t>
        </is>
      </c>
      <c r="G430" t="inlineStr">
        <is>
          <t>LASTSCHUETZ</t>
        </is>
      </c>
      <c r="H430" t="inlineStr">
        <is>
          <t>4kW 1S Federzugkl.</t>
        </is>
      </c>
      <c r="I430">
        <v>243</v>
      </c>
      <c r="J430">
        <f>GS32/1091.6</f>
        <v>0</v>
      </c>
      <c r="M430" t="inlineStr">
        <is>
          <t>-1091K3508.0</t>
        </is>
      </c>
    </row>
    <row r="431">
      <c r="A431">
        <v>430</v>
      </c>
      <c r="B431">
        <f>GS32</f>
        <v>0</v>
      </c>
      <c r="C431" t="inlineStr">
        <is>
          <t>+LS9</t>
        </is>
      </c>
      <c r="D431" t="inlineStr">
        <is>
          <t>-1091K3508.1</t>
        </is>
      </c>
      <c r="E431" t="inlineStr">
        <is>
          <t>DILM-9-10</t>
        </is>
      </c>
      <c r="F431" t="inlineStr">
        <is>
          <t>#KALK!</t>
        </is>
      </c>
      <c r="G431" t="inlineStr">
        <is>
          <t>LASTSCHUETZ</t>
        </is>
      </c>
      <c r="H431" t="inlineStr">
        <is>
          <t>4kW 1S Federzugkl.</t>
        </is>
      </c>
      <c r="I431">
        <v>243</v>
      </c>
      <c r="J431">
        <f>GS32/1091.6</f>
        <v>0</v>
      </c>
      <c r="M431" t="inlineStr">
        <is>
          <t>-1091K3508.1</t>
        </is>
      </c>
    </row>
    <row r="432">
      <c r="A432">
        <v>431</v>
      </c>
      <c r="B432">
        <f>GS32</f>
        <v>0</v>
      </c>
      <c r="C432" t="inlineStr">
        <is>
          <t>+LS9</t>
        </is>
      </c>
      <c r="D432" t="inlineStr">
        <is>
          <t>-1092K3506.5</t>
        </is>
      </c>
      <c r="E432" t="inlineStr">
        <is>
          <t>DILM-9-10</t>
        </is>
      </c>
      <c r="F432" t="inlineStr">
        <is>
          <t>#KALK!</t>
        </is>
      </c>
      <c r="G432" t="inlineStr">
        <is>
          <t>LASTSCHUETZ</t>
        </is>
      </c>
      <c r="H432" t="inlineStr">
        <is>
          <t>4kW 1S Federzugkl.</t>
        </is>
      </c>
      <c r="I432">
        <v>242</v>
      </c>
      <c r="J432">
        <f>GS32/1092.7</f>
        <v>0</v>
      </c>
      <c r="M432" t="inlineStr">
        <is>
          <t>-1092K3506.5</t>
        </is>
      </c>
    </row>
    <row r="433">
      <c r="A433">
        <v>432</v>
      </c>
      <c r="B433">
        <f>GS32</f>
        <v>0</v>
      </c>
      <c r="C433" t="inlineStr">
        <is>
          <t>+LS9</t>
        </is>
      </c>
      <c r="D433" t="inlineStr">
        <is>
          <t>-1093K3506.0</t>
        </is>
      </c>
      <c r="E433" t="inlineStr">
        <is>
          <t>DILM-9-01</t>
        </is>
      </c>
      <c r="F433" t="inlineStr">
        <is>
          <t>#KALK!</t>
        </is>
      </c>
      <c r="G433" t="inlineStr">
        <is>
          <t>LASTSCHUETZ</t>
        </is>
      </c>
      <c r="H433" t="inlineStr">
        <is>
          <t>4kW 1Oe Federzugkl.</t>
        </is>
      </c>
      <c r="I433">
        <v>241</v>
      </c>
      <c r="J433">
        <f>GS32/1093.6</f>
        <v>0</v>
      </c>
      <c r="M433" t="inlineStr">
        <is>
          <t>-1093K3506.0</t>
        </is>
      </c>
    </row>
    <row r="434">
      <c r="A434">
        <v>433</v>
      </c>
      <c r="B434">
        <f>GS32</f>
        <v>0</v>
      </c>
      <c r="C434" t="inlineStr">
        <is>
          <t>+LS9</t>
        </is>
      </c>
      <c r="D434" t="inlineStr">
        <is>
          <t>-1093K3506.1</t>
        </is>
      </c>
      <c r="E434" t="inlineStr">
        <is>
          <t>DILM-9-01</t>
        </is>
      </c>
      <c r="F434" t="inlineStr">
        <is>
          <t>#KALK!</t>
        </is>
      </c>
      <c r="G434" t="inlineStr">
        <is>
          <t>LASTSCHUETZ</t>
        </is>
      </c>
      <c r="H434" t="inlineStr">
        <is>
          <t>4kW 1Oe Federzugkl.</t>
        </is>
      </c>
      <c r="I434">
        <v>241</v>
      </c>
      <c r="J434">
        <f>GS32/1093.6</f>
        <v>0</v>
      </c>
      <c r="M434" t="inlineStr">
        <is>
          <t>-1093K3506.1</t>
        </is>
      </c>
    </row>
    <row r="435">
      <c r="A435">
        <v>434</v>
      </c>
      <c r="B435">
        <f>GS32</f>
        <v>0</v>
      </c>
      <c r="C435" t="inlineStr">
        <is>
          <t>+LS9</t>
        </is>
      </c>
      <c r="D435" t="inlineStr">
        <is>
          <t>-1094K3507.5</t>
        </is>
      </c>
      <c r="E435" t="inlineStr">
        <is>
          <t>DILM-9-10</t>
        </is>
      </c>
      <c r="F435" t="inlineStr">
        <is>
          <t>#KALK!</t>
        </is>
      </c>
      <c r="G435" t="inlineStr">
        <is>
          <t>LASTSCHUETZ</t>
        </is>
      </c>
      <c r="H435" t="inlineStr">
        <is>
          <t>4kW 1S Federzugkl.</t>
        </is>
      </c>
      <c r="I435">
        <v>240</v>
      </c>
      <c r="J435">
        <f>GS32/1094.7</f>
        <v>0</v>
      </c>
      <c r="M435" t="inlineStr">
        <is>
          <t>-1094K3507.5</t>
        </is>
      </c>
    </row>
    <row r="436">
      <c r="A436">
        <v>435</v>
      </c>
      <c r="B436">
        <f>GS31</f>
        <v>0</v>
      </c>
      <c r="C436" t="inlineStr">
        <is>
          <t>+LS12</t>
        </is>
      </c>
      <c r="D436" t="inlineStr">
        <is>
          <t>-1094KQ3621.4</t>
        </is>
      </c>
      <c r="E436" t="inlineStr">
        <is>
          <t>DILM-9-01</t>
        </is>
      </c>
      <c r="F436" t="inlineStr">
        <is>
          <t>#KALK!</t>
        </is>
      </c>
      <c r="G436" t="inlineStr">
        <is>
          <t>LASTSCHUETZ</t>
        </is>
      </c>
      <c r="H436" t="inlineStr">
        <is>
          <t>4kW 1Oe Federzugkl.</t>
        </is>
      </c>
      <c r="I436">
        <v>2561</v>
      </c>
      <c r="J436">
        <f>GS31/1094.6</f>
        <v>0</v>
      </c>
      <c r="M436" t="inlineStr">
        <is>
          <t>-1094KQ3621.4</t>
        </is>
      </c>
    </row>
    <row r="437">
      <c r="A437">
        <v>436</v>
      </c>
      <c r="B437">
        <f>GS13</f>
        <v>0</v>
      </c>
      <c r="C437" t="inlineStr">
        <is>
          <t>+LS1</t>
        </is>
      </c>
      <c r="D437" t="inlineStr">
        <is>
          <t>-10951.4</t>
        </is>
      </c>
      <c r="E437" t="inlineStr">
        <is>
          <t>DIL_EM-10-G</t>
        </is>
      </c>
      <c r="F437" t="inlineStr">
        <is>
          <t>#KALK!</t>
        </is>
      </c>
      <c r="G437" t="inlineStr">
        <is>
          <t>LASTSCHUETZ</t>
        </is>
      </c>
      <c r="H437" t="inlineStr">
        <is>
          <t>4kW 1S</t>
        </is>
      </c>
      <c r="I437">
        <v>348</v>
      </c>
      <c r="J437">
        <f>GS13/109.6</f>
        <v>0</v>
      </c>
      <c r="M437" t="inlineStr">
        <is>
          <t>-10951.4</t>
        </is>
      </c>
    </row>
    <row r="438">
      <c r="A438">
        <v>437</v>
      </c>
      <c r="B438">
        <f>GS32</f>
        <v>0</v>
      </c>
      <c r="C438" t="inlineStr">
        <is>
          <t>+LS9</t>
        </is>
      </c>
      <c r="D438" t="inlineStr">
        <is>
          <t>-1095K3507.0</t>
        </is>
      </c>
      <c r="E438" t="inlineStr">
        <is>
          <t>DILM-9-01</t>
        </is>
      </c>
      <c r="F438" t="inlineStr">
        <is>
          <t>#KALK!</t>
        </is>
      </c>
      <c r="G438" t="inlineStr">
        <is>
          <t>LASTSCHUETZ</t>
        </is>
      </c>
      <c r="H438" t="inlineStr">
        <is>
          <t>4kW 1Oe Federzugkl.</t>
        </is>
      </c>
      <c r="I438">
        <v>239</v>
      </c>
      <c r="J438">
        <f>GS32/1095.6</f>
        <v>0</v>
      </c>
      <c r="M438" t="inlineStr">
        <is>
          <t>-1095K3507.0</t>
        </is>
      </c>
    </row>
    <row r="439">
      <c r="A439">
        <v>438</v>
      </c>
      <c r="B439">
        <f>GS32</f>
        <v>0</v>
      </c>
      <c r="C439" t="inlineStr">
        <is>
          <t>+LS9</t>
        </is>
      </c>
      <c r="D439" t="inlineStr">
        <is>
          <t>-1095K3507.1</t>
        </is>
      </c>
      <c r="E439" t="inlineStr">
        <is>
          <t>DILM-9-01</t>
        </is>
      </c>
      <c r="F439" t="inlineStr">
        <is>
          <t>#KALK!</t>
        </is>
      </c>
      <c r="G439" t="inlineStr">
        <is>
          <t>LASTSCHUETZ</t>
        </is>
      </c>
      <c r="H439" t="inlineStr">
        <is>
          <t>4kW 1Oe Federzugkl.</t>
        </is>
      </c>
      <c r="I439">
        <v>239</v>
      </c>
      <c r="J439">
        <f>GS32/1095.6</f>
        <v>0</v>
      </c>
      <c r="M439" t="inlineStr">
        <is>
          <t>-1095K3507.1</t>
        </is>
      </c>
    </row>
    <row r="440">
      <c r="A440">
        <v>439</v>
      </c>
      <c r="B440">
        <f>GS51</f>
        <v>0</v>
      </c>
      <c r="C440" t="inlineStr">
        <is>
          <t>+LS17</t>
        </is>
      </c>
      <c r="D440" t="inlineStr">
        <is>
          <t>-1095Q1</t>
        </is>
      </c>
      <c r="E440" t="inlineStr">
        <is>
          <t>DILA-XHI22</t>
        </is>
      </c>
      <c r="F440" t="inlineStr">
        <is>
          <t>DILA-XHI22</t>
        </is>
      </c>
      <c r="G440" t="inlineStr">
        <is>
          <t>HILFSKONTAKTBLOCK</t>
        </is>
      </c>
      <c r="H440" t="inlineStr">
        <is>
          <t>2S 2OE Last+Hilfssch. Cage</t>
        </is>
      </c>
      <c r="I440">
        <v>1221</v>
      </c>
      <c r="J440">
        <f>GS51/1095.6</f>
        <v>0</v>
      </c>
      <c r="K440" t="inlineStr">
        <is>
          <t>DIL MC25</t>
        </is>
      </c>
      <c r="M440" t="inlineStr">
        <is>
          <t>-1095Q1</t>
        </is>
      </c>
    </row>
    <row r="441">
      <c r="A441">
        <v>440</v>
      </c>
      <c r="B441">
        <f>GS51</f>
        <v>0</v>
      </c>
      <c r="C441" t="inlineStr">
        <is>
          <t>+LS17</t>
        </is>
      </c>
      <c r="D441" t="inlineStr">
        <is>
          <t>-1095Q1</t>
        </is>
      </c>
      <c r="E441" t="inlineStr">
        <is>
          <t>DILMC25-10(RDC24)</t>
        </is>
      </c>
      <c r="F441" t="inlineStr">
        <is>
          <t>DILA-XHI22</t>
        </is>
      </c>
      <c r="G441" t="inlineStr">
        <is>
          <t>LASTSCHUETZ</t>
        </is>
      </c>
      <c r="H441" t="inlineStr">
        <is>
          <t>11kW 1S Federzugkl.</t>
        </is>
      </c>
      <c r="I441">
        <v>1221</v>
      </c>
      <c r="J441">
        <f>GS51/1095.6</f>
        <v>0</v>
      </c>
      <c r="K441" t="inlineStr">
        <is>
          <t>DIL MC25</t>
        </is>
      </c>
      <c r="M441" t="inlineStr">
        <is>
          <t>-1095Q1</t>
        </is>
      </c>
    </row>
    <row r="442">
      <c r="A442">
        <v>441</v>
      </c>
      <c r="B442">
        <f>GS32</f>
        <v>0</v>
      </c>
      <c r="C442" t="inlineStr">
        <is>
          <t>+LS9</t>
        </is>
      </c>
      <c r="D442" t="inlineStr">
        <is>
          <t>-1096K3508.2</t>
        </is>
      </c>
      <c r="E442" t="inlineStr">
        <is>
          <t>DILM-9-10</t>
        </is>
      </c>
      <c r="F442" t="inlineStr">
        <is>
          <t>#KALK!</t>
        </is>
      </c>
      <c r="G442" t="inlineStr">
        <is>
          <t>LASTSCHUETZ</t>
        </is>
      </c>
      <c r="H442" t="inlineStr">
        <is>
          <t>4kW 1S Federzugkl.</t>
        </is>
      </c>
      <c r="I442">
        <v>238</v>
      </c>
      <c r="J442">
        <f>GS32/1096.6</f>
        <v>0</v>
      </c>
      <c r="M442" t="inlineStr">
        <is>
          <t>-1096K3508.2</t>
        </is>
      </c>
    </row>
    <row r="443">
      <c r="A443">
        <v>442</v>
      </c>
      <c r="B443">
        <f>GS32</f>
        <v>0</v>
      </c>
      <c r="C443" t="inlineStr">
        <is>
          <t>+LS9</t>
        </is>
      </c>
      <c r="D443" t="inlineStr">
        <is>
          <t>-1096K3508.3</t>
        </is>
      </c>
      <c r="E443" t="inlineStr">
        <is>
          <t>DILM-9-10</t>
        </is>
      </c>
      <c r="F443" t="inlineStr">
        <is>
          <t>#KALK!</t>
        </is>
      </c>
      <c r="G443" t="inlineStr">
        <is>
          <t>LASTSCHUETZ</t>
        </is>
      </c>
      <c r="H443" t="inlineStr">
        <is>
          <t>4kW 1S Federzugkl.</t>
        </is>
      </c>
      <c r="I443">
        <v>238</v>
      </c>
      <c r="J443">
        <f>GS32/1096.6</f>
        <v>0</v>
      </c>
      <c r="M443" t="inlineStr">
        <is>
          <t>-1096K3508.3</t>
        </is>
      </c>
    </row>
    <row r="444">
      <c r="A444">
        <v>443</v>
      </c>
      <c r="B444">
        <f>GS32</f>
        <v>0</v>
      </c>
      <c r="C444" t="inlineStr">
        <is>
          <t>+LS1</t>
        </is>
      </c>
      <c r="D444" t="inlineStr">
        <is>
          <t>-109K1</t>
        </is>
      </c>
      <c r="E444" t="inlineStr">
        <is>
          <t>22_DIL-M</t>
        </is>
      </c>
      <c r="F444" t="inlineStr">
        <is>
          <t>22_DIL-M</t>
        </is>
      </c>
      <c r="G444" t="inlineStr">
        <is>
          <t>HILFSKONTAKTBLOCK</t>
        </is>
      </c>
      <c r="H444" t="inlineStr">
        <is>
          <t>2S 2OE Lastschuetz DIL M</t>
        </is>
      </c>
      <c r="I444">
        <v>910</v>
      </c>
      <c r="J444">
        <f>GS32/109.2</f>
        <v>0</v>
      </c>
      <c r="K444" t="inlineStr">
        <is>
          <t>DIL0AM</t>
        </is>
      </c>
      <c r="M444" t="inlineStr">
        <is>
          <t>-109K1</t>
        </is>
      </c>
    </row>
    <row r="445">
      <c r="A445">
        <v>444</v>
      </c>
      <c r="B445">
        <f>GS32</f>
        <v>0</v>
      </c>
      <c r="C445" t="inlineStr">
        <is>
          <t>+LS1</t>
        </is>
      </c>
      <c r="D445" t="inlineStr">
        <is>
          <t>-109K1</t>
        </is>
      </c>
      <c r="E445" t="inlineStr">
        <is>
          <t>DIL_0AM</t>
        </is>
      </c>
      <c r="F445" t="inlineStr">
        <is>
          <t>22_DIL-M</t>
        </is>
      </c>
      <c r="G445" t="inlineStr">
        <is>
          <t>LASTSCHUETZ</t>
        </is>
      </c>
      <c r="H445" t="inlineStr">
        <is>
          <t>11 kW</t>
        </is>
      </c>
      <c r="I445">
        <v>910</v>
      </c>
      <c r="J445">
        <f>GS32/109.2</f>
        <v>0</v>
      </c>
      <c r="K445" t="inlineStr">
        <is>
          <t>DIL0AM</t>
        </is>
      </c>
      <c r="M445" t="inlineStr">
        <is>
          <t>-109K1</t>
        </is>
      </c>
    </row>
    <row r="446">
      <c r="A446">
        <v>445</v>
      </c>
      <c r="B446">
        <f>GS02</f>
        <v>0</v>
      </c>
      <c r="C446" t="inlineStr">
        <is>
          <t>+LS1</t>
        </is>
      </c>
      <c r="D446" t="inlineStr">
        <is>
          <t>-109K14.2</t>
        </is>
      </c>
      <c r="E446" t="inlineStr">
        <is>
          <t>DIL_EM-10-G</t>
        </is>
      </c>
      <c r="F446" t="inlineStr">
        <is>
          <t>#KALK!</t>
        </is>
      </c>
      <c r="G446" t="inlineStr">
        <is>
          <t>LASTSCHUETZ</t>
        </is>
      </c>
      <c r="H446" t="inlineStr">
        <is>
          <t>4kW 1S</t>
        </is>
      </c>
      <c r="I446">
        <v>507</v>
      </c>
      <c r="J446">
        <f>GS02/109.6</f>
        <v>0</v>
      </c>
      <c r="M446" t="inlineStr">
        <is>
          <t>-109K14.2</t>
        </is>
      </c>
    </row>
    <row r="447">
      <c r="A447">
        <v>446</v>
      </c>
      <c r="B447">
        <f>GS02</f>
        <v>0</v>
      </c>
      <c r="C447" t="inlineStr">
        <is>
          <t>+LS1</t>
        </is>
      </c>
      <c r="D447" t="inlineStr">
        <is>
          <t>-109K14.3</t>
        </is>
      </c>
      <c r="E447" t="inlineStr">
        <is>
          <t>DIL_EM-10-G</t>
        </is>
      </c>
      <c r="F447" t="inlineStr">
        <is>
          <t>#KALK!</t>
        </is>
      </c>
      <c r="G447" t="inlineStr">
        <is>
          <t>LASTSCHUETZ</t>
        </is>
      </c>
      <c r="H447" t="inlineStr">
        <is>
          <t>4kW 1S</t>
        </is>
      </c>
      <c r="I447">
        <v>507</v>
      </c>
      <c r="J447">
        <f>GS02/109.6</f>
        <v>0</v>
      </c>
      <c r="M447" t="inlineStr">
        <is>
          <t>-109K14.3</t>
        </is>
      </c>
    </row>
    <row r="448">
      <c r="A448">
        <v>447</v>
      </c>
      <c r="B448">
        <f>GS34</f>
        <v>0</v>
      </c>
      <c r="C448" t="inlineStr">
        <is>
          <t>+LS1</t>
        </is>
      </c>
      <c r="D448" t="inlineStr">
        <is>
          <t>-109K14.4</t>
        </is>
      </c>
      <c r="E448" t="inlineStr">
        <is>
          <t>DIL_EM-10-G</t>
        </is>
      </c>
      <c r="F448" t="inlineStr">
        <is>
          <t>#KALK!</t>
        </is>
      </c>
      <c r="G448" t="inlineStr">
        <is>
          <t>LASTSCHUETZ</t>
        </is>
      </c>
      <c r="H448" t="inlineStr">
        <is>
          <t>4kW 1S</t>
        </is>
      </c>
      <c r="I448">
        <v>233</v>
      </c>
      <c r="J448">
        <f>GS34/109.7</f>
        <v>0</v>
      </c>
      <c r="M448" t="inlineStr">
        <is>
          <t>-109K14.4</t>
        </is>
      </c>
    </row>
    <row r="449">
      <c r="A449">
        <v>448</v>
      </c>
      <c r="B449">
        <f>GS11</f>
        <v>0</v>
      </c>
      <c r="C449" t="inlineStr">
        <is>
          <t>+LS1</t>
        </is>
      </c>
      <c r="D449" t="inlineStr">
        <is>
          <t>-109K27.4</t>
        </is>
      </c>
      <c r="E449" t="inlineStr">
        <is>
          <t>DIL_EM-10-G</t>
        </is>
      </c>
      <c r="F449" t="inlineStr">
        <is>
          <t>#KALK!</t>
        </is>
      </c>
      <c r="G449" t="inlineStr">
        <is>
          <t>LASTSCHUETZ</t>
        </is>
      </c>
      <c r="H449" t="inlineStr">
        <is>
          <t>4kW 1S</t>
        </is>
      </c>
      <c r="I449">
        <v>220</v>
      </c>
      <c r="J449">
        <f>GS11/109.6</f>
        <v>0</v>
      </c>
      <c r="M449" t="inlineStr">
        <is>
          <t>-109K27.4</t>
        </is>
      </c>
    </row>
    <row r="450">
      <c r="A450">
        <v>449</v>
      </c>
      <c r="B450">
        <f>GS21</f>
        <v>0</v>
      </c>
      <c r="C450" t="inlineStr">
        <is>
          <t>+LS1</t>
        </is>
      </c>
      <c r="D450" t="inlineStr">
        <is>
          <t>-109K27.4</t>
        </is>
      </c>
      <c r="E450" t="inlineStr">
        <is>
          <t>DIL_EM-10-G</t>
        </is>
      </c>
      <c r="F450" t="inlineStr">
        <is>
          <t>#KALK!</t>
        </is>
      </c>
      <c r="G450" t="inlineStr">
        <is>
          <t>LASTSCHUETZ</t>
        </is>
      </c>
      <c r="H450" t="inlineStr">
        <is>
          <t>4kW 1S</t>
        </is>
      </c>
      <c r="I450">
        <v>194</v>
      </c>
      <c r="J450">
        <f>GS21/109.6</f>
        <v>0</v>
      </c>
      <c r="M450" t="inlineStr">
        <is>
          <t>-109K27.4</t>
        </is>
      </c>
    </row>
    <row r="451">
      <c r="A451">
        <v>450</v>
      </c>
      <c r="B451">
        <f>GS26</f>
        <v>0</v>
      </c>
      <c r="C451" t="inlineStr">
        <is>
          <t>+LS1</t>
        </is>
      </c>
      <c r="D451" t="inlineStr">
        <is>
          <t>-109K3531.0</t>
        </is>
      </c>
      <c r="E451" t="inlineStr">
        <is>
          <t>DILM-9-10</t>
        </is>
      </c>
      <c r="F451" t="inlineStr">
        <is>
          <t>#KALK!</t>
        </is>
      </c>
      <c r="G451" t="inlineStr">
        <is>
          <t>LASTSCHUETZ</t>
        </is>
      </c>
      <c r="H451" t="inlineStr">
        <is>
          <t>4kW 1S Federzugkl.</t>
        </is>
      </c>
      <c r="I451">
        <v>257</v>
      </c>
      <c r="J451">
        <f>GS26/109.6</f>
        <v>0</v>
      </c>
      <c r="M451" t="inlineStr">
        <is>
          <t>-109K3531.0</t>
        </is>
      </c>
    </row>
    <row r="452">
      <c r="A452">
        <v>451</v>
      </c>
      <c r="B452">
        <f>GS26</f>
        <v>0</v>
      </c>
      <c r="C452" t="inlineStr">
        <is>
          <t>+LS1</t>
        </is>
      </c>
      <c r="D452" t="inlineStr">
        <is>
          <t>-109K3531.1</t>
        </is>
      </c>
      <c r="E452" t="inlineStr">
        <is>
          <t>DILM-9-10</t>
        </is>
      </c>
      <c r="F452" t="inlineStr">
        <is>
          <t>#KALK!</t>
        </is>
      </c>
      <c r="G452" t="inlineStr">
        <is>
          <t>LASTSCHUETZ</t>
        </is>
      </c>
      <c r="H452" t="inlineStr">
        <is>
          <t>4kW 1S Federzugkl.</t>
        </is>
      </c>
      <c r="I452">
        <v>257</v>
      </c>
      <c r="J452">
        <f>GS26/109.6</f>
        <v>0</v>
      </c>
      <c r="M452" t="inlineStr">
        <is>
          <t>-109K3531.1</t>
        </is>
      </c>
    </row>
    <row r="453">
      <c r="A453">
        <v>452</v>
      </c>
      <c r="B453">
        <f>GC03</f>
        <v>0</v>
      </c>
      <c r="C453" t="inlineStr">
        <is>
          <t>+LS1</t>
        </is>
      </c>
      <c r="D453" t="inlineStr">
        <is>
          <t>-109K44.0</t>
        </is>
      </c>
      <c r="E453" t="inlineStr">
        <is>
          <t>DIL_EM-10-G</t>
        </is>
      </c>
      <c r="F453" t="inlineStr">
        <is>
          <t>#KALK!</t>
        </is>
      </c>
      <c r="G453" t="inlineStr">
        <is>
          <t>LASTSCHUETZ</t>
        </is>
      </c>
      <c r="H453" t="inlineStr">
        <is>
          <t>4kW 1S</t>
        </is>
      </c>
      <c r="I453">
        <v>676</v>
      </c>
      <c r="J453">
        <f>GC03/109.6</f>
        <v>0</v>
      </c>
      <c r="M453" t="inlineStr">
        <is>
          <t>-109K44.0</t>
        </is>
      </c>
    </row>
    <row r="454">
      <c r="A454">
        <v>453</v>
      </c>
      <c r="B454">
        <f>GC03</f>
        <v>0</v>
      </c>
      <c r="C454" t="inlineStr">
        <is>
          <t>+LS1</t>
        </is>
      </c>
      <c r="D454" t="inlineStr">
        <is>
          <t>-109K44.1</t>
        </is>
      </c>
      <c r="E454" t="inlineStr">
        <is>
          <t>DIL_EM-10-G</t>
        </is>
      </c>
      <c r="F454" t="inlineStr">
        <is>
          <t>#KALK!</t>
        </is>
      </c>
      <c r="G454" t="inlineStr">
        <is>
          <t>LASTSCHUETZ</t>
        </is>
      </c>
      <c r="H454" t="inlineStr">
        <is>
          <t>4kW 1S</t>
        </is>
      </c>
      <c r="I454">
        <v>676</v>
      </c>
      <c r="J454">
        <f>GC03/109.6</f>
        <v>0</v>
      </c>
      <c r="M454" t="inlineStr">
        <is>
          <t>-109K44.1</t>
        </is>
      </c>
    </row>
    <row r="455">
      <c r="A455">
        <v>454</v>
      </c>
      <c r="B455">
        <f>GS23</f>
        <v>0</v>
      </c>
      <c r="C455" t="inlineStr">
        <is>
          <t>+LS1</t>
        </is>
      </c>
      <c r="D455" t="inlineStr">
        <is>
          <t>-109K51.4</t>
        </is>
      </c>
      <c r="E455" t="inlineStr">
        <is>
          <t>DIL_EM-10-G</t>
        </is>
      </c>
      <c r="F455" t="inlineStr">
        <is>
          <t>#KALK!</t>
        </is>
      </c>
      <c r="G455" t="inlineStr">
        <is>
          <t>LASTSCHUETZ</t>
        </is>
      </c>
      <c r="H455" t="inlineStr">
        <is>
          <t>4kW 1S</t>
        </is>
      </c>
      <c r="I455">
        <v>408</v>
      </c>
      <c r="J455">
        <f>GS23/109.6</f>
        <v>0</v>
      </c>
      <c r="M455" t="inlineStr">
        <is>
          <t>-109K51.4</t>
        </is>
      </c>
    </row>
    <row r="456">
      <c r="A456">
        <v>455</v>
      </c>
      <c r="B456">
        <f>GS15</f>
        <v>0</v>
      </c>
      <c r="C456" t="inlineStr">
        <is>
          <t>+LS1</t>
        </is>
      </c>
      <c r="D456" t="inlineStr">
        <is>
          <t>-109K59.5</t>
        </is>
      </c>
      <c r="E456" t="inlineStr">
        <is>
          <t>DIL_EM-10-G</t>
        </is>
      </c>
      <c r="F456" t="inlineStr">
        <is>
          <t>#KALK!</t>
        </is>
      </c>
      <c r="G456" t="inlineStr">
        <is>
          <t>LASTSCHUETZ</t>
        </is>
      </c>
      <c r="H456" t="inlineStr">
        <is>
          <t>4kW 1S</t>
        </is>
      </c>
      <c r="I456">
        <v>596</v>
      </c>
      <c r="J456">
        <f>GS15/109.6</f>
        <v>0</v>
      </c>
      <c r="M456" t="inlineStr">
        <is>
          <t>-109K59.5</t>
        </is>
      </c>
    </row>
    <row r="457">
      <c r="A457">
        <v>456</v>
      </c>
      <c r="B457">
        <f>GS15</f>
        <v>0</v>
      </c>
      <c r="C457" t="inlineStr">
        <is>
          <t>+LS1</t>
        </is>
      </c>
      <c r="D457" t="inlineStr">
        <is>
          <t>-109K60.0</t>
        </is>
      </c>
      <c r="E457" t="inlineStr">
        <is>
          <t>DIL_EM-10-G</t>
        </is>
      </c>
      <c r="F457" t="inlineStr">
        <is>
          <t>#KALK!</t>
        </is>
      </c>
      <c r="G457" t="inlineStr">
        <is>
          <t>LASTSCHUETZ</t>
        </is>
      </c>
      <c r="H457" t="inlineStr">
        <is>
          <t>4kW 1S</t>
        </is>
      </c>
      <c r="I457">
        <v>596</v>
      </c>
      <c r="J457">
        <f>GS15/109.6</f>
        <v>0</v>
      </c>
      <c r="M457" t="inlineStr">
        <is>
          <t>-109K60.0</t>
        </is>
      </c>
    </row>
    <row r="458">
      <c r="A458">
        <v>457</v>
      </c>
      <c r="B458">
        <f>GS11</f>
        <v>0</v>
      </c>
      <c r="C458" t="inlineStr">
        <is>
          <t>+LS1</t>
        </is>
      </c>
      <c r="D458" t="inlineStr">
        <is>
          <t>-109K78.5</t>
        </is>
      </c>
      <c r="E458" t="inlineStr">
        <is>
          <t>DIL_EM-10-G</t>
        </is>
      </c>
      <c r="F458" t="inlineStr">
        <is>
          <t>#KALK!</t>
        </is>
      </c>
      <c r="G458" t="inlineStr">
        <is>
          <t>LASTSCHUETZ</t>
        </is>
      </c>
      <c r="H458" t="inlineStr">
        <is>
          <t>4kW 1S</t>
        </is>
      </c>
      <c r="I458">
        <v>220</v>
      </c>
      <c r="J458">
        <f>GS11/109.6</f>
        <v>0</v>
      </c>
      <c r="M458" t="inlineStr">
        <is>
          <t>-109K78.5</t>
        </is>
      </c>
    </row>
    <row r="459">
      <c r="A459">
        <v>458</v>
      </c>
      <c r="B459">
        <f>GS21</f>
        <v>0</v>
      </c>
      <c r="C459" t="inlineStr">
        <is>
          <t>+LS1</t>
        </is>
      </c>
      <c r="D459" t="inlineStr">
        <is>
          <t>-109K78.5</t>
        </is>
      </c>
      <c r="E459" t="inlineStr">
        <is>
          <t>DIL_EM-10-G</t>
        </is>
      </c>
      <c r="F459" t="inlineStr">
        <is>
          <t>#KALK!</t>
        </is>
      </c>
      <c r="G459" t="inlineStr">
        <is>
          <t>LASTSCHUETZ</t>
        </is>
      </c>
      <c r="H459" t="inlineStr">
        <is>
          <t>4kW 1S</t>
        </is>
      </c>
      <c r="I459">
        <v>194</v>
      </c>
      <c r="J459">
        <f>GS21/109.6</f>
        <v>0</v>
      </c>
      <c r="M459" t="inlineStr">
        <is>
          <t>-109K78.5</t>
        </is>
      </c>
    </row>
    <row r="460">
      <c r="A460">
        <v>459</v>
      </c>
      <c r="B460">
        <f>GS07</f>
        <v>0</v>
      </c>
      <c r="C460" t="inlineStr">
        <is>
          <t>+LS01</t>
        </is>
      </c>
      <c r="D460" t="inlineStr">
        <is>
          <t>-109Q102.5</t>
        </is>
      </c>
      <c r="E460" t="inlineStr">
        <is>
          <t>DILMC12-10(24VDC)</t>
        </is>
      </c>
      <c r="F460" t="inlineStr">
        <is>
          <t>#KALK!</t>
        </is>
      </c>
      <c r="G460" t="inlineStr">
        <is>
          <t>LASTSCHUETZ</t>
        </is>
      </c>
      <c r="H460" t="inlineStr">
        <is>
          <t>5,5kW 1S Federzugkl.</t>
        </is>
      </c>
      <c r="I460">
        <v>254</v>
      </c>
      <c r="J460">
        <f>GS07/109.4</f>
        <v>0</v>
      </c>
      <c r="K460" t="inlineStr">
        <is>
          <t>DIL MC12</t>
        </is>
      </c>
      <c r="M460" t="inlineStr">
        <is>
          <t>-109Q102.5</t>
        </is>
      </c>
    </row>
    <row r="461">
      <c r="A461">
        <v>460</v>
      </c>
      <c r="B461">
        <f>GS05</f>
        <v>0</v>
      </c>
      <c r="C461" t="inlineStr">
        <is>
          <t>+LS01</t>
        </is>
      </c>
      <c r="D461" t="inlineStr">
        <is>
          <t>-109Q103.0</t>
        </is>
      </c>
      <c r="E461" t="inlineStr">
        <is>
          <t>DILMC17-10(RDC24)</t>
        </is>
      </c>
      <c r="F461" t="inlineStr">
        <is>
          <t>#KALK!</t>
        </is>
      </c>
      <c r="G461" t="inlineStr">
        <is>
          <t>LASTSCHUETZ</t>
        </is>
      </c>
      <c r="H461" t="inlineStr">
        <is>
          <t>7,5kW 1S Federzugkl.</t>
        </is>
      </c>
      <c r="I461">
        <v>1864</v>
      </c>
      <c r="J461">
        <f>GS05/109.5</f>
        <v>0</v>
      </c>
      <c r="K461" t="inlineStr">
        <is>
          <t>DIL MC17</t>
        </is>
      </c>
      <c r="M461" t="inlineStr">
        <is>
          <t>-109Q103.0</t>
        </is>
      </c>
    </row>
    <row r="462">
      <c r="A462">
        <v>461</v>
      </c>
      <c r="B462">
        <f>GS36</f>
        <v>0</v>
      </c>
      <c r="C462" t="inlineStr">
        <is>
          <t>+LS01</t>
        </is>
      </c>
      <c r="D462" t="inlineStr">
        <is>
          <t>-109Q103.0</t>
        </is>
      </c>
      <c r="E462" t="inlineStr">
        <is>
          <t>DILMC12-10(24VDC)</t>
        </is>
      </c>
      <c r="F462" t="inlineStr">
        <is>
          <t>#KALK!</t>
        </is>
      </c>
      <c r="G462" t="inlineStr">
        <is>
          <t>LASTSCHUETZ</t>
        </is>
      </c>
      <c r="H462" t="inlineStr">
        <is>
          <t>5,5kW 1S Federzugkl.</t>
        </is>
      </c>
      <c r="I462">
        <v>281</v>
      </c>
      <c r="J462">
        <f>GS36/109.5</f>
        <v>0</v>
      </c>
      <c r="K462" t="inlineStr">
        <is>
          <t>DIL MC12</t>
        </is>
      </c>
      <c r="L462" t="inlineStr">
        <is>
          <t>HT_0103</t>
        </is>
      </c>
      <c r="M462" t="inlineStr">
        <is>
          <t>HT_0103
-109Q103.0</t>
        </is>
      </c>
      <c r="N462" t="inlineStr">
        <is>
          <t>P</t>
        </is>
      </c>
    </row>
    <row r="463">
      <c r="A463">
        <v>462</v>
      </c>
      <c r="B463">
        <f>GS91</f>
        <v>0</v>
      </c>
      <c r="C463" t="inlineStr">
        <is>
          <t>+LS01</t>
        </is>
      </c>
      <c r="D463" t="inlineStr">
        <is>
          <t>-109Q151.4</t>
        </is>
      </c>
      <c r="E463" t="inlineStr">
        <is>
          <t>DILM-9-10</t>
        </is>
      </c>
      <c r="F463" t="inlineStr">
        <is>
          <t>#KALK!</t>
        </is>
      </c>
      <c r="G463" t="inlineStr">
        <is>
          <t>LASTSCHUETZ</t>
        </is>
      </c>
      <c r="H463" t="inlineStr">
        <is>
          <t>4kW 1S Federzugkl.</t>
        </is>
      </c>
      <c r="I463">
        <v>257</v>
      </c>
      <c r="J463">
        <f>GS91/109.5</f>
        <v>0</v>
      </c>
      <c r="M463" t="inlineStr">
        <is>
          <t>-109Q151.4</t>
        </is>
      </c>
    </row>
    <row r="464">
      <c r="A464">
        <v>463</v>
      </c>
      <c r="B464">
        <f>GS37</f>
        <v>0</v>
      </c>
      <c r="C464" t="inlineStr">
        <is>
          <t>+LS01</t>
        </is>
      </c>
      <c r="D464" t="inlineStr">
        <is>
          <t>-109Q401.4</t>
        </is>
      </c>
      <c r="E464" t="inlineStr">
        <is>
          <t>DILMC12-10(24VDC)</t>
        </is>
      </c>
      <c r="F464" t="inlineStr">
        <is>
          <t>#KALK!</t>
        </is>
      </c>
      <c r="G464" t="inlineStr">
        <is>
          <t>LASTSCHUETZ</t>
        </is>
      </c>
      <c r="H464" t="inlineStr">
        <is>
          <t>5,5kW 1S Federzugkl.</t>
        </is>
      </c>
      <c r="I464">
        <v>362</v>
      </c>
      <c r="J464">
        <f>GS37/109.5</f>
        <v>0</v>
      </c>
      <c r="K464" t="inlineStr">
        <is>
          <t>DILMC12</t>
        </is>
      </c>
      <c r="M464" t="inlineStr">
        <is>
          <t>-109Q401.4</t>
        </is>
      </c>
    </row>
    <row r="465">
      <c r="A465">
        <v>464</v>
      </c>
      <c r="B465">
        <f>GS38</f>
        <v>0</v>
      </c>
      <c r="C465" t="inlineStr">
        <is>
          <t>+LS01</t>
        </is>
      </c>
      <c r="D465" t="inlineStr">
        <is>
          <t>-109Q704.1</t>
        </is>
      </c>
      <c r="E465" t="inlineStr">
        <is>
          <t>DILM-9-10</t>
        </is>
      </c>
      <c r="F465" t="inlineStr">
        <is>
          <t>#KALK!</t>
        </is>
      </c>
      <c r="G465" t="inlineStr">
        <is>
          <t>LASTSCHUETZ</t>
        </is>
      </c>
      <c r="H465" t="inlineStr">
        <is>
          <t>4kW 1S Federzugkl.</t>
        </is>
      </c>
      <c r="I465">
        <v>258</v>
      </c>
      <c r="J465">
        <f>GS38/109.6</f>
        <v>0</v>
      </c>
      <c r="M465" t="inlineStr">
        <is>
          <t>-109Q704.1</t>
        </is>
      </c>
    </row>
    <row r="466">
      <c r="A466">
        <v>465</v>
      </c>
      <c r="B466">
        <f>GS39</f>
        <v>0</v>
      </c>
      <c r="C466" t="inlineStr">
        <is>
          <t>+LS01</t>
        </is>
      </c>
      <c r="D466" t="inlineStr">
        <is>
          <t>-109Q704.1</t>
        </is>
      </c>
      <c r="E466" t="inlineStr">
        <is>
          <t>DILM-9-10</t>
        </is>
      </c>
      <c r="F466" t="inlineStr">
        <is>
          <t>#KALK!</t>
        </is>
      </c>
      <c r="G466" t="inlineStr">
        <is>
          <t>LASTSCHUETZ</t>
        </is>
      </c>
      <c r="H466" t="inlineStr">
        <is>
          <t>4kW 1S Federzugkl.</t>
        </is>
      </c>
      <c r="I466">
        <v>292</v>
      </c>
      <c r="J466">
        <f>GS39/109.6</f>
        <v>0</v>
      </c>
      <c r="M466" t="inlineStr">
        <is>
          <t>-109Q704.1</t>
        </is>
      </c>
    </row>
    <row r="467">
      <c r="A467">
        <v>466</v>
      </c>
      <c r="B467">
        <f>GS06</f>
        <v>0</v>
      </c>
      <c r="C467" t="inlineStr">
        <is>
          <t>+LS[p1]</t>
        </is>
      </c>
      <c r="D467" t="inlineStr">
        <is>
          <t>-10K[a+55].2</t>
        </is>
      </c>
      <c r="E467" t="inlineStr">
        <is>
          <t>DILM-9-10</t>
        </is>
      </c>
      <c r="F467" t="inlineStr">
        <is>
          <t>#KALK!</t>
        </is>
      </c>
      <c r="G467" t="inlineStr">
        <is>
          <t>LASTSCHUETZ</t>
        </is>
      </c>
      <c r="H467" t="inlineStr">
        <is>
          <t>4kW 1S Federzugkl.</t>
        </is>
      </c>
      <c r="I467">
        <v>155</v>
      </c>
      <c r="J467">
        <f>GS06/10.2</f>
        <v>0</v>
      </c>
      <c r="M467" t="inlineStr">
        <is>
          <t>-10K[a+55].2</t>
        </is>
      </c>
    </row>
    <row r="468">
      <c r="A468">
        <v>467</v>
      </c>
      <c r="B468">
        <f>GS07</f>
        <v>0</v>
      </c>
      <c r="C468" t="inlineStr">
        <is>
          <t>+LS[p1]</t>
        </is>
      </c>
      <c r="D468" t="inlineStr">
        <is>
          <t>-10K[a+55].7</t>
        </is>
      </c>
      <c r="E468" t="inlineStr">
        <is>
          <t>DILM-9-10</t>
        </is>
      </c>
      <c r="F468" t="inlineStr">
        <is>
          <t>#KALK!</t>
        </is>
      </c>
      <c r="G468" t="inlineStr">
        <is>
          <t>LASTSCHUETZ</t>
        </is>
      </c>
      <c r="H468" t="inlineStr">
        <is>
          <t>4kW 1S Federzugkl.</t>
        </is>
      </c>
      <c r="I468">
        <v>159</v>
      </c>
      <c r="J468">
        <f>GS07/10.2</f>
        <v>0</v>
      </c>
      <c r="M468" t="inlineStr">
        <is>
          <t>-10K[a+55].7</t>
        </is>
      </c>
    </row>
    <row r="469">
      <c r="A469">
        <v>468</v>
      </c>
      <c r="B469">
        <f>EPM</f>
        <v>0</v>
      </c>
      <c r="C469" t="inlineStr">
        <is>
          <t>+LS</t>
        </is>
      </c>
      <c r="D469" t="inlineStr">
        <is>
          <t>-10K1</t>
        </is>
      </c>
      <c r="E469" t="inlineStr">
        <is>
          <t>DIL_1AM-G</t>
        </is>
      </c>
      <c r="F469" t="inlineStr">
        <is>
          <t>#KALK!</t>
        </is>
      </c>
      <c r="G469" t="inlineStr">
        <is>
          <t>LASTSCHUETZ</t>
        </is>
      </c>
      <c r="H469" t="inlineStr">
        <is>
          <t>18,5kW</t>
        </is>
      </c>
      <c r="I469">
        <v>111</v>
      </c>
      <c r="J469">
        <f>EPM/10.2</f>
        <v>0</v>
      </c>
      <c r="M469" t="inlineStr">
        <is>
          <t>-10K1</t>
        </is>
      </c>
    </row>
    <row r="470">
      <c r="A470">
        <v>469</v>
      </c>
      <c r="B470">
        <f>GS05</f>
        <v>0</v>
      </c>
      <c r="C470" t="inlineStr">
        <is>
          <t>+LS[p1]</t>
        </is>
      </c>
      <c r="D470" t="inlineStr">
        <is>
          <t>-10K1</t>
        </is>
      </c>
      <c r="E470" t="inlineStr">
        <is>
          <t>DILM-9-10</t>
        </is>
      </c>
      <c r="F470" t="inlineStr">
        <is>
          <t>#KALK!</t>
        </is>
      </c>
      <c r="G470" t="inlineStr">
        <is>
          <t>LASTSCHUETZ</t>
        </is>
      </c>
      <c r="H470" t="inlineStr">
        <is>
          <t>4kW 1S Federzugkl.</t>
        </is>
      </c>
      <c r="I470">
        <v>155</v>
      </c>
      <c r="J470">
        <f>GS05/10.2</f>
        <v>0</v>
      </c>
      <c r="M470" t="inlineStr">
        <is>
          <t>-10K1</t>
        </is>
      </c>
    </row>
    <row r="471">
      <c r="A471">
        <v>470</v>
      </c>
      <c r="B471">
        <f>GS06</f>
        <v>0</v>
      </c>
      <c r="C471" t="inlineStr">
        <is>
          <t>+LS[p1]</t>
        </is>
      </c>
      <c r="D471" t="inlineStr">
        <is>
          <t>-10K1</t>
        </is>
      </c>
      <c r="E471" t="inlineStr">
        <is>
          <t>DILM-9-10</t>
        </is>
      </c>
      <c r="F471" t="inlineStr">
        <is>
          <t>#KALK!</t>
        </is>
      </c>
      <c r="G471" t="inlineStr">
        <is>
          <t>LASTSCHUETZ</t>
        </is>
      </c>
      <c r="H471" t="inlineStr">
        <is>
          <t>4kW 1S Federzugkl.</t>
        </is>
      </c>
      <c r="I471">
        <v>155</v>
      </c>
      <c r="J471">
        <f>GS06/10.2</f>
        <v>0</v>
      </c>
      <c r="M471" t="inlineStr">
        <is>
          <t>-10K1</t>
        </is>
      </c>
    </row>
    <row r="472">
      <c r="A472">
        <v>471</v>
      </c>
      <c r="B472">
        <f>GS[xx]</f>
        <v>0</v>
      </c>
      <c r="C472" t="inlineStr">
        <is>
          <t>+LS[p1]</t>
        </is>
      </c>
      <c r="D472" t="inlineStr">
        <is>
          <t>-10K1</t>
        </is>
      </c>
      <c r="E472" t="inlineStr">
        <is>
          <t>DILM-9-10</t>
        </is>
      </c>
      <c r="F472" t="inlineStr">
        <is>
          <t>#KALK!</t>
        </is>
      </c>
      <c r="G472" t="inlineStr">
        <is>
          <t>LASTSCHUETZ</t>
        </is>
      </c>
      <c r="H472" t="inlineStr">
        <is>
          <t>4kW 1S Federzugkl.</t>
        </is>
      </c>
      <c r="I472">
        <v>159</v>
      </c>
      <c r="J472">
        <f>GS[xx]/10.8</f>
        <v>0</v>
      </c>
      <c r="M472" t="inlineStr">
        <is>
          <t>-10K1</t>
        </is>
      </c>
    </row>
    <row r="473">
      <c r="A473">
        <v>472</v>
      </c>
      <c r="B473">
        <f>GS08</f>
        <v>0</v>
      </c>
      <c r="C473" t="inlineStr">
        <is>
          <t>+LS31</t>
        </is>
      </c>
      <c r="D473" t="inlineStr">
        <is>
          <t>-10K1055.2</t>
        </is>
      </c>
      <c r="E473" t="inlineStr">
        <is>
          <t>DILM-9-10</t>
        </is>
      </c>
      <c r="F473" t="inlineStr">
        <is>
          <t>#KALK!</t>
        </is>
      </c>
      <c r="G473" t="inlineStr">
        <is>
          <t>LASTSCHUETZ</t>
        </is>
      </c>
      <c r="H473" t="inlineStr">
        <is>
          <t>4kW 1S Federzugkl.</t>
        </is>
      </c>
      <c r="I473">
        <v>155</v>
      </c>
      <c r="J473">
        <f>GS08/10.2</f>
        <v>0</v>
      </c>
      <c r="M473" t="inlineStr">
        <is>
          <t>-10K1055.2</t>
        </is>
      </c>
    </row>
    <row r="474">
      <c r="A474">
        <v>473</v>
      </c>
      <c r="B474">
        <f>EPM</f>
        <v>0</v>
      </c>
      <c r="C474" t="inlineStr">
        <is>
          <t>+LS</t>
        </is>
      </c>
      <c r="D474" t="inlineStr">
        <is>
          <t>-10K2</t>
        </is>
      </c>
      <c r="E474" t="inlineStr">
        <is>
          <t>DIL_00BM-G</t>
        </is>
      </c>
      <c r="F474" t="inlineStr">
        <is>
          <t>22_DIL-M</t>
        </is>
      </c>
      <c r="G474" t="inlineStr">
        <is>
          <t>LASTSCHUETZ</t>
        </is>
      </c>
      <c r="H474" t="inlineStr">
        <is>
          <t>7,5kW</t>
        </is>
      </c>
      <c r="I474">
        <v>111</v>
      </c>
      <c r="J474">
        <f>EPM/10.4</f>
        <v>0</v>
      </c>
      <c r="M474" t="inlineStr">
        <is>
          <t>-10K2</t>
        </is>
      </c>
    </row>
    <row r="475">
      <c r="A475">
        <v>474</v>
      </c>
      <c r="B475">
        <f>EPM</f>
        <v>0</v>
      </c>
      <c r="C475" t="inlineStr">
        <is>
          <t>+LS</t>
        </is>
      </c>
      <c r="D475" t="inlineStr">
        <is>
          <t>-10K2</t>
        </is>
      </c>
      <c r="E475" t="inlineStr">
        <is>
          <t>22_DIL-M</t>
        </is>
      </c>
      <c r="F475" t="inlineStr">
        <is>
          <t>22_DIL-M</t>
        </is>
      </c>
      <c r="G475" t="inlineStr">
        <is>
          <t>HILFSKONTAKTBLOCK</t>
        </is>
      </c>
      <c r="H475" t="inlineStr">
        <is>
          <t>2S 2OE Lastschuetz DIL M</t>
        </is>
      </c>
      <c r="I475">
        <v>111</v>
      </c>
      <c r="J475">
        <f>EPM/10.4</f>
        <v>0</v>
      </c>
      <c r="M475" t="inlineStr">
        <is>
          <t>-10K2</t>
        </is>
      </c>
    </row>
    <row r="476">
      <c r="A476">
        <v>475</v>
      </c>
      <c r="B476">
        <f>EPM</f>
        <v>0</v>
      </c>
      <c r="C476" t="inlineStr">
        <is>
          <t>+LS</t>
        </is>
      </c>
      <c r="D476" t="inlineStr">
        <is>
          <t>-10K3</t>
        </is>
      </c>
      <c r="E476" t="inlineStr">
        <is>
          <t>DIL_00BM-G</t>
        </is>
      </c>
      <c r="F476" t="inlineStr">
        <is>
          <t>22_DIL-M</t>
        </is>
      </c>
      <c r="G476" t="inlineStr">
        <is>
          <t>LASTSCHUETZ</t>
        </is>
      </c>
      <c r="H476" t="inlineStr">
        <is>
          <t>7,5kW</t>
        </is>
      </c>
      <c r="I476">
        <v>111</v>
      </c>
      <c r="J476">
        <f>EPM/10.5</f>
        <v>0</v>
      </c>
      <c r="M476" t="inlineStr">
        <is>
          <t>-10K3</t>
        </is>
      </c>
    </row>
    <row r="477">
      <c r="A477">
        <v>476</v>
      </c>
      <c r="B477">
        <f>EPM</f>
        <v>0</v>
      </c>
      <c r="C477" t="inlineStr">
        <is>
          <t>+LS</t>
        </is>
      </c>
      <c r="D477" t="inlineStr">
        <is>
          <t>-10K3</t>
        </is>
      </c>
      <c r="E477" t="inlineStr">
        <is>
          <t>22_DIL-M</t>
        </is>
      </c>
      <c r="F477" t="inlineStr">
        <is>
          <t>22_DIL-M</t>
        </is>
      </c>
      <c r="G477" t="inlineStr">
        <is>
          <t>HILFSKONTAKTBLOCK</t>
        </is>
      </c>
      <c r="H477" t="inlineStr">
        <is>
          <t>2S 2OE Lastschuetz DIL M</t>
        </is>
      </c>
      <c r="I477">
        <v>111</v>
      </c>
      <c r="J477">
        <f>EPM/10.5</f>
        <v>0</v>
      </c>
      <c r="M477" t="inlineStr">
        <is>
          <t>-10K3</t>
        </is>
      </c>
    </row>
    <row r="478">
      <c r="A478">
        <v>477</v>
      </c>
      <c r="B478">
        <f>GS20</f>
        <v>0</v>
      </c>
      <c r="C478" t="inlineStr">
        <is>
          <t>+LS[p1]</t>
        </is>
      </c>
      <c r="D478" t="inlineStr">
        <is>
          <t>-10K3</t>
        </is>
      </c>
      <c r="E478" t="inlineStr">
        <is>
          <t>DILM-9-01</t>
        </is>
      </c>
      <c r="F478" t="inlineStr">
        <is>
          <t>#KALK!</t>
        </is>
      </c>
      <c r="G478" t="inlineStr">
        <is>
          <t>LASTSCHUETZ</t>
        </is>
      </c>
      <c r="H478" t="inlineStr">
        <is>
          <t>4kW 1Oe Federzugkl.</t>
        </is>
      </c>
      <c r="I478">
        <v>159</v>
      </c>
      <c r="J478">
        <f>GS20/10.5</f>
        <v>0</v>
      </c>
      <c r="M478" t="inlineStr">
        <is>
          <t>-10K3</t>
        </is>
      </c>
    </row>
    <row r="479">
      <c r="A479">
        <v>478</v>
      </c>
      <c r="B479">
        <f>GS20</f>
        <v>0</v>
      </c>
      <c r="C479" t="inlineStr">
        <is>
          <t>+LS[p1]</t>
        </is>
      </c>
      <c r="D479" t="inlineStr">
        <is>
          <t>-10K4</t>
        </is>
      </c>
      <c r="E479" t="inlineStr">
        <is>
          <t>DILM-9-01</t>
        </is>
      </c>
      <c r="F479" t="inlineStr">
        <is>
          <t>#KALK!</t>
        </is>
      </c>
      <c r="G479" t="inlineStr">
        <is>
          <t>LASTSCHUETZ</t>
        </is>
      </c>
      <c r="H479" t="inlineStr">
        <is>
          <t>4kW 1Oe Federzugkl.</t>
        </is>
      </c>
      <c r="I479">
        <v>159</v>
      </c>
      <c r="J479">
        <f>GS20/10.6</f>
        <v>0</v>
      </c>
      <c r="M479" t="inlineStr">
        <is>
          <t>-10K4</t>
        </is>
      </c>
    </row>
    <row r="480">
      <c r="A480">
        <v>479</v>
      </c>
      <c r="B480">
        <f>GS65</f>
        <v>0</v>
      </c>
      <c r="C480" t="inlineStr">
        <is>
          <t>+LS081</t>
        </is>
      </c>
      <c r="D480" t="inlineStr">
        <is>
          <t>-10Q1</t>
        </is>
      </c>
      <c r="E480" t="inlineStr">
        <is>
          <t>DILMC40(RDC24)</t>
        </is>
      </c>
      <c r="F480" t="inlineStr">
        <is>
          <t>DILM150-XHIC22</t>
        </is>
      </c>
      <c r="G480" t="inlineStr">
        <is>
          <t>LASTSCHUETZ</t>
        </is>
      </c>
      <c r="H480" t="inlineStr">
        <is>
          <t>18,5kW Federzugkl.</t>
        </is>
      </c>
      <c r="I480">
        <v>148</v>
      </c>
      <c r="J480">
        <f>GS65/10.3</f>
        <v>0</v>
      </c>
      <c r="K480" t="inlineStr">
        <is>
          <t>DILMC40</t>
        </is>
      </c>
      <c r="M480" t="inlineStr">
        <is>
          <t>-10Q1</t>
        </is>
      </c>
    </row>
    <row r="481">
      <c r="A481">
        <v>480</v>
      </c>
      <c r="B481">
        <f>GS65</f>
        <v>0</v>
      </c>
      <c r="C481" t="inlineStr">
        <is>
          <t>+LS081</t>
        </is>
      </c>
      <c r="D481" t="inlineStr">
        <is>
          <t>-10Q1</t>
        </is>
      </c>
      <c r="E481" t="inlineStr">
        <is>
          <t>DILM150-XHIC22</t>
        </is>
      </c>
      <c r="F481" t="inlineStr">
        <is>
          <t>DILM150-XHIC22</t>
        </is>
      </c>
      <c r="G481" t="inlineStr">
        <is>
          <t>HILFSKONTAKTBLOCK</t>
        </is>
      </c>
      <c r="H481" t="inlineStr">
        <is>
          <t>2S 2OE ab DILMC40</t>
        </is>
      </c>
      <c r="I481">
        <v>148</v>
      </c>
      <c r="J481">
        <f>GS65/10.3</f>
        <v>0</v>
      </c>
      <c r="K481" t="inlineStr">
        <is>
          <t>DILMC40</t>
        </is>
      </c>
      <c r="M481" t="inlineStr">
        <is>
          <t>-10Q1</t>
        </is>
      </c>
    </row>
    <row r="482">
      <c r="A482">
        <v>481</v>
      </c>
      <c r="B482">
        <f>GS80</f>
        <v>0</v>
      </c>
      <c r="C482" t="inlineStr">
        <is>
          <t>+LS05</t>
        </is>
      </c>
      <c r="D482" t="inlineStr">
        <is>
          <t>-10Q1</t>
        </is>
      </c>
      <c r="E482" t="inlineStr">
        <is>
          <t>DILM150-XHIC22</t>
        </is>
      </c>
      <c r="F482" t="inlineStr">
        <is>
          <t>DILM150-XHIC22</t>
        </is>
      </c>
      <c r="G482" t="inlineStr">
        <is>
          <t>HILFSKONTAKTBLOCK</t>
        </is>
      </c>
      <c r="H482" t="inlineStr">
        <is>
          <t>2S 2OE ab DILMC40</t>
        </is>
      </c>
      <c r="I482">
        <v>148</v>
      </c>
      <c r="J482">
        <f>GS80/10.3</f>
        <v>0</v>
      </c>
      <c r="K482" t="inlineStr">
        <is>
          <t>DILMC40</t>
        </is>
      </c>
      <c r="M482" t="inlineStr">
        <is>
          <t>-10Q1</t>
        </is>
      </c>
    </row>
    <row r="483">
      <c r="A483">
        <v>482</v>
      </c>
      <c r="B483">
        <f>GS80</f>
        <v>0</v>
      </c>
      <c r="C483" t="inlineStr">
        <is>
          <t>+LS04</t>
        </is>
      </c>
      <c r="D483" t="inlineStr">
        <is>
          <t>-10Q1</t>
        </is>
      </c>
      <c r="E483" t="inlineStr">
        <is>
          <t>DILM150-XHIC22</t>
        </is>
      </c>
      <c r="F483" t="inlineStr">
        <is>
          <t>DILM150-XHIC22</t>
        </is>
      </c>
      <c r="G483" t="inlineStr">
        <is>
          <t>HILFSKONTAKTBLOCK</t>
        </is>
      </c>
      <c r="H483" t="inlineStr">
        <is>
          <t>2S 2OE ab DILMC40</t>
        </is>
      </c>
      <c r="I483">
        <v>145</v>
      </c>
      <c r="J483">
        <f>GS80/10.3</f>
        <v>0</v>
      </c>
      <c r="K483" t="inlineStr">
        <is>
          <t>DILMC40</t>
        </is>
      </c>
      <c r="M483" t="inlineStr">
        <is>
          <t>-10Q1</t>
        </is>
      </c>
    </row>
    <row r="484">
      <c r="A484">
        <v>483</v>
      </c>
      <c r="B484">
        <f>GS80</f>
        <v>0</v>
      </c>
      <c r="C484" t="inlineStr">
        <is>
          <t>+LS04</t>
        </is>
      </c>
      <c r="D484" t="inlineStr">
        <is>
          <t>-10Q1</t>
        </is>
      </c>
      <c r="E484" t="inlineStr">
        <is>
          <t>DILMC40(RDC24)</t>
        </is>
      </c>
      <c r="F484" t="inlineStr">
        <is>
          <t>DILM150-XHIC22</t>
        </is>
      </c>
      <c r="G484" t="inlineStr">
        <is>
          <t>LASTSCHUETZ</t>
        </is>
      </c>
      <c r="H484" t="inlineStr">
        <is>
          <t>18,5kW Federzugkl.</t>
        </is>
      </c>
      <c r="I484">
        <v>145</v>
      </c>
      <c r="J484">
        <f>GS80/10.3</f>
        <v>0</v>
      </c>
      <c r="K484" t="inlineStr">
        <is>
          <t>DILMC40</t>
        </is>
      </c>
      <c r="M484" t="inlineStr">
        <is>
          <t>-10Q1</t>
        </is>
      </c>
    </row>
    <row r="485">
      <c r="A485">
        <v>484</v>
      </c>
      <c r="B485">
        <f>GS80</f>
        <v>0</v>
      </c>
      <c r="C485" t="inlineStr">
        <is>
          <t>+LS05</t>
        </is>
      </c>
      <c r="D485" t="inlineStr">
        <is>
          <t>-10Q1</t>
        </is>
      </c>
      <c r="E485" t="inlineStr">
        <is>
          <t>DILMC40(RDC24)</t>
        </is>
      </c>
      <c r="F485" t="inlineStr">
        <is>
          <t>DILM150-XHIC22</t>
        </is>
      </c>
      <c r="G485" t="inlineStr">
        <is>
          <t>LASTSCHUETZ</t>
        </is>
      </c>
      <c r="H485" t="inlineStr">
        <is>
          <t>18,5kW Federzugkl.</t>
        </is>
      </c>
      <c r="I485">
        <v>148</v>
      </c>
      <c r="J485">
        <f>GS80/10.3</f>
        <v>0</v>
      </c>
      <c r="K485" t="inlineStr">
        <is>
          <t>DILMC40</t>
        </is>
      </c>
      <c r="M485" t="inlineStr">
        <is>
          <t>-10Q1</t>
        </is>
      </c>
    </row>
    <row r="486">
      <c r="A486">
        <v>485</v>
      </c>
      <c r="B486">
        <f>GS31</f>
        <v>0</v>
      </c>
      <c r="C486" t="inlineStr">
        <is>
          <t>+LS12</t>
        </is>
      </c>
      <c r="D486" t="inlineStr">
        <is>
          <t>-1101K1</t>
        </is>
      </c>
      <c r="E486" t="inlineStr">
        <is>
          <t>DILA-XHI22</t>
        </is>
      </c>
      <c r="F486" t="inlineStr">
        <is>
          <t>DILA-XHI22</t>
        </is>
      </c>
      <c r="G486" t="inlineStr">
        <is>
          <t>HILFSKONTAKTBLOCK</t>
        </is>
      </c>
      <c r="H486" t="inlineStr">
        <is>
          <t>2S 2OE Last+Hilfssch. Cage</t>
        </is>
      </c>
      <c r="I486">
        <v>2566</v>
      </c>
      <c r="J486">
        <f>GS31/1101.5</f>
        <v>0</v>
      </c>
      <c r="M486" t="inlineStr">
        <is>
          <t>-1101K1</t>
        </is>
      </c>
    </row>
    <row r="487">
      <c r="A487">
        <v>486</v>
      </c>
      <c r="B487">
        <f>GS31</f>
        <v>0</v>
      </c>
      <c r="C487" t="inlineStr">
        <is>
          <t>+LS12</t>
        </is>
      </c>
      <c r="D487" t="inlineStr">
        <is>
          <t>-1101K1</t>
        </is>
      </c>
      <c r="E487" t="inlineStr">
        <is>
          <t>DILM-9-10</t>
        </is>
      </c>
      <c r="F487" t="inlineStr">
        <is>
          <t>DILA-XHI22</t>
        </is>
      </c>
      <c r="G487" t="inlineStr">
        <is>
          <t>LASTSCHUETZ</t>
        </is>
      </c>
      <c r="H487" t="inlineStr">
        <is>
          <t>4kW 1S Federzugkl.</t>
        </is>
      </c>
      <c r="I487">
        <v>2566</v>
      </c>
      <c r="J487">
        <f>GS31/1101.5</f>
        <v>0</v>
      </c>
      <c r="M487" t="inlineStr">
        <is>
          <t>-1101K1</t>
        </is>
      </c>
    </row>
    <row r="488">
      <c r="A488">
        <v>487</v>
      </c>
      <c r="B488">
        <f>GS32</f>
        <v>0</v>
      </c>
      <c r="C488" t="inlineStr">
        <is>
          <t>+LS9</t>
        </is>
      </c>
      <c r="D488" t="inlineStr">
        <is>
          <t>-1101K1</t>
        </is>
      </c>
      <c r="E488" t="inlineStr">
        <is>
          <t>DILMC25-10230V50HZ</t>
        </is>
      </c>
      <c r="F488" t="inlineStr">
        <is>
          <t>DILA-XHI22</t>
        </is>
      </c>
      <c r="G488" t="inlineStr">
        <is>
          <t>LASTSCHUETZ</t>
        </is>
      </c>
      <c r="H488" t="inlineStr">
        <is>
          <t>11kW 1S Federzugkl.</t>
        </is>
      </c>
      <c r="I488">
        <v>1269</v>
      </c>
      <c r="J488">
        <f>GS32/1101.2</f>
        <v>0</v>
      </c>
      <c r="K488" t="inlineStr">
        <is>
          <t>DILMC25</t>
        </is>
      </c>
      <c r="M488" t="inlineStr">
        <is>
          <t>-1101K1</t>
        </is>
      </c>
    </row>
    <row r="489">
      <c r="A489">
        <v>488</v>
      </c>
      <c r="B489">
        <f>GS32</f>
        <v>0</v>
      </c>
      <c r="C489" t="inlineStr">
        <is>
          <t>+LS9</t>
        </is>
      </c>
      <c r="D489" t="inlineStr">
        <is>
          <t>-1101K1</t>
        </is>
      </c>
      <c r="E489" t="inlineStr">
        <is>
          <t>DILA-XHI22</t>
        </is>
      </c>
      <c r="F489" t="inlineStr">
        <is>
          <t>DILA-XHI22</t>
        </is>
      </c>
      <c r="G489" t="inlineStr">
        <is>
          <t>HILFSKONTAKTBLOCK</t>
        </is>
      </c>
      <c r="H489" t="inlineStr">
        <is>
          <t>2S 2OE Last+Hilfssch. Cage</t>
        </is>
      </c>
      <c r="I489">
        <v>1269</v>
      </c>
      <c r="J489">
        <f>GS32/1101.2</f>
        <v>0</v>
      </c>
      <c r="K489" t="inlineStr">
        <is>
          <t>DILMC25</t>
        </is>
      </c>
      <c r="M489" t="inlineStr">
        <is>
          <t>-1101K1</t>
        </is>
      </c>
    </row>
    <row r="490">
      <c r="A490">
        <v>489</v>
      </c>
      <c r="B490">
        <f>GS31</f>
        <v>0</v>
      </c>
      <c r="C490" t="inlineStr">
        <is>
          <t>+LS12</t>
        </is>
      </c>
      <c r="D490" t="inlineStr">
        <is>
          <t>-1101K2</t>
        </is>
      </c>
      <c r="E490" t="inlineStr">
        <is>
          <t>DILA-XHI22</t>
        </is>
      </c>
      <c r="F490" t="inlineStr">
        <is>
          <t>DILA-XHI22</t>
        </is>
      </c>
      <c r="G490" t="inlineStr">
        <is>
          <t>HILFSKONTAKTBLOCK</t>
        </is>
      </c>
      <c r="H490" t="inlineStr">
        <is>
          <t>2S 2OE Last+Hilfssch. Cage</t>
        </is>
      </c>
      <c r="I490">
        <v>2566</v>
      </c>
      <c r="J490">
        <f>GS31/1101.6</f>
        <v>0</v>
      </c>
      <c r="M490" t="inlineStr">
        <is>
          <t>-1101K2</t>
        </is>
      </c>
    </row>
    <row r="491">
      <c r="A491">
        <v>490</v>
      </c>
      <c r="B491">
        <f>GS31</f>
        <v>0</v>
      </c>
      <c r="C491" t="inlineStr">
        <is>
          <t>+LS12</t>
        </is>
      </c>
      <c r="D491" t="inlineStr">
        <is>
          <t>-1101K2</t>
        </is>
      </c>
      <c r="E491" t="inlineStr">
        <is>
          <t>DILM-9-10</t>
        </is>
      </c>
      <c r="F491" t="inlineStr">
        <is>
          <t>DILA-XHI22</t>
        </is>
      </c>
      <c r="G491" t="inlineStr">
        <is>
          <t>LASTSCHUETZ</t>
        </is>
      </c>
      <c r="H491" t="inlineStr">
        <is>
          <t>4kW 1S Federzugkl.</t>
        </is>
      </c>
      <c r="I491">
        <v>2566</v>
      </c>
      <c r="J491">
        <f>GS31/1101.6</f>
        <v>0</v>
      </c>
      <c r="M491" t="inlineStr">
        <is>
          <t>-1101K2</t>
        </is>
      </c>
    </row>
    <row r="492">
      <c r="A492">
        <v>491</v>
      </c>
      <c r="B492">
        <f>GS32</f>
        <v>0</v>
      </c>
      <c r="C492" t="inlineStr">
        <is>
          <t>+LS9</t>
        </is>
      </c>
      <c r="D492" t="inlineStr">
        <is>
          <t>-1102K3510.5</t>
        </is>
      </c>
      <c r="E492" t="inlineStr">
        <is>
          <t>DILM-9-10</t>
        </is>
      </c>
      <c r="F492" t="inlineStr">
        <is>
          <t>#KALK!</t>
        </is>
      </c>
      <c r="G492" t="inlineStr">
        <is>
          <t>LASTSCHUETZ</t>
        </is>
      </c>
      <c r="H492" t="inlineStr">
        <is>
          <t>4kW 1S Federzugkl.</t>
        </is>
      </c>
      <c r="I492">
        <v>233</v>
      </c>
      <c r="J492">
        <f>GS32/1102.7</f>
        <v>0</v>
      </c>
      <c r="M492" t="inlineStr">
        <is>
          <t>-1102K3510.5</t>
        </is>
      </c>
    </row>
    <row r="493">
      <c r="A493">
        <v>492</v>
      </c>
      <c r="B493">
        <f>GS32</f>
        <v>0</v>
      </c>
      <c r="C493" t="inlineStr">
        <is>
          <t>+LS9</t>
        </is>
      </c>
      <c r="D493" t="inlineStr">
        <is>
          <t>-1103K3511.5</t>
        </is>
      </c>
      <c r="E493" t="inlineStr">
        <is>
          <t>DILM-9-10</t>
        </is>
      </c>
      <c r="F493" t="inlineStr">
        <is>
          <t>#KALK!</t>
        </is>
      </c>
      <c r="G493" t="inlineStr">
        <is>
          <t>LASTSCHUETZ</t>
        </is>
      </c>
      <c r="H493" t="inlineStr">
        <is>
          <t>4kW 1S Federzugkl.</t>
        </is>
      </c>
      <c r="I493">
        <v>232</v>
      </c>
      <c r="J493">
        <f>GS32/1103.7</f>
        <v>0</v>
      </c>
      <c r="M493" t="inlineStr">
        <is>
          <t>-1103K3511.5</t>
        </is>
      </c>
    </row>
    <row r="494">
      <c r="A494">
        <v>493</v>
      </c>
      <c r="B494">
        <f>GS32</f>
        <v>0</v>
      </c>
      <c r="C494" t="inlineStr">
        <is>
          <t>+LS9</t>
        </is>
      </c>
      <c r="D494" t="inlineStr">
        <is>
          <t>-1104K3510.0</t>
        </is>
      </c>
      <c r="E494" t="inlineStr">
        <is>
          <t>DILM-9-10</t>
        </is>
      </c>
      <c r="F494" t="inlineStr">
        <is>
          <t>#KALK!</t>
        </is>
      </c>
      <c r="G494" t="inlineStr">
        <is>
          <t>LASTSCHUETZ</t>
        </is>
      </c>
      <c r="H494" t="inlineStr">
        <is>
          <t>4kW 1S Federzugkl.</t>
        </is>
      </c>
      <c r="I494">
        <v>231</v>
      </c>
      <c r="J494">
        <f>GS32/1104.6</f>
        <v>0</v>
      </c>
      <c r="M494" t="inlineStr">
        <is>
          <t>-1104K3510.0</t>
        </is>
      </c>
    </row>
    <row r="495">
      <c r="A495">
        <v>494</v>
      </c>
      <c r="B495">
        <f>GS32</f>
        <v>0</v>
      </c>
      <c r="C495" t="inlineStr">
        <is>
          <t>+LS9</t>
        </is>
      </c>
      <c r="D495" t="inlineStr">
        <is>
          <t>-1104K3510.1</t>
        </is>
      </c>
      <c r="E495" t="inlineStr">
        <is>
          <t>DILM-9-10</t>
        </is>
      </c>
      <c r="F495" t="inlineStr">
        <is>
          <t>#KALK!</t>
        </is>
      </c>
      <c r="G495" t="inlineStr">
        <is>
          <t>LASTSCHUETZ</t>
        </is>
      </c>
      <c r="H495" t="inlineStr">
        <is>
          <t>4kW 1S Federzugkl.</t>
        </is>
      </c>
      <c r="I495">
        <v>231</v>
      </c>
      <c r="J495">
        <f>GS32/1104.6</f>
        <v>0</v>
      </c>
      <c r="M495" t="inlineStr">
        <is>
          <t>-1104K3510.1</t>
        </is>
      </c>
    </row>
    <row r="496">
      <c r="A496">
        <v>495</v>
      </c>
      <c r="B496">
        <f>GS13</f>
        <v>0</v>
      </c>
      <c r="C496" t="inlineStr">
        <is>
          <t>+LS1</t>
        </is>
      </c>
      <c r="D496" t="inlineStr">
        <is>
          <t>-11052.3</t>
        </is>
      </c>
      <c r="E496" t="inlineStr">
        <is>
          <t>DIL_EM-10-G</t>
        </is>
      </c>
      <c r="F496" t="inlineStr">
        <is>
          <t>#KALK!</t>
        </is>
      </c>
      <c r="G496" t="inlineStr">
        <is>
          <t>LASTSCHUETZ</t>
        </is>
      </c>
      <c r="H496" t="inlineStr">
        <is>
          <t>4kW 1S</t>
        </is>
      </c>
      <c r="I496">
        <v>349</v>
      </c>
      <c r="J496">
        <f>GS13/110.7</f>
        <v>0</v>
      </c>
      <c r="M496" t="inlineStr">
        <is>
          <t>-11052.3</t>
        </is>
      </c>
    </row>
    <row r="497">
      <c r="A497">
        <v>496</v>
      </c>
      <c r="B497">
        <f>GS31</f>
        <v>0</v>
      </c>
      <c r="C497" t="inlineStr">
        <is>
          <t>+LS12</t>
        </is>
      </c>
      <c r="D497" t="inlineStr">
        <is>
          <t>-1105K1</t>
        </is>
      </c>
      <c r="E497" t="inlineStr">
        <is>
          <t>DILA-XHI22</t>
        </is>
      </c>
      <c r="F497" t="inlineStr">
        <is>
          <t>DILA-XHI22</t>
        </is>
      </c>
      <c r="G497" t="inlineStr">
        <is>
          <t>HILFSKONTAKTBLOCK</t>
        </is>
      </c>
      <c r="H497" t="inlineStr">
        <is>
          <t>2S 2OE Last+Hilfssch. Cage</t>
        </is>
      </c>
      <c r="I497">
        <v>2570</v>
      </c>
      <c r="J497">
        <f>GS31/1105.2</f>
        <v>0</v>
      </c>
      <c r="K497" t="inlineStr">
        <is>
          <t>DILMC25</t>
        </is>
      </c>
      <c r="M497" t="inlineStr">
        <is>
          <t>-1105K1</t>
        </is>
      </c>
    </row>
    <row r="498">
      <c r="A498">
        <v>497</v>
      </c>
      <c r="B498">
        <f>GS31</f>
        <v>0</v>
      </c>
      <c r="C498" t="inlineStr">
        <is>
          <t>+LS12</t>
        </is>
      </c>
      <c r="D498" t="inlineStr">
        <is>
          <t>-1105K1</t>
        </is>
      </c>
      <c r="E498" t="inlineStr">
        <is>
          <t>DILMC25-10230V50HZ</t>
        </is>
      </c>
      <c r="F498" t="inlineStr">
        <is>
          <t>DILA-XHI22</t>
        </is>
      </c>
      <c r="G498" t="inlineStr">
        <is>
          <t>LASTSCHUETZ</t>
        </is>
      </c>
      <c r="H498" t="inlineStr">
        <is>
          <t>11kW 1S Federzugkl.</t>
        </is>
      </c>
      <c r="I498">
        <v>2570</v>
      </c>
      <c r="J498">
        <f>GS31/1105.2</f>
        <v>0</v>
      </c>
      <c r="K498" t="inlineStr">
        <is>
          <t>DILMC25</t>
        </is>
      </c>
      <c r="M498" t="inlineStr">
        <is>
          <t>-1105K1</t>
        </is>
      </c>
    </row>
    <row r="499">
      <c r="A499">
        <v>498</v>
      </c>
      <c r="B499">
        <f>GS32</f>
        <v>0</v>
      </c>
      <c r="C499" t="inlineStr">
        <is>
          <t>+LS9</t>
        </is>
      </c>
      <c r="D499" t="inlineStr">
        <is>
          <t>-1105K3512.5</t>
        </is>
      </c>
      <c r="E499" t="inlineStr">
        <is>
          <t>DILM-9-10</t>
        </is>
      </c>
      <c r="F499" t="inlineStr">
        <is>
          <t>#KALK!</t>
        </is>
      </c>
      <c r="G499" t="inlineStr">
        <is>
          <t>LASTSCHUETZ</t>
        </is>
      </c>
      <c r="H499" t="inlineStr">
        <is>
          <t>4kW 1S Federzugkl.</t>
        </is>
      </c>
      <c r="I499">
        <v>230</v>
      </c>
      <c r="J499">
        <f>GS32/1105.7</f>
        <v>0</v>
      </c>
      <c r="M499" t="inlineStr">
        <is>
          <t>-1105K3512.5</t>
        </is>
      </c>
    </row>
    <row r="500">
      <c r="A500">
        <v>499</v>
      </c>
      <c r="B500">
        <f>GS05</f>
        <v>0</v>
      </c>
      <c r="C500" t="inlineStr">
        <is>
          <t>+LS18</t>
        </is>
      </c>
      <c r="D500" t="inlineStr">
        <is>
          <t>-1105Q1</t>
        </is>
      </c>
      <c r="E500" t="inlineStr">
        <is>
          <t>DILA-XHI22</t>
        </is>
      </c>
      <c r="F500" t="inlineStr">
        <is>
          <t>DILA-XHI22</t>
        </is>
      </c>
      <c r="G500" t="inlineStr">
        <is>
          <t>HILFSKONTAKTBLOCK</t>
        </is>
      </c>
      <c r="H500" t="inlineStr">
        <is>
          <t>2S 2OE Last+Hilfssch. Cage</t>
        </is>
      </c>
      <c r="I500">
        <v>644</v>
      </c>
      <c r="J500">
        <f>GS05/1105.6</f>
        <v>0</v>
      </c>
      <c r="K500" t="inlineStr">
        <is>
          <t>DIL MC25</t>
        </is>
      </c>
      <c r="M500" t="inlineStr">
        <is>
          <t>-1105Q1</t>
        </is>
      </c>
    </row>
    <row r="501">
      <c r="A501">
        <v>500</v>
      </c>
      <c r="B501">
        <f>GS05</f>
        <v>0</v>
      </c>
      <c r="C501" t="inlineStr">
        <is>
          <t>+LS18</t>
        </is>
      </c>
      <c r="D501" t="inlineStr">
        <is>
          <t>-1105Q1</t>
        </is>
      </c>
      <c r="E501" t="inlineStr">
        <is>
          <t>DILMC25-10(RDC24)</t>
        </is>
      </c>
      <c r="F501" t="inlineStr">
        <is>
          <t>DILA-XHI22</t>
        </is>
      </c>
      <c r="G501" t="inlineStr">
        <is>
          <t>LASTSCHUETZ</t>
        </is>
      </c>
      <c r="H501" t="inlineStr">
        <is>
          <t>11kW 1S Federzugkl.</t>
        </is>
      </c>
      <c r="I501">
        <v>644</v>
      </c>
      <c r="J501">
        <f>GS05/1105.6</f>
        <v>0</v>
      </c>
      <c r="K501" t="inlineStr">
        <is>
          <t>DIL MC25</t>
        </is>
      </c>
      <c r="M501" t="inlineStr">
        <is>
          <t>-1105Q1</t>
        </is>
      </c>
    </row>
    <row r="502">
      <c r="A502">
        <v>501</v>
      </c>
      <c r="B502">
        <f>GS51</f>
        <v>0</v>
      </c>
      <c r="C502" t="inlineStr">
        <is>
          <t>+LS17</t>
        </is>
      </c>
      <c r="D502" t="inlineStr">
        <is>
          <t>-1105Q1</t>
        </is>
      </c>
      <c r="E502" t="inlineStr">
        <is>
          <t>DILA-XHI22</t>
        </is>
      </c>
      <c r="F502" t="inlineStr">
        <is>
          <t>DILA-XHI22</t>
        </is>
      </c>
      <c r="G502" t="inlineStr">
        <is>
          <t>HILFSKONTAKTBLOCK</t>
        </is>
      </c>
      <c r="H502" t="inlineStr">
        <is>
          <t>2S 2OE Last+Hilfssch. Cage</t>
        </is>
      </c>
      <c r="I502">
        <v>1231</v>
      </c>
      <c r="J502">
        <f>GS51/1105.6</f>
        <v>0</v>
      </c>
      <c r="K502" t="inlineStr">
        <is>
          <t>DIL MC25</t>
        </is>
      </c>
      <c r="M502" t="inlineStr">
        <is>
          <t>-1105Q1</t>
        </is>
      </c>
    </row>
    <row r="503">
      <c r="A503">
        <v>502</v>
      </c>
      <c r="B503">
        <f>GS51</f>
        <v>0</v>
      </c>
      <c r="C503" t="inlineStr">
        <is>
          <t>+LS17</t>
        </is>
      </c>
      <c r="D503" t="inlineStr">
        <is>
          <t>-1105Q1</t>
        </is>
      </c>
      <c r="E503" t="inlineStr">
        <is>
          <t>DILMC25-10(RDC24)</t>
        </is>
      </c>
      <c r="F503" t="inlineStr">
        <is>
          <t>DILA-XHI22</t>
        </is>
      </c>
      <c r="G503" t="inlineStr">
        <is>
          <t>LASTSCHUETZ</t>
        </is>
      </c>
      <c r="H503" t="inlineStr">
        <is>
          <t>11kW 1S Federzugkl.</t>
        </is>
      </c>
      <c r="I503">
        <v>1231</v>
      </c>
      <c r="J503">
        <f>GS51/1105.6</f>
        <v>0</v>
      </c>
      <c r="K503" t="inlineStr">
        <is>
          <t>DIL MC25</t>
        </is>
      </c>
      <c r="M503" t="inlineStr">
        <is>
          <t>-1105Q1</t>
        </is>
      </c>
    </row>
    <row r="504">
      <c r="A504">
        <v>503</v>
      </c>
      <c r="B504">
        <f>GS05</f>
        <v>0</v>
      </c>
      <c r="C504" t="inlineStr">
        <is>
          <t>+LS18</t>
        </is>
      </c>
      <c r="D504" t="inlineStr">
        <is>
          <t>-1105Q3</t>
        </is>
      </c>
      <c r="E504" t="inlineStr">
        <is>
          <t>DILA-XHI22</t>
        </is>
      </c>
      <c r="F504" t="inlineStr">
        <is>
          <t>DILA-XHI22</t>
        </is>
      </c>
      <c r="G504" t="inlineStr">
        <is>
          <t>HILFSKONTAKTBLOCK</t>
        </is>
      </c>
      <c r="H504" t="inlineStr">
        <is>
          <t>2S 2OE Last+Hilfssch. Cage</t>
        </is>
      </c>
      <c r="I504">
        <v>644</v>
      </c>
      <c r="J504">
        <f>GS05/1105.7</f>
        <v>0</v>
      </c>
      <c r="K504" t="inlineStr">
        <is>
          <t>DIL MC25</t>
        </is>
      </c>
      <c r="M504" t="inlineStr">
        <is>
          <t>-1105Q3</t>
        </is>
      </c>
    </row>
    <row r="505">
      <c r="A505">
        <v>504</v>
      </c>
      <c r="B505">
        <f>GS05</f>
        <v>0</v>
      </c>
      <c r="C505" t="inlineStr">
        <is>
          <t>+LS18</t>
        </is>
      </c>
      <c r="D505" t="inlineStr">
        <is>
          <t>-1105Q3</t>
        </is>
      </c>
      <c r="E505" t="inlineStr">
        <is>
          <t>DILMC25-10(RDC24)</t>
        </is>
      </c>
      <c r="F505" t="inlineStr">
        <is>
          <t>DILA-XHI22</t>
        </is>
      </c>
      <c r="G505" t="inlineStr">
        <is>
          <t>LASTSCHUETZ</t>
        </is>
      </c>
      <c r="H505" t="inlineStr">
        <is>
          <t>11kW 1S Federzugkl.</t>
        </is>
      </c>
      <c r="I505">
        <v>644</v>
      </c>
      <c r="J505">
        <f>GS05/1105.7</f>
        <v>0</v>
      </c>
      <c r="K505" t="inlineStr">
        <is>
          <t>DIL MC25</t>
        </is>
      </c>
      <c r="M505" t="inlineStr">
        <is>
          <t>-1105Q3</t>
        </is>
      </c>
    </row>
    <row r="506">
      <c r="A506">
        <v>505</v>
      </c>
      <c r="B506">
        <f>GC22</f>
        <v>0</v>
      </c>
      <c r="C506" t="inlineStr">
        <is>
          <t>+QVW2501</t>
        </is>
      </c>
      <c r="D506" t="inlineStr">
        <is>
          <t>-1106K1</t>
        </is>
      </c>
      <c r="E506" t="inlineStr">
        <is>
          <t>DILM150-XHIC22</t>
        </is>
      </c>
      <c r="F506" t="inlineStr">
        <is>
          <t>DILM150-XHIC22</t>
        </is>
      </c>
      <c r="G506" t="inlineStr">
        <is>
          <t>HILFSKONTAKTBLOCK</t>
        </is>
      </c>
      <c r="H506" t="inlineStr">
        <is>
          <t>2S 2OE ab DILMC40</t>
        </is>
      </c>
      <c r="I506">
        <v>3770</v>
      </c>
      <c r="J506">
        <f>GC22/1106.2</f>
        <v>0</v>
      </c>
      <c r="K506" t="inlineStr">
        <is>
          <t>DIL MC 40</t>
        </is>
      </c>
      <c r="M506" t="inlineStr">
        <is>
          <t>-1106K1</t>
        </is>
      </c>
    </row>
    <row r="507">
      <c r="A507">
        <v>506</v>
      </c>
      <c r="B507">
        <f>GC22</f>
        <v>0</v>
      </c>
      <c r="C507" t="inlineStr">
        <is>
          <t>+QVW2501</t>
        </is>
      </c>
      <c r="D507" t="inlineStr">
        <is>
          <t>-1106K1</t>
        </is>
      </c>
      <c r="E507" t="inlineStr">
        <is>
          <t>DILMC40(RDC24)</t>
        </is>
      </c>
      <c r="F507" t="inlineStr">
        <is>
          <t>DILM150-XHIC22</t>
        </is>
      </c>
      <c r="G507" t="inlineStr">
        <is>
          <t>LASTSCHUETZ</t>
        </is>
      </c>
      <c r="H507" t="inlineStr">
        <is>
          <t>18,5kW Federzugkl.</t>
        </is>
      </c>
      <c r="I507">
        <v>3770</v>
      </c>
      <c r="J507">
        <f>GC22/1106.2</f>
        <v>0</v>
      </c>
      <c r="K507" t="inlineStr">
        <is>
          <t>DIL MC 40</t>
        </is>
      </c>
      <c r="M507" t="inlineStr">
        <is>
          <t>-1106K1</t>
        </is>
      </c>
    </row>
    <row r="508">
      <c r="A508">
        <v>507</v>
      </c>
      <c r="B508">
        <f>GS12</f>
        <v>0</v>
      </c>
      <c r="C508" t="inlineStr">
        <is>
          <t>+QVW2501</t>
        </is>
      </c>
      <c r="D508" t="inlineStr">
        <is>
          <t>-1106K1</t>
        </is>
      </c>
      <c r="E508" t="inlineStr">
        <is>
          <t>DILMC40(RDC24)</t>
        </is>
      </c>
      <c r="F508" t="inlineStr">
        <is>
          <t>DILM150-XHIC22</t>
        </is>
      </c>
      <c r="G508" t="inlineStr">
        <is>
          <t>LASTSCHUETZ</t>
        </is>
      </c>
      <c r="H508" t="inlineStr">
        <is>
          <t>18,5kW Federzugkl.</t>
        </is>
      </c>
      <c r="I508">
        <v>1582</v>
      </c>
      <c r="J508">
        <f>GS12/1106.2</f>
        <v>0</v>
      </c>
      <c r="K508" t="inlineStr">
        <is>
          <t>DIL MC 40</t>
        </is>
      </c>
      <c r="M508" t="inlineStr">
        <is>
          <t>-1106K1</t>
        </is>
      </c>
    </row>
    <row r="509">
      <c r="A509">
        <v>508</v>
      </c>
      <c r="B509">
        <f>GS12</f>
        <v>0</v>
      </c>
      <c r="C509" t="inlineStr">
        <is>
          <t>+QVW2501</t>
        </is>
      </c>
      <c r="D509" t="inlineStr">
        <is>
          <t>-1106K1</t>
        </is>
      </c>
      <c r="E509" t="inlineStr">
        <is>
          <t>DILM150-XHIC22</t>
        </is>
      </c>
      <c r="F509" t="inlineStr">
        <is>
          <t>DILM150-XHIC22</t>
        </is>
      </c>
      <c r="G509" t="inlineStr">
        <is>
          <t>HILFSKONTAKTBLOCK</t>
        </is>
      </c>
      <c r="H509" t="inlineStr">
        <is>
          <t>2S 2OE ab DILMC40</t>
        </is>
      </c>
      <c r="I509">
        <v>1582</v>
      </c>
      <c r="J509">
        <f>GS12/1106.2</f>
        <v>0</v>
      </c>
      <c r="K509" t="inlineStr">
        <is>
          <t>DIL MC 40</t>
        </is>
      </c>
      <c r="M509" t="inlineStr">
        <is>
          <t>-1106K1</t>
        </is>
      </c>
    </row>
    <row r="510">
      <c r="A510">
        <v>509</v>
      </c>
      <c r="B510">
        <f>GS32</f>
        <v>0</v>
      </c>
      <c r="C510" t="inlineStr">
        <is>
          <t>+LS9</t>
        </is>
      </c>
      <c r="D510" t="inlineStr">
        <is>
          <t>-1106K3513.5</t>
        </is>
      </c>
      <c r="E510" t="inlineStr">
        <is>
          <t>DILM-9-10</t>
        </is>
      </c>
      <c r="F510" t="inlineStr">
        <is>
          <t>#KALK!</t>
        </is>
      </c>
      <c r="G510" t="inlineStr">
        <is>
          <t>LASTSCHUETZ</t>
        </is>
      </c>
      <c r="H510" t="inlineStr">
        <is>
          <t>4kW 1S Federzugkl.</t>
        </is>
      </c>
      <c r="I510">
        <v>1568</v>
      </c>
      <c r="J510">
        <f>GS32/1106.7</f>
        <v>0</v>
      </c>
      <c r="M510" t="inlineStr">
        <is>
          <t>-1106K3513.5</t>
        </is>
      </c>
    </row>
    <row r="511">
      <c r="A511">
        <v>510</v>
      </c>
      <c r="B511">
        <f>GS51</f>
        <v>0</v>
      </c>
      <c r="C511" t="inlineStr">
        <is>
          <t>+LS17</t>
        </is>
      </c>
      <c r="D511" t="inlineStr">
        <is>
          <t>-1106Q755.5</t>
        </is>
      </c>
      <c r="E511" t="inlineStr">
        <is>
          <t>DILM-9-10</t>
        </is>
      </c>
      <c r="F511" t="inlineStr">
        <is>
          <t>DILA-XHI22</t>
        </is>
      </c>
      <c r="G511" t="inlineStr">
        <is>
          <t>LASTSCHUETZ</t>
        </is>
      </c>
      <c r="H511" t="inlineStr">
        <is>
          <t>4kW 1S Federzugkl.</t>
        </is>
      </c>
      <c r="I511">
        <v>1232</v>
      </c>
      <c r="J511">
        <f>GS51/1106.6</f>
        <v>0</v>
      </c>
      <c r="K511" t="inlineStr">
        <is>
          <t>DIL MC9</t>
        </is>
      </c>
      <c r="M511" t="inlineStr">
        <is>
          <t>-1106Q755.5</t>
        </is>
      </c>
    </row>
    <row r="512">
      <c r="A512">
        <v>511</v>
      </c>
      <c r="B512">
        <f>GS51</f>
        <v>0</v>
      </c>
      <c r="C512" t="inlineStr">
        <is>
          <t>+LS17</t>
        </is>
      </c>
      <c r="D512" t="inlineStr">
        <is>
          <t>-1106Q755.5</t>
        </is>
      </c>
      <c r="E512" t="inlineStr">
        <is>
          <t>DILA-XHI22</t>
        </is>
      </c>
      <c r="F512" t="inlineStr">
        <is>
          <t>DILA-XHI22</t>
        </is>
      </c>
      <c r="G512" t="inlineStr">
        <is>
          <t>HILFSKONTAKTBLOCK</t>
        </is>
      </c>
      <c r="H512" t="inlineStr">
        <is>
          <t>2S 2OE Last+Hilfssch. Cage</t>
        </is>
      </c>
      <c r="I512">
        <v>1232</v>
      </c>
      <c r="J512">
        <f>GS51/1106.6</f>
        <v>0</v>
      </c>
      <c r="K512" t="inlineStr">
        <is>
          <t>DIL MC9</t>
        </is>
      </c>
      <c r="M512" t="inlineStr">
        <is>
          <t>-1106Q755.5</t>
        </is>
      </c>
    </row>
    <row r="513">
      <c r="A513">
        <v>512</v>
      </c>
      <c r="B513">
        <f>GS51</f>
        <v>0</v>
      </c>
      <c r="C513" t="inlineStr">
        <is>
          <t>+LS17</t>
        </is>
      </c>
      <c r="D513" t="inlineStr">
        <is>
          <t>-1106Q755.6</t>
        </is>
      </c>
      <c r="E513" t="inlineStr">
        <is>
          <t>DILM-9-10</t>
        </is>
      </c>
      <c r="F513" t="inlineStr">
        <is>
          <t>DILA-XHI22</t>
        </is>
      </c>
      <c r="G513" t="inlineStr">
        <is>
          <t>LASTSCHUETZ</t>
        </is>
      </c>
      <c r="H513" t="inlineStr">
        <is>
          <t>4kW 1S Federzugkl.</t>
        </is>
      </c>
      <c r="I513">
        <v>1232</v>
      </c>
      <c r="J513">
        <f>GS51/1106.7</f>
        <v>0</v>
      </c>
      <c r="K513" t="inlineStr">
        <is>
          <t>DIL MC9</t>
        </is>
      </c>
      <c r="M513" t="inlineStr">
        <is>
          <t>-1106Q755.6</t>
        </is>
      </c>
    </row>
    <row r="514">
      <c r="A514">
        <v>513</v>
      </c>
      <c r="B514">
        <f>GS51</f>
        <v>0</v>
      </c>
      <c r="C514" t="inlineStr">
        <is>
          <t>+LS17</t>
        </is>
      </c>
      <c r="D514" t="inlineStr">
        <is>
          <t>-1106Q755.6</t>
        </is>
      </c>
      <c r="E514" t="inlineStr">
        <is>
          <t>DILA-XHI22</t>
        </is>
      </c>
      <c r="F514" t="inlineStr">
        <is>
          <t>DILA-XHI22</t>
        </is>
      </c>
      <c r="G514" t="inlineStr">
        <is>
          <t>HILFSKONTAKTBLOCK</t>
        </is>
      </c>
      <c r="H514" t="inlineStr">
        <is>
          <t>2S 2OE Last+Hilfssch. Cage</t>
        </is>
      </c>
      <c r="I514">
        <v>1232</v>
      </c>
      <c r="J514">
        <f>GS51/1106.7</f>
        <v>0</v>
      </c>
      <c r="K514" t="inlineStr">
        <is>
          <t>DIL MC9</t>
        </is>
      </c>
      <c r="M514" t="inlineStr">
        <is>
          <t>-1106Q755.6</t>
        </is>
      </c>
    </row>
    <row r="515">
      <c r="A515">
        <v>514</v>
      </c>
      <c r="B515">
        <f>GS32</f>
        <v>0</v>
      </c>
      <c r="C515" t="inlineStr">
        <is>
          <t>+LS9</t>
        </is>
      </c>
      <c r="D515" t="inlineStr">
        <is>
          <t>-1107K3511.0</t>
        </is>
      </c>
      <c r="E515" t="inlineStr">
        <is>
          <t>DILM-9-10</t>
        </is>
      </c>
      <c r="F515" t="inlineStr">
        <is>
          <t>#KALK!</t>
        </is>
      </c>
      <c r="G515" t="inlineStr">
        <is>
          <t>LASTSCHUETZ</t>
        </is>
      </c>
      <c r="H515" t="inlineStr">
        <is>
          <t>4kW 1S Federzugkl.</t>
        </is>
      </c>
      <c r="I515">
        <v>83</v>
      </c>
      <c r="J515">
        <f>GS32/1107.6</f>
        <v>0</v>
      </c>
      <c r="M515" t="inlineStr">
        <is>
          <t>-1107K3511.0</t>
        </is>
      </c>
    </row>
    <row r="516">
      <c r="A516">
        <v>515</v>
      </c>
      <c r="B516">
        <f>GS32</f>
        <v>0</v>
      </c>
      <c r="C516" t="inlineStr">
        <is>
          <t>+LS9</t>
        </is>
      </c>
      <c r="D516" t="inlineStr">
        <is>
          <t>-1107K3511.1</t>
        </is>
      </c>
      <c r="E516" t="inlineStr">
        <is>
          <t>DILM-9-10</t>
        </is>
      </c>
      <c r="F516" t="inlineStr">
        <is>
          <t>#KALK!</t>
        </is>
      </c>
      <c r="G516" t="inlineStr">
        <is>
          <t>LASTSCHUETZ</t>
        </is>
      </c>
      <c r="H516" t="inlineStr">
        <is>
          <t>4kW 1S Federzugkl.</t>
        </is>
      </c>
      <c r="I516">
        <v>83</v>
      </c>
      <c r="J516">
        <f>GS32/1107.6</f>
        <v>0</v>
      </c>
      <c r="M516" t="inlineStr">
        <is>
          <t>-1107K3511.1</t>
        </is>
      </c>
    </row>
    <row r="517">
      <c r="A517">
        <v>516</v>
      </c>
      <c r="B517">
        <f>GS31</f>
        <v>0</v>
      </c>
      <c r="C517" t="inlineStr">
        <is>
          <t>+LS12</t>
        </is>
      </c>
      <c r="D517" t="inlineStr">
        <is>
          <t>-1107KQ3533.1</t>
        </is>
      </c>
      <c r="E517" t="inlineStr">
        <is>
          <t>DILM-9-01</t>
        </is>
      </c>
      <c r="F517" t="inlineStr">
        <is>
          <t>#KALK!</t>
        </is>
      </c>
      <c r="G517" t="inlineStr">
        <is>
          <t>LASTSCHUETZ</t>
        </is>
      </c>
      <c r="H517" t="inlineStr">
        <is>
          <t>4kW 1Oe Federzugkl.</t>
        </is>
      </c>
      <c r="I517">
        <v>2573</v>
      </c>
      <c r="J517">
        <f>GS31/1107.6</f>
        <v>0</v>
      </c>
      <c r="M517" t="inlineStr">
        <is>
          <t>-1107KQ3533.1</t>
        </is>
      </c>
    </row>
    <row r="518">
      <c r="A518">
        <v>517</v>
      </c>
      <c r="B518">
        <f>GS31</f>
        <v>0</v>
      </c>
      <c r="C518" t="inlineStr">
        <is>
          <t>+LS12</t>
        </is>
      </c>
      <c r="D518" t="inlineStr">
        <is>
          <t>-1107KQ3533.5</t>
        </is>
      </c>
      <c r="E518" t="inlineStr">
        <is>
          <t>DILM-9-01</t>
        </is>
      </c>
      <c r="F518" t="inlineStr">
        <is>
          <t>#KALK!</t>
        </is>
      </c>
      <c r="G518" t="inlineStr">
        <is>
          <t>LASTSCHUETZ</t>
        </is>
      </c>
      <c r="H518" t="inlineStr">
        <is>
          <t>4kW 1Oe Federzugkl.</t>
        </is>
      </c>
      <c r="I518">
        <v>2573</v>
      </c>
      <c r="J518">
        <f>GS31/1107.7</f>
        <v>0</v>
      </c>
      <c r="M518" t="inlineStr">
        <is>
          <t>-1107KQ3533.5</t>
        </is>
      </c>
    </row>
    <row r="519">
      <c r="A519">
        <v>518</v>
      </c>
      <c r="B519">
        <f>GC22</f>
        <v>0</v>
      </c>
      <c r="C519" t="inlineStr">
        <is>
          <t>+QVW2501</t>
        </is>
      </c>
      <c r="D519" t="inlineStr">
        <is>
          <t>-1108K1</t>
        </is>
      </c>
      <c r="E519" t="inlineStr">
        <is>
          <t>DILM-9-10</t>
        </is>
      </c>
      <c r="F519" t="inlineStr">
        <is>
          <t>#KALK!</t>
        </is>
      </c>
      <c r="G519" t="inlineStr">
        <is>
          <t>LASTSCHUETZ</t>
        </is>
      </c>
      <c r="H519" t="inlineStr">
        <is>
          <t>4kW 1S Federzugkl.</t>
        </is>
      </c>
      <c r="I519">
        <v>3768</v>
      </c>
      <c r="J519">
        <f>GC22/1108.5</f>
        <v>0</v>
      </c>
      <c r="M519" t="inlineStr">
        <is>
          <t>-1108K1</t>
        </is>
      </c>
    </row>
    <row r="520">
      <c r="A520">
        <v>519</v>
      </c>
      <c r="B520">
        <f>GS12</f>
        <v>0</v>
      </c>
      <c r="C520" t="inlineStr">
        <is>
          <t>+QVW2501</t>
        </is>
      </c>
      <c r="D520" t="inlineStr">
        <is>
          <t>-1108K1</t>
        </is>
      </c>
      <c r="E520" t="inlineStr">
        <is>
          <t>DILM-9-10</t>
        </is>
      </c>
      <c r="F520" t="inlineStr">
        <is>
          <t>#KALK!</t>
        </is>
      </c>
      <c r="G520" t="inlineStr">
        <is>
          <t>LASTSCHUETZ</t>
        </is>
      </c>
      <c r="H520" t="inlineStr">
        <is>
          <t>4kW 1S Federzugkl.</t>
        </is>
      </c>
      <c r="I520">
        <v>1584</v>
      </c>
      <c r="J520">
        <f>GS12/1108.5</f>
        <v>0</v>
      </c>
      <c r="M520" t="inlineStr">
        <is>
          <t>-1108K1</t>
        </is>
      </c>
    </row>
    <row r="521">
      <c r="A521">
        <v>520</v>
      </c>
      <c r="B521">
        <f>GS32</f>
        <v>0</v>
      </c>
      <c r="C521" t="inlineStr">
        <is>
          <t>+LS9</t>
        </is>
      </c>
      <c r="D521" t="inlineStr">
        <is>
          <t>-1108K3512.0</t>
        </is>
      </c>
      <c r="E521" t="inlineStr">
        <is>
          <t>DILM-9-10</t>
        </is>
      </c>
      <c r="F521" t="inlineStr">
        <is>
          <t>#KALK!</t>
        </is>
      </c>
      <c r="G521" t="inlineStr">
        <is>
          <t>LASTSCHUETZ</t>
        </is>
      </c>
      <c r="H521" t="inlineStr">
        <is>
          <t>4kW 1S Federzugkl.</t>
        </is>
      </c>
      <c r="I521">
        <v>61</v>
      </c>
      <c r="J521">
        <f>GS32/1108.6</f>
        <v>0</v>
      </c>
      <c r="M521" t="inlineStr">
        <is>
          <t>-1108K3512.0</t>
        </is>
      </c>
    </row>
    <row r="522">
      <c r="A522">
        <v>521</v>
      </c>
      <c r="B522">
        <f>GS32</f>
        <v>0</v>
      </c>
      <c r="C522" t="inlineStr">
        <is>
          <t>+LS9</t>
        </is>
      </c>
      <c r="D522" t="inlineStr">
        <is>
          <t>-1108K3512.1</t>
        </is>
      </c>
      <c r="E522" t="inlineStr">
        <is>
          <t>DILM-9-10</t>
        </is>
      </c>
      <c r="F522" t="inlineStr">
        <is>
          <t>#KALK!</t>
        </is>
      </c>
      <c r="G522" t="inlineStr">
        <is>
          <t>LASTSCHUETZ</t>
        </is>
      </c>
      <c r="H522" t="inlineStr">
        <is>
          <t>4kW 1S Federzugkl.</t>
        </is>
      </c>
      <c r="I522">
        <v>61</v>
      </c>
      <c r="J522">
        <f>GS32/1108.6</f>
        <v>0</v>
      </c>
      <c r="M522" t="inlineStr">
        <is>
          <t>-1108K3512.1</t>
        </is>
      </c>
    </row>
    <row r="523">
      <c r="A523">
        <v>522</v>
      </c>
      <c r="B523">
        <f>GC22</f>
        <v>0</v>
      </c>
      <c r="C523" t="inlineStr">
        <is>
          <t>+QVW2501</t>
        </is>
      </c>
      <c r="D523" t="inlineStr">
        <is>
          <t>-1108K3810.2</t>
        </is>
      </c>
      <c r="E523" t="inlineStr">
        <is>
          <t>DILA-22</t>
        </is>
      </c>
      <c r="F523" t="inlineStr">
        <is>
          <t>#KALK!</t>
        </is>
      </c>
      <c r="G523" t="inlineStr">
        <is>
          <t>HILFSSCHUETZ</t>
        </is>
      </c>
      <c r="H523" t="inlineStr">
        <is>
          <t>2S 2Oe Federzugkl.</t>
        </is>
      </c>
      <c r="I523">
        <v>3768</v>
      </c>
      <c r="J523">
        <f>GC22/1108.2</f>
        <v>0</v>
      </c>
      <c r="M523" t="inlineStr">
        <is>
          <t>-1108K3810.2</t>
        </is>
      </c>
    </row>
    <row r="524">
      <c r="A524">
        <v>523</v>
      </c>
      <c r="B524">
        <f>GS12</f>
        <v>0</v>
      </c>
      <c r="C524" t="inlineStr">
        <is>
          <t>+QVW2501</t>
        </is>
      </c>
      <c r="D524" t="inlineStr">
        <is>
          <t>-1108K3810.2</t>
        </is>
      </c>
      <c r="E524" t="inlineStr">
        <is>
          <t>DILA-22</t>
        </is>
      </c>
      <c r="F524" t="inlineStr">
        <is>
          <t>#KALK!</t>
        </is>
      </c>
      <c r="G524" t="inlineStr">
        <is>
          <t>HILFSSCHUETZ</t>
        </is>
      </c>
      <c r="H524" t="inlineStr">
        <is>
          <t>2S 2Oe Federzugkl.</t>
        </is>
      </c>
      <c r="I524">
        <v>1584</v>
      </c>
      <c r="J524">
        <f>GS12/1108.2</f>
        <v>0</v>
      </c>
      <c r="M524" t="inlineStr">
        <is>
          <t>-1108K3810.2</t>
        </is>
      </c>
    </row>
    <row r="525">
      <c r="A525">
        <v>524</v>
      </c>
      <c r="B525">
        <f>GC22</f>
        <v>0</v>
      </c>
      <c r="C525" t="inlineStr">
        <is>
          <t>+QVW2501</t>
        </is>
      </c>
      <c r="D525" t="inlineStr">
        <is>
          <t>-1108K3810.5</t>
        </is>
      </c>
      <c r="E525" t="inlineStr">
        <is>
          <t>DILM-9-10</t>
        </is>
      </c>
      <c r="F525" t="inlineStr">
        <is>
          <t>#KALK!</t>
        </is>
      </c>
      <c r="G525" t="inlineStr">
        <is>
          <t>LASTSCHUETZ</t>
        </is>
      </c>
      <c r="H525" t="inlineStr">
        <is>
          <t>4kW 1S Federzugkl.</t>
        </is>
      </c>
      <c r="I525">
        <v>3768</v>
      </c>
      <c r="J525">
        <f>GC22/1108.4</f>
        <v>0</v>
      </c>
      <c r="M525" t="inlineStr">
        <is>
          <t>-1108K3810.5</t>
        </is>
      </c>
    </row>
    <row r="526">
      <c r="A526">
        <v>525</v>
      </c>
      <c r="B526">
        <f>GS12</f>
        <v>0</v>
      </c>
      <c r="C526" t="inlineStr">
        <is>
          <t>+QVW2501</t>
        </is>
      </c>
      <c r="D526" t="inlineStr">
        <is>
          <t>-1108K3810.5</t>
        </is>
      </c>
      <c r="E526" t="inlineStr">
        <is>
          <t>DILM-9-10</t>
        </is>
      </c>
      <c r="F526" t="inlineStr">
        <is>
          <t>#KALK!</t>
        </is>
      </c>
      <c r="G526" t="inlineStr">
        <is>
          <t>LASTSCHUETZ</t>
        </is>
      </c>
      <c r="H526" t="inlineStr">
        <is>
          <t>4kW 1S Federzugkl.</t>
        </is>
      </c>
      <c r="I526">
        <v>1584</v>
      </c>
      <c r="J526">
        <f>GS12/1108.4</f>
        <v>0</v>
      </c>
      <c r="M526" t="inlineStr">
        <is>
          <t>-1108K3810.5</t>
        </is>
      </c>
    </row>
    <row r="527">
      <c r="A527">
        <v>526</v>
      </c>
      <c r="B527">
        <f>GC22</f>
        <v>0</v>
      </c>
      <c r="C527" t="inlineStr">
        <is>
          <t>+QVW2501</t>
        </is>
      </c>
      <c r="D527" t="inlineStr">
        <is>
          <t>-1108K3814.4</t>
        </is>
      </c>
      <c r="E527" t="inlineStr">
        <is>
          <t>DILA-22</t>
        </is>
      </c>
      <c r="F527" t="inlineStr">
        <is>
          <t>#KALK!</t>
        </is>
      </c>
      <c r="G527" t="inlineStr">
        <is>
          <t>HILFSSCHUETZ</t>
        </is>
      </c>
      <c r="H527" t="inlineStr">
        <is>
          <t>2S 2Oe Federzugkl.</t>
        </is>
      </c>
      <c r="I527">
        <v>3768</v>
      </c>
      <c r="J527">
        <f>GC22/1108.2</f>
        <v>0</v>
      </c>
      <c r="M527" t="inlineStr">
        <is>
          <t>-1108K3814.4</t>
        </is>
      </c>
    </row>
    <row r="528">
      <c r="A528">
        <v>527</v>
      </c>
      <c r="B528">
        <f>GS12</f>
        <v>0</v>
      </c>
      <c r="C528" t="inlineStr">
        <is>
          <t>+QVW2501</t>
        </is>
      </c>
      <c r="D528" t="inlineStr">
        <is>
          <t>-1108K3814.4</t>
        </is>
      </c>
      <c r="E528" t="inlineStr">
        <is>
          <t>DILA-22</t>
        </is>
      </c>
      <c r="F528" t="inlineStr">
        <is>
          <t>#KALK!</t>
        </is>
      </c>
      <c r="G528" t="inlineStr">
        <is>
          <t>HILFSSCHUETZ</t>
        </is>
      </c>
      <c r="H528" t="inlineStr">
        <is>
          <t>2S 2Oe Federzugkl.</t>
        </is>
      </c>
      <c r="I528">
        <v>1584</v>
      </c>
      <c r="J528">
        <f>GS12/1108.2</f>
        <v>0</v>
      </c>
      <c r="M528" t="inlineStr">
        <is>
          <t>-1108K3814.4</t>
        </is>
      </c>
    </row>
    <row r="529">
      <c r="A529">
        <v>528</v>
      </c>
      <c r="B529">
        <f>GC22</f>
        <v>0</v>
      </c>
      <c r="C529" t="inlineStr">
        <is>
          <t>+QVW2501</t>
        </is>
      </c>
      <c r="D529" t="inlineStr">
        <is>
          <t>-1108K3814.5</t>
        </is>
      </c>
      <c r="E529" t="inlineStr">
        <is>
          <t>DILA-22</t>
        </is>
      </c>
      <c r="F529" t="inlineStr">
        <is>
          <t>#KALK!</t>
        </is>
      </c>
      <c r="G529" t="inlineStr">
        <is>
          <t>HILFSSCHUETZ</t>
        </is>
      </c>
      <c r="H529" t="inlineStr">
        <is>
          <t>2S 2Oe Federzugkl.</t>
        </is>
      </c>
      <c r="I529">
        <v>3768</v>
      </c>
      <c r="J529">
        <f>GC22/1108.3</f>
        <v>0</v>
      </c>
      <c r="M529" t="inlineStr">
        <is>
          <t>-1108K3814.5</t>
        </is>
      </c>
    </row>
    <row r="530">
      <c r="A530">
        <v>529</v>
      </c>
      <c r="B530">
        <f>GS12</f>
        <v>0</v>
      </c>
      <c r="C530" t="inlineStr">
        <is>
          <t>+QVW2501</t>
        </is>
      </c>
      <c r="D530" t="inlineStr">
        <is>
          <t>-1108K3814.5</t>
        </is>
      </c>
      <c r="E530" t="inlineStr">
        <is>
          <t>DILA-22</t>
        </is>
      </c>
      <c r="F530" t="inlineStr">
        <is>
          <t>#KALK!</t>
        </is>
      </c>
      <c r="G530" t="inlineStr">
        <is>
          <t>HILFSSCHUETZ</t>
        </is>
      </c>
      <c r="H530" t="inlineStr">
        <is>
          <t>2S 2Oe Federzugkl.</t>
        </is>
      </c>
      <c r="I530">
        <v>1584</v>
      </c>
      <c r="J530">
        <f>GS12/1108.3</f>
        <v>0</v>
      </c>
      <c r="M530" t="inlineStr">
        <is>
          <t>-1108K3814.5</t>
        </is>
      </c>
    </row>
    <row r="531">
      <c r="A531">
        <v>530</v>
      </c>
      <c r="B531">
        <f>GS05</f>
        <v>0</v>
      </c>
      <c r="C531" t="inlineStr">
        <is>
          <t>+LS18</t>
        </is>
      </c>
      <c r="D531" t="inlineStr">
        <is>
          <t>-1108Q744.1</t>
        </is>
      </c>
      <c r="E531" t="inlineStr">
        <is>
          <t>DILA-XHI22</t>
        </is>
      </c>
      <c r="F531" t="inlineStr">
        <is>
          <t>DILA-XHI22</t>
        </is>
      </c>
      <c r="G531" t="inlineStr">
        <is>
          <t>HILFSKONTAKTBLOCK</t>
        </is>
      </c>
      <c r="H531" t="inlineStr">
        <is>
          <t>2S 2OE Last+Hilfssch. Cage</t>
        </is>
      </c>
      <c r="I531">
        <v>641</v>
      </c>
      <c r="J531">
        <f>GS05/1108.6</f>
        <v>0</v>
      </c>
      <c r="M531" t="inlineStr">
        <is>
          <t>-1108Q744.1</t>
        </is>
      </c>
    </row>
    <row r="532">
      <c r="A532">
        <v>531</v>
      </c>
      <c r="B532">
        <f>GS05</f>
        <v>0</v>
      </c>
      <c r="C532" t="inlineStr">
        <is>
          <t>+LS18</t>
        </is>
      </c>
      <c r="D532" t="inlineStr">
        <is>
          <t>-1108Q744.1</t>
        </is>
      </c>
      <c r="E532" t="inlineStr">
        <is>
          <t>DILM-9-01</t>
        </is>
      </c>
      <c r="F532" t="inlineStr">
        <is>
          <t>DILA-XHI22</t>
        </is>
      </c>
      <c r="G532" t="inlineStr">
        <is>
          <t>LASTSCHUETZ</t>
        </is>
      </c>
      <c r="H532" t="inlineStr">
        <is>
          <t>4kW 1Oe Federzugkl.</t>
        </is>
      </c>
      <c r="I532">
        <v>641</v>
      </c>
      <c r="J532">
        <f>GS05/1108.6</f>
        <v>0</v>
      </c>
      <c r="M532" t="inlineStr">
        <is>
          <t>-1108Q744.1</t>
        </is>
      </c>
    </row>
    <row r="533">
      <c r="A533">
        <v>532</v>
      </c>
      <c r="B533">
        <f>GS05</f>
        <v>0</v>
      </c>
      <c r="C533" t="inlineStr">
        <is>
          <t>+LS18</t>
        </is>
      </c>
      <c r="D533" t="inlineStr">
        <is>
          <t>-1108Q744.2</t>
        </is>
      </c>
      <c r="E533" t="inlineStr">
        <is>
          <t>DILA-XHI22</t>
        </is>
      </c>
      <c r="F533" t="inlineStr">
        <is>
          <t>DILA-XHI22</t>
        </is>
      </c>
      <c r="G533" t="inlineStr">
        <is>
          <t>HILFSKONTAKTBLOCK</t>
        </is>
      </c>
      <c r="H533" t="inlineStr">
        <is>
          <t>2S 2OE Last+Hilfssch. Cage</t>
        </is>
      </c>
      <c r="I533">
        <v>641</v>
      </c>
      <c r="J533">
        <f>GS05/1108.7</f>
        <v>0</v>
      </c>
      <c r="M533" t="inlineStr">
        <is>
          <t>-1108Q744.2</t>
        </is>
      </c>
    </row>
    <row r="534">
      <c r="A534">
        <v>533</v>
      </c>
      <c r="B534">
        <f>GS05</f>
        <v>0</v>
      </c>
      <c r="C534" t="inlineStr">
        <is>
          <t>+LS18</t>
        </is>
      </c>
      <c r="D534" t="inlineStr">
        <is>
          <t>-1108Q744.2</t>
        </is>
      </c>
      <c r="E534" t="inlineStr">
        <is>
          <t>DILM-9-01</t>
        </is>
      </c>
      <c r="F534" t="inlineStr">
        <is>
          <t>DILA-XHI22</t>
        </is>
      </c>
      <c r="G534" t="inlineStr">
        <is>
          <t>LASTSCHUETZ</t>
        </is>
      </c>
      <c r="H534" t="inlineStr">
        <is>
          <t>4kW 1Oe Federzugkl.</t>
        </is>
      </c>
      <c r="I534">
        <v>641</v>
      </c>
      <c r="J534">
        <f>GS05/1108.7</f>
        <v>0</v>
      </c>
      <c r="M534" t="inlineStr">
        <is>
          <t>-1108Q744.2</t>
        </is>
      </c>
    </row>
    <row r="535">
      <c r="A535">
        <v>534</v>
      </c>
      <c r="B535">
        <f>GC22</f>
        <v>0</v>
      </c>
      <c r="C535" t="inlineStr">
        <is>
          <t>+QVW2501</t>
        </is>
      </c>
      <c r="D535" t="inlineStr">
        <is>
          <t>-1109K3810.1</t>
        </is>
      </c>
      <c r="E535" t="inlineStr">
        <is>
          <t>DILM-9-10</t>
        </is>
      </c>
      <c r="F535" t="inlineStr">
        <is>
          <t>#KALK!</t>
        </is>
      </c>
      <c r="G535" t="inlineStr">
        <is>
          <t>LASTSCHUETZ</t>
        </is>
      </c>
      <c r="H535" t="inlineStr">
        <is>
          <t>4kW 1S Federzugkl.</t>
        </is>
      </c>
      <c r="I535">
        <v>3767</v>
      </c>
      <c r="J535">
        <f>GC22/1109.7</f>
        <v>0</v>
      </c>
      <c r="M535" t="inlineStr">
        <is>
          <t>-1109K3810.1</t>
        </is>
      </c>
    </row>
    <row r="536">
      <c r="A536">
        <v>535</v>
      </c>
      <c r="B536">
        <f>GS12</f>
        <v>0</v>
      </c>
      <c r="C536" t="inlineStr">
        <is>
          <t>+QVW2501</t>
        </is>
      </c>
      <c r="D536" t="inlineStr">
        <is>
          <t>-1109K3810.1</t>
        </is>
      </c>
      <c r="E536" t="inlineStr">
        <is>
          <t>DILM-9-10</t>
        </is>
      </c>
      <c r="F536" t="inlineStr">
        <is>
          <t>#KALK!</t>
        </is>
      </c>
      <c r="G536" t="inlineStr">
        <is>
          <t>LASTSCHUETZ</t>
        </is>
      </c>
      <c r="H536" t="inlineStr">
        <is>
          <t>4kW 1S Federzugkl.</t>
        </is>
      </c>
      <c r="I536">
        <v>1585</v>
      </c>
      <c r="J536">
        <f>GS12/1109.7</f>
        <v>0</v>
      </c>
      <c r="M536" t="inlineStr">
        <is>
          <t>-1109K3810.1</t>
        </is>
      </c>
    </row>
    <row r="537">
      <c r="A537">
        <v>536</v>
      </c>
      <c r="B537">
        <f>GS05</f>
        <v>0</v>
      </c>
      <c r="C537" t="inlineStr">
        <is>
          <t>+LS18</t>
        </is>
      </c>
      <c r="D537" t="inlineStr">
        <is>
          <t>-1109Q744.3</t>
        </is>
      </c>
      <c r="E537" t="inlineStr">
        <is>
          <t>DILA-XHI22</t>
        </is>
      </c>
      <c r="F537" t="inlineStr">
        <is>
          <t>DILA-XHI22</t>
        </is>
      </c>
      <c r="G537" t="inlineStr">
        <is>
          <t>HILFSKONTAKTBLOCK</t>
        </is>
      </c>
      <c r="H537" t="inlineStr">
        <is>
          <t>2S 2OE Last+Hilfssch. Cage</t>
        </is>
      </c>
      <c r="I537">
        <v>640</v>
      </c>
      <c r="J537">
        <f>GS05/1109.6</f>
        <v>0</v>
      </c>
      <c r="M537" t="inlineStr">
        <is>
          <t>-1109Q744.3</t>
        </is>
      </c>
    </row>
    <row r="538">
      <c r="A538">
        <v>537</v>
      </c>
      <c r="B538">
        <f>GS05</f>
        <v>0</v>
      </c>
      <c r="C538" t="inlineStr">
        <is>
          <t>+LS18</t>
        </is>
      </c>
      <c r="D538" t="inlineStr">
        <is>
          <t>-1109Q744.3</t>
        </is>
      </c>
      <c r="E538" t="inlineStr">
        <is>
          <t>DILM-9-01</t>
        </is>
      </c>
      <c r="F538" t="inlineStr">
        <is>
          <t>DILA-XHI22</t>
        </is>
      </c>
      <c r="G538" t="inlineStr">
        <is>
          <t>LASTSCHUETZ</t>
        </is>
      </c>
      <c r="H538" t="inlineStr">
        <is>
          <t>4kW 1Oe Federzugkl.</t>
        </is>
      </c>
      <c r="I538">
        <v>640</v>
      </c>
      <c r="J538">
        <f>GS05/1109.6</f>
        <v>0</v>
      </c>
      <c r="M538" t="inlineStr">
        <is>
          <t>-1109Q744.3</t>
        </is>
      </c>
    </row>
    <row r="539">
      <c r="A539">
        <v>538</v>
      </c>
      <c r="B539">
        <f>GS05</f>
        <v>0</v>
      </c>
      <c r="C539" t="inlineStr">
        <is>
          <t>+LS18</t>
        </is>
      </c>
      <c r="D539" t="inlineStr">
        <is>
          <t>-1109Q744.4</t>
        </is>
      </c>
      <c r="E539" t="inlineStr">
        <is>
          <t>DILA-XHI22</t>
        </is>
      </c>
      <c r="F539" t="inlineStr">
        <is>
          <t>DILA-XHI22</t>
        </is>
      </c>
      <c r="G539" t="inlineStr">
        <is>
          <t>HILFSKONTAKTBLOCK</t>
        </is>
      </c>
      <c r="H539" t="inlineStr">
        <is>
          <t>2S 2OE Last+Hilfssch. Cage</t>
        </is>
      </c>
      <c r="I539">
        <v>640</v>
      </c>
      <c r="J539">
        <f>GS05/1109.7</f>
        <v>0</v>
      </c>
      <c r="M539" t="inlineStr">
        <is>
          <t>-1109Q744.4</t>
        </is>
      </c>
    </row>
    <row r="540">
      <c r="A540">
        <v>539</v>
      </c>
      <c r="B540">
        <f>GS05</f>
        <v>0</v>
      </c>
      <c r="C540" t="inlineStr">
        <is>
          <t>+LS18</t>
        </is>
      </c>
      <c r="D540" t="inlineStr">
        <is>
          <t>-1109Q744.4</t>
        </is>
      </c>
      <c r="E540" t="inlineStr">
        <is>
          <t>DILM-9-01</t>
        </is>
      </c>
      <c r="F540" t="inlineStr">
        <is>
          <t>DILA-XHI22</t>
        </is>
      </c>
      <c r="G540" t="inlineStr">
        <is>
          <t>LASTSCHUETZ</t>
        </is>
      </c>
      <c r="H540" t="inlineStr">
        <is>
          <t>4kW 1Oe Federzugkl.</t>
        </is>
      </c>
      <c r="I540">
        <v>640</v>
      </c>
      <c r="J540">
        <f>GS05/1109.7</f>
        <v>0</v>
      </c>
      <c r="M540" t="inlineStr">
        <is>
          <t>-1109Q744.4</t>
        </is>
      </c>
    </row>
    <row r="541">
      <c r="A541">
        <v>540</v>
      </c>
      <c r="B541">
        <f>GS9x</f>
        <v>0</v>
      </c>
      <c r="C541" t="inlineStr">
        <is>
          <t>+LS[p1]</t>
        </is>
      </c>
      <c r="D541" t="inlineStr">
        <is>
          <t>-110K[a+1].7</t>
        </is>
      </c>
      <c r="E541" t="inlineStr">
        <is>
          <t>DILA-40</t>
        </is>
      </c>
      <c r="F541" t="inlineStr">
        <is>
          <t>#KALK!</t>
        </is>
      </c>
      <c r="G541" t="inlineStr">
        <is>
          <t>HILFSSCHUETZ</t>
        </is>
      </c>
      <c r="H541" t="inlineStr">
        <is>
          <t>4S Federzugkl.</t>
        </is>
      </c>
      <c r="I541">
        <v>217</v>
      </c>
      <c r="J541">
        <f>GS9x/110.7</f>
        <v>0</v>
      </c>
      <c r="M541" t="inlineStr">
        <is>
          <t>-110K[a+1].7</t>
        </is>
      </c>
    </row>
    <row r="542">
      <c r="A542">
        <v>541</v>
      </c>
      <c r="B542">
        <f>GS7x</f>
        <v>0</v>
      </c>
      <c r="C542" t="inlineStr">
        <is>
          <t>+LS[l1]</t>
        </is>
      </c>
      <c r="D542" t="inlineStr">
        <is>
          <t>-110K[a+10].7</t>
        </is>
      </c>
      <c r="E542" t="inlineStr">
        <is>
          <t>DILA-40</t>
        </is>
      </c>
      <c r="F542" t="inlineStr">
        <is>
          <t>#KALK!</t>
        </is>
      </c>
      <c r="G542" t="inlineStr">
        <is>
          <t>HILFSSCHUETZ</t>
        </is>
      </c>
      <c r="H542" t="inlineStr">
        <is>
          <t>4S Federzugkl.</t>
        </is>
      </c>
      <c r="I542">
        <v>348</v>
      </c>
      <c r="J542">
        <f>GS7x/110.7</f>
        <v>0</v>
      </c>
      <c r="M542" t="inlineStr">
        <is>
          <t>-110K[a+10].7</t>
        </is>
      </c>
    </row>
    <row r="543">
      <c r="A543">
        <v>542</v>
      </c>
      <c r="B543">
        <f>GS14</f>
        <v>0</v>
      </c>
      <c r="C543" t="inlineStr">
        <is>
          <t>+LS2</t>
        </is>
      </c>
      <c r="D543" t="inlineStr">
        <is>
          <t>-110K1</t>
        </is>
      </c>
      <c r="E543" t="inlineStr">
        <is>
          <t>DIL_0AM</t>
        </is>
      </c>
      <c r="F543" t="inlineStr">
        <is>
          <t>22_DIL-M</t>
        </is>
      </c>
      <c r="G543" t="inlineStr">
        <is>
          <t>LASTSCHUETZ</t>
        </is>
      </c>
      <c r="H543" t="inlineStr">
        <is>
          <t>11 kW</t>
        </is>
      </c>
      <c r="I543">
        <v>236</v>
      </c>
      <c r="J543">
        <f>GS14/110.2</f>
        <v>0</v>
      </c>
      <c r="K543" t="inlineStr">
        <is>
          <t>DIL0AM</t>
        </is>
      </c>
      <c r="M543" t="inlineStr">
        <is>
          <t>-110K1</t>
        </is>
      </c>
    </row>
    <row r="544">
      <c r="A544">
        <v>543</v>
      </c>
      <c r="B544">
        <f>GS14</f>
        <v>0</v>
      </c>
      <c r="C544" t="inlineStr">
        <is>
          <t>+LS2</t>
        </is>
      </c>
      <c r="D544" t="inlineStr">
        <is>
          <t>-110K1</t>
        </is>
      </c>
      <c r="E544" t="inlineStr">
        <is>
          <t>22_DIL-M</t>
        </is>
      </c>
      <c r="F544" t="inlineStr">
        <is>
          <t>22_DIL-M</t>
        </is>
      </c>
      <c r="G544" t="inlineStr">
        <is>
          <t>HILFSKONTAKTBLOCK</t>
        </is>
      </c>
      <c r="H544" t="inlineStr">
        <is>
          <t>2S 2OE Lastschuetz DIL M</t>
        </is>
      </c>
      <c r="I544">
        <v>236</v>
      </c>
      <c r="J544">
        <f>GS14/110.2</f>
        <v>0</v>
      </c>
      <c r="K544" t="inlineStr">
        <is>
          <t>DIL0AM</t>
        </is>
      </c>
      <c r="M544" t="inlineStr">
        <is>
          <t>-110K1</t>
        </is>
      </c>
    </row>
    <row r="545">
      <c r="A545">
        <v>544</v>
      </c>
      <c r="B545">
        <f>GS24</f>
        <v>0</v>
      </c>
      <c r="C545" t="inlineStr">
        <is>
          <t>+LS2</t>
        </is>
      </c>
      <c r="D545" t="inlineStr">
        <is>
          <t>-110K1</t>
        </is>
      </c>
      <c r="E545" t="inlineStr">
        <is>
          <t>22_DIL-M</t>
        </is>
      </c>
      <c r="F545" t="inlineStr">
        <is>
          <t>22_DIL-M</t>
        </is>
      </c>
      <c r="G545" t="inlineStr">
        <is>
          <t>HILFSKONTAKTBLOCK</t>
        </is>
      </c>
      <c r="H545" t="inlineStr">
        <is>
          <t>2S 2OE Lastschuetz DIL M</t>
        </is>
      </c>
      <c r="I545">
        <v>969</v>
      </c>
      <c r="J545">
        <f>GS24/110.2</f>
        <v>0</v>
      </c>
      <c r="K545" t="inlineStr">
        <is>
          <t>DIL0AM</t>
        </is>
      </c>
      <c r="M545" t="inlineStr">
        <is>
          <t>-110K1</t>
        </is>
      </c>
    </row>
    <row r="546">
      <c r="A546">
        <v>545</v>
      </c>
      <c r="B546">
        <f>GS24</f>
        <v>0</v>
      </c>
      <c r="C546" t="inlineStr">
        <is>
          <t>+LS2</t>
        </is>
      </c>
      <c r="D546" t="inlineStr">
        <is>
          <t>-110K1</t>
        </is>
      </c>
      <c r="E546" t="inlineStr">
        <is>
          <t>DIL_0AM</t>
        </is>
      </c>
      <c r="F546" t="inlineStr">
        <is>
          <t>22_DIL-M</t>
        </is>
      </c>
      <c r="G546" t="inlineStr">
        <is>
          <t>LASTSCHUETZ</t>
        </is>
      </c>
      <c r="H546" t="inlineStr">
        <is>
          <t>11 kW</t>
        </is>
      </c>
      <c r="I546">
        <v>969</v>
      </c>
      <c r="J546">
        <f>GS24/110.2</f>
        <v>0</v>
      </c>
      <c r="K546" t="inlineStr">
        <is>
          <t>DIL0AM</t>
        </is>
      </c>
      <c r="M546" t="inlineStr">
        <is>
          <t>-110K1</t>
        </is>
      </c>
    </row>
    <row r="547">
      <c r="A547">
        <v>546</v>
      </c>
      <c r="B547">
        <f>GS33</f>
        <v>0</v>
      </c>
      <c r="C547" t="inlineStr">
        <is>
          <t>+LS1</t>
        </is>
      </c>
      <c r="D547" t="inlineStr">
        <is>
          <t>-110K13.0</t>
        </is>
      </c>
      <c r="E547" t="inlineStr">
        <is>
          <t>DIL_EM-10-G</t>
        </is>
      </c>
      <c r="F547" t="inlineStr">
        <is>
          <t>22_DIL-E</t>
        </is>
      </c>
      <c r="G547" t="inlineStr">
        <is>
          <t>LASTSCHUETZ</t>
        </is>
      </c>
      <c r="H547" t="inlineStr">
        <is>
          <t>4kW 1S</t>
        </is>
      </c>
      <c r="I547">
        <v>542</v>
      </c>
      <c r="J547">
        <f>GS33/110.2</f>
        <v>0</v>
      </c>
      <c r="M547" t="inlineStr">
        <is>
          <t>-110K13.0</t>
        </is>
      </c>
    </row>
    <row r="548">
      <c r="A548">
        <v>547</v>
      </c>
      <c r="B548">
        <f>GS33</f>
        <v>0</v>
      </c>
      <c r="C548" t="inlineStr">
        <is>
          <t>+LS1</t>
        </is>
      </c>
      <c r="D548" t="inlineStr">
        <is>
          <t>-110K13.0</t>
        </is>
      </c>
      <c r="E548" t="inlineStr">
        <is>
          <t>22_DIL-E</t>
        </is>
      </c>
      <c r="F548" t="inlineStr">
        <is>
          <t>22_DIL-E</t>
        </is>
      </c>
      <c r="G548" t="inlineStr">
        <is>
          <t>HILFSKONTAKTBLOCK</t>
        </is>
      </c>
      <c r="H548" t="inlineStr">
        <is>
          <t>2S 2OE Last+Hilfsschuetz</t>
        </is>
      </c>
      <c r="I548">
        <v>542</v>
      </c>
      <c r="J548">
        <f>GS33/110.2</f>
        <v>0</v>
      </c>
      <c r="M548" t="inlineStr">
        <is>
          <t>-110K13.0</t>
        </is>
      </c>
    </row>
    <row r="549">
      <c r="A549">
        <v>548</v>
      </c>
      <c r="B549">
        <f>GS33</f>
        <v>0</v>
      </c>
      <c r="C549" t="inlineStr">
        <is>
          <t>+LS1</t>
        </is>
      </c>
      <c r="D549" t="inlineStr">
        <is>
          <t>-110K13.1</t>
        </is>
      </c>
      <c r="E549" t="inlineStr">
        <is>
          <t>DIL_EM-10-G</t>
        </is>
      </c>
      <c r="F549" t="inlineStr">
        <is>
          <t>22_DIL-E</t>
        </is>
      </c>
      <c r="G549" t="inlineStr">
        <is>
          <t>LASTSCHUETZ</t>
        </is>
      </c>
      <c r="H549" t="inlineStr">
        <is>
          <t>4kW 1S</t>
        </is>
      </c>
      <c r="I549">
        <v>542</v>
      </c>
      <c r="J549">
        <f>GS33/110.2</f>
        <v>0</v>
      </c>
      <c r="M549" t="inlineStr">
        <is>
          <t>-110K13.1</t>
        </is>
      </c>
    </row>
    <row r="550">
      <c r="A550">
        <v>549</v>
      </c>
      <c r="B550">
        <f>GS33</f>
        <v>0</v>
      </c>
      <c r="C550" t="inlineStr">
        <is>
          <t>+LS1</t>
        </is>
      </c>
      <c r="D550" t="inlineStr">
        <is>
          <t>-110K13.1</t>
        </is>
      </c>
      <c r="E550" t="inlineStr">
        <is>
          <t>22_DIL-E</t>
        </is>
      </c>
      <c r="F550" t="inlineStr">
        <is>
          <t>22_DIL-E</t>
        </is>
      </c>
      <c r="G550" t="inlineStr">
        <is>
          <t>HILFSKONTAKTBLOCK</t>
        </is>
      </c>
      <c r="H550" t="inlineStr">
        <is>
          <t>2S 2OE Last+Hilfsschuetz</t>
        </is>
      </c>
      <c r="I550">
        <v>542</v>
      </c>
      <c r="J550">
        <f>GS33/110.2</f>
        <v>0</v>
      </c>
      <c r="M550" t="inlineStr">
        <is>
          <t>-110K13.1</t>
        </is>
      </c>
    </row>
    <row r="551">
      <c r="A551">
        <v>550</v>
      </c>
      <c r="B551">
        <f>GS02</f>
        <v>0</v>
      </c>
      <c r="C551" t="inlineStr">
        <is>
          <t>+LS1</t>
        </is>
      </c>
      <c r="D551" t="inlineStr">
        <is>
          <t>-110K14.0</t>
        </is>
      </c>
      <c r="E551" t="inlineStr">
        <is>
          <t>DIL_EM-01-G</t>
        </is>
      </c>
      <c r="F551" t="inlineStr">
        <is>
          <t>22_DIL-E</t>
        </is>
      </c>
      <c r="G551" t="inlineStr">
        <is>
          <t>LASTSCHUETZ</t>
        </is>
      </c>
      <c r="H551" t="inlineStr">
        <is>
          <t>4kW 1OE</t>
        </is>
      </c>
      <c r="I551">
        <v>508</v>
      </c>
      <c r="J551">
        <f>GS02/110.6</f>
        <v>0</v>
      </c>
      <c r="M551" t="inlineStr">
        <is>
          <t>-110K14.0</t>
        </is>
      </c>
    </row>
    <row r="552">
      <c r="A552">
        <v>551</v>
      </c>
      <c r="B552">
        <f>GS02</f>
        <v>0</v>
      </c>
      <c r="C552" t="inlineStr">
        <is>
          <t>+LS1</t>
        </is>
      </c>
      <c r="D552" t="inlineStr">
        <is>
          <t>-110K14.0</t>
        </is>
      </c>
      <c r="E552" t="inlineStr">
        <is>
          <t>22_DIL-E</t>
        </is>
      </c>
      <c r="F552" t="inlineStr">
        <is>
          <t>22_DIL-E</t>
        </is>
      </c>
      <c r="G552" t="inlineStr">
        <is>
          <t>HILFSKONTAKTBLOCK</t>
        </is>
      </c>
      <c r="H552" t="inlineStr">
        <is>
          <t>2S 2OE Last+Hilfsschuetz</t>
        </is>
      </c>
      <c r="I552">
        <v>508</v>
      </c>
      <c r="J552">
        <f>GS02/110.6</f>
        <v>0</v>
      </c>
      <c r="M552" t="inlineStr">
        <is>
          <t>-110K14.0</t>
        </is>
      </c>
    </row>
    <row r="553">
      <c r="A553">
        <v>552</v>
      </c>
      <c r="B553">
        <f>GS02</f>
        <v>0</v>
      </c>
      <c r="C553" t="inlineStr">
        <is>
          <t>+LS1</t>
        </is>
      </c>
      <c r="D553" t="inlineStr">
        <is>
          <t>-110K14.1</t>
        </is>
      </c>
      <c r="E553" t="inlineStr">
        <is>
          <t>DIL_EM-10-G</t>
        </is>
      </c>
      <c r="F553" t="inlineStr">
        <is>
          <t>#KALK!</t>
        </is>
      </c>
      <c r="G553" t="inlineStr">
        <is>
          <t>LASTSCHUETZ</t>
        </is>
      </c>
      <c r="H553" t="inlineStr">
        <is>
          <t>4kW 1S</t>
        </is>
      </c>
      <c r="I553">
        <v>508</v>
      </c>
      <c r="J553">
        <f>GS02/110.6</f>
        <v>0</v>
      </c>
      <c r="M553" t="inlineStr">
        <is>
          <t>-110K14.1</t>
        </is>
      </c>
    </row>
    <row r="554">
      <c r="A554">
        <v>553</v>
      </c>
      <c r="B554">
        <f>GS34</f>
        <v>0</v>
      </c>
      <c r="C554" t="inlineStr">
        <is>
          <t>+LS1</t>
        </is>
      </c>
      <c r="D554" t="inlineStr">
        <is>
          <t>-110K15.2</t>
        </is>
      </c>
      <c r="E554" t="inlineStr">
        <is>
          <t>DIL_EM-10-G</t>
        </is>
      </c>
      <c r="F554" t="inlineStr">
        <is>
          <t>#KALK!</t>
        </is>
      </c>
      <c r="G554" t="inlineStr">
        <is>
          <t>LASTSCHUETZ</t>
        </is>
      </c>
      <c r="H554" t="inlineStr">
        <is>
          <t>4kW 1S</t>
        </is>
      </c>
      <c r="I554">
        <v>234</v>
      </c>
      <c r="J554">
        <f>GS34/110.7</f>
        <v>0</v>
      </c>
      <c r="M554" t="inlineStr">
        <is>
          <t>-110K15.2</t>
        </is>
      </c>
    </row>
    <row r="555">
      <c r="A555">
        <v>554</v>
      </c>
      <c r="B555">
        <f>GS92</f>
        <v>0</v>
      </c>
      <c r="C555" t="inlineStr">
        <is>
          <t>+LS01</t>
        </is>
      </c>
      <c r="D555" t="inlineStr">
        <is>
          <t>-110K150.4</t>
        </is>
      </c>
      <c r="E555" t="inlineStr">
        <is>
          <t>DILA-40</t>
        </is>
      </c>
      <c r="F555" t="inlineStr">
        <is>
          <t>#KALK!</t>
        </is>
      </c>
      <c r="G555" t="inlineStr">
        <is>
          <t>HILFSSCHUETZ</t>
        </is>
      </c>
      <c r="H555" t="inlineStr">
        <is>
          <t>4S Federzugkl.</t>
        </is>
      </c>
      <c r="I555">
        <v>257</v>
      </c>
      <c r="J555">
        <f>GS92/110.7</f>
        <v>0</v>
      </c>
      <c r="M555" t="inlineStr">
        <is>
          <t>-110K150.4</t>
        </is>
      </c>
    </row>
    <row r="556">
      <c r="A556">
        <v>555</v>
      </c>
      <c r="B556">
        <f>GS93</f>
        <v>0</v>
      </c>
      <c r="C556" t="inlineStr">
        <is>
          <t>+LS01</t>
        </is>
      </c>
      <c r="D556" t="inlineStr">
        <is>
          <t>-110K150.4</t>
        </is>
      </c>
      <c r="E556" t="inlineStr">
        <is>
          <t>DILA-40</t>
        </is>
      </c>
      <c r="F556" t="inlineStr">
        <is>
          <t>#KALK!</t>
        </is>
      </c>
      <c r="G556" t="inlineStr">
        <is>
          <t>HILFSSCHUETZ</t>
        </is>
      </c>
      <c r="H556" t="inlineStr">
        <is>
          <t>4S Federzugkl.</t>
        </is>
      </c>
      <c r="I556">
        <v>679</v>
      </c>
      <c r="J556">
        <f>GS93/110.7</f>
        <v>0</v>
      </c>
      <c r="M556" t="inlineStr">
        <is>
          <t>-110K150.4</t>
        </is>
      </c>
    </row>
    <row r="557">
      <c r="A557">
        <v>556</v>
      </c>
      <c r="B557">
        <f>GS04</f>
        <v>0</v>
      </c>
      <c r="C557" t="inlineStr">
        <is>
          <t>+LS1</t>
        </is>
      </c>
      <c r="D557" t="inlineStr">
        <is>
          <t>-110K24.0</t>
        </is>
      </c>
      <c r="E557" t="inlineStr">
        <is>
          <t>DIL_ER-22-G</t>
        </is>
      </c>
      <c r="F557" t="inlineStr">
        <is>
          <t>#KALK!</t>
        </is>
      </c>
      <c r="G557" t="inlineStr">
        <is>
          <t>HILFSSCHUETZ</t>
        </is>
      </c>
      <c r="H557" t="inlineStr">
        <is>
          <t>2S 2OE</t>
        </is>
      </c>
      <c r="I557">
        <v>360</v>
      </c>
      <c r="J557">
        <f>GS04/110.5</f>
        <v>0</v>
      </c>
      <c r="M557" t="inlineStr">
        <is>
          <t>-110K24.0</t>
        </is>
      </c>
    </row>
    <row r="558">
      <c r="A558">
        <v>557</v>
      </c>
      <c r="B558">
        <f>GS04</f>
        <v>0</v>
      </c>
      <c r="C558" t="inlineStr">
        <is>
          <t>+LS1</t>
        </is>
      </c>
      <c r="D558" t="inlineStr">
        <is>
          <t>-110K24.1</t>
        </is>
      </c>
      <c r="E558" t="inlineStr">
        <is>
          <t>DIL_ER-22-G</t>
        </is>
      </c>
      <c r="F558" t="inlineStr">
        <is>
          <t>#KALK!</t>
        </is>
      </c>
      <c r="G558" t="inlineStr">
        <is>
          <t>HILFSSCHUETZ</t>
        </is>
      </c>
      <c r="H558" t="inlineStr">
        <is>
          <t>2S 2OE</t>
        </is>
      </c>
      <c r="I558">
        <v>360</v>
      </c>
      <c r="J558">
        <f>GS04/110.6</f>
        <v>0</v>
      </c>
      <c r="M558" t="inlineStr">
        <is>
          <t>-110K24.1</t>
        </is>
      </c>
    </row>
    <row r="559">
      <c r="A559">
        <v>558</v>
      </c>
      <c r="B559">
        <f>GS04</f>
        <v>0</v>
      </c>
      <c r="C559" t="inlineStr">
        <is>
          <t>+LS1</t>
        </is>
      </c>
      <c r="D559" t="inlineStr">
        <is>
          <t>-110K24.2</t>
        </is>
      </c>
      <c r="E559" t="inlineStr">
        <is>
          <t>DIL_ER-22-G</t>
        </is>
      </c>
      <c r="F559" t="inlineStr">
        <is>
          <t>#KALK!</t>
        </is>
      </c>
      <c r="G559" t="inlineStr">
        <is>
          <t>HILFSSCHUETZ</t>
        </is>
      </c>
      <c r="H559" t="inlineStr">
        <is>
          <t>2S 2OE</t>
        </is>
      </c>
      <c r="I559">
        <v>360</v>
      </c>
      <c r="J559">
        <f>GS04/110.7</f>
        <v>0</v>
      </c>
      <c r="M559" t="inlineStr">
        <is>
          <t>-110K24.2</t>
        </is>
      </c>
    </row>
    <row r="560">
      <c r="A560">
        <v>559</v>
      </c>
      <c r="B560">
        <f>GS04</f>
        <v>0</v>
      </c>
      <c r="C560" t="inlineStr">
        <is>
          <t>+LS1</t>
        </is>
      </c>
      <c r="D560" t="inlineStr">
        <is>
          <t>-110K24.4</t>
        </is>
      </c>
      <c r="E560" t="inlineStr">
        <is>
          <t>DIL_EM-10-G</t>
        </is>
      </c>
      <c r="F560" t="inlineStr">
        <is>
          <t>#KALK!</t>
        </is>
      </c>
      <c r="G560" t="inlineStr">
        <is>
          <t>LASTSCHUETZ</t>
        </is>
      </c>
      <c r="H560" t="inlineStr">
        <is>
          <t>4kW 1S</t>
        </is>
      </c>
      <c r="I560">
        <v>360</v>
      </c>
      <c r="J560">
        <f>GS04/110.7</f>
        <v>0</v>
      </c>
      <c r="M560" t="inlineStr">
        <is>
          <t>-110K24.4</t>
        </is>
      </c>
    </row>
    <row r="561">
      <c r="A561">
        <v>560</v>
      </c>
      <c r="B561">
        <f>GS11</f>
        <v>0</v>
      </c>
      <c r="C561" t="inlineStr">
        <is>
          <t>+LS1</t>
        </is>
      </c>
      <c r="D561" t="inlineStr">
        <is>
          <t>-110K27.5</t>
        </is>
      </c>
      <c r="E561" t="inlineStr">
        <is>
          <t>DIL_EM-10-G</t>
        </is>
      </c>
      <c r="F561" t="inlineStr">
        <is>
          <t>#KALK!</t>
        </is>
      </c>
      <c r="G561" t="inlineStr">
        <is>
          <t>LASTSCHUETZ</t>
        </is>
      </c>
      <c r="H561" t="inlineStr">
        <is>
          <t>4kW 1S</t>
        </is>
      </c>
      <c r="I561">
        <v>221</v>
      </c>
      <c r="J561">
        <f>GS11/110.6</f>
        <v>0</v>
      </c>
      <c r="M561" t="inlineStr">
        <is>
          <t>-110K27.5</t>
        </is>
      </c>
    </row>
    <row r="562">
      <c r="A562">
        <v>561</v>
      </c>
      <c r="B562">
        <f>GS21</f>
        <v>0</v>
      </c>
      <c r="C562" t="inlineStr">
        <is>
          <t>+LS1</t>
        </is>
      </c>
      <c r="D562" t="inlineStr">
        <is>
          <t>-110K27.5</t>
        </is>
      </c>
      <c r="E562" t="inlineStr">
        <is>
          <t>DIL_EM-10-G</t>
        </is>
      </c>
      <c r="F562" t="inlineStr">
        <is>
          <t>#KALK!</t>
        </is>
      </c>
      <c r="G562" t="inlineStr">
        <is>
          <t>LASTSCHUETZ</t>
        </is>
      </c>
      <c r="H562" t="inlineStr">
        <is>
          <t>4kW 1S</t>
        </is>
      </c>
      <c r="I562">
        <v>195</v>
      </c>
      <c r="J562">
        <f>GS21/110.6</f>
        <v>0</v>
      </c>
      <c r="M562" t="inlineStr">
        <is>
          <t>-110K27.5</t>
        </is>
      </c>
    </row>
    <row r="563">
      <c r="A563">
        <v>562</v>
      </c>
      <c r="B563">
        <f>GS26</f>
        <v>0</v>
      </c>
      <c r="C563" t="inlineStr">
        <is>
          <t>+LS1</t>
        </is>
      </c>
      <c r="D563" t="inlineStr">
        <is>
          <t>-110K3531.2</t>
        </is>
      </c>
      <c r="E563" t="inlineStr">
        <is>
          <t>DILM-9-10</t>
        </is>
      </c>
      <c r="F563" t="inlineStr">
        <is>
          <t>#KALK!</t>
        </is>
      </c>
      <c r="G563" t="inlineStr">
        <is>
          <t>LASTSCHUETZ</t>
        </is>
      </c>
      <c r="H563" t="inlineStr">
        <is>
          <t>4kW 1S Federzugkl.</t>
        </is>
      </c>
      <c r="I563">
        <v>408</v>
      </c>
      <c r="J563">
        <f>GS26/110.6</f>
        <v>0</v>
      </c>
      <c r="M563" t="inlineStr">
        <is>
          <t>-110K3531.2</t>
        </is>
      </c>
    </row>
    <row r="564">
      <c r="A564">
        <v>563</v>
      </c>
      <c r="B564">
        <f>GS26</f>
        <v>0</v>
      </c>
      <c r="C564" t="inlineStr">
        <is>
          <t>+LS1</t>
        </is>
      </c>
      <c r="D564" t="inlineStr">
        <is>
          <t>-110K3531.3</t>
        </is>
      </c>
      <c r="E564" t="inlineStr">
        <is>
          <t>DILM-9-10</t>
        </is>
      </c>
      <c r="F564" t="inlineStr">
        <is>
          <t>#KALK!</t>
        </is>
      </c>
      <c r="G564" t="inlineStr">
        <is>
          <t>LASTSCHUETZ</t>
        </is>
      </c>
      <c r="H564" t="inlineStr">
        <is>
          <t>4kW 1S Federzugkl.</t>
        </is>
      </c>
      <c r="I564">
        <v>408</v>
      </c>
      <c r="J564">
        <f>GS26/110.6</f>
        <v>0</v>
      </c>
      <c r="M564" t="inlineStr">
        <is>
          <t>-110K3531.3</t>
        </is>
      </c>
    </row>
    <row r="565">
      <c r="A565">
        <v>564</v>
      </c>
      <c r="B565">
        <f>GC03</f>
        <v>0</v>
      </c>
      <c r="C565" t="inlineStr">
        <is>
          <t>+LS1</t>
        </is>
      </c>
      <c r="D565" t="inlineStr">
        <is>
          <t>-110K44.2</t>
        </is>
      </c>
      <c r="E565" t="inlineStr">
        <is>
          <t>DIL_EM-10-G</t>
        </is>
      </c>
      <c r="F565" t="inlineStr">
        <is>
          <t>#KALK!</t>
        </is>
      </c>
      <c r="G565" t="inlineStr">
        <is>
          <t>LASTSCHUETZ</t>
        </is>
      </c>
      <c r="H565" t="inlineStr">
        <is>
          <t>4kW 1S</t>
        </is>
      </c>
      <c r="I565">
        <v>677</v>
      </c>
      <c r="J565">
        <f>GC03/110.6</f>
        <v>0</v>
      </c>
      <c r="M565" t="inlineStr">
        <is>
          <t>-110K44.2</t>
        </is>
      </c>
    </row>
    <row r="566">
      <c r="A566">
        <v>565</v>
      </c>
      <c r="B566">
        <f>GC03</f>
        <v>0</v>
      </c>
      <c r="C566" t="inlineStr">
        <is>
          <t>+LS1</t>
        </is>
      </c>
      <c r="D566" t="inlineStr">
        <is>
          <t>-110K44.3</t>
        </is>
      </c>
      <c r="E566" t="inlineStr">
        <is>
          <t>DIL_EM-10-G</t>
        </is>
      </c>
      <c r="F566" t="inlineStr">
        <is>
          <t>#KALK!</t>
        </is>
      </c>
      <c r="G566" t="inlineStr">
        <is>
          <t>LASTSCHUETZ</t>
        </is>
      </c>
      <c r="H566" t="inlineStr">
        <is>
          <t>4kW 1S</t>
        </is>
      </c>
      <c r="I566">
        <v>677</v>
      </c>
      <c r="J566">
        <f>GC03/110.6</f>
        <v>0</v>
      </c>
      <c r="M566" t="inlineStr">
        <is>
          <t>-110K44.3</t>
        </is>
      </c>
    </row>
    <row r="567">
      <c r="A567">
        <v>566</v>
      </c>
      <c r="B567">
        <f>GS23</f>
        <v>0</v>
      </c>
      <c r="C567" t="inlineStr">
        <is>
          <t>+LS1</t>
        </is>
      </c>
      <c r="D567" t="inlineStr">
        <is>
          <t>-110K52.3</t>
        </is>
      </c>
      <c r="E567" t="inlineStr">
        <is>
          <t>DIL_EM-10-G</t>
        </is>
      </c>
      <c r="F567" t="inlineStr">
        <is>
          <t>#KALK!</t>
        </is>
      </c>
      <c r="G567" t="inlineStr">
        <is>
          <t>LASTSCHUETZ</t>
        </is>
      </c>
      <c r="H567" t="inlineStr">
        <is>
          <t>4kW 1S</t>
        </is>
      </c>
      <c r="I567">
        <v>409</v>
      </c>
      <c r="J567">
        <f>GS23/110.7</f>
        <v>0</v>
      </c>
      <c r="M567" t="inlineStr">
        <is>
          <t>-110K52.3</t>
        </is>
      </c>
    </row>
    <row r="568">
      <c r="A568">
        <v>567</v>
      </c>
      <c r="B568">
        <f>GS15</f>
        <v>0</v>
      </c>
      <c r="C568" t="inlineStr">
        <is>
          <t>+LS1</t>
        </is>
      </c>
      <c r="D568" t="inlineStr">
        <is>
          <t>-110K60.1</t>
        </is>
      </c>
      <c r="E568" t="inlineStr">
        <is>
          <t>DIL_EM-10-G</t>
        </is>
      </c>
      <c r="F568" t="inlineStr">
        <is>
          <t>#KALK!</t>
        </is>
      </c>
      <c r="G568" t="inlineStr">
        <is>
          <t>LASTSCHUETZ</t>
        </is>
      </c>
      <c r="H568" t="inlineStr">
        <is>
          <t>4kW 1S</t>
        </is>
      </c>
      <c r="I568">
        <v>597</v>
      </c>
      <c r="J568">
        <f>GS15/110.6</f>
        <v>0</v>
      </c>
      <c r="M568" t="inlineStr">
        <is>
          <t>-110K60.1</t>
        </is>
      </c>
    </row>
    <row r="569">
      <c r="A569">
        <v>568</v>
      </c>
      <c r="B569">
        <f>GS15</f>
        <v>0</v>
      </c>
      <c r="C569" t="inlineStr">
        <is>
          <t>+LS1</t>
        </is>
      </c>
      <c r="D569" t="inlineStr">
        <is>
          <t>-110K60.2</t>
        </is>
      </c>
      <c r="E569" t="inlineStr">
        <is>
          <t>DIL_EM-10-G</t>
        </is>
      </c>
      <c r="F569" t="inlineStr">
        <is>
          <t>#KALK!</t>
        </is>
      </c>
      <c r="G569" t="inlineStr">
        <is>
          <t>LASTSCHUETZ</t>
        </is>
      </c>
      <c r="H569" t="inlineStr">
        <is>
          <t>4kW 1S</t>
        </is>
      </c>
      <c r="I569">
        <v>597</v>
      </c>
      <c r="J569">
        <f>GS15/110.6</f>
        <v>0</v>
      </c>
      <c r="M569" t="inlineStr">
        <is>
          <t>-110K60.2</t>
        </is>
      </c>
    </row>
    <row r="570">
      <c r="A570">
        <v>569</v>
      </c>
      <c r="B570">
        <f>GS11</f>
        <v>0</v>
      </c>
      <c r="C570" t="inlineStr">
        <is>
          <t>+LS1</t>
        </is>
      </c>
      <c r="D570" t="inlineStr">
        <is>
          <t>-110K78.6</t>
        </is>
      </c>
      <c r="E570" t="inlineStr">
        <is>
          <t>DIL_EM-10-G</t>
        </is>
      </c>
      <c r="F570" t="inlineStr">
        <is>
          <t>#KALK!</t>
        </is>
      </c>
      <c r="G570" t="inlineStr">
        <is>
          <t>LASTSCHUETZ</t>
        </is>
      </c>
      <c r="H570" t="inlineStr">
        <is>
          <t>4kW 1S</t>
        </is>
      </c>
      <c r="I570">
        <v>221</v>
      </c>
      <c r="J570">
        <f>GS11/110.6</f>
        <v>0</v>
      </c>
      <c r="M570" t="inlineStr">
        <is>
          <t>-110K78.6</t>
        </is>
      </c>
    </row>
    <row r="571">
      <c r="A571">
        <v>570</v>
      </c>
      <c r="B571">
        <f>GS21</f>
        <v>0</v>
      </c>
      <c r="C571" t="inlineStr">
        <is>
          <t>+LS1</t>
        </is>
      </c>
      <c r="D571" t="inlineStr">
        <is>
          <t>-110K78.6</t>
        </is>
      </c>
      <c r="E571" t="inlineStr">
        <is>
          <t>DIL_EM-10-G</t>
        </is>
      </c>
      <c r="F571" t="inlineStr">
        <is>
          <t>#KALK!</t>
        </is>
      </c>
      <c r="G571" t="inlineStr">
        <is>
          <t>LASTSCHUETZ</t>
        </is>
      </c>
      <c r="H571" t="inlineStr">
        <is>
          <t>4kW 1S</t>
        </is>
      </c>
      <c r="I571">
        <v>195</v>
      </c>
      <c r="J571">
        <f>GS21/110.6</f>
        <v>0</v>
      </c>
      <c r="M571" t="inlineStr">
        <is>
          <t>-110K78.6</t>
        </is>
      </c>
    </row>
    <row r="572">
      <c r="A572">
        <v>571</v>
      </c>
      <c r="B572">
        <f>GS33</f>
        <v>0</v>
      </c>
      <c r="C572" t="inlineStr">
        <is>
          <t>+LS1</t>
        </is>
      </c>
      <c r="D572" t="inlineStr">
        <is>
          <t>-110KA1</t>
        </is>
      </c>
      <c r="E572" t="inlineStr">
        <is>
          <t>DIL_ER-31-G</t>
        </is>
      </c>
      <c r="F572" t="inlineStr">
        <is>
          <t>31_DIL-E</t>
        </is>
      </c>
      <c r="G572" t="inlineStr">
        <is>
          <t>HILFSSCHUETZ</t>
        </is>
      </c>
      <c r="H572" t="inlineStr">
        <is>
          <t>3S 1OE</t>
        </is>
      </c>
      <c r="I572">
        <v>542</v>
      </c>
      <c r="J572">
        <f>GS33/110.4</f>
        <v>0</v>
      </c>
      <c r="M572" t="inlineStr">
        <is>
          <t>-110KA1</t>
        </is>
      </c>
    </row>
    <row r="573">
      <c r="A573">
        <v>572</v>
      </c>
      <c r="B573">
        <f>GS33</f>
        <v>0</v>
      </c>
      <c r="C573" t="inlineStr">
        <is>
          <t>+LS1</t>
        </is>
      </c>
      <c r="D573" t="inlineStr">
        <is>
          <t>-110KA1</t>
        </is>
      </c>
      <c r="E573" t="inlineStr">
        <is>
          <t>31_DIL-E</t>
        </is>
      </c>
      <c r="F573" t="inlineStr">
        <is>
          <t>31_DIL-E</t>
        </is>
      </c>
      <c r="G573" t="inlineStr">
        <is>
          <t>HILFSKONTAKTBLOCK</t>
        </is>
      </c>
      <c r="H573" t="inlineStr">
        <is>
          <t>3S 1OE Last+Hilsschuetz</t>
        </is>
      </c>
      <c r="I573">
        <v>542</v>
      </c>
      <c r="J573">
        <f>GS33/110.4</f>
        <v>0</v>
      </c>
      <c r="M573" t="inlineStr">
        <is>
          <t>-110KA1</t>
        </is>
      </c>
    </row>
    <row r="574">
      <c r="A574">
        <v>573</v>
      </c>
      <c r="B574">
        <f>GS33</f>
        <v>0</v>
      </c>
      <c r="C574" t="inlineStr">
        <is>
          <t>+LS1</t>
        </is>
      </c>
      <c r="D574" t="inlineStr">
        <is>
          <t>-110KA2</t>
        </is>
      </c>
      <c r="E574" t="inlineStr">
        <is>
          <t>DIL_ER-22-G</t>
        </is>
      </c>
      <c r="F574" t="inlineStr">
        <is>
          <t>#KALK!</t>
        </is>
      </c>
      <c r="G574" t="inlineStr">
        <is>
          <t>HILFSSCHUETZ</t>
        </is>
      </c>
      <c r="H574" t="inlineStr">
        <is>
          <t>2S 2OE</t>
        </is>
      </c>
      <c r="I574">
        <v>542</v>
      </c>
      <c r="J574">
        <f>GS33/110.5</f>
        <v>0</v>
      </c>
      <c r="M574" t="inlineStr">
        <is>
          <t>-110KA2</t>
        </is>
      </c>
    </row>
    <row r="575">
      <c r="A575">
        <v>574</v>
      </c>
      <c r="B575">
        <f>GS33</f>
        <v>0</v>
      </c>
      <c r="C575" t="inlineStr">
        <is>
          <t>+LS1</t>
        </is>
      </c>
      <c r="D575" t="inlineStr">
        <is>
          <t>-110KA3</t>
        </is>
      </c>
      <c r="E575" t="inlineStr">
        <is>
          <t>DIL_ER-40-G</t>
        </is>
      </c>
      <c r="F575" t="inlineStr">
        <is>
          <t>#KALK!</t>
        </is>
      </c>
      <c r="G575" t="inlineStr">
        <is>
          <t>HILFSSCHUETZ</t>
        </is>
      </c>
      <c r="H575" t="inlineStr">
        <is>
          <t>4S</t>
        </is>
      </c>
      <c r="I575">
        <v>542</v>
      </c>
      <c r="J575">
        <f>GS33/110.6</f>
        <v>0</v>
      </c>
      <c r="M575" t="inlineStr">
        <is>
          <t>-110KA3</t>
        </is>
      </c>
    </row>
    <row r="576">
      <c r="A576">
        <v>575</v>
      </c>
      <c r="B576">
        <f>GS7x</f>
        <v>0</v>
      </c>
      <c r="C576" t="inlineStr">
        <is>
          <t>+LS[l1]</t>
        </is>
      </c>
      <c r="D576" t="inlineStr">
        <is>
          <t>-110Q1</t>
        </is>
      </c>
      <c r="E576" t="inlineStr">
        <is>
          <t>DILA-XHI22</t>
        </is>
      </c>
      <c r="F576" t="inlineStr">
        <is>
          <t>DILA-XHI22</t>
        </is>
      </c>
      <c r="G576" t="inlineStr">
        <is>
          <t>HILFSKONTAKTBLOCK</t>
        </is>
      </c>
      <c r="H576" t="inlineStr">
        <is>
          <t>2S 2OE Last+Hilfssch. Cage</t>
        </is>
      </c>
      <c r="I576">
        <v>348</v>
      </c>
      <c r="J576">
        <f>GS7x/110.4</f>
        <v>0</v>
      </c>
      <c r="M576" t="inlineStr">
        <is>
          <t>-110Q1</t>
        </is>
      </c>
    </row>
    <row r="577">
      <c r="A577">
        <v>576</v>
      </c>
      <c r="B577">
        <f>GS7x</f>
        <v>0</v>
      </c>
      <c r="C577" t="inlineStr">
        <is>
          <t>+LS[l1]</t>
        </is>
      </c>
      <c r="D577" t="inlineStr">
        <is>
          <t>-110Q1</t>
        </is>
      </c>
      <c r="E577" t="inlineStr">
        <is>
          <t>DILMC25-10(RDC24)</t>
        </is>
      </c>
      <c r="F577" t="inlineStr">
        <is>
          <t>DILA-XHI22</t>
        </is>
      </c>
      <c r="G577" t="inlineStr">
        <is>
          <t>LASTSCHUETZ</t>
        </is>
      </c>
      <c r="H577" t="inlineStr">
        <is>
          <t>11kW 1S Federzugkl.</t>
        </is>
      </c>
      <c r="I577">
        <v>348</v>
      </c>
      <c r="J577">
        <f>GS7x/110.4</f>
        <v>0</v>
      </c>
      <c r="M577" t="inlineStr">
        <is>
          <t>-110Q1</t>
        </is>
      </c>
    </row>
    <row r="578">
      <c r="A578">
        <v>577</v>
      </c>
      <c r="B578">
        <f>GS92</f>
        <v>0</v>
      </c>
      <c r="C578" t="inlineStr">
        <is>
          <t>+LS01</t>
        </is>
      </c>
      <c r="D578" t="inlineStr">
        <is>
          <t>-110Q1</t>
        </is>
      </c>
      <c r="E578" t="inlineStr">
        <is>
          <t>DILA-XHI22</t>
        </is>
      </c>
      <c r="F578" t="inlineStr">
        <is>
          <t>DILA-XHI22</t>
        </is>
      </c>
      <c r="G578" t="inlineStr">
        <is>
          <t>HILFSKONTAKTBLOCK</t>
        </is>
      </c>
      <c r="H578" t="inlineStr">
        <is>
          <t>2S 2OE Last+Hilfssch. Cage</t>
        </is>
      </c>
      <c r="I578">
        <v>257</v>
      </c>
      <c r="J578">
        <f>GS92/110.4</f>
        <v>0</v>
      </c>
      <c r="K578" t="inlineStr">
        <is>
          <t>DIL MC25</t>
        </is>
      </c>
      <c r="M578" t="inlineStr">
        <is>
          <t>-110Q1</t>
        </is>
      </c>
    </row>
    <row r="579">
      <c r="A579">
        <v>578</v>
      </c>
      <c r="B579">
        <f>GS92</f>
        <v>0</v>
      </c>
      <c r="C579" t="inlineStr">
        <is>
          <t>+LS01</t>
        </is>
      </c>
      <c r="D579" t="inlineStr">
        <is>
          <t>-110Q1</t>
        </is>
      </c>
      <c r="E579" t="inlineStr">
        <is>
          <t>DILMC25-10(RDC24)</t>
        </is>
      </c>
      <c r="F579" t="inlineStr">
        <is>
          <t>DILA-XHI22</t>
        </is>
      </c>
      <c r="G579" t="inlineStr">
        <is>
          <t>LASTSCHUETZ</t>
        </is>
      </c>
      <c r="H579" t="inlineStr">
        <is>
          <t>11kW 1S Federzugkl.</t>
        </is>
      </c>
      <c r="I579">
        <v>257</v>
      </c>
      <c r="J579">
        <f>GS92/110.4</f>
        <v>0</v>
      </c>
      <c r="K579" t="inlineStr">
        <is>
          <t>DIL MC25</t>
        </is>
      </c>
      <c r="M579" t="inlineStr">
        <is>
          <t>-110Q1</t>
        </is>
      </c>
    </row>
    <row r="580">
      <c r="A580">
        <v>579</v>
      </c>
      <c r="B580">
        <f>GS93</f>
        <v>0</v>
      </c>
      <c r="C580" t="inlineStr">
        <is>
          <t>+LS01</t>
        </is>
      </c>
      <c r="D580" t="inlineStr">
        <is>
          <t>-110Q1</t>
        </is>
      </c>
      <c r="E580" t="inlineStr">
        <is>
          <t>DILMC25-10(RDC24)</t>
        </is>
      </c>
      <c r="F580" t="inlineStr">
        <is>
          <t>DILA-XHI22</t>
        </is>
      </c>
      <c r="G580" t="inlineStr">
        <is>
          <t>LASTSCHUETZ</t>
        </is>
      </c>
      <c r="H580" t="inlineStr">
        <is>
          <t>11kW 1S Federzugkl.</t>
        </is>
      </c>
      <c r="I580">
        <v>679</v>
      </c>
      <c r="J580">
        <f>GS93/110.4</f>
        <v>0</v>
      </c>
      <c r="K580" t="inlineStr">
        <is>
          <t>DIL MC25</t>
        </is>
      </c>
      <c r="M580" t="inlineStr">
        <is>
          <t>-110Q1</t>
        </is>
      </c>
    </row>
    <row r="581">
      <c r="A581">
        <v>580</v>
      </c>
      <c r="B581">
        <f>GS93</f>
        <v>0</v>
      </c>
      <c r="C581" t="inlineStr">
        <is>
          <t>+LS01</t>
        </is>
      </c>
      <c r="D581" t="inlineStr">
        <is>
          <t>-110Q1</t>
        </is>
      </c>
      <c r="E581" t="inlineStr">
        <is>
          <t>DILA-XHI22</t>
        </is>
      </c>
      <c r="F581" t="inlineStr">
        <is>
          <t>DILA-XHI22</t>
        </is>
      </c>
      <c r="G581" t="inlineStr">
        <is>
          <t>HILFSKONTAKTBLOCK</t>
        </is>
      </c>
      <c r="H581" t="inlineStr">
        <is>
          <t>2S 2OE Last+Hilfssch. Cage</t>
        </is>
      </c>
      <c r="I581">
        <v>679</v>
      </c>
      <c r="J581">
        <f>GS93/110.4</f>
        <v>0</v>
      </c>
      <c r="K581" t="inlineStr">
        <is>
          <t>DIL MC25</t>
        </is>
      </c>
      <c r="M581" t="inlineStr">
        <is>
          <t>-110Q1</t>
        </is>
      </c>
    </row>
    <row r="582">
      <c r="A582">
        <v>581</v>
      </c>
      <c r="B582">
        <f>GS9x</f>
        <v>0</v>
      </c>
      <c r="C582" t="inlineStr">
        <is>
          <t>+LS[p1]</t>
        </is>
      </c>
      <c r="D582" t="inlineStr">
        <is>
          <t>-110Q1</t>
        </is>
      </c>
      <c r="E582" t="inlineStr">
        <is>
          <t>DILA-XHI22</t>
        </is>
      </c>
      <c r="F582" t="inlineStr">
        <is>
          <t>DILA-XHI22</t>
        </is>
      </c>
      <c r="G582" t="inlineStr">
        <is>
          <t>HILFSKONTAKTBLOCK</t>
        </is>
      </c>
      <c r="H582" t="inlineStr">
        <is>
          <t>2S 2OE Last+Hilfssch. Cage</t>
        </is>
      </c>
      <c r="I582">
        <v>217</v>
      </c>
      <c r="J582">
        <f>GS9x/110.4</f>
        <v>0</v>
      </c>
      <c r="K582" t="inlineStr">
        <is>
          <t>DIL MC25</t>
        </is>
      </c>
      <c r="M582" t="inlineStr">
        <is>
          <t>-110Q1</t>
        </is>
      </c>
    </row>
    <row r="583">
      <c r="A583">
        <v>582</v>
      </c>
      <c r="B583">
        <f>GS9x</f>
        <v>0</v>
      </c>
      <c r="C583" t="inlineStr">
        <is>
          <t>+LS[p1]</t>
        </is>
      </c>
      <c r="D583" t="inlineStr">
        <is>
          <t>-110Q1</t>
        </is>
      </c>
      <c r="E583" t="inlineStr">
        <is>
          <t>DILMC25-10(RDC24)</t>
        </is>
      </c>
      <c r="F583" t="inlineStr">
        <is>
          <t>DILA-XHI22</t>
        </is>
      </c>
      <c r="G583" t="inlineStr">
        <is>
          <t>LASTSCHUETZ</t>
        </is>
      </c>
      <c r="H583" t="inlineStr">
        <is>
          <t>11kW 1S Federzugkl.</t>
        </is>
      </c>
      <c r="I583">
        <v>217</v>
      </c>
      <c r="J583">
        <f>GS9x/110.4</f>
        <v>0</v>
      </c>
      <c r="K583" t="inlineStr">
        <is>
          <t>DIL MC25</t>
        </is>
      </c>
      <c r="M583" t="inlineStr">
        <is>
          <t>-110Q1</t>
        </is>
      </c>
    </row>
    <row r="584">
      <c r="A584">
        <v>583</v>
      </c>
      <c r="B584">
        <f>GS52</f>
        <v>0</v>
      </c>
      <c r="C584" t="inlineStr">
        <is>
          <t>+LS01</t>
        </is>
      </c>
      <c r="D584" t="inlineStr">
        <is>
          <t>-110Q105.3</t>
        </is>
      </c>
      <c r="E584" t="inlineStr">
        <is>
          <t>DILM-9-10</t>
        </is>
      </c>
      <c r="F584" t="inlineStr">
        <is>
          <t>#KALK!</t>
        </is>
      </c>
      <c r="G584" t="inlineStr">
        <is>
          <t>LASTSCHUETZ</t>
        </is>
      </c>
      <c r="H584" t="inlineStr">
        <is>
          <t>4kW 1S Federzugkl.</t>
        </is>
      </c>
      <c r="I584">
        <v>1608</v>
      </c>
      <c r="J584">
        <f>GS52/110.6</f>
        <v>0</v>
      </c>
      <c r="K584" t="inlineStr">
        <is>
          <t>DIL MC9</t>
        </is>
      </c>
      <c r="M584" t="inlineStr">
        <is>
          <t>-110Q105.3</t>
        </is>
      </c>
    </row>
    <row r="585">
      <c r="A585">
        <v>584</v>
      </c>
      <c r="B585">
        <f>GS91</f>
        <v>0</v>
      </c>
      <c r="C585" t="inlineStr">
        <is>
          <t>+LS01</t>
        </is>
      </c>
      <c r="D585" t="inlineStr">
        <is>
          <t>-110Q151.5</t>
        </is>
      </c>
      <c r="E585" t="inlineStr">
        <is>
          <t>DILM-9-10</t>
        </is>
      </c>
      <c r="F585" t="inlineStr">
        <is>
          <t>#KALK!</t>
        </is>
      </c>
      <c r="G585" t="inlineStr">
        <is>
          <t>LASTSCHUETZ</t>
        </is>
      </c>
      <c r="H585" t="inlineStr">
        <is>
          <t>4kW 1S Federzugkl.</t>
        </is>
      </c>
      <c r="I585">
        <v>258</v>
      </c>
      <c r="J585">
        <f>GS91/110.5</f>
        <v>0</v>
      </c>
      <c r="M585" t="inlineStr">
        <is>
          <t>-110Q151.5</t>
        </is>
      </c>
    </row>
    <row r="586">
      <c r="A586">
        <v>585</v>
      </c>
      <c r="B586">
        <f>GS37</f>
        <v>0</v>
      </c>
      <c r="C586" t="inlineStr">
        <is>
          <t>+LS01</t>
        </is>
      </c>
      <c r="D586" t="inlineStr">
        <is>
          <t>-110Q401.6</t>
        </is>
      </c>
      <c r="E586" t="inlineStr">
        <is>
          <t>DILM-9-10</t>
        </is>
      </c>
      <c r="F586" t="inlineStr">
        <is>
          <t>#KALK!</t>
        </is>
      </c>
      <c r="G586" t="inlineStr">
        <is>
          <t>LASTSCHUETZ</t>
        </is>
      </c>
      <c r="H586" t="inlineStr">
        <is>
          <t>4kW 1S Federzugkl.</t>
        </is>
      </c>
      <c r="I586">
        <v>361</v>
      </c>
      <c r="J586">
        <f>GS37/110.6</f>
        <v>0</v>
      </c>
      <c r="M586" t="inlineStr">
        <is>
          <t>-110Q401.6</t>
        </is>
      </c>
    </row>
    <row r="587">
      <c r="A587">
        <v>586</v>
      </c>
      <c r="B587">
        <f>GS38</f>
        <v>0</v>
      </c>
      <c r="C587" t="inlineStr">
        <is>
          <t>+LS01</t>
        </is>
      </c>
      <c r="D587" t="inlineStr">
        <is>
          <t>-110Q704.3</t>
        </is>
      </c>
      <c r="E587" t="inlineStr">
        <is>
          <t>DILM-9-10</t>
        </is>
      </c>
      <c r="F587" t="inlineStr">
        <is>
          <t>#KALK!</t>
        </is>
      </c>
      <c r="G587" t="inlineStr">
        <is>
          <t>LASTSCHUETZ</t>
        </is>
      </c>
      <c r="H587" t="inlineStr">
        <is>
          <t>4kW 1S Federzugkl.</t>
        </is>
      </c>
      <c r="I587">
        <v>257</v>
      </c>
      <c r="J587">
        <f>GS38/110.6</f>
        <v>0</v>
      </c>
      <c r="M587" t="inlineStr">
        <is>
          <t>-110Q704.3</t>
        </is>
      </c>
    </row>
    <row r="588">
      <c r="A588">
        <v>587</v>
      </c>
      <c r="B588">
        <f>GS39</f>
        <v>0</v>
      </c>
      <c r="C588" t="inlineStr">
        <is>
          <t>+LS01</t>
        </is>
      </c>
      <c r="D588" t="inlineStr">
        <is>
          <t>-110Q704.3</t>
        </is>
      </c>
      <c r="E588" t="inlineStr">
        <is>
          <t>DILM-9-10</t>
        </is>
      </c>
      <c r="F588" t="inlineStr">
        <is>
          <t>#KALK!</t>
        </is>
      </c>
      <c r="G588" t="inlineStr">
        <is>
          <t>LASTSCHUETZ</t>
        </is>
      </c>
      <c r="H588" t="inlineStr">
        <is>
          <t>4kW 1S Federzugkl.</t>
        </is>
      </c>
      <c r="I588">
        <v>293</v>
      </c>
      <c r="J588">
        <f>GS39/110.6</f>
        <v>0</v>
      </c>
      <c r="M588" t="inlineStr">
        <is>
          <t>-110Q704.3</t>
        </is>
      </c>
    </row>
    <row r="589">
      <c r="A589">
        <v>588</v>
      </c>
      <c r="B589">
        <f>GC22</f>
        <v>0</v>
      </c>
      <c r="C589" t="inlineStr">
        <is>
          <t>+QVW2501</t>
        </is>
      </c>
      <c r="D589" t="inlineStr">
        <is>
          <t>-1111K3811.1</t>
        </is>
      </c>
      <c r="E589" t="inlineStr">
        <is>
          <t>DILM-9-10</t>
        </is>
      </c>
      <c r="F589" t="inlineStr">
        <is>
          <t>#KALK!</t>
        </is>
      </c>
      <c r="G589" t="inlineStr">
        <is>
          <t>LASTSCHUETZ</t>
        </is>
      </c>
      <c r="H589" t="inlineStr">
        <is>
          <t>4kW 1S Federzugkl.</t>
        </is>
      </c>
      <c r="I589">
        <v>3719</v>
      </c>
      <c r="J589">
        <f>GC22/1111.2</f>
        <v>0</v>
      </c>
      <c r="M589" t="inlineStr">
        <is>
          <t>-1111K3811.1</t>
        </is>
      </c>
    </row>
    <row r="590">
      <c r="A590">
        <v>589</v>
      </c>
      <c r="B590">
        <f>GS12</f>
        <v>0</v>
      </c>
      <c r="C590" t="inlineStr">
        <is>
          <t>+QVW2501</t>
        </is>
      </c>
      <c r="D590" t="inlineStr">
        <is>
          <t>-1111K3811.1</t>
        </is>
      </c>
      <c r="E590" t="inlineStr">
        <is>
          <t>DILM-9-10</t>
        </is>
      </c>
      <c r="F590" t="inlineStr">
        <is>
          <t>#KALK!</t>
        </is>
      </c>
      <c r="G590" t="inlineStr">
        <is>
          <t>LASTSCHUETZ</t>
        </is>
      </c>
      <c r="H590" t="inlineStr">
        <is>
          <t>4kW 1S Federzugkl.</t>
        </is>
      </c>
      <c r="I590">
        <v>1587</v>
      </c>
      <c r="J590">
        <f>GS12/1111.2</f>
        <v>0</v>
      </c>
      <c r="M590" t="inlineStr">
        <is>
          <t>-1111K3811.1</t>
        </is>
      </c>
    </row>
    <row r="591">
      <c r="A591">
        <v>590</v>
      </c>
      <c r="B591">
        <f>GS06</f>
        <v>0</v>
      </c>
      <c r="C591" t="inlineStr">
        <is>
          <t>+LS17</t>
        </is>
      </c>
      <c r="D591" t="inlineStr">
        <is>
          <t>-1111K438.2</t>
        </is>
      </c>
      <c r="E591" t="inlineStr">
        <is>
          <t>DILA-31</t>
        </is>
      </c>
      <c r="F591" t="inlineStr">
        <is>
          <t>#KALK!</t>
        </is>
      </c>
      <c r="G591" t="inlineStr">
        <is>
          <t>HILFSSCHUETZ</t>
        </is>
      </c>
      <c r="H591" t="inlineStr">
        <is>
          <t>3S 1Oe Federzugkl.</t>
        </is>
      </c>
      <c r="I591">
        <v>2894</v>
      </c>
      <c r="J591">
        <f>GS06/1111.2</f>
        <v>0</v>
      </c>
      <c r="M591" t="inlineStr">
        <is>
          <t>-1111K438.2</t>
        </is>
      </c>
    </row>
    <row r="592">
      <c r="A592">
        <v>591</v>
      </c>
      <c r="B592">
        <f>GS06</f>
        <v>0</v>
      </c>
      <c r="C592" t="inlineStr">
        <is>
          <t>+LS17</t>
        </is>
      </c>
      <c r="D592" t="inlineStr">
        <is>
          <t>-1111K438.3</t>
        </is>
      </c>
      <c r="E592" t="inlineStr">
        <is>
          <t>DILM-9-10</t>
        </is>
      </c>
      <c r="F592" t="inlineStr">
        <is>
          <t>#KALK!</t>
        </is>
      </c>
      <c r="G592" t="inlineStr">
        <is>
          <t>LASTSCHUETZ</t>
        </is>
      </c>
      <c r="H592" t="inlineStr">
        <is>
          <t>4kW 1S Federzugkl.</t>
        </is>
      </c>
      <c r="I592">
        <v>2894</v>
      </c>
      <c r="J592">
        <f>GS06/1111.3</f>
        <v>0</v>
      </c>
      <c r="M592" t="inlineStr">
        <is>
          <t>-1111K438.3</t>
        </is>
      </c>
    </row>
    <row r="593">
      <c r="A593">
        <v>592</v>
      </c>
      <c r="B593">
        <f>GS05</f>
        <v>0</v>
      </c>
      <c r="C593" t="inlineStr">
        <is>
          <t>+LS18</t>
        </is>
      </c>
      <c r="D593" t="inlineStr">
        <is>
          <t>-1111Q744.5</t>
        </is>
      </c>
      <c r="E593" t="inlineStr">
        <is>
          <t>DILM-9-10</t>
        </is>
      </c>
      <c r="F593" t="inlineStr">
        <is>
          <t>#KALK!</t>
        </is>
      </c>
      <c r="G593" t="inlineStr">
        <is>
          <t>LASTSCHUETZ</t>
        </is>
      </c>
      <c r="H593" t="inlineStr">
        <is>
          <t>4kW 1S Federzugkl.</t>
        </is>
      </c>
      <c r="I593">
        <v>638</v>
      </c>
      <c r="J593">
        <f>GS05/1111.6</f>
        <v>0</v>
      </c>
      <c r="K593" t="inlineStr">
        <is>
          <t>DIL MC9</t>
        </is>
      </c>
      <c r="M593" t="inlineStr">
        <is>
          <t>-1111Q744.5</t>
        </is>
      </c>
    </row>
    <row r="594">
      <c r="A594">
        <v>593</v>
      </c>
      <c r="B594">
        <f>GC22</f>
        <v>0</v>
      </c>
      <c r="C594" t="inlineStr">
        <is>
          <t>+QVW2501</t>
        </is>
      </c>
      <c r="D594" t="inlineStr">
        <is>
          <t>-1113K3812.1</t>
        </is>
      </c>
      <c r="E594" t="inlineStr">
        <is>
          <t>DILM-9-10</t>
        </is>
      </c>
      <c r="F594" t="inlineStr">
        <is>
          <t>#KALK!</t>
        </is>
      </c>
      <c r="G594" t="inlineStr">
        <is>
          <t>LASTSCHUETZ</t>
        </is>
      </c>
      <c r="H594" t="inlineStr">
        <is>
          <t>4kW 1S Federzugkl.</t>
        </is>
      </c>
      <c r="I594">
        <v>3763</v>
      </c>
      <c r="J594">
        <f>GC22/1113.2</f>
        <v>0</v>
      </c>
      <c r="M594" t="inlineStr">
        <is>
          <t>-1113K3812.1</t>
        </is>
      </c>
    </row>
    <row r="595">
      <c r="A595">
        <v>594</v>
      </c>
      <c r="B595">
        <f>GS12</f>
        <v>0</v>
      </c>
      <c r="C595" t="inlineStr">
        <is>
          <t>+QVW2501</t>
        </is>
      </c>
      <c r="D595" t="inlineStr">
        <is>
          <t>-1113K3812.1</t>
        </is>
      </c>
      <c r="E595" t="inlineStr">
        <is>
          <t>DILM-9-10</t>
        </is>
      </c>
      <c r="F595" t="inlineStr">
        <is>
          <t>#KALK!</t>
        </is>
      </c>
      <c r="G595" t="inlineStr">
        <is>
          <t>LASTSCHUETZ</t>
        </is>
      </c>
      <c r="H595" t="inlineStr">
        <is>
          <t>4kW 1S Federzugkl.</t>
        </is>
      </c>
      <c r="I595">
        <v>1589</v>
      </c>
      <c r="J595">
        <f>GS12/1113.2</f>
        <v>0</v>
      </c>
      <c r="M595" t="inlineStr">
        <is>
          <t>-1113K3812.1</t>
        </is>
      </c>
    </row>
    <row r="596">
      <c r="A596">
        <v>595</v>
      </c>
      <c r="B596">
        <f>GS05</f>
        <v>0</v>
      </c>
      <c r="C596" t="inlineStr">
        <is>
          <t>+LS18</t>
        </is>
      </c>
      <c r="D596" t="inlineStr">
        <is>
          <t>-1113Q745.3</t>
        </is>
      </c>
      <c r="E596" t="inlineStr">
        <is>
          <t>DILA-XHI22</t>
        </is>
      </c>
      <c r="F596" t="inlineStr">
        <is>
          <t>DILA-XHI22</t>
        </is>
      </c>
      <c r="G596" t="inlineStr">
        <is>
          <t>HILFSKONTAKTBLOCK</t>
        </is>
      </c>
      <c r="H596" t="inlineStr">
        <is>
          <t>2S 2OE Last+Hilfssch. Cage</t>
        </is>
      </c>
      <c r="I596">
        <v>636</v>
      </c>
      <c r="J596">
        <f>GS05/1113.6</f>
        <v>0</v>
      </c>
      <c r="M596" t="inlineStr">
        <is>
          <t>-1113Q745.3</t>
        </is>
      </c>
    </row>
    <row r="597">
      <c r="A597">
        <v>596</v>
      </c>
      <c r="B597">
        <f>GS05</f>
        <v>0</v>
      </c>
      <c r="C597" t="inlineStr">
        <is>
          <t>+LS18</t>
        </is>
      </c>
      <c r="D597" t="inlineStr">
        <is>
          <t>-1113Q745.3</t>
        </is>
      </c>
      <c r="E597" t="inlineStr">
        <is>
          <t>DILM-9-01</t>
        </is>
      </c>
      <c r="F597" t="inlineStr">
        <is>
          <t>DILA-XHI22</t>
        </is>
      </c>
      <c r="G597" t="inlineStr">
        <is>
          <t>LASTSCHUETZ</t>
        </is>
      </c>
      <c r="H597" t="inlineStr">
        <is>
          <t>4kW 1Oe Federzugkl.</t>
        </is>
      </c>
      <c r="I597">
        <v>636</v>
      </c>
      <c r="J597">
        <f>GS05/1113.6</f>
        <v>0</v>
      </c>
      <c r="M597" t="inlineStr">
        <is>
          <t>-1113Q745.3</t>
        </is>
      </c>
    </row>
    <row r="598">
      <c r="A598">
        <v>597</v>
      </c>
      <c r="B598">
        <f>GS05</f>
        <v>0</v>
      </c>
      <c r="C598" t="inlineStr">
        <is>
          <t>+LS18</t>
        </is>
      </c>
      <c r="D598" t="inlineStr">
        <is>
          <t>-1113Q745.4</t>
        </is>
      </c>
      <c r="E598" t="inlineStr">
        <is>
          <t>DILA-XHI22</t>
        </is>
      </c>
      <c r="F598" t="inlineStr">
        <is>
          <t>DILA-XHI22</t>
        </is>
      </c>
      <c r="G598" t="inlineStr">
        <is>
          <t>HILFSKONTAKTBLOCK</t>
        </is>
      </c>
      <c r="H598" t="inlineStr">
        <is>
          <t>2S 2OE Last+Hilfssch. Cage</t>
        </is>
      </c>
      <c r="I598">
        <v>636</v>
      </c>
      <c r="J598">
        <f>GS05/1113.7</f>
        <v>0</v>
      </c>
      <c r="M598" t="inlineStr">
        <is>
          <t>-1113Q745.4</t>
        </is>
      </c>
    </row>
    <row r="599">
      <c r="A599">
        <v>598</v>
      </c>
      <c r="B599">
        <f>GS05</f>
        <v>0</v>
      </c>
      <c r="C599" t="inlineStr">
        <is>
          <t>+LS18</t>
        </is>
      </c>
      <c r="D599" t="inlineStr">
        <is>
          <t>-1113Q745.4</t>
        </is>
      </c>
      <c r="E599" t="inlineStr">
        <is>
          <t>DILM-9-01</t>
        </is>
      </c>
      <c r="F599" t="inlineStr">
        <is>
          <t>DILA-XHI22</t>
        </is>
      </c>
      <c r="G599" t="inlineStr">
        <is>
          <t>LASTSCHUETZ</t>
        </is>
      </c>
      <c r="H599" t="inlineStr">
        <is>
          <t>4kW 1Oe Federzugkl.</t>
        </is>
      </c>
      <c r="I599">
        <v>636</v>
      </c>
      <c r="J599">
        <f>GS05/1113.7</f>
        <v>0</v>
      </c>
      <c r="M599" t="inlineStr">
        <is>
          <t>-1113Q745.4</t>
        </is>
      </c>
    </row>
    <row r="600">
      <c r="A600">
        <v>599</v>
      </c>
      <c r="B600">
        <f>GS51</f>
        <v>0</v>
      </c>
      <c r="C600" t="inlineStr">
        <is>
          <t>+LS17</t>
        </is>
      </c>
      <c r="D600" t="inlineStr">
        <is>
          <t>-1115Q1</t>
        </is>
      </c>
      <c r="E600" t="inlineStr">
        <is>
          <t>DILA-XHI22</t>
        </is>
      </c>
      <c r="F600" t="inlineStr">
        <is>
          <t>DILA-XHI22</t>
        </is>
      </c>
      <c r="G600" t="inlineStr">
        <is>
          <t>HILFSKONTAKTBLOCK</t>
        </is>
      </c>
      <c r="H600" t="inlineStr">
        <is>
          <t>2S 2OE Last+Hilfssch. Cage</t>
        </is>
      </c>
      <c r="I600">
        <v>1242</v>
      </c>
      <c r="J600">
        <f>GS51/1115.6</f>
        <v>0</v>
      </c>
      <c r="K600" t="inlineStr">
        <is>
          <t>DIL MC25</t>
        </is>
      </c>
      <c r="M600" t="inlineStr">
        <is>
          <t>-1115Q1</t>
        </is>
      </c>
    </row>
    <row r="601">
      <c r="A601">
        <v>600</v>
      </c>
      <c r="B601">
        <f>GS51</f>
        <v>0</v>
      </c>
      <c r="C601" t="inlineStr">
        <is>
          <t>+LS17</t>
        </is>
      </c>
      <c r="D601" t="inlineStr">
        <is>
          <t>-1115Q1</t>
        </is>
      </c>
      <c r="E601" t="inlineStr">
        <is>
          <t>DILMC25-10(RDC24)</t>
        </is>
      </c>
      <c r="F601" t="inlineStr">
        <is>
          <t>DILA-XHI22</t>
        </is>
      </c>
      <c r="G601" t="inlineStr">
        <is>
          <t>LASTSCHUETZ</t>
        </is>
      </c>
      <c r="H601" t="inlineStr">
        <is>
          <t>11kW 1S Federzugkl.</t>
        </is>
      </c>
      <c r="I601">
        <v>1242</v>
      </c>
      <c r="J601">
        <f>GS51/1115.6</f>
        <v>0</v>
      </c>
      <c r="K601" t="inlineStr">
        <is>
          <t>DIL MC25</t>
        </is>
      </c>
      <c r="M601" t="inlineStr">
        <is>
          <t>-1115Q1</t>
        </is>
      </c>
    </row>
    <row r="602">
      <c r="A602">
        <v>601</v>
      </c>
      <c r="B602">
        <f>GS55</f>
        <v>0</v>
      </c>
      <c r="C602" t="inlineStr">
        <is>
          <t>+LS18</t>
        </is>
      </c>
      <c r="D602" t="inlineStr">
        <is>
          <t>-1115Q1</t>
        </is>
      </c>
      <c r="E602" t="inlineStr">
        <is>
          <t>DILA-XHI22</t>
        </is>
      </c>
      <c r="F602" t="inlineStr">
        <is>
          <t>DILA-XHI22</t>
        </is>
      </c>
      <c r="G602" t="inlineStr">
        <is>
          <t>HILFSKONTAKTBLOCK</t>
        </is>
      </c>
      <c r="H602" t="inlineStr">
        <is>
          <t>2S 2OE Last+Hilfssch. Cage</t>
        </is>
      </c>
      <c r="I602">
        <v>1355</v>
      </c>
      <c r="J602">
        <f>GS55/1115.6</f>
        <v>0</v>
      </c>
      <c r="K602" t="inlineStr">
        <is>
          <t>DIL MC25</t>
        </is>
      </c>
      <c r="M602" t="inlineStr">
        <is>
          <t>-1115Q1</t>
        </is>
      </c>
    </row>
    <row r="603">
      <c r="A603">
        <v>602</v>
      </c>
      <c r="B603">
        <f>GS55</f>
        <v>0</v>
      </c>
      <c r="C603" t="inlineStr">
        <is>
          <t>+LS18</t>
        </is>
      </c>
      <c r="D603" t="inlineStr">
        <is>
          <t>-1115Q1</t>
        </is>
      </c>
      <c r="E603" t="inlineStr">
        <is>
          <t>DILMC25-10(RDC24)</t>
        </is>
      </c>
      <c r="F603" t="inlineStr">
        <is>
          <t>DILA-XHI22</t>
        </is>
      </c>
      <c r="G603" t="inlineStr">
        <is>
          <t>LASTSCHUETZ</t>
        </is>
      </c>
      <c r="H603" t="inlineStr">
        <is>
          <t>11kW 1S Federzugkl.</t>
        </is>
      </c>
      <c r="I603">
        <v>1355</v>
      </c>
      <c r="J603">
        <f>GS55/1115.6</f>
        <v>0</v>
      </c>
      <c r="K603" t="inlineStr">
        <is>
          <t>DIL MC25</t>
        </is>
      </c>
      <c r="M603" t="inlineStr">
        <is>
          <t>-1115Q1</t>
        </is>
      </c>
    </row>
    <row r="604">
      <c r="A604">
        <v>603</v>
      </c>
      <c r="B604">
        <f>GS55</f>
        <v>0</v>
      </c>
      <c r="C604" t="inlineStr">
        <is>
          <t>+LS18</t>
        </is>
      </c>
      <c r="D604" t="inlineStr">
        <is>
          <t>-1116Q446.1</t>
        </is>
      </c>
      <c r="E604" t="inlineStr">
        <is>
          <t>DILM-9-10</t>
        </is>
      </c>
      <c r="F604" t="inlineStr">
        <is>
          <t>DILA-XHI22</t>
        </is>
      </c>
      <c r="G604" t="inlineStr">
        <is>
          <t>LASTSCHUETZ</t>
        </is>
      </c>
      <c r="H604" t="inlineStr">
        <is>
          <t>4kW 1S Federzugkl.</t>
        </is>
      </c>
      <c r="I604">
        <v>1356</v>
      </c>
      <c r="J604">
        <f>GS55/1116.6</f>
        <v>0</v>
      </c>
      <c r="K604" t="inlineStr">
        <is>
          <t>DIL MC9</t>
        </is>
      </c>
      <c r="M604" t="inlineStr">
        <is>
          <t>-1116Q446.1</t>
        </is>
      </c>
    </row>
    <row r="605">
      <c r="A605">
        <v>604</v>
      </c>
      <c r="B605">
        <f>GS55</f>
        <v>0</v>
      </c>
      <c r="C605" t="inlineStr">
        <is>
          <t>+LS18</t>
        </is>
      </c>
      <c r="D605" t="inlineStr">
        <is>
          <t>-1116Q446.1</t>
        </is>
      </c>
      <c r="E605" t="inlineStr">
        <is>
          <t>DILA-XHI22</t>
        </is>
      </c>
      <c r="F605" t="inlineStr">
        <is>
          <t>DILA-XHI22</t>
        </is>
      </c>
      <c r="G605" t="inlineStr">
        <is>
          <t>HILFSKONTAKTBLOCK</t>
        </is>
      </c>
      <c r="H605" t="inlineStr">
        <is>
          <t>2S 2OE Last+Hilfssch. Cage</t>
        </is>
      </c>
      <c r="I605">
        <v>1356</v>
      </c>
      <c r="J605">
        <f>GS55/1116.6</f>
        <v>0</v>
      </c>
      <c r="K605" t="inlineStr">
        <is>
          <t>DIL MC9</t>
        </is>
      </c>
      <c r="M605" t="inlineStr">
        <is>
          <t>-1116Q446.1</t>
        </is>
      </c>
    </row>
    <row r="606">
      <c r="A606">
        <v>605</v>
      </c>
      <c r="B606">
        <f>GS55</f>
        <v>0</v>
      </c>
      <c r="C606" t="inlineStr">
        <is>
          <t>+LS18</t>
        </is>
      </c>
      <c r="D606" t="inlineStr">
        <is>
          <t>-1116Q446.2</t>
        </is>
      </c>
      <c r="E606" t="inlineStr">
        <is>
          <t>DILM-9-10</t>
        </is>
      </c>
      <c r="F606" t="inlineStr">
        <is>
          <t>DILA-XHI22</t>
        </is>
      </c>
      <c r="G606" t="inlineStr">
        <is>
          <t>LASTSCHUETZ</t>
        </is>
      </c>
      <c r="H606" t="inlineStr">
        <is>
          <t>4kW 1S Federzugkl.</t>
        </is>
      </c>
      <c r="I606">
        <v>1356</v>
      </c>
      <c r="J606">
        <f>GS55/1116.7</f>
        <v>0</v>
      </c>
      <c r="K606" t="inlineStr">
        <is>
          <t>DIL MC9</t>
        </is>
      </c>
      <c r="M606" t="inlineStr">
        <is>
          <t>-1116Q446.2</t>
        </is>
      </c>
    </row>
    <row r="607">
      <c r="A607">
        <v>606</v>
      </c>
      <c r="B607">
        <f>GS55</f>
        <v>0</v>
      </c>
      <c r="C607" t="inlineStr">
        <is>
          <t>+LS18</t>
        </is>
      </c>
      <c r="D607" t="inlineStr">
        <is>
          <t>-1116Q446.2</t>
        </is>
      </c>
      <c r="E607" t="inlineStr">
        <is>
          <t>DILA-XHI22</t>
        </is>
      </c>
      <c r="F607" t="inlineStr">
        <is>
          <t>DILA-XHI22</t>
        </is>
      </c>
      <c r="G607" t="inlineStr">
        <is>
          <t>HILFSKONTAKTBLOCK</t>
        </is>
      </c>
      <c r="H607" t="inlineStr">
        <is>
          <t>2S 2OE Last+Hilfssch. Cage</t>
        </is>
      </c>
      <c r="I607">
        <v>1356</v>
      </c>
      <c r="J607">
        <f>GS55/1116.7</f>
        <v>0</v>
      </c>
      <c r="K607" t="inlineStr">
        <is>
          <t>DIL MC9</t>
        </is>
      </c>
      <c r="M607" t="inlineStr">
        <is>
          <t>-1116Q446.2</t>
        </is>
      </c>
    </row>
    <row r="608">
      <c r="A608">
        <v>607</v>
      </c>
      <c r="B608">
        <f>GS31</f>
        <v>0</v>
      </c>
      <c r="C608" t="inlineStr">
        <is>
          <t>+LS1</t>
        </is>
      </c>
      <c r="D608" t="inlineStr">
        <is>
          <t>-111K1</t>
        </is>
      </c>
      <c r="E608" t="inlineStr">
        <is>
          <t>22_DIL-M</t>
        </is>
      </c>
      <c r="F608" t="inlineStr">
        <is>
          <t>22_DIL-M</t>
        </is>
      </c>
      <c r="G608" t="inlineStr">
        <is>
          <t>HILFSKONTAKTBLOCK</t>
        </is>
      </c>
      <c r="H608" t="inlineStr">
        <is>
          <t>2S 2OE Lastschuetz DIL M</t>
        </is>
      </c>
      <c r="I608">
        <v>395</v>
      </c>
      <c r="J608">
        <f>GS31/111.2</f>
        <v>0</v>
      </c>
      <c r="K608" t="inlineStr">
        <is>
          <t>DIL0AM</t>
        </is>
      </c>
      <c r="M608" t="inlineStr">
        <is>
          <t>-111K1</t>
        </is>
      </c>
    </row>
    <row r="609">
      <c r="A609">
        <v>608</v>
      </c>
      <c r="B609">
        <f>GS31</f>
        <v>0</v>
      </c>
      <c r="C609" t="inlineStr">
        <is>
          <t>+LS1</t>
        </is>
      </c>
      <c r="D609" t="inlineStr">
        <is>
          <t>-111K1</t>
        </is>
      </c>
      <c r="E609" t="inlineStr">
        <is>
          <t>DIL_0AM</t>
        </is>
      </c>
      <c r="F609" t="inlineStr">
        <is>
          <t>22_DIL-M</t>
        </is>
      </c>
      <c r="G609" t="inlineStr">
        <is>
          <t>LASTSCHUETZ</t>
        </is>
      </c>
      <c r="H609" t="inlineStr">
        <is>
          <t>11 kW</t>
        </is>
      </c>
      <c r="I609">
        <v>395</v>
      </c>
      <c r="J609">
        <f>GS31/111.2</f>
        <v>0</v>
      </c>
      <c r="K609" t="inlineStr">
        <is>
          <t>DIL0AM</t>
        </is>
      </c>
      <c r="M609" t="inlineStr">
        <is>
          <t>-111K1</t>
        </is>
      </c>
    </row>
    <row r="610">
      <c r="A610">
        <v>609</v>
      </c>
      <c r="B610">
        <f>GS02</f>
        <v>0</v>
      </c>
      <c r="C610" t="inlineStr">
        <is>
          <t>+LS1</t>
        </is>
      </c>
      <c r="D610" t="inlineStr">
        <is>
          <t>-111K14.4</t>
        </is>
      </c>
      <c r="E610" t="inlineStr">
        <is>
          <t>DIL_ER-22-G</t>
        </is>
      </c>
      <c r="F610" t="inlineStr">
        <is>
          <t>#KALK!</t>
        </is>
      </c>
      <c r="G610" t="inlineStr">
        <is>
          <t>HILFSSCHUETZ</t>
        </is>
      </c>
      <c r="H610" t="inlineStr">
        <is>
          <t>2S 2OE</t>
        </is>
      </c>
      <c r="I610">
        <v>509</v>
      </c>
      <c r="J610">
        <f>GS02/111.5</f>
        <v>0</v>
      </c>
      <c r="M610" t="inlineStr">
        <is>
          <t>-111K14.4</t>
        </is>
      </c>
    </row>
    <row r="611">
      <c r="A611">
        <v>610</v>
      </c>
      <c r="B611">
        <f>GS34</f>
        <v>0</v>
      </c>
      <c r="C611" t="inlineStr">
        <is>
          <t>+LS1</t>
        </is>
      </c>
      <c r="D611" t="inlineStr">
        <is>
          <t>-111K15.3</t>
        </is>
      </c>
      <c r="E611" t="inlineStr">
        <is>
          <t>DIL_EM-10-G</t>
        </is>
      </c>
      <c r="F611" t="inlineStr">
        <is>
          <t>#KALK!</t>
        </is>
      </c>
      <c r="G611" t="inlineStr">
        <is>
          <t>LASTSCHUETZ</t>
        </is>
      </c>
      <c r="H611" t="inlineStr">
        <is>
          <t>4kW 1S</t>
        </is>
      </c>
      <c r="I611">
        <v>235</v>
      </c>
      <c r="J611">
        <f>GS34/111.6</f>
        <v>0</v>
      </c>
      <c r="M611" t="inlineStr">
        <is>
          <t>-111K15.3</t>
        </is>
      </c>
    </row>
    <row r="612">
      <c r="A612">
        <v>611</v>
      </c>
      <c r="B612">
        <f>GS32</f>
        <v>0</v>
      </c>
      <c r="C612" t="inlineStr">
        <is>
          <t>+LS1</t>
        </is>
      </c>
      <c r="D612" t="inlineStr">
        <is>
          <t>-111K22.0</t>
        </is>
      </c>
      <c r="E612" t="inlineStr">
        <is>
          <t>DIL_EM-10-G</t>
        </is>
      </c>
      <c r="F612" t="inlineStr">
        <is>
          <t>#KALK!</t>
        </is>
      </c>
      <c r="G612" t="inlineStr">
        <is>
          <t>LASTSCHUETZ</t>
        </is>
      </c>
      <c r="H612" t="inlineStr">
        <is>
          <t>4kW 1S</t>
        </is>
      </c>
      <c r="I612">
        <v>914</v>
      </c>
      <c r="J612">
        <f>GS32/111.6</f>
        <v>0</v>
      </c>
      <c r="M612" t="inlineStr">
        <is>
          <t>-111K22.0</t>
        </is>
      </c>
    </row>
    <row r="613">
      <c r="A613">
        <v>612</v>
      </c>
      <c r="B613">
        <f>GS32</f>
        <v>0</v>
      </c>
      <c r="C613" t="inlineStr">
        <is>
          <t>+LS1</t>
        </is>
      </c>
      <c r="D613" t="inlineStr">
        <is>
          <t>-111K22.1</t>
        </is>
      </c>
      <c r="E613" t="inlineStr">
        <is>
          <t>DIL_EM-10-G</t>
        </is>
      </c>
      <c r="F613" t="inlineStr">
        <is>
          <t>#KALK!</t>
        </is>
      </c>
      <c r="G613" t="inlineStr">
        <is>
          <t>LASTSCHUETZ</t>
        </is>
      </c>
      <c r="H613" t="inlineStr">
        <is>
          <t>4kW 1S</t>
        </is>
      </c>
      <c r="I613">
        <v>914</v>
      </c>
      <c r="J613">
        <f>GS32/111.6</f>
        <v>0</v>
      </c>
      <c r="M613" t="inlineStr">
        <is>
          <t>-111K22.1</t>
        </is>
      </c>
    </row>
    <row r="614">
      <c r="A614">
        <v>613</v>
      </c>
      <c r="B614">
        <f>GS11</f>
        <v>0</v>
      </c>
      <c r="C614" t="inlineStr">
        <is>
          <t>+LS1</t>
        </is>
      </c>
      <c r="D614" t="inlineStr">
        <is>
          <t>-111K28.1</t>
        </is>
      </c>
      <c r="E614" t="inlineStr">
        <is>
          <t>DIL_EM-10-G</t>
        </is>
      </c>
      <c r="F614" t="inlineStr">
        <is>
          <t>#KALK!</t>
        </is>
      </c>
      <c r="G614" t="inlineStr">
        <is>
          <t>LASTSCHUETZ</t>
        </is>
      </c>
      <c r="H614" t="inlineStr">
        <is>
          <t>4kW 1S</t>
        </is>
      </c>
      <c r="I614">
        <v>222</v>
      </c>
      <c r="J614">
        <f>GS11/111.7</f>
        <v>0</v>
      </c>
      <c r="M614" t="inlineStr">
        <is>
          <t>-111K28.1</t>
        </is>
      </c>
    </row>
    <row r="615">
      <c r="A615">
        <v>614</v>
      </c>
      <c r="B615">
        <f>GS21</f>
        <v>0</v>
      </c>
      <c r="C615" t="inlineStr">
        <is>
          <t>+LS1</t>
        </is>
      </c>
      <c r="D615" t="inlineStr">
        <is>
          <t>-111K28.1</t>
        </is>
      </c>
      <c r="E615" t="inlineStr">
        <is>
          <t>DIL_EM-10-G</t>
        </is>
      </c>
      <c r="F615" t="inlineStr">
        <is>
          <t>#KALK!</t>
        </is>
      </c>
      <c r="G615" t="inlineStr">
        <is>
          <t>LASTSCHUETZ</t>
        </is>
      </c>
      <c r="H615" t="inlineStr">
        <is>
          <t>4kW 1S</t>
        </is>
      </c>
      <c r="I615">
        <v>196</v>
      </c>
      <c r="J615">
        <f>GS21/111.7</f>
        <v>0</v>
      </c>
      <c r="M615" t="inlineStr">
        <is>
          <t>-111K28.1</t>
        </is>
      </c>
    </row>
    <row r="616">
      <c r="A616">
        <v>615</v>
      </c>
      <c r="B616">
        <f>GS26</f>
        <v>0</v>
      </c>
      <c r="C616" t="inlineStr">
        <is>
          <t>+LS1</t>
        </is>
      </c>
      <c r="D616" t="inlineStr">
        <is>
          <t>-111K3531.7</t>
        </is>
      </c>
      <c r="E616" t="inlineStr">
        <is>
          <t>DILM-9-10</t>
        </is>
      </c>
      <c r="F616" t="inlineStr">
        <is>
          <t>#KALK!</t>
        </is>
      </c>
      <c r="G616" t="inlineStr">
        <is>
          <t>LASTSCHUETZ</t>
        </is>
      </c>
      <c r="H616" t="inlineStr">
        <is>
          <t>4kW 1S Federzugkl.</t>
        </is>
      </c>
      <c r="I616">
        <v>406</v>
      </c>
      <c r="J616">
        <f>GS26/111.7</f>
        <v>0</v>
      </c>
      <c r="M616" t="inlineStr">
        <is>
          <t>-111K3531.7</t>
        </is>
      </c>
    </row>
    <row r="617">
      <c r="A617">
        <v>616</v>
      </c>
      <c r="B617">
        <f>GC03</f>
        <v>0</v>
      </c>
      <c r="C617" t="inlineStr">
        <is>
          <t>+LS1</t>
        </is>
      </c>
      <c r="D617" t="inlineStr">
        <is>
          <t>-111K44.4</t>
        </is>
      </c>
      <c r="E617" t="inlineStr">
        <is>
          <t>DIL_EM-10-G</t>
        </is>
      </c>
      <c r="F617" t="inlineStr">
        <is>
          <t>#KALK!</t>
        </is>
      </c>
      <c r="G617" t="inlineStr">
        <is>
          <t>LASTSCHUETZ</t>
        </is>
      </c>
      <c r="H617" t="inlineStr">
        <is>
          <t>4kW 1S</t>
        </is>
      </c>
      <c r="I617">
        <v>1041</v>
      </c>
      <c r="J617">
        <f>GC03/111.6</f>
        <v>0</v>
      </c>
      <c r="M617" t="inlineStr">
        <is>
          <t>-111K44.4</t>
        </is>
      </c>
    </row>
    <row r="618">
      <c r="A618">
        <v>617</v>
      </c>
      <c r="B618">
        <f>GC03</f>
        <v>0</v>
      </c>
      <c r="C618" t="inlineStr">
        <is>
          <t>+LS1</t>
        </is>
      </c>
      <c r="D618" t="inlineStr">
        <is>
          <t>-111K44.5</t>
        </is>
      </c>
      <c r="E618" t="inlineStr">
        <is>
          <t>DIL_EM-10-G</t>
        </is>
      </c>
      <c r="F618" t="inlineStr">
        <is>
          <t>#KALK!</t>
        </is>
      </c>
      <c r="G618" t="inlineStr">
        <is>
          <t>LASTSCHUETZ</t>
        </is>
      </c>
      <c r="H618" t="inlineStr">
        <is>
          <t>4kW 1S</t>
        </is>
      </c>
      <c r="I618">
        <v>1041</v>
      </c>
      <c r="J618">
        <f>GC03/111.6</f>
        <v>0</v>
      </c>
      <c r="M618" t="inlineStr">
        <is>
          <t>-111K44.5</t>
        </is>
      </c>
    </row>
    <row r="619">
      <c r="A619">
        <v>618</v>
      </c>
      <c r="B619">
        <f>GS15</f>
        <v>0</v>
      </c>
      <c r="C619" t="inlineStr">
        <is>
          <t>+LS1</t>
        </is>
      </c>
      <c r="D619" t="inlineStr">
        <is>
          <t>-111K60.3</t>
        </is>
      </c>
      <c r="E619" t="inlineStr">
        <is>
          <t>DIL_EM-10-G</t>
        </is>
      </c>
      <c r="F619" t="inlineStr">
        <is>
          <t>#KALK!</t>
        </is>
      </c>
      <c r="G619" t="inlineStr">
        <is>
          <t>LASTSCHUETZ</t>
        </is>
      </c>
      <c r="H619" t="inlineStr">
        <is>
          <t>4kW 1S</t>
        </is>
      </c>
      <c r="I619">
        <v>598</v>
      </c>
      <c r="J619">
        <f>GS15/111.6</f>
        <v>0</v>
      </c>
      <c r="M619" t="inlineStr">
        <is>
          <t>-111K60.3</t>
        </is>
      </c>
    </row>
    <row r="620">
      <c r="A620">
        <v>619</v>
      </c>
      <c r="B620">
        <f>GS15</f>
        <v>0</v>
      </c>
      <c r="C620" t="inlineStr">
        <is>
          <t>+LS1</t>
        </is>
      </c>
      <c r="D620" t="inlineStr">
        <is>
          <t>-111K60.6</t>
        </is>
      </c>
      <c r="E620" t="inlineStr">
        <is>
          <t>DIL_EM-10-G</t>
        </is>
      </c>
      <c r="F620" t="inlineStr">
        <is>
          <t>#KALK!</t>
        </is>
      </c>
      <c r="G620" t="inlineStr">
        <is>
          <t>LASTSCHUETZ</t>
        </is>
      </c>
      <c r="H620" t="inlineStr">
        <is>
          <t>4kW 1S</t>
        </is>
      </c>
      <c r="I620">
        <v>598</v>
      </c>
      <c r="J620">
        <f>GS15/111.6</f>
        <v>0</v>
      </c>
      <c r="M620" t="inlineStr">
        <is>
          <t>-111K60.6</t>
        </is>
      </c>
    </row>
    <row r="621">
      <c r="A621">
        <v>620</v>
      </c>
      <c r="B621">
        <f>GS06</f>
        <v>0</v>
      </c>
      <c r="C621" t="inlineStr">
        <is>
          <t>+LS01</t>
        </is>
      </c>
      <c r="D621" t="inlineStr">
        <is>
          <t>-111Q104.6</t>
        </is>
      </c>
      <c r="E621" t="inlineStr">
        <is>
          <t>DILM-9-10</t>
        </is>
      </c>
      <c r="F621" t="inlineStr">
        <is>
          <t>#KALK!</t>
        </is>
      </c>
      <c r="G621" t="inlineStr">
        <is>
          <t>LASTSCHUETZ</t>
        </is>
      </c>
      <c r="H621" t="inlineStr">
        <is>
          <t>4kW 1S Federzugkl.</t>
        </is>
      </c>
      <c r="I621">
        <v>1760</v>
      </c>
      <c r="J621">
        <f>GS06/111.6</f>
        <v>0</v>
      </c>
      <c r="K621" t="inlineStr">
        <is>
          <t>DIL MC9</t>
        </is>
      </c>
      <c r="M621" t="inlineStr">
        <is>
          <t>-111Q104.6</t>
        </is>
      </c>
    </row>
    <row r="622">
      <c r="A622">
        <v>621</v>
      </c>
      <c r="B622">
        <f>GS92</f>
        <v>0</v>
      </c>
      <c r="C622" t="inlineStr">
        <is>
          <t>+LS01</t>
        </is>
      </c>
      <c r="D622" t="inlineStr">
        <is>
          <t>-111Q150.5</t>
        </is>
      </c>
      <c r="E622" t="inlineStr">
        <is>
          <t>DILM-9-10</t>
        </is>
      </c>
      <c r="F622" t="inlineStr">
        <is>
          <t>#KALK!</t>
        </is>
      </c>
      <c r="G622" t="inlineStr">
        <is>
          <t>LASTSCHUETZ</t>
        </is>
      </c>
      <c r="H622" t="inlineStr">
        <is>
          <t>4kW 1S Federzugkl.</t>
        </is>
      </c>
      <c r="I622">
        <v>256</v>
      </c>
      <c r="J622">
        <f>GS92/111.5</f>
        <v>0</v>
      </c>
      <c r="M622" t="inlineStr">
        <is>
          <t>-111Q150.5</t>
        </is>
      </c>
    </row>
    <row r="623">
      <c r="A623">
        <v>622</v>
      </c>
      <c r="B623">
        <f>GS93</f>
        <v>0</v>
      </c>
      <c r="C623" t="inlineStr">
        <is>
          <t>+LS01</t>
        </is>
      </c>
      <c r="D623" t="inlineStr">
        <is>
          <t>-111Q150.5</t>
        </is>
      </c>
      <c r="E623" t="inlineStr">
        <is>
          <t>DILM-9-10</t>
        </is>
      </c>
      <c r="F623" t="inlineStr">
        <is>
          <t>#KALK!</t>
        </is>
      </c>
      <c r="G623" t="inlineStr">
        <is>
          <t>LASTSCHUETZ</t>
        </is>
      </c>
      <c r="H623" t="inlineStr">
        <is>
          <t>4kW 1S Federzugkl.</t>
        </is>
      </c>
      <c r="I623">
        <v>680</v>
      </c>
      <c r="J623">
        <f>GS93/111.5</f>
        <v>0</v>
      </c>
      <c r="M623" t="inlineStr">
        <is>
          <t>-111Q150.5</t>
        </is>
      </c>
    </row>
    <row r="624">
      <c r="A624">
        <v>623</v>
      </c>
      <c r="B624">
        <f>GS91</f>
        <v>0</v>
      </c>
      <c r="C624" t="inlineStr">
        <is>
          <t>+LS01</t>
        </is>
      </c>
      <c r="D624" t="inlineStr">
        <is>
          <t>-111Q151.6</t>
        </is>
      </c>
      <c r="E624" t="inlineStr">
        <is>
          <t>DILM-9-10</t>
        </is>
      </c>
      <c r="F624" t="inlineStr">
        <is>
          <t>#KALK!</t>
        </is>
      </c>
      <c r="G624" t="inlineStr">
        <is>
          <t>LASTSCHUETZ</t>
        </is>
      </c>
      <c r="H624" t="inlineStr">
        <is>
          <t>4kW 1S Federzugkl.</t>
        </is>
      </c>
      <c r="I624">
        <v>259</v>
      </c>
      <c r="J624">
        <f>GS91/111.5</f>
        <v>0</v>
      </c>
      <c r="M624" t="inlineStr">
        <is>
          <t>-111Q151.6</t>
        </is>
      </c>
    </row>
    <row r="625">
      <c r="A625">
        <v>624</v>
      </c>
      <c r="B625">
        <f>GS38</f>
        <v>0</v>
      </c>
      <c r="C625" t="inlineStr">
        <is>
          <t>+LS01</t>
        </is>
      </c>
      <c r="D625" t="inlineStr">
        <is>
          <t>-111Q704.5</t>
        </is>
      </c>
      <c r="E625" t="inlineStr">
        <is>
          <t>DILM-9-10</t>
        </is>
      </c>
      <c r="F625" t="inlineStr">
        <is>
          <t>#KALK!</t>
        </is>
      </c>
      <c r="G625" t="inlineStr">
        <is>
          <t>LASTSCHUETZ</t>
        </is>
      </c>
      <c r="H625" t="inlineStr">
        <is>
          <t>4kW 1S Federzugkl.</t>
        </is>
      </c>
      <c r="I625">
        <v>268</v>
      </c>
      <c r="J625">
        <f>GS38/111.6</f>
        <v>0</v>
      </c>
      <c r="M625" t="inlineStr">
        <is>
          <t>-111Q704.5</t>
        </is>
      </c>
    </row>
    <row r="626">
      <c r="A626">
        <v>625</v>
      </c>
      <c r="B626">
        <f>GS39</f>
        <v>0</v>
      </c>
      <c r="C626" t="inlineStr">
        <is>
          <t>+LS01</t>
        </is>
      </c>
      <c r="D626" t="inlineStr">
        <is>
          <t>-111Q704.5</t>
        </is>
      </c>
      <c r="E626" t="inlineStr">
        <is>
          <t>DILM-9-10</t>
        </is>
      </c>
      <c r="F626" t="inlineStr">
        <is>
          <t>#KALK!</t>
        </is>
      </c>
      <c r="G626" t="inlineStr">
        <is>
          <t>LASTSCHUETZ</t>
        </is>
      </c>
      <c r="H626" t="inlineStr">
        <is>
          <t>4kW 1S Federzugkl.</t>
        </is>
      </c>
      <c r="I626">
        <v>294</v>
      </c>
      <c r="J626">
        <f>GS39/111.6</f>
        <v>0</v>
      </c>
      <c r="M626" t="inlineStr">
        <is>
          <t>-111Q704.5</t>
        </is>
      </c>
    </row>
    <row r="627">
      <c r="A627">
        <v>626</v>
      </c>
      <c r="B627">
        <f>GS31</f>
        <v>0</v>
      </c>
      <c r="C627" t="inlineStr">
        <is>
          <t>+LS12</t>
        </is>
      </c>
      <c r="D627" t="inlineStr">
        <is>
          <t>-1120K1</t>
        </is>
      </c>
      <c r="E627" t="inlineStr">
        <is>
          <t>DILA-XHI22</t>
        </is>
      </c>
      <c r="F627" t="inlineStr">
        <is>
          <t>DILA-XHI22</t>
        </is>
      </c>
      <c r="G627" t="inlineStr">
        <is>
          <t>HILFSKONTAKTBLOCK</t>
        </is>
      </c>
      <c r="H627" t="inlineStr">
        <is>
          <t>2S 2OE Last+Hilfssch. Cage</t>
        </is>
      </c>
      <c r="I627">
        <v>2585</v>
      </c>
      <c r="J627">
        <f>GS31/1120.5</f>
        <v>0</v>
      </c>
      <c r="M627" t="inlineStr">
        <is>
          <t>-1120K1</t>
        </is>
      </c>
    </row>
    <row r="628">
      <c r="A628">
        <v>627</v>
      </c>
      <c r="B628">
        <f>GS31</f>
        <v>0</v>
      </c>
      <c r="C628" t="inlineStr">
        <is>
          <t>+LS12</t>
        </is>
      </c>
      <c r="D628" t="inlineStr">
        <is>
          <t>-1120K1</t>
        </is>
      </c>
      <c r="E628" t="inlineStr">
        <is>
          <t>DILM-9-10</t>
        </is>
      </c>
      <c r="F628" t="inlineStr">
        <is>
          <t>DILA-XHI22</t>
        </is>
      </c>
      <c r="G628" t="inlineStr">
        <is>
          <t>LASTSCHUETZ</t>
        </is>
      </c>
      <c r="H628" t="inlineStr">
        <is>
          <t>4kW 1S Federzugkl.</t>
        </is>
      </c>
      <c r="I628">
        <v>2585</v>
      </c>
      <c r="J628">
        <f>GS31/1120.5</f>
        <v>0</v>
      </c>
      <c r="M628" t="inlineStr">
        <is>
          <t>-1120K1</t>
        </is>
      </c>
    </row>
    <row r="629">
      <c r="A629">
        <v>628</v>
      </c>
      <c r="B629">
        <f>GS31</f>
        <v>0</v>
      </c>
      <c r="C629" t="inlineStr">
        <is>
          <t>+LS12</t>
        </is>
      </c>
      <c r="D629" t="inlineStr">
        <is>
          <t>-1120K2</t>
        </is>
      </c>
      <c r="E629" t="inlineStr">
        <is>
          <t>DILA-XHI22</t>
        </is>
      </c>
      <c r="F629" t="inlineStr">
        <is>
          <t>DILA-XHI22</t>
        </is>
      </c>
      <c r="G629" t="inlineStr">
        <is>
          <t>HILFSKONTAKTBLOCK</t>
        </is>
      </c>
      <c r="H629" t="inlineStr">
        <is>
          <t>2S 2OE Last+Hilfssch. Cage</t>
        </is>
      </c>
      <c r="I629">
        <v>2585</v>
      </c>
      <c r="J629">
        <f>GS31/1120.6</f>
        <v>0</v>
      </c>
      <c r="M629" t="inlineStr">
        <is>
          <t>-1120K2</t>
        </is>
      </c>
    </row>
    <row r="630">
      <c r="A630">
        <v>629</v>
      </c>
      <c r="B630">
        <f>GS31</f>
        <v>0</v>
      </c>
      <c r="C630" t="inlineStr">
        <is>
          <t>+LS12</t>
        </is>
      </c>
      <c r="D630" t="inlineStr">
        <is>
          <t>-1120K2</t>
        </is>
      </c>
      <c r="E630" t="inlineStr">
        <is>
          <t>DILM-9-10</t>
        </is>
      </c>
      <c r="F630" t="inlineStr">
        <is>
          <t>DILA-XHI22</t>
        </is>
      </c>
      <c r="G630" t="inlineStr">
        <is>
          <t>LASTSCHUETZ</t>
        </is>
      </c>
      <c r="H630" t="inlineStr">
        <is>
          <t>4kW 1S Federzugkl.</t>
        </is>
      </c>
      <c r="I630">
        <v>2585</v>
      </c>
      <c r="J630">
        <f>GS31/1120.6</f>
        <v>0</v>
      </c>
      <c r="M630" t="inlineStr">
        <is>
          <t>-1120K2</t>
        </is>
      </c>
    </row>
    <row r="631">
      <c r="A631">
        <v>630</v>
      </c>
      <c r="B631">
        <f>GS51</f>
        <v>0</v>
      </c>
      <c r="C631" t="inlineStr">
        <is>
          <t>+LS17</t>
        </is>
      </c>
      <c r="D631" t="inlineStr">
        <is>
          <t>-1125Q1</t>
        </is>
      </c>
      <c r="E631" t="inlineStr">
        <is>
          <t>DILA-XHI22</t>
        </is>
      </c>
      <c r="F631" t="inlineStr">
        <is>
          <t>DILA-XHI22</t>
        </is>
      </c>
      <c r="G631" t="inlineStr">
        <is>
          <t>HILFSKONTAKTBLOCK</t>
        </is>
      </c>
      <c r="H631" t="inlineStr">
        <is>
          <t>2S 2OE Last+Hilfssch. Cage</t>
        </is>
      </c>
      <c r="I631">
        <v>1252</v>
      </c>
      <c r="J631">
        <f>GS51/1125.6</f>
        <v>0</v>
      </c>
      <c r="K631" t="inlineStr">
        <is>
          <t>DIL MC25</t>
        </is>
      </c>
      <c r="M631" t="inlineStr">
        <is>
          <t>-1125Q1</t>
        </is>
      </c>
    </row>
    <row r="632">
      <c r="A632">
        <v>631</v>
      </c>
      <c r="B632">
        <f>GS51</f>
        <v>0</v>
      </c>
      <c r="C632" t="inlineStr">
        <is>
          <t>+LS17</t>
        </is>
      </c>
      <c r="D632" t="inlineStr">
        <is>
          <t>-1125Q1</t>
        </is>
      </c>
      <c r="E632" t="inlineStr">
        <is>
          <t>DILMC25-10(RDC24)</t>
        </is>
      </c>
      <c r="F632" t="inlineStr">
        <is>
          <t>DILA-XHI22</t>
        </is>
      </c>
      <c r="G632" t="inlineStr">
        <is>
          <t>LASTSCHUETZ</t>
        </is>
      </c>
      <c r="H632" t="inlineStr">
        <is>
          <t>11kW 1S Federzugkl.</t>
        </is>
      </c>
      <c r="I632">
        <v>1252</v>
      </c>
      <c r="J632">
        <f>GS51/1125.6</f>
        <v>0</v>
      </c>
      <c r="K632" t="inlineStr">
        <is>
          <t>DIL MC25</t>
        </is>
      </c>
      <c r="M632" t="inlineStr">
        <is>
          <t>-1125Q1</t>
        </is>
      </c>
    </row>
    <row r="633">
      <c r="A633">
        <v>632</v>
      </c>
      <c r="B633">
        <f>GS31</f>
        <v>0</v>
      </c>
      <c r="C633" t="inlineStr">
        <is>
          <t>+LS12</t>
        </is>
      </c>
      <c r="D633" t="inlineStr">
        <is>
          <t>-1129K3533.4</t>
        </is>
      </c>
      <c r="E633" t="inlineStr">
        <is>
          <t>DILMC25-10(RDC24)</t>
        </is>
      </c>
      <c r="F633" t="inlineStr">
        <is>
          <t>DILA-XHI22</t>
        </is>
      </c>
      <c r="G633" t="inlineStr">
        <is>
          <t>LASTSCHUETZ</t>
        </is>
      </c>
      <c r="H633" t="inlineStr">
        <is>
          <t>11kW 1S Federzugkl.</t>
        </is>
      </c>
      <c r="I633">
        <v>2586</v>
      </c>
      <c r="J633">
        <f>GS31/1129.6</f>
        <v>0</v>
      </c>
      <c r="K633" t="inlineStr">
        <is>
          <t>DIL MC25</t>
        </is>
      </c>
      <c r="M633" t="inlineStr">
        <is>
          <t>-1129K3533.4</t>
        </is>
      </c>
    </row>
    <row r="634">
      <c r="A634">
        <v>633</v>
      </c>
      <c r="B634">
        <f>GS31</f>
        <v>0</v>
      </c>
      <c r="C634" t="inlineStr">
        <is>
          <t>+LS12</t>
        </is>
      </c>
      <c r="D634" t="inlineStr">
        <is>
          <t>-1129K3533.4</t>
        </is>
      </c>
      <c r="E634" t="inlineStr">
        <is>
          <t>DILA-XHI22</t>
        </is>
      </c>
      <c r="F634" t="inlineStr">
        <is>
          <t>DILA-XHI22</t>
        </is>
      </c>
      <c r="G634" t="inlineStr">
        <is>
          <t>HILFSKONTAKTBLOCK</t>
        </is>
      </c>
      <c r="H634" t="inlineStr">
        <is>
          <t>2S 2OE Last+Hilfssch. Cage</t>
        </is>
      </c>
      <c r="I634">
        <v>2586</v>
      </c>
      <c r="J634">
        <f>GS31/1129.6</f>
        <v>0</v>
      </c>
      <c r="K634" t="inlineStr">
        <is>
          <t>DIL MC25</t>
        </is>
      </c>
      <c r="M634" t="inlineStr">
        <is>
          <t>-1129K3533.4</t>
        </is>
      </c>
    </row>
    <row r="635">
      <c r="A635">
        <v>634</v>
      </c>
      <c r="B635">
        <f>GS33</f>
        <v>0</v>
      </c>
      <c r="C635" t="inlineStr">
        <is>
          <t>+LS1</t>
        </is>
      </c>
      <c r="D635" t="inlineStr">
        <is>
          <t>-112K13.7</t>
        </is>
      </c>
      <c r="E635" t="inlineStr">
        <is>
          <t>DIL_EM-10-G</t>
        </is>
      </c>
      <c r="F635" t="inlineStr">
        <is>
          <t>#KALK!</t>
        </is>
      </c>
      <c r="G635" t="inlineStr">
        <is>
          <t>LASTSCHUETZ</t>
        </is>
      </c>
      <c r="H635" t="inlineStr">
        <is>
          <t>4kW 1S</t>
        </is>
      </c>
      <c r="I635">
        <v>544</v>
      </c>
      <c r="J635">
        <f>GS33/112.7</f>
        <v>0</v>
      </c>
      <c r="M635" t="inlineStr">
        <is>
          <t>-112K13.7</t>
        </is>
      </c>
    </row>
    <row r="636">
      <c r="A636">
        <v>635</v>
      </c>
      <c r="B636">
        <f>GS34</f>
        <v>0</v>
      </c>
      <c r="C636" t="inlineStr">
        <is>
          <t>+LS1</t>
        </is>
      </c>
      <c r="D636" t="inlineStr">
        <is>
          <t>-112K15.4</t>
        </is>
      </c>
      <c r="E636" t="inlineStr">
        <is>
          <t>DIL_EM-10-G</t>
        </is>
      </c>
      <c r="F636" t="inlineStr">
        <is>
          <t>#KALK!</t>
        </is>
      </c>
      <c r="G636" t="inlineStr">
        <is>
          <t>LASTSCHUETZ</t>
        </is>
      </c>
      <c r="H636" t="inlineStr">
        <is>
          <t>4kW 1S</t>
        </is>
      </c>
      <c r="I636">
        <v>236</v>
      </c>
      <c r="J636">
        <f>GS34/112.6</f>
        <v>0</v>
      </c>
      <c r="M636" t="inlineStr">
        <is>
          <t>-112K15.4</t>
        </is>
      </c>
    </row>
    <row r="637">
      <c r="A637">
        <v>636</v>
      </c>
      <c r="B637">
        <f>GS34</f>
        <v>0</v>
      </c>
      <c r="C637" t="inlineStr">
        <is>
          <t>+LS1</t>
        </is>
      </c>
      <c r="D637" t="inlineStr">
        <is>
          <t>-112K15.5</t>
        </is>
      </c>
      <c r="E637" t="inlineStr">
        <is>
          <t>DIL_EM-10-G</t>
        </is>
      </c>
      <c r="F637" t="inlineStr">
        <is>
          <t>#KALK!</t>
        </is>
      </c>
      <c r="G637" t="inlineStr">
        <is>
          <t>LASTSCHUETZ</t>
        </is>
      </c>
      <c r="H637" t="inlineStr">
        <is>
          <t>4kW 1S</t>
        </is>
      </c>
      <c r="I637">
        <v>236</v>
      </c>
      <c r="J637">
        <f>GS34/112.6</f>
        <v>0</v>
      </c>
      <c r="M637" t="inlineStr">
        <is>
          <t>-112K15.5</t>
        </is>
      </c>
    </row>
    <row r="638">
      <c r="A638">
        <v>637</v>
      </c>
      <c r="B638">
        <f>GS32</f>
        <v>0</v>
      </c>
      <c r="C638" t="inlineStr">
        <is>
          <t>+LS1</t>
        </is>
      </c>
      <c r="D638" t="inlineStr">
        <is>
          <t>-112K22.2</t>
        </is>
      </c>
      <c r="E638" t="inlineStr">
        <is>
          <t>DIL_EM-10-G</t>
        </is>
      </c>
      <c r="F638" t="inlineStr">
        <is>
          <t>#KALK!</t>
        </is>
      </c>
      <c r="G638" t="inlineStr">
        <is>
          <t>LASTSCHUETZ</t>
        </is>
      </c>
      <c r="H638" t="inlineStr">
        <is>
          <t>4kW 1S</t>
        </is>
      </c>
      <c r="I638">
        <v>916</v>
      </c>
      <c r="J638">
        <f>GS32/112.6</f>
        <v>0</v>
      </c>
      <c r="M638" t="inlineStr">
        <is>
          <t>-112K22.2</t>
        </is>
      </c>
    </row>
    <row r="639">
      <c r="A639">
        <v>638</v>
      </c>
      <c r="B639">
        <f>GS32</f>
        <v>0</v>
      </c>
      <c r="C639" t="inlineStr">
        <is>
          <t>+LS1</t>
        </is>
      </c>
      <c r="D639" t="inlineStr">
        <is>
          <t>-112K22.3</t>
        </is>
      </c>
      <c r="E639" t="inlineStr">
        <is>
          <t>DIL_EM-10-G</t>
        </is>
      </c>
      <c r="F639" t="inlineStr">
        <is>
          <t>#KALK!</t>
        </is>
      </c>
      <c r="G639" t="inlineStr">
        <is>
          <t>LASTSCHUETZ</t>
        </is>
      </c>
      <c r="H639" t="inlineStr">
        <is>
          <t>4kW 1S</t>
        </is>
      </c>
      <c r="I639">
        <v>916</v>
      </c>
      <c r="J639">
        <f>GS32/112.6</f>
        <v>0</v>
      </c>
      <c r="M639" t="inlineStr">
        <is>
          <t>-112K22.3</t>
        </is>
      </c>
    </row>
    <row r="640">
      <c r="A640">
        <v>639</v>
      </c>
      <c r="B640">
        <f>GS11</f>
        <v>0</v>
      </c>
      <c r="C640" t="inlineStr">
        <is>
          <t>+LS1</t>
        </is>
      </c>
      <c r="D640" t="inlineStr">
        <is>
          <t>-112K28.2</t>
        </is>
      </c>
      <c r="E640" t="inlineStr">
        <is>
          <t>DIL_EM-10-G</t>
        </is>
      </c>
      <c r="F640" t="inlineStr">
        <is>
          <t>#KALK!</t>
        </is>
      </c>
      <c r="G640" t="inlineStr">
        <is>
          <t>LASTSCHUETZ</t>
        </is>
      </c>
      <c r="H640" t="inlineStr">
        <is>
          <t>4kW 1S</t>
        </is>
      </c>
      <c r="I640">
        <v>223</v>
      </c>
      <c r="J640">
        <f>GS11/112.6</f>
        <v>0</v>
      </c>
      <c r="M640" t="inlineStr">
        <is>
          <t>-112K28.2</t>
        </is>
      </c>
    </row>
    <row r="641">
      <c r="A641">
        <v>640</v>
      </c>
      <c r="B641">
        <f>GS21</f>
        <v>0</v>
      </c>
      <c r="C641" t="inlineStr">
        <is>
          <t>+LS1</t>
        </is>
      </c>
      <c r="D641" t="inlineStr">
        <is>
          <t>-112K28.2</t>
        </is>
      </c>
      <c r="E641" t="inlineStr">
        <is>
          <t>DIL_EM-10-G</t>
        </is>
      </c>
      <c r="F641" t="inlineStr">
        <is>
          <t>#KALK!</t>
        </is>
      </c>
      <c r="G641" t="inlineStr">
        <is>
          <t>LASTSCHUETZ</t>
        </is>
      </c>
      <c r="H641" t="inlineStr">
        <is>
          <t>4kW 1S</t>
        </is>
      </c>
      <c r="I641">
        <v>197</v>
      </c>
      <c r="J641">
        <f>GS21/112.6</f>
        <v>0</v>
      </c>
      <c r="M641" t="inlineStr">
        <is>
          <t>-112K28.2</t>
        </is>
      </c>
    </row>
    <row r="642">
      <c r="A642">
        <v>641</v>
      </c>
      <c r="B642">
        <f>GS26</f>
        <v>0</v>
      </c>
      <c r="C642" t="inlineStr">
        <is>
          <t>+LS1</t>
        </is>
      </c>
      <c r="D642" t="inlineStr">
        <is>
          <t>-112K3532.3</t>
        </is>
      </c>
      <c r="E642" t="inlineStr">
        <is>
          <t>DILM-9-10</t>
        </is>
      </c>
      <c r="F642" t="inlineStr">
        <is>
          <t>#KALK!</t>
        </is>
      </c>
      <c r="G642" t="inlineStr">
        <is>
          <t>LASTSCHUETZ</t>
        </is>
      </c>
      <c r="H642" t="inlineStr">
        <is>
          <t>4kW 1S Federzugkl.</t>
        </is>
      </c>
      <c r="I642">
        <v>248</v>
      </c>
      <c r="J642">
        <f>GS26/112.7</f>
        <v>0</v>
      </c>
      <c r="M642" t="inlineStr">
        <is>
          <t>-112K3532.3</t>
        </is>
      </c>
    </row>
    <row r="643">
      <c r="A643">
        <v>642</v>
      </c>
      <c r="B643">
        <f>GC03</f>
        <v>0</v>
      </c>
      <c r="C643" t="inlineStr">
        <is>
          <t>+LS1</t>
        </is>
      </c>
      <c r="D643" t="inlineStr">
        <is>
          <t>-112K44.6</t>
        </is>
      </c>
      <c r="E643" t="inlineStr">
        <is>
          <t>DIL_EM-10-G</t>
        </is>
      </c>
      <c r="F643" t="inlineStr">
        <is>
          <t>#KALK!</t>
        </is>
      </c>
      <c r="G643" t="inlineStr">
        <is>
          <t>LASTSCHUETZ</t>
        </is>
      </c>
      <c r="H643" t="inlineStr">
        <is>
          <t>4kW 1S</t>
        </is>
      </c>
      <c r="I643">
        <v>1040</v>
      </c>
      <c r="J643">
        <f>GC03/112.6</f>
        <v>0</v>
      </c>
      <c r="M643" t="inlineStr">
        <is>
          <t>-112K44.6</t>
        </is>
      </c>
    </row>
    <row r="644">
      <c r="A644">
        <v>643</v>
      </c>
      <c r="B644">
        <f>GC03</f>
        <v>0</v>
      </c>
      <c r="C644" t="inlineStr">
        <is>
          <t>+LS1</t>
        </is>
      </c>
      <c r="D644" t="inlineStr">
        <is>
          <t>-112K44.7</t>
        </is>
      </c>
      <c r="E644" t="inlineStr">
        <is>
          <t>DIL_EM-10-G</t>
        </is>
      </c>
      <c r="F644" t="inlineStr">
        <is>
          <t>#KALK!</t>
        </is>
      </c>
      <c r="G644" t="inlineStr">
        <is>
          <t>LASTSCHUETZ</t>
        </is>
      </c>
      <c r="H644" t="inlineStr">
        <is>
          <t>4kW 1S</t>
        </is>
      </c>
      <c r="I644">
        <v>1040</v>
      </c>
      <c r="J644">
        <f>GC03/112.6</f>
        <v>0</v>
      </c>
      <c r="M644" t="inlineStr">
        <is>
          <t>-112K44.7</t>
        </is>
      </c>
    </row>
    <row r="645">
      <c r="A645">
        <v>644</v>
      </c>
      <c r="B645">
        <f>GS14</f>
        <v>0</v>
      </c>
      <c r="C645" t="inlineStr">
        <is>
          <t>+LS2</t>
        </is>
      </c>
      <c r="D645" t="inlineStr">
        <is>
          <t>-112K58.0</t>
        </is>
      </c>
      <c r="E645" t="inlineStr">
        <is>
          <t>DIL_EM-10-G</t>
        </is>
      </c>
      <c r="F645" t="inlineStr">
        <is>
          <t>#KALK!</t>
        </is>
      </c>
      <c r="G645" t="inlineStr">
        <is>
          <t>LASTSCHUETZ</t>
        </is>
      </c>
      <c r="H645" t="inlineStr">
        <is>
          <t>4kW 1S</t>
        </is>
      </c>
      <c r="I645">
        <v>238</v>
      </c>
      <c r="J645">
        <f>GS14/112.6</f>
        <v>0</v>
      </c>
      <c r="M645" t="inlineStr">
        <is>
          <t>-112K58.0</t>
        </is>
      </c>
    </row>
    <row r="646">
      <c r="A646">
        <v>645</v>
      </c>
      <c r="B646">
        <f>GS24</f>
        <v>0</v>
      </c>
      <c r="C646" t="inlineStr">
        <is>
          <t>+LS2</t>
        </is>
      </c>
      <c r="D646" t="inlineStr">
        <is>
          <t>-112K58.0</t>
        </is>
      </c>
      <c r="E646" t="inlineStr">
        <is>
          <t>DIL_EM-10-G</t>
        </is>
      </c>
      <c r="F646" t="inlineStr">
        <is>
          <t>#KALK!</t>
        </is>
      </c>
      <c r="G646" t="inlineStr">
        <is>
          <t>LASTSCHUETZ</t>
        </is>
      </c>
      <c r="H646" t="inlineStr">
        <is>
          <t>4kW 1S</t>
        </is>
      </c>
      <c r="I646">
        <v>967</v>
      </c>
      <c r="J646">
        <f>GS24/112.6</f>
        <v>0</v>
      </c>
      <c r="M646" t="inlineStr">
        <is>
          <t>-112K58.0</t>
        </is>
      </c>
    </row>
    <row r="647">
      <c r="A647">
        <v>646</v>
      </c>
      <c r="B647">
        <f>GS14</f>
        <v>0</v>
      </c>
      <c r="C647" t="inlineStr">
        <is>
          <t>+LS2</t>
        </is>
      </c>
      <c r="D647" t="inlineStr">
        <is>
          <t>-112K58.1</t>
        </is>
      </c>
      <c r="E647" t="inlineStr">
        <is>
          <t>DIL_EM-10-G</t>
        </is>
      </c>
      <c r="F647" t="inlineStr">
        <is>
          <t>#KALK!</t>
        </is>
      </c>
      <c r="G647" t="inlineStr">
        <is>
          <t>LASTSCHUETZ</t>
        </is>
      </c>
      <c r="H647" t="inlineStr">
        <is>
          <t>4kW 1S</t>
        </is>
      </c>
      <c r="I647">
        <v>238</v>
      </c>
      <c r="J647">
        <f>GS14/112.6</f>
        <v>0</v>
      </c>
      <c r="M647" t="inlineStr">
        <is>
          <t>-112K58.1</t>
        </is>
      </c>
    </row>
    <row r="648">
      <c r="A648">
        <v>647</v>
      </c>
      <c r="B648">
        <f>GS24</f>
        <v>0</v>
      </c>
      <c r="C648" t="inlineStr">
        <is>
          <t>+LS2</t>
        </is>
      </c>
      <c r="D648" t="inlineStr">
        <is>
          <t>-112K58.1</t>
        </is>
      </c>
      <c r="E648" t="inlineStr">
        <is>
          <t>DIL_EM-10-G</t>
        </is>
      </c>
      <c r="F648" t="inlineStr">
        <is>
          <t>#KALK!</t>
        </is>
      </c>
      <c r="G648" t="inlineStr">
        <is>
          <t>LASTSCHUETZ</t>
        </is>
      </c>
      <c r="H648" t="inlineStr">
        <is>
          <t>4kW 1S</t>
        </is>
      </c>
      <c r="I648">
        <v>967</v>
      </c>
      <c r="J648">
        <f>GS24/112.6</f>
        <v>0</v>
      </c>
      <c r="M648" t="inlineStr">
        <is>
          <t>-112K58.1</t>
        </is>
      </c>
    </row>
    <row r="649">
      <c r="A649">
        <v>648</v>
      </c>
      <c r="B649">
        <f>GS15</f>
        <v>0</v>
      </c>
      <c r="C649" t="inlineStr">
        <is>
          <t>+LS1</t>
        </is>
      </c>
      <c r="D649" t="inlineStr">
        <is>
          <t>-112K60.7</t>
        </is>
      </c>
      <c r="E649" t="inlineStr">
        <is>
          <t>DIL_EM-10-G</t>
        </is>
      </c>
      <c r="F649" t="inlineStr">
        <is>
          <t>#KALK!</t>
        </is>
      </c>
      <c r="G649" t="inlineStr">
        <is>
          <t>LASTSCHUETZ</t>
        </is>
      </c>
      <c r="H649" t="inlineStr">
        <is>
          <t>4kW 1S</t>
        </is>
      </c>
      <c r="I649">
        <v>599</v>
      </c>
      <c r="J649">
        <f>GS15/112.6</f>
        <v>0</v>
      </c>
      <c r="M649" t="inlineStr">
        <is>
          <t>-112K60.7</t>
        </is>
      </c>
    </row>
    <row r="650">
      <c r="A650">
        <v>649</v>
      </c>
      <c r="B650">
        <f>GS7x</f>
        <v>0</v>
      </c>
      <c r="C650" t="inlineStr">
        <is>
          <t>+LS[l1]</t>
        </is>
      </c>
      <c r="D650" t="inlineStr">
        <is>
          <t>-112Q[a+10].0</t>
        </is>
      </c>
      <c r="E650" t="inlineStr">
        <is>
          <t>DILM-9-10</t>
        </is>
      </c>
      <c r="F650" t="inlineStr">
        <is>
          <t>#KALK!</t>
        </is>
      </c>
      <c r="G650" t="inlineStr">
        <is>
          <t>LASTSCHUETZ</t>
        </is>
      </c>
      <c r="H650" t="inlineStr">
        <is>
          <t>4kW 1S Federzugkl.</t>
        </is>
      </c>
      <c r="I650">
        <v>350</v>
      </c>
      <c r="J650">
        <f>GS7x/112.6</f>
        <v>0</v>
      </c>
      <c r="M650" t="inlineStr">
        <is>
          <t>-112Q[a+10].0</t>
        </is>
      </c>
    </row>
    <row r="651">
      <c r="A651">
        <v>650</v>
      </c>
      <c r="B651">
        <f>GS55</f>
        <v>0</v>
      </c>
      <c r="C651" t="inlineStr">
        <is>
          <t>+LS18</t>
        </is>
      </c>
      <c r="D651" t="inlineStr">
        <is>
          <t>-1130Q1</t>
        </is>
      </c>
      <c r="E651" t="inlineStr">
        <is>
          <t>DILA-XHI22</t>
        </is>
      </c>
      <c r="F651" t="inlineStr">
        <is>
          <t>DILA-XHI22</t>
        </is>
      </c>
      <c r="G651" t="inlineStr">
        <is>
          <t>HILFSKONTAKTBLOCK</t>
        </is>
      </c>
      <c r="H651" t="inlineStr">
        <is>
          <t>2S 2OE Last+Hilfssch. Cage</t>
        </is>
      </c>
      <c r="I651">
        <v>1372</v>
      </c>
      <c r="J651">
        <f>GS55/1130.6</f>
        <v>0</v>
      </c>
      <c r="K651" t="inlineStr">
        <is>
          <t>DIL MC25</t>
        </is>
      </c>
      <c r="M651" t="inlineStr">
        <is>
          <t>-1130Q1</t>
        </is>
      </c>
    </row>
    <row r="652">
      <c r="A652">
        <v>651</v>
      </c>
      <c r="B652">
        <f>GS55</f>
        <v>0</v>
      </c>
      <c r="C652" t="inlineStr">
        <is>
          <t>+LS18</t>
        </is>
      </c>
      <c r="D652" t="inlineStr">
        <is>
          <t>-1130Q1</t>
        </is>
      </c>
      <c r="E652" t="inlineStr">
        <is>
          <t>DILMC25-10(RDC24)</t>
        </is>
      </c>
      <c r="F652" t="inlineStr">
        <is>
          <t>DILA-XHI22</t>
        </is>
      </c>
      <c r="G652" t="inlineStr">
        <is>
          <t>LASTSCHUETZ</t>
        </is>
      </c>
      <c r="H652" t="inlineStr">
        <is>
          <t>11kW 1S Federzugkl.</t>
        </is>
      </c>
      <c r="I652">
        <v>1372</v>
      </c>
      <c r="J652">
        <f>GS55/1130.6</f>
        <v>0</v>
      </c>
      <c r="K652" t="inlineStr">
        <is>
          <t>DIL MC25</t>
        </is>
      </c>
      <c r="M652" t="inlineStr">
        <is>
          <t>-1130Q1</t>
        </is>
      </c>
    </row>
    <row r="653">
      <c r="A653">
        <v>652</v>
      </c>
      <c r="B653">
        <f>GS55</f>
        <v>0</v>
      </c>
      <c r="C653" t="inlineStr">
        <is>
          <t>+LS18</t>
        </is>
      </c>
      <c r="D653" t="inlineStr">
        <is>
          <t>-1131Q449.1</t>
        </is>
      </c>
      <c r="E653" t="inlineStr">
        <is>
          <t>DILM-9-10</t>
        </is>
      </c>
      <c r="F653" t="inlineStr">
        <is>
          <t>DILA-XHI22</t>
        </is>
      </c>
      <c r="G653" t="inlineStr">
        <is>
          <t>LASTSCHUETZ</t>
        </is>
      </c>
      <c r="H653" t="inlineStr">
        <is>
          <t>4kW 1S Federzugkl.</t>
        </is>
      </c>
      <c r="I653">
        <v>1371</v>
      </c>
      <c r="J653">
        <f>GS55/1131.6</f>
        <v>0</v>
      </c>
      <c r="K653" t="inlineStr">
        <is>
          <t>DIL MC9</t>
        </is>
      </c>
      <c r="M653" t="inlineStr">
        <is>
          <t>-1131Q449.1</t>
        </is>
      </c>
    </row>
    <row r="654">
      <c r="A654">
        <v>653</v>
      </c>
      <c r="B654">
        <f>GS55</f>
        <v>0</v>
      </c>
      <c r="C654" t="inlineStr">
        <is>
          <t>+LS18</t>
        </is>
      </c>
      <c r="D654" t="inlineStr">
        <is>
          <t>-1131Q449.1</t>
        </is>
      </c>
      <c r="E654" t="inlineStr">
        <is>
          <t>DILA-XHI22</t>
        </is>
      </c>
      <c r="F654" t="inlineStr">
        <is>
          <t>DILA-XHI22</t>
        </is>
      </c>
      <c r="G654" t="inlineStr">
        <is>
          <t>HILFSKONTAKTBLOCK</t>
        </is>
      </c>
      <c r="H654" t="inlineStr">
        <is>
          <t>2S 2OE Last+Hilfssch. Cage</t>
        </is>
      </c>
      <c r="I654">
        <v>1371</v>
      </c>
      <c r="J654">
        <f>GS55/1131.6</f>
        <v>0</v>
      </c>
      <c r="K654" t="inlineStr">
        <is>
          <t>DIL MC9</t>
        </is>
      </c>
      <c r="M654" t="inlineStr">
        <is>
          <t>-1131Q449.1</t>
        </is>
      </c>
    </row>
    <row r="655">
      <c r="A655">
        <v>654</v>
      </c>
      <c r="B655">
        <f>GS55</f>
        <v>0</v>
      </c>
      <c r="C655" t="inlineStr">
        <is>
          <t>+LS18</t>
        </is>
      </c>
      <c r="D655" t="inlineStr">
        <is>
          <t>-1131Q449.2</t>
        </is>
      </c>
      <c r="E655" t="inlineStr">
        <is>
          <t>DILM-9-10</t>
        </is>
      </c>
      <c r="F655" t="inlineStr">
        <is>
          <t>DILA-XHI22</t>
        </is>
      </c>
      <c r="G655" t="inlineStr">
        <is>
          <t>LASTSCHUETZ</t>
        </is>
      </c>
      <c r="H655" t="inlineStr">
        <is>
          <t>4kW 1S Federzugkl.</t>
        </is>
      </c>
      <c r="I655">
        <v>1371</v>
      </c>
      <c r="J655">
        <f>GS55/1131.7</f>
        <v>0</v>
      </c>
      <c r="K655" t="inlineStr">
        <is>
          <t>DIL MC9</t>
        </is>
      </c>
      <c r="M655" t="inlineStr">
        <is>
          <t>-1131Q449.2</t>
        </is>
      </c>
    </row>
    <row r="656">
      <c r="A656">
        <v>655</v>
      </c>
      <c r="B656">
        <f>GS55</f>
        <v>0</v>
      </c>
      <c r="C656" t="inlineStr">
        <is>
          <t>+LS18</t>
        </is>
      </c>
      <c r="D656" t="inlineStr">
        <is>
          <t>-1131Q449.2</t>
        </is>
      </c>
      <c r="E656" t="inlineStr">
        <is>
          <t>DILA-XHI22</t>
        </is>
      </c>
      <c r="F656" t="inlineStr">
        <is>
          <t>DILA-XHI22</t>
        </is>
      </c>
      <c r="G656" t="inlineStr">
        <is>
          <t>HILFSKONTAKTBLOCK</t>
        </is>
      </c>
      <c r="H656" t="inlineStr">
        <is>
          <t>2S 2OE Last+Hilfssch. Cage</t>
        </is>
      </c>
      <c r="I656">
        <v>1371</v>
      </c>
      <c r="J656">
        <f>GS55/1131.7</f>
        <v>0</v>
      </c>
      <c r="K656" t="inlineStr">
        <is>
          <t>DIL MC9</t>
        </is>
      </c>
      <c r="M656" t="inlineStr">
        <is>
          <t>-1131Q449.2</t>
        </is>
      </c>
    </row>
    <row r="657">
      <c r="A657">
        <v>656</v>
      </c>
      <c r="B657">
        <f>GS06</f>
        <v>0</v>
      </c>
      <c r="C657" t="inlineStr">
        <is>
          <t>+LS17</t>
        </is>
      </c>
      <c r="D657" t="inlineStr">
        <is>
          <t>-1134K1</t>
        </is>
      </c>
      <c r="E657" t="inlineStr">
        <is>
          <t>DILM-9-01</t>
        </is>
      </c>
      <c r="F657" t="inlineStr">
        <is>
          <t>#KALK!</t>
        </is>
      </c>
      <c r="G657" t="inlineStr">
        <is>
          <t>LASTSCHUETZ</t>
        </is>
      </c>
      <c r="H657" t="inlineStr">
        <is>
          <t>4kW 1Oe Federzugkl.</t>
        </is>
      </c>
      <c r="I657">
        <v>333</v>
      </c>
      <c r="J657">
        <f>GS06/1134.6</f>
        <v>0</v>
      </c>
      <c r="M657" t="inlineStr">
        <is>
          <t>-1134K1</t>
        </is>
      </c>
    </row>
    <row r="658">
      <c r="A658">
        <v>657</v>
      </c>
      <c r="B658">
        <f>GS06</f>
        <v>0</v>
      </c>
      <c r="C658" t="inlineStr">
        <is>
          <t>+LS17</t>
        </is>
      </c>
      <c r="D658" t="inlineStr">
        <is>
          <t>-1134K2</t>
        </is>
      </c>
      <c r="E658" t="inlineStr">
        <is>
          <t>DILM-9-01</t>
        </is>
      </c>
      <c r="F658" t="inlineStr">
        <is>
          <t>#KALK!</t>
        </is>
      </c>
      <c r="G658" t="inlineStr">
        <is>
          <t>LASTSCHUETZ</t>
        </is>
      </c>
      <c r="H658" t="inlineStr">
        <is>
          <t>4kW 1Oe Federzugkl.</t>
        </is>
      </c>
      <c r="I658">
        <v>333</v>
      </c>
      <c r="J658">
        <f>GS06/1134.7</f>
        <v>0</v>
      </c>
      <c r="M658" t="inlineStr">
        <is>
          <t>-1134K2</t>
        </is>
      </c>
    </row>
    <row r="659">
      <c r="A659">
        <v>658</v>
      </c>
      <c r="B659">
        <f>GS06</f>
        <v>0</v>
      </c>
      <c r="C659" t="inlineStr">
        <is>
          <t>+LS17</t>
        </is>
      </c>
      <c r="D659" t="inlineStr">
        <is>
          <t>-1135K1</t>
        </is>
      </c>
      <c r="E659" t="inlineStr">
        <is>
          <t>DILM-9-01</t>
        </is>
      </c>
      <c r="F659" t="inlineStr">
        <is>
          <t>#KALK!</t>
        </is>
      </c>
      <c r="G659" t="inlineStr">
        <is>
          <t>LASTSCHUETZ</t>
        </is>
      </c>
      <c r="H659" t="inlineStr">
        <is>
          <t>4kW 1Oe Federzugkl.</t>
        </is>
      </c>
      <c r="I659">
        <v>332</v>
      </c>
      <c r="J659">
        <f>GS06/1135.6</f>
        <v>0</v>
      </c>
      <c r="M659" t="inlineStr">
        <is>
          <t>-1135K1</t>
        </is>
      </c>
    </row>
    <row r="660">
      <c r="A660">
        <v>659</v>
      </c>
      <c r="B660">
        <f>GS06</f>
        <v>0</v>
      </c>
      <c r="C660" t="inlineStr">
        <is>
          <t>+LS17</t>
        </is>
      </c>
      <c r="D660" t="inlineStr">
        <is>
          <t>-1135K2</t>
        </is>
      </c>
      <c r="E660" t="inlineStr">
        <is>
          <t>DILM-9-01</t>
        </is>
      </c>
      <c r="F660" t="inlineStr">
        <is>
          <t>#KALK!</t>
        </is>
      </c>
      <c r="G660" t="inlineStr">
        <is>
          <t>LASTSCHUETZ</t>
        </is>
      </c>
      <c r="H660" t="inlineStr">
        <is>
          <t>4kW 1Oe Federzugkl.</t>
        </is>
      </c>
      <c r="I660">
        <v>332</v>
      </c>
      <c r="J660">
        <f>GS06/1135.7</f>
        <v>0</v>
      </c>
      <c r="M660" t="inlineStr">
        <is>
          <t>-1135K2</t>
        </is>
      </c>
    </row>
    <row r="661">
      <c r="A661">
        <v>660</v>
      </c>
      <c r="B661">
        <f>GS06</f>
        <v>0</v>
      </c>
      <c r="C661" t="inlineStr">
        <is>
          <t>+LS17</t>
        </is>
      </c>
      <c r="D661" t="inlineStr">
        <is>
          <t>-1136K1</t>
        </is>
      </c>
      <c r="E661" t="inlineStr">
        <is>
          <t>DILA-40</t>
        </is>
      </c>
      <c r="F661" t="inlineStr">
        <is>
          <t>#KALK!</t>
        </is>
      </c>
      <c r="G661" t="inlineStr">
        <is>
          <t>HILFSSCHUETZ</t>
        </is>
      </c>
      <c r="H661" t="inlineStr">
        <is>
          <t>4S Federzugkl.</t>
        </is>
      </c>
      <c r="I661">
        <v>282</v>
      </c>
      <c r="J661">
        <f>GS06/1136.8</f>
        <v>0</v>
      </c>
      <c r="M661" t="inlineStr">
        <is>
          <t>-1136K1</t>
        </is>
      </c>
    </row>
    <row r="662">
      <c r="A662">
        <v>661</v>
      </c>
      <c r="B662">
        <f>GS06</f>
        <v>0</v>
      </c>
      <c r="C662" t="inlineStr">
        <is>
          <t>+LS17</t>
        </is>
      </c>
      <c r="D662" t="inlineStr">
        <is>
          <t>-1137K1</t>
        </is>
      </c>
      <c r="E662" t="inlineStr">
        <is>
          <t>DILM-9-01</t>
        </is>
      </c>
      <c r="F662" t="inlineStr">
        <is>
          <t>#KALK!</t>
        </is>
      </c>
      <c r="G662" t="inlineStr">
        <is>
          <t>LASTSCHUETZ</t>
        </is>
      </c>
      <c r="H662" t="inlineStr">
        <is>
          <t>4kW 1Oe Federzugkl.</t>
        </is>
      </c>
      <c r="I662">
        <v>285</v>
      </c>
      <c r="J662">
        <f>GS06/1137.6</f>
        <v>0</v>
      </c>
      <c r="M662" t="inlineStr">
        <is>
          <t>-1137K1</t>
        </is>
      </c>
    </row>
    <row r="663">
      <c r="A663">
        <v>662</v>
      </c>
      <c r="B663">
        <f>GS06</f>
        <v>0</v>
      </c>
      <c r="C663" t="inlineStr">
        <is>
          <t>+LS17</t>
        </is>
      </c>
      <c r="D663" t="inlineStr">
        <is>
          <t>-1137K2</t>
        </is>
      </c>
      <c r="E663" t="inlineStr">
        <is>
          <t>DILM-9-01</t>
        </is>
      </c>
      <c r="F663" t="inlineStr">
        <is>
          <t>#KALK!</t>
        </is>
      </c>
      <c r="G663" t="inlineStr">
        <is>
          <t>LASTSCHUETZ</t>
        </is>
      </c>
      <c r="H663" t="inlineStr">
        <is>
          <t>4kW 1Oe Federzugkl.</t>
        </is>
      </c>
      <c r="I663">
        <v>285</v>
      </c>
      <c r="J663">
        <f>GS06/1137.7</f>
        <v>0</v>
      </c>
      <c r="M663" t="inlineStr">
        <is>
          <t>-1137K2</t>
        </is>
      </c>
    </row>
    <row r="664">
      <c r="A664">
        <v>663</v>
      </c>
      <c r="B664">
        <f>GS16</f>
        <v>0</v>
      </c>
      <c r="C664" t="inlineStr">
        <is>
          <t>+LS1</t>
        </is>
      </c>
      <c r="D664" t="inlineStr">
        <is>
          <t>-113K1</t>
        </is>
      </c>
      <c r="E664" t="inlineStr">
        <is>
          <t>22_DIL-M</t>
        </is>
      </c>
      <c r="F664" t="inlineStr">
        <is>
          <t>22_DIL-M</t>
        </is>
      </c>
      <c r="G664" t="inlineStr">
        <is>
          <t>HILFSKONTAKTBLOCK</t>
        </is>
      </c>
      <c r="H664" t="inlineStr">
        <is>
          <t>2S 2OE Lastschuetz DIL M</t>
        </is>
      </c>
      <c r="I664">
        <v>333</v>
      </c>
      <c r="J664">
        <f>GS16/113.2</f>
        <v>0</v>
      </c>
      <c r="K664" t="inlineStr">
        <is>
          <t>DIL0AM</t>
        </is>
      </c>
      <c r="M664" t="inlineStr">
        <is>
          <t>-113K1</t>
        </is>
      </c>
    </row>
    <row r="665">
      <c r="A665">
        <v>664</v>
      </c>
      <c r="B665">
        <f>GS16</f>
        <v>0</v>
      </c>
      <c r="C665" t="inlineStr">
        <is>
          <t>+LS1</t>
        </is>
      </c>
      <c r="D665" t="inlineStr">
        <is>
          <t>-113K1</t>
        </is>
      </c>
      <c r="E665" t="inlineStr">
        <is>
          <t>DIL_0AM</t>
        </is>
      </c>
      <c r="F665" t="inlineStr">
        <is>
          <t>22_DIL-M</t>
        </is>
      </c>
      <c r="G665" t="inlineStr">
        <is>
          <t>LASTSCHUETZ</t>
        </is>
      </c>
      <c r="H665" t="inlineStr">
        <is>
          <t>11 kW</t>
        </is>
      </c>
      <c r="I665">
        <v>333</v>
      </c>
      <c r="J665">
        <f>GS16/113.2</f>
        <v>0</v>
      </c>
      <c r="K665" t="inlineStr">
        <is>
          <t>DIL0AM</t>
        </is>
      </c>
      <c r="M665" t="inlineStr">
        <is>
          <t>-113K1</t>
        </is>
      </c>
    </row>
    <row r="666">
      <c r="A666">
        <v>665</v>
      </c>
      <c r="B666">
        <f>GS33</f>
        <v>0</v>
      </c>
      <c r="C666" t="inlineStr">
        <is>
          <t>+LS1</t>
        </is>
      </c>
      <c r="D666" t="inlineStr">
        <is>
          <t>-113K14.3</t>
        </is>
      </c>
      <c r="E666" t="inlineStr">
        <is>
          <t>DIL_EM-10-G</t>
        </is>
      </c>
      <c r="F666" t="inlineStr">
        <is>
          <t>#KALK!</t>
        </is>
      </c>
      <c r="G666" t="inlineStr">
        <is>
          <t>LASTSCHUETZ</t>
        </is>
      </c>
      <c r="H666" t="inlineStr">
        <is>
          <t>4kW 1S</t>
        </is>
      </c>
      <c r="I666">
        <v>545</v>
      </c>
      <c r="J666">
        <f>GS33/113.7</f>
        <v>0</v>
      </c>
      <c r="M666" t="inlineStr">
        <is>
          <t>-113K14.3</t>
        </is>
      </c>
    </row>
    <row r="667">
      <c r="A667">
        <v>666</v>
      </c>
      <c r="B667">
        <f>GS34</f>
        <v>0</v>
      </c>
      <c r="C667" t="inlineStr">
        <is>
          <t>+LS1</t>
        </is>
      </c>
      <c r="D667" t="inlineStr">
        <is>
          <t>-113K15.6</t>
        </is>
      </c>
      <c r="E667" t="inlineStr">
        <is>
          <t>DIL_EM-10-G</t>
        </is>
      </c>
      <c r="F667" t="inlineStr">
        <is>
          <t>#KALK!</t>
        </is>
      </c>
      <c r="G667" t="inlineStr">
        <is>
          <t>LASTSCHUETZ</t>
        </is>
      </c>
      <c r="H667" t="inlineStr">
        <is>
          <t>4kW 1S</t>
        </is>
      </c>
      <c r="I667">
        <v>237</v>
      </c>
      <c r="J667">
        <f>GS34/113.6</f>
        <v>0</v>
      </c>
      <c r="M667" t="inlineStr">
        <is>
          <t>-113K15.6</t>
        </is>
      </c>
    </row>
    <row r="668">
      <c r="A668">
        <v>667</v>
      </c>
      <c r="B668">
        <f>GS34</f>
        <v>0</v>
      </c>
      <c r="C668" t="inlineStr">
        <is>
          <t>+LS1</t>
        </is>
      </c>
      <c r="D668" t="inlineStr">
        <is>
          <t>-113K15.7</t>
        </is>
      </c>
      <c r="E668" t="inlineStr">
        <is>
          <t>DIL_EM-10-G</t>
        </is>
      </c>
      <c r="F668" t="inlineStr">
        <is>
          <t>#KALK!</t>
        </is>
      </c>
      <c r="G668" t="inlineStr">
        <is>
          <t>LASTSCHUETZ</t>
        </is>
      </c>
      <c r="H668" t="inlineStr">
        <is>
          <t>4kW 1S</t>
        </is>
      </c>
      <c r="I668">
        <v>237</v>
      </c>
      <c r="J668">
        <f>GS34/113.6</f>
        <v>0</v>
      </c>
      <c r="M668" t="inlineStr">
        <is>
          <t>-113K15.7</t>
        </is>
      </c>
    </row>
    <row r="669">
      <c r="A669">
        <v>668</v>
      </c>
      <c r="B669">
        <f>GS31</f>
        <v>0</v>
      </c>
      <c r="C669" t="inlineStr">
        <is>
          <t>+LS1</t>
        </is>
      </c>
      <c r="D669" t="inlineStr">
        <is>
          <t>-113K19.0</t>
        </is>
      </c>
      <c r="E669" t="inlineStr">
        <is>
          <t>DIL_EM-10-G</t>
        </is>
      </c>
      <c r="F669" t="inlineStr">
        <is>
          <t>#KALK!</t>
        </is>
      </c>
      <c r="G669" t="inlineStr">
        <is>
          <t>LASTSCHUETZ</t>
        </is>
      </c>
      <c r="H669" t="inlineStr">
        <is>
          <t>4kW 1S</t>
        </is>
      </c>
      <c r="I669">
        <v>397</v>
      </c>
      <c r="J669">
        <f>GS31/113.6</f>
        <v>0</v>
      </c>
      <c r="M669" t="inlineStr">
        <is>
          <t>-113K19.0</t>
        </is>
      </c>
    </row>
    <row r="670">
      <c r="A670">
        <v>669</v>
      </c>
      <c r="B670">
        <f>GS31</f>
        <v>0</v>
      </c>
      <c r="C670" t="inlineStr">
        <is>
          <t>+LS1</t>
        </is>
      </c>
      <c r="D670" t="inlineStr">
        <is>
          <t>-113K19.1</t>
        </is>
      </c>
      <c r="E670" t="inlineStr">
        <is>
          <t>DIL_EM-10-G</t>
        </is>
      </c>
      <c r="F670" t="inlineStr">
        <is>
          <t>#KALK!</t>
        </is>
      </c>
      <c r="G670" t="inlineStr">
        <is>
          <t>LASTSCHUETZ</t>
        </is>
      </c>
      <c r="H670" t="inlineStr">
        <is>
          <t>4kW 1S</t>
        </is>
      </c>
      <c r="I670">
        <v>397</v>
      </c>
      <c r="J670">
        <f>GS31/113.6</f>
        <v>0</v>
      </c>
      <c r="M670" t="inlineStr">
        <is>
          <t>-113K19.1</t>
        </is>
      </c>
    </row>
    <row r="671">
      <c r="A671">
        <v>670</v>
      </c>
      <c r="B671">
        <f>GS32</f>
        <v>0</v>
      </c>
      <c r="C671" t="inlineStr">
        <is>
          <t>+LS1</t>
        </is>
      </c>
      <c r="D671" t="inlineStr">
        <is>
          <t>-113K24.6</t>
        </is>
      </c>
      <c r="E671" t="inlineStr">
        <is>
          <t>DIL_EM-10-G</t>
        </is>
      </c>
      <c r="F671" t="inlineStr">
        <is>
          <t>#KALK!</t>
        </is>
      </c>
      <c r="G671" t="inlineStr">
        <is>
          <t>LASTSCHUETZ</t>
        </is>
      </c>
      <c r="H671" t="inlineStr">
        <is>
          <t>4kW 1S</t>
        </is>
      </c>
      <c r="I671">
        <v>917</v>
      </c>
      <c r="J671">
        <f>GS32/113.6</f>
        <v>0</v>
      </c>
      <c r="M671" t="inlineStr">
        <is>
          <t>-113K24.6</t>
        </is>
      </c>
    </row>
    <row r="672">
      <c r="A672">
        <v>671</v>
      </c>
      <c r="B672">
        <f>GS32</f>
        <v>0</v>
      </c>
      <c r="C672" t="inlineStr">
        <is>
          <t>+LS1</t>
        </is>
      </c>
      <c r="D672" t="inlineStr">
        <is>
          <t>-113K24.7</t>
        </is>
      </c>
      <c r="E672" t="inlineStr">
        <is>
          <t>DIL_EM-10-G</t>
        </is>
      </c>
      <c r="F672" t="inlineStr">
        <is>
          <t>#KALK!</t>
        </is>
      </c>
      <c r="G672" t="inlineStr">
        <is>
          <t>LASTSCHUETZ</t>
        </is>
      </c>
      <c r="H672" t="inlineStr">
        <is>
          <t>4kW 1S</t>
        </is>
      </c>
      <c r="I672">
        <v>917</v>
      </c>
      <c r="J672">
        <f>GS32/113.6</f>
        <v>0</v>
      </c>
      <c r="M672" t="inlineStr">
        <is>
          <t>-113K24.7</t>
        </is>
      </c>
    </row>
    <row r="673">
      <c r="A673">
        <v>672</v>
      </c>
      <c r="B673">
        <f>GS11</f>
        <v>0</v>
      </c>
      <c r="C673" t="inlineStr">
        <is>
          <t>+LS1</t>
        </is>
      </c>
      <c r="D673" t="inlineStr">
        <is>
          <t>-113K28.7</t>
        </is>
      </c>
      <c r="E673" t="inlineStr">
        <is>
          <t>DIL_EM-10-G</t>
        </is>
      </c>
      <c r="F673" t="inlineStr">
        <is>
          <t>#KALK!</t>
        </is>
      </c>
      <c r="G673" t="inlineStr">
        <is>
          <t>LASTSCHUETZ</t>
        </is>
      </c>
      <c r="H673" t="inlineStr">
        <is>
          <t>4kW 1S</t>
        </is>
      </c>
      <c r="I673">
        <v>224</v>
      </c>
      <c r="J673">
        <f>GS11/113.7</f>
        <v>0</v>
      </c>
      <c r="M673" t="inlineStr">
        <is>
          <t>-113K28.7</t>
        </is>
      </c>
    </row>
    <row r="674">
      <c r="A674">
        <v>673</v>
      </c>
      <c r="B674">
        <f>GS21</f>
        <v>0</v>
      </c>
      <c r="C674" t="inlineStr">
        <is>
          <t>+LS1</t>
        </is>
      </c>
      <c r="D674" t="inlineStr">
        <is>
          <t>-113K28.7</t>
        </is>
      </c>
      <c r="E674" t="inlineStr">
        <is>
          <t>DIL_EM-10-G</t>
        </is>
      </c>
      <c r="F674" t="inlineStr">
        <is>
          <t>#KALK!</t>
        </is>
      </c>
      <c r="G674" t="inlineStr">
        <is>
          <t>LASTSCHUETZ</t>
        </is>
      </c>
      <c r="H674" t="inlineStr">
        <is>
          <t>4kW 1S</t>
        </is>
      </c>
      <c r="I674">
        <v>198</v>
      </c>
      <c r="J674">
        <f>GS21/113.7</f>
        <v>0</v>
      </c>
      <c r="M674" t="inlineStr">
        <is>
          <t>-113K28.7</t>
        </is>
      </c>
    </row>
    <row r="675">
      <c r="A675">
        <v>674</v>
      </c>
      <c r="B675">
        <f>GS26</f>
        <v>0</v>
      </c>
      <c r="C675" t="inlineStr">
        <is>
          <t>+LS1</t>
        </is>
      </c>
      <c r="D675" t="inlineStr">
        <is>
          <t>-113K3532.4</t>
        </is>
      </c>
      <c r="E675" t="inlineStr">
        <is>
          <t>DILM-9-10</t>
        </is>
      </c>
      <c r="F675" t="inlineStr">
        <is>
          <t>#KALK!</t>
        </is>
      </c>
      <c r="G675" t="inlineStr">
        <is>
          <t>LASTSCHUETZ</t>
        </is>
      </c>
      <c r="H675" t="inlineStr">
        <is>
          <t>4kW 1S Federzugkl.</t>
        </is>
      </c>
      <c r="I675">
        <v>247</v>
      </c>
      <c r="J675">
        <f>GS26/113.6</f>
        <v>0</v>
      </c>
      <c r="M675" t="inlineStr">
        <is>
          <t>-113K3532.4</t>
        </is>
      </c>
    </row>
    <row r="676">
      <c r="A676">
        <v>675</v>
      </c>
      <c r="B676">
        <f>GS14</f>
        <v>0</v>
      </c>
      <c r="C676" t="inlineStr">
        <is>
          <t>+LS2</t>
        </is>
      </c>
      <c r="D676" t="inlineStr">
        <is>
          <t>-113K58.2</t>
        </is>
      </c>
      <c r="E676" t="inlineStr">
        <is>
          <t>DIL_EM-10-G</t>
        </is>
      </c>
      <c r="F676" t="inlineStr">
        <is>
          <t>#KALK!</t>
        </is>
      </c>
      <c r="G676" t="inlineStr">
        <is>
          <t>LASTSCHUETZ</t>
        </is>
      </c>
      <c r="H676" t="inlineStr">
        <is>
          <t>4kW 1S</t>
        </is>
      </c>
      <c r="I676">
        <v>239</v>
      </c>
      <c r="J676">
        <f>GS14/113.6</f>
        <v>0</v>
      </c>
      <c r="M676" t="inlineStr">
        <is>
          <t>-113K58.2</t>
        </is>
      </c>
    </row>
    <row r="677">
      <c r="A677">
        <v>676</v>
      </c>
      <c r="B677">
        <f>GS14</f>
        <v>0</v>
      </c>
      <c r="C677" t="inlineStr">
        <is>
          <t>+LS2</t>
        </is>
      </c>
      <c r="D677" t="inlineStr">
        <is>
          <t>-113K58.3</t>
        </is>
      </c>
      <c r="E677" t="inlineStr">
        <is>
          <t>DIL_EM-10-G</t>
        </is>
      </c>
      <c r="F677" t="inlineStr">
        <is>
          <t>#KALK!</t>
        </is>
      </c>
      <c r="G677" t="inlineStr">
        <is>
          <t>LASTSCHUETZ</t>
        </is>
      </c>
      <c r="H677" t="inlineStr">
        <is>
          <t>4kW 1S</t>
        </is>
      </c>
      <c r="I677">
        <v>239</v>
      </c>
      <c r="J677">
        <f>GS14/113.6</f>
        <v>0</v>
      </c>
      <c r="M677" t="inlineStr">
        <is>
          <t>-113K58.3</t>
        </is>
      </c>
    </row>
    <row r="678">
      <c r="A678">
        <v>677</v>
      </c>
      <c r="B678">
        <f>GS15</f>
        <v>0</v>
      </c>
      <c r="C678" t="inlineStr">
        <is>
          <t>+LS1</t>
        </is>
      </c>
      <c r="D678" t="inlineStr">
        <is>
          <t>-113K61.4</t>
        </is>
      </c>
      <c r="E678" t="inlineStr">
        <is>
          <t>DIL_EM-10-G</t>
        </is>
      </c>
      <c r="F678" t="inlineStr">
        <is>
          <t>#KALK!</t>
        </is>
      </c>
      <c r="G678" t="inlineStr">
        <is>
          <t>LASTSCHUETZ</t>
        </is>
      </c>
      <c r="H678" t="inlineStr">
        <is>
          <t>4kW 1S</t>
        </is>
      </c>
      <c r="I678">
        <v>600</v>
      </c>
      <c r="J678">
        <f>GS15/113.6</f>
        <v>0</v>
      </c>
      <c r="M678" t="inlineStr">
        <is>
          <t>-113K61.4</t>
        </is>
      </c>
    </row>
    <row r="679">
      <c r="A679">
        <v>678</v>
      </c>
      <c r="B679">
        <f>GS15</f>
        <v>0</v>
      </c>
      <c r="C679" t="inlineStr">
        <is>
          <t>+LS1</t>
        </is>
      </c>
      <c r="D679" t="inlineStr">
        <is>
          <t>-113K61.5</t>
        </is>
      </c>
      <c r="E679" t="inlineStr">
        <is>
          <t>DIL_EM-10-G</t>
        </is>
      </c>
      <c r="F679" t="inlineStr">
        <is>
          <t>#KALK!</t>
        </is>
      </c>
      <c r="G679" t="inlineStr">
        <is>
          <t>LASTSCHUETZ</t>
        </is>
      </c>
      <c r="H679" t="inlineStr">
        <is>
          <t>4kW 1S</t>
        </is>
      </c>
      <c r="I679">
        <v>600</v>
      </c>
      <c r="J679">
        <f>GS15/113.6</f>
        <v>0</v>
      </c>
      <c r="M679" t="inlineStr">
        <is>
          <t>-113K61.5</t>
        </is>
      </c>
    </row>
    <row r="680">
      <c r="A680">
        <v>679</v>
      </c>
      <c r="B680">
        <f>GS7x</f>
        <v>0</v>
      </c>
      <c r="C680" t="inlineStr">
        <is>
          <t>+LS[l1]</t>
        </is>
      </c>
      <c r="D680" t="inlineStr">
        <is>
          <t>-113Q[a+10].1</t>
        </is>
      </c>
      <c r="E680" t="inlineStr">
        <is>
          <t>DILM-9-10</t>
        </is>
      </c>
      <c r="F680" t="inlineStr">
        <is>
          <t>#KALK!</t>
        </is>
      </c>
      <c r="G680" t="inlineStr">
        <is>
          <t>LASTSCHUETZ</t>
        </is>
      </c>
      <c r="H680" t="inlineStr">
        <is>
          <t>4kW 1S Federzugkl.</t>
        </is>
      </c>
      <c r="I680">
        <v>351</v>
      </c>
      <c r="J680">
        <f>GS7x/113.6</f>
        <v>0</v>
      </c>
      <c r="M680" t="inlineStr">
        <is>
          <t>-113Q[a+10].1</t>
        </is>
      </c>
    </row>
    <row r="681">
      <c r="A681">
        <v>680</v>
      </c>
      <c r="B681">
        <f>GS36</f>
        <v>0</v>
      </c>
      <c r="C681" t="inlineStr">
        <is>
          <t>+LS01</t>
        </is>
      </c>
      <c r="D681" t="inlineStr">
        <is>
          <t>-113Q103.5</t>
        </is>
      </c>
      <c r="E681" t="inlineStr">
        <is>
          <t>DILA-XHI22</t>
        </is>
      </c>
      <c r="F681" t="inlineStr">
        <is>
          <t>DILA-XHI22</t>
        </is>
      </c>
      <c r="G681" t="inlineStr">
        <is>
          <t>HILFSKONTAKTBLOCK</t>
        </is>
      </c>
      <c r="H681" t="inlineStr">
        <is>
          <t>2S 2OE Last+Hilfssch. Cage</t>
        </is>
      </c>
      <c r="I681">
        <v>285</v>
      </c>
      <c r="J681">
        <f>GS36/113.5</f>
        <v>0</v>
      </c>
      <c r="L681" t="inlineStr">
        <is>
          <t>KL_0106</t>
        </is>
      </c>
      <c r="M681" t="inlineStr">
        <is>
          <t>KL_0106
-113Q103.5</t>
        </is>
      </c>
      <c r="N681" t="inlineStr">
        <is>
          <t>P</t>
        </is>
      </c>
    </row>
    <row r="682">
      <c r="A682">
        <v>681</v>
      </c>
      <c r="B682">
        <f>GS36</f>
        <v>0</v>
      </c>
      <c r="C682" t="inlineStr">
        <is>
          <t>+LS01</t>
        </is>
      </c>
      <c r="D682" t="inlineStr">
        <is>
          <t>-113Q103.5</t>
        </is>
      </c>
      <c r="E682" t="inlineStr">
        <is>
          <t>DILM-9-10</t>
        </is>
      </c>
      <c r="F682" t="inlineStr">
        <is>
          <t>DILA-XHI22</t>
        </is>
      </c>
      <c r="G682" t="inlineStr">
        <is>
          <t>LASTSCHUETZ</t>
        </is>
      </c>
      <c r="H682" t="inlineStr">
        <is>
          <t>4kW 1S Federzugkl.</t>
        </is>
      </c>
      <c r="I682">
        <v>285</v>
      </c>
      <c r="J682">
        <f>GS36/113.5</f>
        <v>0</v>
      </c>
      <c r="L682" t="inlineStr">
        <is>
          <t>KL_0106</t>
        </is>
      </c>
      <c r="M682" t="inlineStr">
        <is>
          <t>KL_0106
-113Q103.5</t>
        </is>
      </c>
      <c r="N682" t="inlineStr">
        <is>
          <t>P</t>
        </is>
      </c>
    </row>
    <row r="683">
      <c r="A683">
        <v>682</v>
      </c>
      <c r="B683">
        <f>GS36</f>
        <v>0</v>
      </c>
      <c r="C683" t="inlineStr">
        <is>
          <t>+LS01</t>
        </is>
      </c>
      <c r="D683" t="inlineStr">
        <is>
          <t>-113Q103.6</t>
        </is>
      </c>
      <c r="E683" t="inlineStr">
        <is>
          <t>DILM-9-10</t>
        </is>
      </c>
      <c r="F683" t="inlineStr">
        <is>
          <t>DILA-XHI22</t>
        </is>
      </c>
      <c r="G683" t="inlineStr">
        <is>
          <t>LASTSCHUETZ</t>
        </is>
      </c>
      <c r="H683" t="inlineStr">
        <is>
          <t>4kW 1S Federzugkl.</t>
        </is>
      </c>
      <c r="I683">
        <v>285</v>
      </c>
      <c r="J683">
        <f>GS36/113.6</f>
        <v>0</v>
      </c>
      <c r="L683" t="inlineStr">
        <is>
          <t>KL_0106</t>
        </is>
      </c>
      <c r="M683" t="inlineStr">
        <is>
          <t>KL_0106
-113Q103.6</t>
        </is>
      </c>
      <c r="N683" t="inlineStr">
        <is>
          <t>P</t>
        </is>
      </c>
    </row>
    <row r="684">
      <c r="A684">
        <v>683</v>
      </c>
      <c r="B684">
        <f>GS36</f>
        <v>0</v>
      </c>
      <c r="C684" t="inlineStr">
        <is>
          <t>+LS01</t>
        </is>
      </c>
      <c r="D684" t="inlineStr">
        <is>
          <t>-113Q103.6</t>
        </is>
      </c>
      <c r="E684" t="inlineStr">
        <is>
          <t>DILA-XHI22</t>
        </is>
      </c>
      <c r="F684" t="inlineStr">
        <is>
          <t>DILA-XHI22</t>
        </is>
      </c>
      <c r="G684" t="inlineStr">
        <is>
          <t>HILFSKONTAKTBLOCK</t>
        </is>
      </c>
      <c r="H684" t="inlineStr">
        <is>
          <t>2S 2OE Last+Hilfssch. Cage</t>
        </is>
      </c>
      <c r="I684">
        <v>285</v>
      </c>
      <c r="J684">
        <f>GS36/113.6</f>
        <v>0</v>
      </c>
      <c r="L684" t="inlineStr">
        <is>
          <t>KL_0106</t>
        </is>
      </c>
      <c r="M684" t="inlineStr">
        <is>
          <t>KL_0106
-113Q103.6</t>
        </is>
      </c>
      <c r="N684" t="inlineStr">
        <is>
          <t>P</t>
        </is>
      </c>
    </row>
    <row r="685">
      <c r="A685">
        <v>684</v>
      </c>
      <c r="B685">
        <f>GS05</f>
        <v>0</v>
      </c>
      <c r="C685" t="inlineStr">
        <is>
          <t>+LS18</t>
        </is>
      </c>
      <c r="D685" t="inlineStr">
        <is>
          <t>-1145K1</t>
        </is>
      </c>
      <c r="E685" t="inlineStr">
        <is>
          <t>DILM-9-01</t>
        </is>
      </c>
      <c r="F685" t="inlineStr">
        <is>
          <t>#KALK!</t>
        </is>
      </c>
      <c r="G685" t="inlineStr">
        <is>
          <t>LASTSCHUETZ</t>
        </is>
      </c>
      <c r="H685" t="inlineStr">
        <is>
          <t>4kW 1Oe Federzugkl.</t>
        </is>
      </c>
      <c r="I685">
        <v>2929</v>
      </c>
      <c r="J685">
        <f>GS05/1145.6</f>
        <v>0</v>
      </c>
      <c r="M685" t="inlineStr">
        <is>
          <t>-1145K1</t>
        </is>
      </c>
    </row>
    <row r="686">
      <c r="A686">
        <v>685</v>
      </c>
      <c r="B686">
        <f>GS05</f>
        <v>0</v>
      </c>
      <c r="C686" t="inlineStr">
        <is>
          <t>+LS18</t>
        </is>
      </c>
      <c r="D686" t="inlineStr">
        <is>
          <t>-1145K2</t>
        </is>
      </c>
      <c r="E686" t="inlineStr">
        <is>
          <t>DILM-9-01</t>
        </is>
      </c>
      <c r="F686" t="inlineStr">
        <is>
          <t>#KALK!</t>
        </is>
      </c>
      <c r="G686" t="inlineStr">
        <is>
          <t>LASTSCHUETZ</t>
        </is>
      </c>
      <c r="H686" t="inlineStr">
        <is>
          <t>4kW 1Oe Federzugkl.</t>
        </is>
      </c>
      <c r="I686">
        <v>2929</v>
      </c>
      <c r="J686">
        <f>GS05/1145.7</f>
        <v>0</v>
      </c>
      <c r="M686" t="inlineStr">
        <is>
          <t>-1145K2</t>
        </is>
      </c>
    </row>
    <row r="687">
      <c r="A687">
        <v>686</v>
      </c>
      <c r="B687">
        <f>GS05</f>
        <v>0</v>
      </c>
      <c r="C687" t="inlineStr">
        <is>
          <t>+LS18</t>
        </is>
      </c>
      <c r="D687" t="inlineStr">
        <is>
          <t>-1146K1</t>
        </is>
      </c>
      <c r="E687" t="inlineStr">
        <is>
          <t>DILM-9-01</t>
        </is>
      </c>
      <c r="F687" t="inlineStr">
        <is>
          <t>#KALK!</t>
        </is>
      </c>
      <c r="G687" t="inlineStr">
        <is>
          <t>LASTSCHUETZ</t>
        </is>
      </c>
      <c r="H687" t="inlineStr">
        <is>
          <t>4kW 1Oe Federzugkl.</t>
        </is>
      </c>
      <c r="I687">
        <v>2927</v>
      </c>
      <c r="J687">
        <f>GS05/1146.6</f>
        <v>0</v>
      </c>
      <c r="M687" t="inlineStr">
        <is>
          <t>-1146K1</t>
        </is>
      </c>
    </row>
    <row r="688">
      <c r="A688">
        <v>687</v>
      </c>
      <c r="B688">
        <f>GS05</f>
        <v>0</v>
      </c>
      <c r="C688" t="inlineStr">
        <is>
          <t>+LS18</t>
        </is>
      </c>
      <c r="D688" t="inlineStr">
        <is>
          <t>-1146K2</t>
        </is>
      </c>
      <c r="E688" t="inlineStr">
        <is>
          <t>DILM-9-01</t>
        </is>
      </c>
      <c r="F688" t="inlineStr">
        <is>
          <t>#KALK!</t>
        </is>
      </c>
      <c r="G688" t="inlineStr">
        <is>
          <t>LASTSCHUETZ</t>
        </is>
      </c>
      <c r="H688" t="inlineStr">
        <is>
          <t>4kW 1Oe Federzugkl.</t>
        </is>
      </c>
      <c r="I688">
        <v>2927</v>
      </c>
      <c r="J688">
        <f>GS05/1146.7</f>
        <v>0</v>
      </c>
      <c r="M688" t="inlineStr">
        <is>
          <t>-1146K2</t>
        </is>
      </c>
    </row>
    <row r="689">
      <c r="A689">
        <v>688</v>
      </c>
      <c r="B689">
        <f>GS05</f>
        <v>0</v>
      </c>
      <c r="C689" t="inlineStr">
        <is>
          <t>+LS18</t>
        </is>
      </c>
      <c r="D689" t="inlineStr">
        <is>
          <t>-1147K744.6</t>
        </is>
      </c>
      <c r="E689" t="inlineStr">
        <is>
          <t>DILA-XHI22</t>
        </is>
      </c>
      <c r="F689" t="inlineStr">
        <is>
          <t>DILA-XHI22</t>
        </is>
      </c>
      <c r="G689" t="inlineStr">
        <is>
          <t>HILFSKONTAKTBLOCK</t>
        </is>
      </c>
      <c r="H689" t="inlineStr">
        <is>
          <t>2S 2OE Last+Hilfssch. Cage</t>
        </is>
      </c>
      <c r="I689">
        <v>2928</v>
      </c>
      <c r="J689">
        <f>GS05/1147.7</f>
        <v>0</v>
      </c>
      <c r="M689" t="inlineStr">
        <is>
          <t>-1147K744.6</t>
        </is>
      </c>
    </row>
    <row r="690">
      <c r="A690">
        <v>689</v>
      </c>
      <c r="B690">
        <f>GS05</f>
        <v>0</v>
      </c>
      <c r="C690" t="inlineStr">
        <is>
          <t>+LS18</t>
        </is>
      </c>
      <c r="D690" t="inlineStr">
        <is>
          <t>-1147K744.6</t>
        </is>
      </c>
      <c r="E690" t="inlineStr">
        <is>
          <t>DIL_ER-40-G</t>
        </is>
      </c>
      <c r="F690" t="inlineStr">
        <is>
          <t>DILA-XHI22</t>
        </is>
      </c>
      <c r="G690" t="inlineStr">
        <is>
          <t>HILFSSCHUETZ</t>
        </is>
      </c>
      <c r="H690" t="inlineStr">
        <is>
          <t>4S</t>
        </is>
      </c>
      <c r="I690">
        <v>2928</v>
      </c>
      <c r="J690">
        <f>GS05/1147.7</f>
        <v>0</v>
      </c>
      <c r="M690" t="inlineStr">
        <is>
          <t>-1147K744.6</t>
        </is>
      </c>
    </row>
    <row r="691">
      <c r="A691">
        <v>690</v>
      </c>
      <c r="B691">
        <f>GS36</f>
        <v>0</v>
      </c>
      <c r="C691" t="inlineStr">
        <is>
          <t>+LS01</t>
        </is>
      </c>
      <c r="D691" t="inlineStr">
        <is>
          <t>-114K103.7</t>
        </is>
      </c>
      <c r="E691" t="inlineStr">
        <is>
          <t>DILA-22</t>
        </is>
      </c>
      <c r="F691" t="inlineStr">
        <is>
          <t>#KALK!</t>
        </is>
      </c>
      <c r="G691" t="inlineStr">
        <is>
          <t>HILFSSCHUETZ</t>
        </is>
      </c>
      <c r="H691" t="inlineStr">
        <is>
          <t>2S 2Oe Federzugkl.</t>
        </is>
      </c>
      <c r="I691">
        <v>286</v>
      </c>
      <c r="J691">
        <f>GS36/114.5</f>
        <v>0</v>
      </c>
      <c r="M691" t="inlineStr">
        <is>
          <t>-114K103.7</t>
        </is>
      </c>
    </row>
    <row r="692">
      <c r="A692">
        <v>691</v>
      </c>
      <c r="B692">
        <f>GS33</f>
        <v>0</v>
      </c>
      <c r="C692" t="inlineStr">
        <is>
          <t>+LS1</t>
        </is>
      </c>
      <c r="D692" t="inlineStr">
        <is>
          <t>-114K14.7</t>
        </is>
      </c>
      <c r="E692" t="inlineStr">
        <is>
          <t>DIL_EM-10-G</t>
        </is>
      </c>
      <c r="F692" t="inlineStr">
        <is>
          <t>#KALK!</t>
        </is>
      </c>
      <c r="G692" t="inlineStr">
        <is>
          <t>LASTSCHUETZ</t>
        </is>
      </c>
      <c r="H692" t="inlineStr">
        <is>
          <t>4kW 1S</t>
        </is>
      </c>
      <c r="I692">
        <v>546</v>
      </c>
      <c r="J692">
        <f>GS33/114.7</f>
        <v>0</v>
      </c>
      <c r="M692" t="inlineStr">
        <is>
          <t>-114K14.7</t>
        </is>
      </c>
    </row>
    <row r="693">
      <c r="A693">
        <v>692</v>
      </c>
      <c r="B693">
        <f>GS34</f>
        <v>0</v>
      </c>
      <c r="C693" t="inlineStr">
        <is>
          <t>+LS1</t>
        </is>
      </c>
      <c r="D693" t="inlineStr">
        <is>
          <t>-114K16.3</t>
        </is>
      </c>
      <c r="E693" t="inlineStr">
        <is>
          <t>DIL_EM-10-G</t>
        </is>
      </c>
      <c r="F693" t="inlineStr">
        <is>
          <t>#KALK!</t>
        </is>
      </c>
      <c r="G693" t="inlineStr">
        <is>
          <t>LASTSCHUETZ</t>
        </is>
      </c>
      <c r="H693" t="inlineStr">
        <is>
          <t>4kW 1S</t>
        </is>
      </c>
      <c r="I693">
        <v>238</v>
      </c>
      <c r="J693">
        <f>GS34/114.7</f>
        <v>0</v>
      </c>
      <c r="M693" t="inlineStr">
        <is>
          <t>-114K16.3</t>
        </is>
      </c>
    </row>
    <row r="694">
      <c r="A694">
        <v>693</v>
      </c>
      <c r="B694">
        <f>GS16</f>
        <v>0</v>
      </c>
      <c r="C694" t="inlineStr">
        <is>
          <t>+LS1</t>
        </is>
      </c>
      <c r="D694" t="inlineStr">
        <is>
          <t>-114K18.0</t>
        </is>
      </c>
      <c r="E694" t="inlineStr">
        <is>
          <t>DIL_EM-10-G</t>
        </is>
      </c>
      <c r="F694" t="inlineStr">
        <is>
          <t>#KALK!</t>
        </is>
      </c>
      <c r="G694" t="inlineStr">
        <is>
          <t>LASTSCHUETZ</t>
        </is>
      </c>
      <c r="H694" t="inlineStr">
        <is>
          <t>4kW 1S</t>
        </is>
      </c>
      <c r="I694">
        <v>334</v>
      </c>
      <c r="J694">
        <f>GS16/114.6</f>
        <v>0</v>
      </c>
      <c r="M694" t="inlineStr">
        <is>
          <t>-114K18.0</t>
        </is>
      </c>
    </row>
    <row r="695">
      <c r="A695">
        <v>694</v>
      </c>
      <c r="B695">
        <f>GS31</f>
        <v>0</v>
      </c>
      <c r="C695" t="inlineStr">
        <is>
          <t>+LS1</t>
        </is>
      </c>
      <c r="D695" t="inlineStr">
        <is>
          <t>-114K19.2</t>
        </is>
      </c>
      <c r="E695" t="inlineStr">
        <is>
          <t>DIL_EM-10-G</t>
        </is>
      </c>
      <c r="F695" t="inlineStr">
        <is>
          <t>#KALK!</t>
        </is>
      </c>
      <c r="G695" t="inlineStr">
        <is>
          <t>LASTSCHUETZ</t>
        </is>
      </c>
      <c r="H695" t="inlineStr">
        <is>
          <t>4kW 1S</t>
        </is>
      </c>
      <c r="I695">
        <v>398</v>
      </c>
      <c r="J695">
        <f>GS31/114.6</f>
        <v>0</v>
      </c>
      <c r="M695" t="inlineStr">
        <is>
          <t>-114K19.2</t>
        </is>
      </c>
    </row>
    <row r="696">
      <c r="A696">
        <v>695</v>
      </c>
      <c r="B696">
        <f>GS31</f>
        <v>0</v>
      </c>
      <c r="C696" t="inlineStr">
        <is>
          <t>+LS1</t>
        </is>
      </c>
      <c r="D696" t="inlineStr">
        <is>
          <t>-114K19.3</t>
        </is>
      </c>
      <c r="E696" t="inlineStr">
        <is>
          <t>DIL_EM-10-G</t>
        </is>
      </c>
      <c r="F696" t="inlineStr">
        <is>
          <t>#KALK!</t>
        </is>
      </c>
      <c r="G696" t="inlineStr">
        <is>
          <t>LASTSCHUETZ</t>
        </is>
      </c>
      <c r="H696" t="inlineStr">
        <is>
          <t>4kW 1S</t>
        </is>
      </c>
      <c r="I696">
        <v>398</v>
      </c>
      <c r="J696">
        <f>GS31/114.6</f>
        <v>0</v>
      </c>
      <c r="M696" t="inlineStr">
        <is>
          <t>-114K19.3</t>
        </is>
      </c>
    </row>
    <row r="697">
      <c r="A697">
        <v>696</v>
      </c>
      <c r="B697">
        <f>GS04</f>
        <v>0</v>
      </c>
      <c r="C697" t="inlineStr">
        <is>
          <t>+LS1</t>
        </is>
      </c>
      <c r="D697" t="inlineStr">
        <is>
          <t>-114K24.6</t>
        </is>
      </c>
      <c r="E697" t="inlineStr">
        <is>
          <t>22_DIL-E</t>
        </is>
      </c>
      <c r="F697" t="inlineStr">
        <is>
          <t>22_DIL-E</t>
        </is>
      </c>
      <c r="G697" t="inlineStr">
        <is>
          <t>HILFSKONTAKTBLOCK</t>
        </is>
      </c>
      <c r="H697" t="inlineStr">
        <is>
          <t>2S 2OE Last+Hilfsschuetz</t>
        </is>
      </c>
      <c r="I697">
        <v>364</v>
      </c>
      <c r="J697">
        <f>GS04/114.2</f>
        <v>0</v>
      </c>
      <c r="M697" t="inlineStr">
        <is>
          <t>-114K24.6</t>
        </is>
      </c>
    </row>
    <row r="698">
      <c r="A698">
        <v>697</v>
      </c>
      <c r="B698">
        <f>GS04</f>
        <v>0</v>
      </c>
      <c r="C698" t="inlineStr">
        <is>
          <t>+LS1</t>
        </is>
      </c>
      <c r="D698" t="inlineStr">
        <is>
          <t>-114K24.6</t>
        </is>
      </c>
      <c r="E698" t="inlineStr">
        <is>
          <t>DIL_EM-10-G</t>
        </is>
      </c>
      <c r="F698" t="inlineStr">
        <is>
          <t>22_DIL-E</t>
        </is>
      </c>
      <c r="G698" t="inlineStr">
        <is>
          <t>LASTSCHUETZ</t>
        </is>
      </c>
      <c r="H698" t="inlineStr">
        <is>
          <t>4kW 1S</t>
        </is>
      </c>
      <c r="I698">
        <v>364</v>
      </c>
      <c r="J698">
        <f>GS04/114.2</f>
        <v>0</v>
      </c>
      <c r="M698" t="inlineStr">
        <is>
          <t>-114K24.6</t>
        </is>
      </c>
    </row>
    <row r="699">
      <c r="A699">
        <v>698</v>
      </c>
      <c r="B699">
        <f>GS04</f>
        <v>0</v>
      </c>
      <c r="C699" t="inlineStr">
        <is>
          <t>+LS1</t>
        </is>
      </c>
      <c r="D699" t="inlineStr">
        <is>
          <t>-114K24.7</t>
        </is>
      </c>
      <c r="E699" t="inlineStr">
        <is>
          <t>22_DIL-E</t>
        </is>
      </c>
      <c r="F699" t="inlineStr">
        <is>
          <t>22_DIL-E</t>
        </is>
      </c>
      <c r="G699" t="inlineStr">
        <is>
          <t>HILFSKONTAKTBLOCK</t>
        </is>
      </c>
      <c r="H699" t="inlineStr">
        <is>
          <t>2S 2OE Last+Hilfsschuetz</t>
        </is>
      </c>
      <c r="I699">
        <v>364</v>
      </c>
      <c r="J699">
        <f>GS04/114.2</f>
        <v>0</v>
      </c>
      <c r="M699" t="inlineStr">
        <is>
          <t>-114K24.7</t>
        </is>
      </c>
    </row>
    <row r="700">
      <c r="A700">
        <v>699</v>
      </c>
      <c r="B700">
        <f>GS04</f>
        <v>0</v>
      </c>
      <c r="C700" t="inlineStr">
        <is>
          <t>+LS1</t>
        </is>
      </c>
      <c r="D700" t="inlineStr">
        <is>
          <t>-114K24.7</t>
        </is>
      </c>
      <c r="E700" t="inlineStr">
        <is>
          <t>DIL_EM-10-G</t>
        </is>
      </c>
      <c r="F700" t="inlineStr">
        <is>
          <t>22_DIL-E</t>
        </is>
      </c>
      <c r="G700" t="inlineStr">
        <is>
          <t>LASTSCHUETZ</t>
        </is>
      </c>
      <c r="H700" t="inlineStr">
        <is>
          <t>4kW 1S</t>
        </is>
      </c>
      <c r="I700">
        <v>364</v>
      </c>
      <c r="J700">
        <f>GS04/114.2</f>
        <v>0</v>
      </c>
      <c r="M700" t="inlineStr">
        <is>
          <t>-114K24.7</t>
        </is>
      </c>
    </row>
    <row r="701">
      <c r="A701">
        <v>700</v>
      </c>
      <c r="B701">
        <f>GS32</f>
        <v>0</v>
      </c>
      <c r="C701" t="inlineStr">
        <is>
          <t>+LS1</t>
        </is>
      </c>
      <c r="D701" t="inlineStr">
        <is>
          <t>-114K26.5</t>
        </is>
      </c>
      <c r="E701" t="inlineStr">
        <is>
          <t>DIL_EM-10-G</t>
        </is>
      </c>
      <c r="F701" t="inlineStr">
        <is>
          <t>#KALK!</t>
        </is>
      </c>
      <c r="G701" t="inlineStr">
        <is>
          <t>LASTSCHUETZ</t>
        </is>
      </c>
      <c r="H701" t="inlineStr">
        <is>
          <t>4kW 1S</t>
        </is>
      </c>
      <c r="I701">
        <v>918</v>
      </c>
      <c r="J701">
        <f>GS32/114.7</f>
        <v>0</v>
      </c>
      <c r="M701" t="inlineStr">
        <is>
          <t>-114K26.5</t>
        </is>
      </c>
    </row>
    <row r="702">
      <c r="A702">
        <v>701</v>
      </c>
      <c r="B702">
        <f>GS11</f>
        <v>0</v>
      </c>
      <c r="C702" t="inlineStr">
        <is>
          <t>+LS1</t>
        </is>
      </c>
      <c r="D702" t="inlineStr">
        <is>
          <t>-114K29.3</t>
        </is>
      </c>
      <c r="E702" t="inlineStr">
        <is>
          <t>DIL_EM-10-G</t>
        </is>
      </c>
      <c r="F702" t="inlineStr">
        <is>
          <t>#KALK!</t>
        </is>
      </c>
      <c r="G702" t="inlineStr">
        <is>
          <t>LASTSCHUETZ</t>
        </is>
      </c>
      <c r="H702" t="inlineStr">
        <is>
          <t>4kW 1S</t>
        </is>
      </c>
      <c r="I702">
        <v>225</v>
      </c>
      <c r="J702">
        <f>GS11/114.7</f>
        <v>0</v>
      </c>
      <c r="M702" t="inlineStr">
        <is>
          <t>-114K29.3</t>
        </is>
      </c>
    </row>
    <row r="703">
      <c r="A703">
        <v>702</v>
      </c>
      <c r="B703">
        <f>GS21</f>
        <v>0</v>
      </c>
      <c r="C703" t="inlineStr">
        <is>
          <t>+LS1</t>
        </is>
      </c>
      <c r="D703" t="inlineStr">
        <is>
          <t>-114K29.3</t>
        </is>
      </c>
      <c r="E703" t="inlineStr">
        <is>
          <t>DIL_EM-10-G</t>
        </is>
      </c>
      <c r="F703" t="inlineStr">
        <is>
          <t>#KALK!</t>
        </is>
      </c>
      <c r="G703" t="inlineStr">
        <is>
          <t>LASTSCHUETZ</t>
        </is>
      </c>
      <c r="H703" t="inlineStr">
        <is>
          <t>4kW 1S</t>
        </is>
      </c>
      <c r="I703">
        <v>199</v>
      </c>
      <c r="J703">
        <f>GS21/114.7</f>
        <v>0</v>
      </c>
      <c r="M703" t="inlineStr">
        <is>
          <t>-114K29.3</t>
        </is>
      </c>
    </row>
    <row r="704">
      <c r="A704">
        <v>703</v>
      </c>
      <c r="B704">
        <f>GS26</f>
        <v>0</v>
      </c>
      <c r="C704" t="inlineStr">
        <is>
          <t>+LS1</t>
        </is>
      </c>
      <c r="D704" t="inlineStr">
        <is>
          <t>-114K3533.0</t>
        </is>
      </c>
      <c r="E704" t="inlineStr">
        <is>
          <t>DILM-9-10</t>
        </is>
      </c>
      <c r="F704" t="inlineStr">
        <is>
          <t>#KALK!</t>
        </is>
      </c>
      <c r="G704" t="inlineStr">
        <is>
          <t>LASTSCHUETZ</t>
        </is>
      </c>
      <c r="H704" t="inlineStr">
        <is>
          <t>4kW 1S Federzugkl.</t>
        </is>
      </c>
      <c r="I704">
        <v>246</v>
      </c>
      <c r="J704">
        <f>GS26/114.7</f>
        <v>0</v>
      </c>
      <c r="M704" t="inlineStr">
        <is>
          <t>-114K3533.0</t>
        </is>
      </c>
    </row>
    <row r="705">
      <c r="A705">
        <v>704</v>
      </c>
      <c r="B705">
        <f>GS14</f>
        <v>0</v>
      </c>
      <c r="C705" t="inlineStr">
        <is>
          <t>+LS2</t>
        </is>
      </c>
      <c r="D705" t="inlineStr">
        <is>
          <t>-114K59.3</t>
        </is>
      </c>
      <c r="E705" t="inlineStr">
        <is>
          <t>DIL_EM-10-G</t>
        </is>
      </c>
      <c r="F705" t="inlineStr">
        <is>
          <t>#KALK!</t>
        </is>
      </c>
      <c r="G705" t="inlineStr">
        <is>
          <t>LASTSCHUETZ</t>
        </is>
      </c>
      <c r="H705" t="inlineStr">
        <is>
          <t>4kW 1S</t>
        </is>
      </c>
      <c r="I705">
        <v>240</v>
      </c>
      <c r="J705">
        <f>GS14/114.7</f>
        <v>0</v>
      </c>
      <c r="M705" t="inlineStr">
        <is>
          <t>-114K59.3</t>
        </is>
      </c>
    </row>
    <row r="706">
      <c r="A706">
        <v>705</v>
      </c>
      <c r="B706">
        <f>GS15</f>
        <v>0</v>
      </c>
      <c r="C706" t="inlineStr">
        <is>
          <t>+LS1</t>
        </is>
      </c>
      <c r="D706" t="inlineStr">
        <is>
          <t>-114K61.6</t>
        </is>
      </c>
      <c r="E706" t="inlineStr">
        <is>
          <t>DIL_EM-10-G</t>
        </is>
      </c>
      <c r="F706" t="inlineStr">
        <is>
          <t>#KALK!</t>
        </is>
      </c>
      <c r="G706" t="inlineStr">
        <is>
          <t>LASTSCHUETZ</t>
        </is>
      </c>
      <c r="H706" t="inlineStr">
        <is>
          <t>4kW 1S</t>
        </is>
      </c>
      <c r="I706">
        <v>601</v>
      </c>
      <c r="J706">
        <f>GS15/114.6</f>
        <v>0</v>
      </c>
      <c r="M706" t="inlineStr">
        <is>
          <t>-114K61.6</t>
        </is>
      </c>
    </row>
    <row r="707">
      <c r="A707">
        <v>706</v>
      </c>
      <c r="B707">
        <f>GS15</f>
        <v>0</v>
      </c>
      <c r="C707" t="inlineStr">
        <is>
          <t>+LS1</t>
        </is>
      </c>
      <c r="D707" t="inlineStr">
        <is>
          <t>-114K61.7</t>
        </is>
      </c>
      <c r="E707" t="inlineStr">
        <is>
          <t>DIL_EM-10-G</t>
        </is>
      </c>
      <c r="F707" t="inlineStr">
        <is>
          <t>#KALK!</t>
        </is>
      </c>
      <c r="G707" t="inlineStr">
        <is>
          <t>LASTSCHUETZ</t>
        </is>
      </c>
      <c r="H707" t="inlineStr">
        <is>
          <t>4kW 1S</t>
        </is>
      </c>
      <c r="I707">
        <v>601</v>
      </c>
      <c r="J707">
        <f>GS15/114.6</f>
        <v>0</v>
      </c>
      <c r="M707" t="inlineStr">
        <is>
          <t>-114K61.7</t>
        </is>
      </c>
    </row>
    <row r="708">
      <c r="A708">
        <v>707</v>
      </c>
      <c r="B708">
        <f>GS04</f>
        <v>0</v>
      </c>
      <c r="C708" t="inlineStr">
        <is>
          <t>+LS1</t>
        </is>
      </c>
      <c r="D708" t="inlineStr">
        <is>
          <t>-114KA1</t>
        </is>
      </c>
      <c r="E708" t="inlineStr">
        <is>
          <t>31_DIL-E</t>
        </is>
      </c>
      <c r="F708" t="inlineStr">
        <is>
          <t>31_DIL-E</t>
        </is>
      </c>
      <c r="G708" t="inlineStr">
        <is>
          <t>HILFSKONTAKTBLOCK</t>
        </is>
      </c>
      <c r="H708" t="inlineStr">
        <is>
          <t>3S 1OE Last+Hilsschuetz</t>
        </is>
      </c>
      <c r="I708">
        <v>364</v>
      </c>
      <c r="J708">
        <f>GS04/114.4</f>
        <v>0</v>
      </c>
      <c r="M708" t="inlineStr">
        <is>
          <t>-114KA1</t>
        </is>
      </c>
    </row>
    <row r="709">
      <c r="A709">
        <v>708</v>
      </c>
      <c r="B709">
        <f>GS04</f>
        <v>0</v>
      </c>
      <c r="C709" t="inlineStr">
        <is>
          <t>+LS1</t>
        </is>
      </c>
      <c r="D709" t="inlineStr">
        <is>
          <t>-114KA1</t>
        </is>
      </c>
      <c r="E709" t="inlineStr">
        <is>
          <t>DIL_ER-31-G</t>
        </is>
      </c>
      <c r="F709" t="inlineStr">
        <is>
          <t>31_DIL-E</t>
        </is>
      </c>
      <c r="G709" t="inlineStr">
        <is>
          <t>HILFSSCHUETZ</t>
        </is>
      </c>
      <c r="H709" t="inlineStr">
        <is>
          <t>3S 1OE</t>
        </is>
      </c>
      <c r="I709">
        <v>364</v>
      </c>
      <c r="J709">
        <f>GS04/114.4</f>
        <v>0</v>
      </c>
      <c r="M709" t="inlineStr">
        <is>
          <t>-114KA1</t>
        </is>
      </c>
    </row>
    <row r="710">
      <c r="A710">
        <v>709</v>
      </c>
      <c r="B710">
        <f>GS04</f>
        <v>0</v>
      </c>
      <c r="C710" t="inlineStr">
        <is>
          <t>+LS1</t>
        </is>
      </c>
      <c r="D710" t="inlineStr">
        <is>
          <t>-114KA2</t>
        </is>
      </c>
      <c r="E710" t="inlineStr">
        <is>
          <t>DIL_ER-22-G</t>
        </is>
      </c>
      <c r="F710" t="inlineStr">
        <is>
          <t>#KALK!</t>
        </is>
      </c>
      <c r="G710" t="inlineStr">
        <is>
          <t>HILFSSCHUETZ</t>
        </is>
      </c>
      <c r="H710" t="inlineStr">
        <is>
          <t>2S 2OE</t>
        </is>
      </c>
      <c r="I710">
        <v>364</v>
      </c>
      <c r="J710">
        <f>GS04/114.5</f>
        <v>0</v>
      </c>
      <c r="M710" t="inlineStr">
        <is>
          <t>-114KA2</t>
        </is>
      </c>
    </row>
    <row r="711">
      <c r="A711">
        <v>710</v>
      </c>
      <c r="B711">
        <f>GS04</f>
        <v>0</v>
      </c>
      <c r="C711" t="inlineStr">
        <is>
          <t>+LS1</t>
        </is>
      </c>
      <c r="D711" t="inlineStr">
        <is>
          <t>-114KA3</t>
        </is>
      </c>
      <c r="E711" t="inlineStr">
        <is>
          <t>DIL_ER-40-G</t>
        </is>
      </c>
      <c r="F711" t="inlineStr">
        <is>
          <t>#KALK!</t>
        </is>
      </c>
      <c r="G711" t="inlineStr">
        <is>
          <t>HILFSSCHUETZ</t>
        </is>
      </c>
      <c r="H711" t="inlineStr">
        <is>
          <t>4S</t>
        </is>
      </c>
      <c r="I711">
        <v>364</v>
      </c>
      <c r="J711">
        <f>GS04/114.6</f>
        <v>0</v>
      </c>
      <c r="M711" t="inlineStr">
        <is>
          <t>-114KA3</t>
        </is>
      </c>
    </row>
    <row r="712">
      <c r="A712">
        <v>711</v>
      </c>
      <c r="B712">
        <f>GS9x</f>
        <v>0</v>
      </c>
      <c r="C712" t="inlineStr">
        <is>
          <t>+LS[p1]</t>
        </is>
      </c>
      <c r="D712" t="inlineStr">
        <is>
          <t>-114Q[a+1].5</t>
        </is>
      </c>
      <c r="E712" t="inlineStr">
        <is>
          <t>DILM-9-10</t>
        </is>
      </c>
      <c r="F712" t="inlineStr">
        <is>
          <t>#KALK!</t>
        </is>
      </c>
      <c r="G712" t="inlineStr">
        <is>
          <t>LASTSCHUETZ</t>
        </is>
      </c>
      <c r="H712" t="inlineStr">
        <is>
          <t>4kW 1S Federzugkl.</t>
        </is>
      </c>
      <c r="I712">
        <v>160</v>
      </c>
      <c r="J712">
        <f>GS9x/114.5</f>
        <v>0</v>
      </c>
      <c r="M712" t="inlineStr">
        <is>
          <t>-114Q[a+1].5</t>
        </is>
      </c>
    </row>
    <row r="713">
      <c r="A713">
        <v>712</v>
      </c>
      <c r="B713">
        <f>GS7x</f>
        <v>0</v>
      </c>
      <c r="C713" t="inlineStr">
        <is>
          <t>+LS[l1]</t>
        </is>
      </c>
      <c r="D713" t="inlineStr">
        <is>
          <t>-114Q[a+10].2</t>
        </is>
      </c>
      <c r="E713" t="inlineStr">
        <is>
          <t>DILM-9-10</t>
        </is>
      </c>
      <c r="F713" t="inlineStr">
        <is>
          <t>#KALK!</t>
        </is>
      </c>
      <c r="G713" t="inlineStr">
        <is>
          <t>LASTSCHUETZ</t>
        </is>
      </c>
      <c r="H713" t="inlineStr">
        <is>
          <t>4kW 1S Federzugkl.</t>
        </is>
      </c>
      <c r="I713">
        <v>352</v>
      </c>
      <c r="J713">
        <f>GS7x/114.6</f>
        <v>0</v>
      </c>
      <c r="M713" t="inlineStr">
        <is>
          <t>-114Q[a+10].2</t>
        </is>
      </c>
    </row>
    <row r="714">
      <c r="A714">
        <v>713</v>
      </c>
      <c r="B714">
        <f>GS38</f>
        <v>0</v>
      </c>
      <c r="C714" t="inlineStr">
        <is>
          <t>+LS01</t>
        </is>
      </c>
      <c r="D714" t="inlineStr">
        <is>
          <t>-114Q705.0</t>
        </is>
      </c>
      <c r="E714" t="inlineStr">
        <is>
          <t>DILMC12-10(24VDC)</t>
        </is>
      </c>
      <c r="F714" t="inlineStr">
        <is>
          <t>#KALK!</t>
        </is>
      </c>
      <c r="G714" t="inlineStr">
        <is>
          <t>LASTSCHUETZ</t>
        </is>
      </c>
      <c r="H714" t="inlineStr">
        <is>
          <t>5,5kW 1S Federzugkl.</t>
        </is>
      </c>
      <c r="I714">
        <v>270</v>
      </c>
      <c r="J714">
        <f>GS38/114.5</f>
        <v>0</v>
      </c>
      <c r="K714" t="inlineStr">
        <is>
          <t>DIL MC12</t>
        </is>
      </c>
      <c r="M714" t="inlineStr">
        <is>
          <t>-114Q705.0</t>
        </is>
      </c>
    </row>
    <row r="715">
      <c r="A715">
        <v>714</v>
      </c>
      <c r="B715">
        <f>GS39</f>
        <v>0</v>
      </c>
      <c r="C715" t="inlineStr">
        <is>
          <t>+LS01</t>
        </is>
      </c>
      <c r="D715" t="inlineStr">
        <is>
          <t>-114Q705.0</t>
        </is>
      </c>
      <c r="E715" t="inlineStr">
        <is>
          <t>DILMC12-10(24VDC)</t>
        </is>
      </c>
      <c r="F715" t="inlineStr">
        <is>
          <t>#KALK!</t>
        </is>
      </c>
      <c r="G715" t="inlineStr">
        <is>
          <t>LASTSCHUETZ</t>
        </is>
      </c>
      <c r="H715" t="inlineStr">
        <is>
          <t>5,5kW 1S Federzugkl.</t>
        </is>
      </c>
      <c r="I715">
        <v>297</v>
      </c>
      <c r="J715">
        <f>GS39/114.5</f>
        <v>0</v>
      </c>
      <c r="K715" t="inlineStr">
        <is>
          <t>DIL MC12</t>
        </is>
      </c>
      <c r="M715" t="inlineStr">
        <is>
          <t>-114Q705.0</t>
        </is>
      </c>
    </row>
    <row r="716">
      <c r="A716">
        <v>715</v>
      </c>
      <c r="B716">
        <f>GS32</f>
        <v>0</v>
      </c>
      <c r="C716" t="inlineStr">
        <is>
          <t>+LS1</t>
        </is>
      </c>
      <c r="D716" t="inlineStr">
        <is>
          <t>-115.1K27.6</t>
        </is>
      </c>
      <c r="E716" t="inlineStr">
        <is>
          <t>DIL_EM-10-G</t>
        </is>
      </c>
      <c r="F716" t="inlineStr">
        <is>
          <t>#KALK!</t>
        </is>
      </c>
      <c r="G716" t="inlineStr">
        <is>
          <t>LASTSCHUETZ</t>
        </is>
      </c>
      <c r="H716" t="inlineStr">
        <is>
          <t>4kW 1S</t>
        </is>
      </c>
      <c r="I716">
        <v>920</v>
      </c>
      <c r="J716">
        <f>GS32/115.1.7</f>
        <v>0</v>
      </c>
      <c r="M716" t="inlineStr">
        <is>
          <t>-115.1K27.6</t>
        </is>
      </c>
    </row>
    <row r="717">
      <c r="A717">
        <v>716</v>
      </c>
      <c r="B717">
        <f>GS32</f>
        <v>0</v>
      </c>
      <c r="C717" t="inlineStr">
        <is>
          <t>+LS1</t>
        </is>
      </c>
      <c r="D717" t="inlineStr">
        <is>
          <t>-115.2K26.6</t>
        </is>
      </c>
      <c r="E717" t="inlineStr">
        <is>
          <t>DIL_EM-10-G</t>
        </is>
      </c>
      <c r="F717" t="inlineStr">
        <is>
          <t>#KALK!</t>
        </is>
      </c>
      <c r="G717" t="inlineStr">
        <is>
          <t>LASTSCHUETZ</t>
        </is>
      </c>
      <c r="H717" t="inlineStr">
        <is>
          <t>4kW 1S</t>
        </is>
      </c>
      <c r="I717">
        <v>921</v>
      </c>
      <c r="J717">
        <f>GS32/115.2.5</f>
        <v>0</v>
      </c>
      <c r="M717" t="inlineStr">
        <is>
          <t>-115.2K26.6</t>
        </is>
      </c>
    </row>
    <row r="718">
      <c r="A718">
        <v>717</v>
      </c>
      <c r="B718">
        <f>GS32</f>
        <v>0</v>
      </c>
      <c r="C718" t="inlineStr">
        <is>
          <t>+LS1</t>
        </is>
      </c>
      <c r="D718" t="inlineStr">
        <is>
          <t>-115.2K26.7</t>
        </is>
      </c>
      <c r="E718" t="inlineStr">
        <is>
          <t>DIL_EM-10-G</t>
        </is>
      </c>
      <c r="F718" t="inlineStr">
        <is>
          <t>#KALK!</t>
        </is>
      </c>
      <c r="G718" t="inlineStr">
        <is>
          <t>LASTSCHUETZ</t>
        </is>
      </c>
      <c r="H718" t="inlineStr">
        <is>
          <t>4kW 1S</t>
        </is>
      </c>
      <c r="I718">
        <v>921</v>
      </c>
      <c r="J718">
        <f>GS32/115.2.6</f>
        <v>0</v>
      </c>
      <c r="M718" t="inlineStr">
        <is>
          <t>-115.2K26.7</t>
        </is>
      </c>
    </row>
    <row r="719">
      <c r="A719">
        <v>718</v>
      </c>
      <c r="B719">
        <f>GS32</f>
        <v>0</v>
      </c>
      <c r="C719" t="inlineStr">
        <is>
          <t>+LS1</t>
        </is>
      </c>
      <c r="D719" t="inlineStr">
        <is>
          <t>-115.5K17.2</t>
        </is>
      </c>
      <c r="E719" t="inlineStr">
        <is>
          <t>DILMC12-10(24VDC)</t>
        </is>
      </c>
      <c r="F719" t="inlineStr">
        <is>
          <t>#KALK!</t>
        </is>
      </c>
      <c r="G719" t="inlineStr">
        <is>
          <t>LASTSCHUETZ</t>
        </is>
      </c>
      <c r="H719" t="inlineStr">
        <is>
          <t>5,5kW 1S Federzugkl.</t>
        </is>
      </c>
      <c r="I719">
        <v>924</v>
      </c>
      <c r="J719">
        <f>GS32/115.5.5</f>
        <v>0</v>
      </c>
      <c r="K719" t="inlineStr">
        <is>
          <t>DIL MC12</t>
        </is>
      </c>
      <c r="M719" t="inlineStr">
        <is>
          <t>-115.5K17.2</t>
        </is>
      </c>
    </row>
    <row r="720">
      <c r="A720">
        <v>719</v>
      </c>
      <c r="B720">
        <f>GS06</f>
        <v>0</v>
      </c>
      <c r="C720" t="inlineStr">
        <is>
          <t>+LS18</t>
        </is>
      </c>
      <c r="D720" t="inlineStr">
        <is>
          <t>-1155Q1</t>
        </is>
      </c>
      <c r="E720" t="inlineStr">
        <is>
          <t>DILMC25-10(RDC24)</t>
        </is>
      </c>
      <c r="F720" t="inlineStr">
        <is>
          <t>DILA-XHI22</t>
        </is>
      </c>
      <c r="G720" t="inlineStr">
        <is>
          <t>LASTSCHUETZ</t>
        </is>
      </c>
      <c r="H720" t="inlineStr">
        <is>
          <t>11kW 1S Federzugkl.</t>
        </is>
      </c>
      <c r="I720">
        <v>1459</v>
      </c>
      <c r="J720">
        <f>GS06/1155.6</f>
        <v>0</v>
      </c>
      <c r="K720" t="inlineStr">
        <is>
          <t>DIL MC25</t>
        </is>
      </c>
      <c r="M720" t="inlineStr">
        <is>
          <t>-1155Q1</t>
        </is>
      </c>
    </row>
    <row r="721">
      <c r="A721">
        <v>720</v>
      </c>
      <c r="B721">
        <f>GS06</f>
        <v>0</v>
      </c>
      <c r="C721" t="inlineStr">
        <is>
          <t>+LS18</t>
        </is>
      </c>
      <c r="D721" t="inlineStr">
        <is>
          <t>-1155Q1</t>
        </is>
      </c>
      <c r="E721" t="inlineStr">
        <is>
          <t>DILA-XHI22</t>
        </is>
      </c>
      <c r="F721" t="inlineStr">
        <is>
          <t>DILA-XHI22</t>
        </is>
      </c>
      <c r="G721" t="inlineStr">
        <is>
          <t>HILFSKONTAKTBLOCK</t>
        </is>
      </c>
      <c r="H721" t="inlineStr">
        <is>
          <t>2S 2OE Last+Hilfssch. Cage</t>
        </is>
      </c>
      <c r="I721">
        <v>1459</v>
      </c>
      <c r="J721">
        <f>GS06/1155.6</f>
        <v>0</v>
      </c>
      <c r="K721" t="inlineStr">
        <is>
          <t>DIL MC25</t>
        </is>
      </c>
      <c r="M721" t="inlineStr">
        <is>
          <t>-1155Q1</t>
        </is>
      </c>
    </row>
    <row r="722">
      <c r="A722">
        <v>721</v>
      </c>
      <c r="B722">
        <f>GS01</f>
        <v>0</v>
      </c>
      <c r="C722" t="inlineStr">
        <is>
          <t>+LS2</t>
        </is>
      </c>
      <c r="D722" t="inlineStr">
        <is>
          <t>-115K1</t>
        </is>
      </c>
      <c r="E722" t="inlineStr">
        <is>
          <t>DIL_2AM</t>
        </is>
      </c>
      <c r="F722" t="inlineStr">
        <is>
          <t>22_DIL-M</t>
        </is>
      </c>
      <c r="G722" t="inlineStr">
        <is>
          <t>LASTSCHUETZ</t>
        </is>
      </c>
      <c r="H722" t="inlineStr">
        <is>
          <t>30 kW</t>
        </is>
      </c>
      <c r="I722">
        <v>277</v>
      </c>
      <c r="J722">
        <f>GS01/115.2</f>
        <v>0</v>
      </c>
      <c r="K722" t="inlineStr">
        <is>
          <t>DIL2AM</t>
        </is>
      </c>
      <c r="M722" t="inlineStr">
        <is>
          <t>-115K1</t>
        </is>
      </c>
    </row>
    <row r="723">
      <c r="A723">
        <v>722</v>
      </c>
      <c r="B723">
        <f>GS01</f>
        <v>0</v>
      </c>
      <c r="C723" t="inlineStr">
        <is>
          <t>+LS2</t>
        </is>
      </c>
      <c r="D723" t="inlineStr">
        <is>
          <t>-115K1</t>
        </is>
      </c>
      <c r="E723" t="inlineStr">
        <is>
          <t>22_DIL-M</t>
        </is>
      </c>
      <c r="F723" t="inlineStr">
        <is>
          <t>22_DIL-M</t>
        </is>
      </c>
      <c r="G723" t="inlineStr">
        <is>
          <t>HILFSKONTAKTBLOCK</t>
        </is>
      </c>
      <c r="H723" t="inlineStr">
        <is>
          <t>2S 2OE Lastschuetz DIL M</t>
        </is>
      </c>
      <c r="I723">
        <v>277</v>
      </c>
      <c r="J723">
        <f>GS01/115.2</f>
        <v>0</v>
      </c>
      <c r="K723" t="inlineStr">
        <is>
          <t>DIL2AM</t>
        </is>
      </c>
      <c r="M723" t="inlineStr">
        <is>
          <t>-115K1</t>
        </is>
      </c>
    </row>
    <row r="724">
      <c r="A724">
        <v>723</v>
      </c>
      <c r="B724">
        <f>GS33</f>
        <v>0</v>
      </c>
      <c r="C724" t="inlineStr">
        <is>
          <t>+LS1</t>
        </is>
      </c>
      <c r="D724" t="inlineStr">
        <is>
          <t>-115K15.3</t>
        </is>
      </c>
      <c r="E724" t="inlineStr">
        <is>
          <t>DIL_EM-10-G</t>
        </is>
      </c>
      <c r="F724" t="inlineStr">
        <is>
          <t>#KALK!</t>
        </is>
      </c>
      <c r="G724" t="inlineStr">
        <is>
          <t>LASTSCHUETZ</t>
        </is>
      </c>
      <c r="H724" t="inlineStr">
        <is>
          <t>4kW 1S</t>
        </is>
      </c>
      <c r="I724">
        <v>547</v>
      </c>
      <c r="J724">
        <f>GS33/115.7</f>
        <v>0</v>
      </c>
      <c r="M724" t="inlineStr">
        <is>
          <t>-115K15.3</t>
        </is>
      </c>
    </row>
    <row r="725">
      <c r="A725">
        <v>724</v>
      </c>
      <c r="B725">
        <f>GS92</f>
        <v>0</v>
      </c>
      <c r="C725" t="inlineStr">
        <is>
          <t>+LS01</t>
        </is>
      </c>
      <c r="D725" t="inlineStr">
        <is>
          <t>-115K151.0</t>
        </is>
      </c>
      <c r="E725" t="inlineStr">
        <is>
          <t>DILA-40</t>
        </is>
      </c>
      <c r="F725" t="inlineStr">
        <is>
          <t>#KALK!</t>
        </is>
      </c>
      <c r="G725" t="inlineStr">
        <is>
          <t>HILFSSCHUETZ</t>
        </is>
      </c>
      <c r="H725" t="inlineStr">
        <is>
          <t>4S Federzugkl.</t>
        </is>
      </c>
      <c r="I725">
        <v>261</v>
      </c>
      <c r="J725">
        <f>GS92/115.7</f>
        <v>0</v>
      </c>
      <c r="M725" t="inlineStr">
        <is>
          <t>-115K151.0</t>
        </is>
      </c>
    </row>
    <row r="726">
      <c r="A726">
        <v>725</v>
      </c>
      <c r="B726">
        <f>GS93</f>
        <v>0</v>
      </c>
      <c r="C726" t="inlineStr">
        <is>
          <t>+LS01</t>
        </is>
      </c>
      <c r="D726" t="inlineStr">
        <is>
          <t>-115K151.0</t>
        </is>
      </c>
      <c r="E726" t="inlineStr">
        <is>
          <t>DILA-40</t>
        </is>
      </c>
      <c r="F726" t="inlineStr">
        <is>
          <t>#KALK!</t>
        </is>
      </c>
      <c r="G726" t="inlineStr">
        <is>
          <t>HILFSSCHUETZ</t>
        </is>
      </c>
      <c r="H726" t="inlineStr">
        <is>
          <t>4S Federzugkl.</t>
        </is>
      </c>
      <c r="I726">
        <v>684</v>
      </c>
      <c r="J726">
        <f>GS93/115.7</f>
        <v>0</v>
      </c>
      <c r="M726" t="inlineStr">
        <is>
          <t>-115K151.0</t>
        </is>
      </c>
    </row>
    <row r="727">
      <c r="A727">
        <v>726</v>
      </c>
      <c r="B727">
        <f>GS90</f>
        <v>0</v>
      </c>
      <c r="C727" t="inlineStr">
        <is>
          <t>+LS01</t>
        </is>
      </c>
      <c r="D727" t="inlineStr">
        <is>
          <t>-115K153.4</t>
        </is>
      </c>
      <c r="E727" t="inlineStr">
        <is>
          <t>DILA-40</t>
        </is>
      </c>
      <c r="F727" t="inlineStr">
        <is>
          <t>#KALK!</t>
        </is>
      </c>
      <c r="G727" t="inlineStr">
        <is>
          <t>HILFSSCHUETZ</t>
        </is>
      </c>
      <c r="H727" t="inlineStr">
        <is>
          <t>4S Federzugkl.</t>
        </is>
      </c>
      <c r="I727">
        <v>1117</v>
      </c>
      <c r="J727">
        <f>GS90/115.7</f>
        <v>0</v>
      </c>
      <c r="M727" t="inlineStr">
        <is>
          <t>-115K153.4</t>
        </is>
      </c>
    </row>
    <row r="728">
      <c r="A728">
        <v>727</v>
      </c>
      <c r="B728">
        <f>GS91</f>
        <v>0</v>
      </c>
      <c r="C728" t="inlineStr">
        <is>
          <t>+LS01</t>
        </is>
      </c>
      <c r="D728" t="inlineStr">
        <is>
          <t>-115K153.4</t>
        </is>
      </c>
      <c r="E728" t="inlineStr">
        <is>
          <t>DILA-40</t>
        </is>
      </c>
      <c r="F728" t="inlineStr">
        <is>
          <t>#KALK!</t>
        </is>
      </c>
      <c r="G728" t="inlineStr">
        <is>
          <t>HILFSSCHUETZ</t>
        </is>
      </c>
      <c r="H728" t="inlineStr">
        <is>
          <t>4S Federzugkl.</t>
        </is>
      </c>
      <c r="I728">
        <v>263</v>
      </c>
      <c r="J728">
        <f>GS91/115.7</f>
        <v>0</v>
      </c>
      <c r="M728" t="inlineStr">
        <is>
          <t>-115K153.4</t>
        </is>
      </c>
    </row>
    <row r="729">
      <c r="A729">
        <v>728</v>
      </c>
      <c r="B729">
        <f>GS16</f>
        <v>0</v>
      </c>
      <c r="C729" t="inlineStr">
        <is>
          <t>+LS1</t>
        </is>
      </c>
      <c r="D729" t="inlineStr">
        <is>
          <t>-115K18.7</t>
        </is>
      </c>
      <c r="E729" t="inlineStr">
        <is>
          <t>DIL_EM-01-G</t>
        </is>
      </c>
      <c r="F729" t="inlineStr">
        <is>
          <t>#KALK!</t>
        </is>
      </c>
      <c r="G729" t="inlineStr">
        <is>
          <t>LASTSCHUETZ</t>
        </is>
      </c>
      <c r="H729" t="inlineStr">
        <is>
          <t>4kW 1OE</t>
        </is>
      </c>
      <c r="I729">
        <v>335</v>
      </c>
      <c r="J729">
        <f>GS16/115.6</f>
        <v>0</v>
      </c>
      <c r="M729" t="inlineStr">
        <is>
          <t>-115K18.7</t>
        </is>
      </c>
    </row>
    <row r="730">
      <c r="A730">
        <v>729</v>
      </c>
      <c r="B730">
        <f>GS16</f>
        <v>0</v>
      </c>
      <c r="C730" t="inlineStr">
        <is>
          <t>+LS1</t>
        </is>
      </c>
      <c r="D730" t="inlineStr">
        <is>
          <t>-115K19.0</t>
        </is>
      </c>
      <c r="E730" t="inlineStr">
        <is>
          <t>DIL_EM-01-G</t>
        </is>
      </c>
      <c r="F730" t="inlineStr">
        <is>
          <t>#KALK!</t>
        </is>
      </c>
      <c r="G730" t="inlineStr">
        <is>
          <t>LASTSCHUETZ</t>
        </is>
      </c>
      <c r="H730" t="inlineStr">
        <is>
          <t>4kW 1OE</t>
        </is>
      </c>
      <c r="I730">
        <v>335</v>
      </c>
      <c r="J730">
        <f>GS16/115.6</f>
        <v>0</v>
      </c>
      <c r="M730" t="inlineStr">
        <is>
          <t>-115K19.0</t>
        </is>
      </c>
    </row>
    <row r="731">
      <c r="A731">
        <v>730</v>
      </c>
      <c r="B731">
        <f>GS16</f>
        <v>0</v>
      </c>
      <c r="C731" t="inlineStr">
        <is>
          <t>+LS1</t>
        </is>
      </c>
      <c r="D731" t="inlineStr">
        <is>
          <t>-115K19.1</t>
        </is>
      </c>
      <c r="E731" t="inlineStr">
        <is>
          <t>DIL_EM-10-G</t>
        </is>
      </c>
      <c r="F731" t="inlineStr">
        <is>
          <t>#KALK!</t>
        </is>
      </c>
      <c r="G731" t="inlineStr">
        <is>
          <t>LASTSCHUETZ</t>
        </is>
      </c>
      <c r="H731" t="inlineStr">
        <is>
          <t>4kW 1S</t>
        </is>
      </c>
      <c r="I731">
        <v>335</v>
      </c>
      <c r="J731">
        <f>GS16/115.7</f>
        <v>0</v>
      </c>
      <c r="M731" t="inlineStr">
        <is>
          <t>-115K19.1</t>
        </is>
      </c>
    </row>
    <row r="732">
      <c r="A732">
        <v>731</v>
      </c>
      <c r="B732">
        <f>GS31</f>
        <v>0</v>
      </c>
      <c r="C732" t="inlineStr">
        <is>
          <t>+LS1</t>
        </is>
      </c>
      <c r="D732" t="inlineStr">
        <is>
          <t>-115K19.4</t>
        </is>
      </c>
      <c r="E732" t="inlineStr">
        <is>
          <t>DIL_EM-10-G</t>
        </is>
      </c>
      <c r="F732" t="inlineStr">
        <is>
          <t>#KALK!</t>
        </is>
      </c>
      <c r="G732" t="inlineStr">
        <is>
          <t>LASTSCHUETZ</t>
        </is>
      </c>
      <c r="H732" t="inlineStr">
        <is>
          <t>4kW 1S</t>
        </is>
      </c>
      <c r="I732">
        <v>399</v>
      </c>
      <c r="J732">
        <f>GS31/115.6</f>
        <v>0</v>
      </c>
      <c r="M732" t="inlineStr">
        <is>
          <t>-115K19.4</t>
        </is>
      </c>
    </row>
    <row r="733">
      <c r="A733">
        <v>732</v>
      </c>
      <c r="B733">
        <f>GS31</f>
        <v>0</v>
      </c>
      <c r="C733" t="inlineStr">
        <is>
          <t>+LS1</t>
        </is>
      </c>
      <c r="D733" t="inlineStr">
        <is>
          <t>-115K19.5</t>
        </is>
      </c>
      <c r="E733" t="inlineStr">
        <is>
          <t>DIL_EM-10-G</t>
        </is>
      </c>
      <c r="F733" t="inlineStr">
        <is>
          <t>#KALK!</t>
        </is>
      </c>
      <c r="G733" t="inlineStr">
        <is>
          <t>LASTSCHUETZ</t>
        </is>
      </c>
      <c r="H733" t="inlineStr">
        <is>
          <t>4kW 1S</t>
        </is>
      </c>
      <c r="I733">
        <v>399</v>
      </c>
      <c r="J733">
        <f>GS31/115.6</f>
        <v>0</v>
      </c>
      <c r="M733" t="inlineStr">
        <is>
          <t>-115K19.5</t>
        </is>
      </c>
    </row>
    <row r="734">
      <c r="A734">
        <v>733</v>
      </c>
      <c r="B734">
        <f>GS01</f>
        <v>0</v>
      </c>
      <c r="C734" t="inlineStr">
        <is>
          <t>+LS2</t>
        </is>
      </c>
      <c r="D734" t="inlineStr">
        <is>
          <t>-115K2</t>
        </is>
      </c>
      <c r="E734" t="inlineStr">
        <is>
          <t>DIL_2AM</t>
        </is>
      </c>
      <c r="F734" t="inlineStr">
        <is>
          <t>22_DIL-M</t>
        </is>
      </c>
      <c r="G734" t="inlineStr">
        <is>
          <t>LASTSCHUETZ</t>
        </is>
      </c>
      <c r="H734" t="inlineStr">
        <is>
          <t>30 kW</t>
        </is>
      </c>
      <c r="I734">
        <v>277</v>
      </c>
      <c r="J734">
        <f>GS01/115.3</f>
        <v>0</v>
      </c>
      <c r="K734" t="inlineStr">
        <is>
          <t>DIL2AM</t>
        </is>
      </c>
      <c r="M734" t="inlineStr">
        <is>
          <t>-115K2</t>
        </is>
      </c>
    </row>
    <row r="735">
      <c r="A735">
        <v>734</v>
      </c>
      <c r="B735">
        <f>GS01</f>
        <v>0</v>
      </c>
      <c r="C735" t="inlineStr">
        <is>
          <t>+LS2</t>
        </is>
      </c>
      <c r="D735" t="inlineStr">
        <is>
          <t>-115K2</t>
        </is>
      </c>
      <c r="E735" t="inlineStr">
        <is>
          <t>22_DIL-M</t>
        </is>
      </c>
      <c r="F735" t="inlineStr">
        <is>
          <t>22_DIL-M</t>
        </is>
      </c>
      <c r="G735" t="inlineStr">
        <is>
          <t>HILFSKONTAKTBLOCK</t>
        </is>
      </c>
      <c r="H735" t="inlineStr">
        <is>
          <t>2S 2OE Lastschuetz DIL M</t>
        </is>
      </c>
      <c r="I735">
        <v>277</v>
      </c>
      <c r="J735">
        <f>GS01/115.3</f>
        <v>0</v>
      </c>
      <c r="K735" t="inlineStr">
        <is>
          <t>DIL2AM</t>
        </is>
      </c>
      <c r="M735" t="inlineStr">
        <is>
          <t>-115K2</t>
        </is>
      </c>
    </row>
    <row r="736">
      <c r="A736">
        <v>735</v>
      </c>
      <c r="B736">
        <f>GS32</f>
        <v>0</v>
      </c>
      <c r="C736" t="inlineStr">
        <is>
          <t>+LS1</t>
        </is>
      </c>
      <c r="D736" t="inlineStr">
        <is>
          <t>-115K27.5</t>
        </is>
      </c>
      <c r="E736" t="inlineStr">
        <is>
          <t>DIL_EM-10-G</t>
        </is>
      </c>
      <c r="F736" t="inlineStr">
        <is>
          <t>#KALK!</t>
        </is>
      </c>
      <c r="G736" t="inlineStr">
        <is>
          <t>LASTSCHUETZ</t>
        </is>
      </c>
      <c r="H736" t="inlineStr">
        <is>
          <t>4kW 1S</t>
        </is>
      </c>
      <c r="I736">
        <v>919</v>
      </c>
      <c r="J736">
        <f>GS32/115.7</f>
        <v>0</v>
      </c>
      <c r="M736" t="inlineStr">
        <is>
          <t>-115K27.5</t>
        </is>
      </c>
    </row>
    <row r="737">
      <c r="A737">
        <v>736</v>
      </c>
      <c r="B737">
        <f>GS26</f>
        <v>0</v>
      </c>
      <c r="C737" t="inlineStr">
        <is>
          <t>+LS1</t>
        </is>
      </c>
      <c r="D737" t="inlineStr">
        <is>
          <t>-115K3533.4</t>
        </is>
      </c>
      <c r="E737" t="inlineStr">
        <is>
          <t>DILM-9-10</t>
        </is>
      </c>
      <c r="F737" t="inlineStr">
        <is>
          <t>#KALK!</t>
        </is>
      </c>
      <c r="G737" t="inlineStr">
        <is>
          <t>LASTSCHUETZ</t>
        </is>
      </c>
      <c r="H737" t="inlineStr">
        <is>
          <t>4kW 1S Federzugkl.</t>
        </is>
      </c>
      <c r="I737">
        <v>207</v>
      </c>
      <c r="J737">
        <f>GS26/115.7</f>
        <v>0</v>
      </c>
      <c r="M737" t="inlineStr">
        <is>
          <t>-115K3533.4</t>
        </is>
      </c>
    </row>
    <row r="738">
      <c r="A738">
        <v>737</v>
      </c>
      <c r="B738">
        <f>GS37</f>
        <v>0</v>
      </c>
      <c r="C738" t="inlineStr">
        <is>
          <t>+LS01</t>
        </is>
      </c>
      <c r="D738" t="inlineStr">
        <is>
          <t>-115K409.0</t>
        </is>
      </c>
      <c r="E738" t="inlineStr">
        <is>
          <t>DILA-40</t>
        </is>
      </c>
      <c r="F738" t="inlineStr">
        <is>
          <t>#KALK!</t>
        </is>
      </c>
      <c r="G738" t="inlineStr">
        <is>
          <t>HILFSSCHUETZ</t>
        </is>
      </c>
      <c r="H738" t="inlineStr">
        <is>
          <t>4S Federzugkl.</t>
        </is>
      </c>
      <c r="I738">
        <v>356</v>
      </c>
      <c r="J738">
        <f>GS37/115.7</f>
        <v>0</v>
      </c>
      <c r="M738" t="inlineStr">
        <is>
          <t>-115K409.0</t>
        </is>
      </c>
    </row>
    <row r="739">
      <c r="A739">
        <v>738</v>
      </c>
      <c r="B739">
        <f>GS14</f>
        <v>0</v>
      </c>
      <c r="C739" t="inlineStr">
        <is>
          <t>+LS2</t>
        </is>
      </c>
      <c r="D739" t="inlineStr">
        <is>
          <t>-115K59.4</t>
        </is>
      </c>
      <c r="E739" t="inlineStr">
        <is>
          <t>DIL_EM-10-G</t>
        </is>
      </c>
      <c r="F739" t="inlineStr">
        <is>
          <t>#KALK!</t>
        </is>
      </c>
      <c r="G739" t="inlineStr">
        <is>
          <t>LASTSCHUETZ</t>
        </is>
      </c>
      <c r="H739" t="inlineStr">
        <is>
          <t>4kW 1S</t>
        </is>
      </c>
      <c r="I739">
        <v>241</v>
      </c>
      <c r="J739">
        <f>GS14/115.6</f>
        <v>0</v>
      </c>
      <c r="M739" t="inlineStr">
        <is>
          <t>-115K59.4</t>
        </is>
      </c>
    </row>
    <row r="740">
      <c r="A740">
        <v>739</v>
      </c>
      <c r="B740">
        <f>GS24</f>
        <v>0</v>
      </c>
      <c r="C740" t="inlineStr">
        <is>
          <t>+LS2</t>
        </is>
      </c>
      <c r="D740" t="inlineStr">
        <is>
          <t>-115KQ90.4</t>
        </is>
      </c>
      <c r="E740" t="inlineStr">
        <is>
          <t>DILM-9-10</t>
        </is>
      </c>
      <c r="F740" t="inlineStr">
        <is>
          <t>#KALK!</t>
        </is>
      </c>
      <c r="G740" t="inlineStr">
        <is>
          <t>LASTSCHUETZ</t>
        </is>
      </c>
      <c r="H740" t="inlineStr">
        <is>
          <t>4kW 1S Federzugkl.</t>
        </is>
      </c>
      <c r="I740">
        <v>964</v>
      </c>
      <c r="J740">
        <f>GS24/115.6</f>
        <v>0</v>
      </c>
      <c r="K740" t="inlineStr">
        <is>
          <t>DIL MC9</t>
        </is>
      </c>
      <c r="M740" t="inlineStr">
        <is>
          <t>-115KQ90.4</t>
        </is>
      </c>
    </row>
    <row r="741">
      <c r="A741">
        <v>740</v>
      </c>
      <c r="B741">
        <f>GS7x</f>
        <v>0</v>
      </c>
      <c r="C741" t="inlineStr">
        <is>
          <t>+LS[l1]</t>
        </is>
      </c>
      <c r="D741" t="inlineStr">
        <is>
          <t>-115Q[a+10].3</t>
        </is>
      </c>
      <c r="E741" t="inlineStr">
        <is>
          <t>DILM-9-10</t>
        </is>
      </c>
      <c r="F741" t="inlineStr">
        <is>
          <t>#KALK!</t>
        </is>
      </c>
      <c r="G741" t="inlineStr">
        <is>
          <t>LASTSCHUETZ</t>
        </is>
      </c>
      <c r="H741" t="inlineStr">
        <is>
          <t>4kW 1S Federzugkl.</t>
        </is>
      </c>
      <c r="I741">
        <v>353</v>
      </c>
      <c r="J741">
        <f>GS7x/115.6</f>
        <v>0</v>
      </c>
      <c r="M741" t="inlineStr">
        <is>
          <t>-115Q[a+10].3</t>
        </is>
      </c>
    </row>
    <row r="742">
      <c r="A742">
        <v>741</v>
      </c>
      <c r="B742">
        <f>GS08</f>
        <v>0</v>
      </c>
      <c r="C742" t="inlineStr">
        <is>
          <t>+LS01</t>
        </is>
      </c>
      <c r="D742" t="inlineStr">
        <is>
          <t>-115Q1</t>
        </is>
      </c>
      <c r="E742" t="inlineStr">
        <is>
          <t>DILA-XHI22</t>
        </is>
      </c>
      <c r="F742" t="inlineStr">
        <is>
          <t>DILA-XHI22</t>
        </is>
      </c>
      <c r="G742" t="inlineStr">
        <is>
          <t>HILFSKONTAKTBLOCK</t>
        </is>
      </c>
      <c r="H742" t="inlineStr">
        <is>
          <t>2S 2OE Last+Hilfssch. Cage</t>
        </is>
      </c>
      <c r="I742">
        <v>2028</v>
      </c>
      <c r="J742">
        <f>GS08/115.6</f>
        <v>0</v>
      </c>
      <c r="K742" t="inlineStr">
        <is>
          <t>DIL MC25</t>
        </is>
      </c>
      <c r="M742" t="inlineStr">
        <is>
          <t>-115Q1</t>
        </is>
      </c>
    </row>
    <row r="743">
      <c r="A743">
        <v>742</v>
      </c>
      <c r="B743">
        <f>GS08</f>
        <v>0</v>
      </c>
      <c r="C743" t="inlineStr">
        <is>
          <t>+LS01</t>
        </is>
      </c>
      <c r="D743" t="inlineStr">
        <is>
          <t>-115Q1</t>
        </is>
      </c>
      <c r="E743" t="inlineStr">
        <is>
          <t>DILMC25-10(RDC24)</t>
        </is>
      </c>
      <c r="F743" t="inlineStr">
        <is>
          <t>DILA-XHI22</t>
        </is>
      </c>
      <c r="G743" t="inlineStr">
        <is>
          <t>LASTSCHUETZ</t>
        </is>
      </c>
      <c r="H743" t="inlineStr">
        <is>
          <t>11kW 1S Federzugkl.</t>
        </is>
      </c>
      <c r="I743">
        <v>2028</v>
      </c>
      <c r="J743">
        <f>GS08/115.6</f>
        <v>0</v>
      </c>
      <c r="K743" t="inlineStr">
        <is>
          <t>DIL MC25</t>
        </is>
      </c>
      <c r="M743" t="inlineStr">
        <is>
          <t>-115Q1</t>
        </is>
      </c>
    </row>
    <row r="744">
      <c r="A744">
        <v>743</v>
      </c>
      <c r="B744">
        <f>GS37</f>
        <v>0</v>
      </c>
      <c r="C744" t="inlineStr">
        <is>
          <t>+LS01</t>
        </is>
      </c>
      <c r="D744" t="inlineStr">
        <is>
          <t>-115Q1</t>
        </is>
      </c>
      <c r="E744" t="inlineStr">
        <is>
          <t>DILMC25-10(RDC24)</t>
        </is>
      </c>
      <c r="F744" t="inlineStr">
        <is>
          <t>DILA-XHI22</t>
        </is>
      </c>
      <c r="G744" t="inlineStr">
        <is>
          <t>LASTSCHUETZ</t>
        </is>
      </c>
      <c r="H744" t="inlineStr">
        <is>
          <t>11kW 1S Federzugkl.</t>
        </is>
      </c>
      <c r="I744">
        <v>356</v>
      </c>
      <c r="J744">
        <f>GS37/115.4</f>
        <v>0</v>
      </c>
      <c r="K744" t="inlineStr">
        <is>
          <t>DIL MC25</t>
        </is>
      </c>
      <c r="M744" t="inlineStr">
        <is>
          <t>-115Q1</t>
        </is>
      </c>
    </row>
    <row r="745">
      <c r="A745">
        <v>744</v>
      </c>
      <c r="B745">
        <f>GS37</f>
        <v>0</v>
      </c>
      <c r="C745" t="inlineStr">
        <is>
          <t>+LS01</t>
        </is>
      </c>
      <c r="D745" t="inlineStr">
        <is>
          <t>-115Q1</t>
        </is>
      </c>
      <c r="E745" t="inlineStr">
        <is>
          <t>DILA-XHI22</t>
        </is>
      </c>
      <c r="F745" t="inlineStr">
        <is>
          <t>DILA-XHI22</t>
        </is>
      </c>
      <c r="G745" t="inlineStr">
        <is>
          <t>HILFSKONTAKTBLOCK</t>
        </is>
      </c>
      <c r="H745" t="inlineStr">
        <is>
          <t>2S 2OE Last+Hilfssch. Cage</t>
        </is>
      </c>
      <c r="I745">
        <v>356</v>
      </c>
      <c r="J745">
        <f>GS37/115.4</f>
        <v>0</v>
      </c>
      <c r="K745" t="inlineStr">
        <is>
          <t>DIL MC25</t>
        </is>
      </c>
      <c r="M745" t="inlineStr">
        <is>
          <t>-115Q1</t>
        </is>
      </c>
    </row>
    <row r="746">
      <c r="A746">
        <v>745</v>
      </c>
      <c r="B746">
        <f>GS51</f>
        <v>0</v>
      </c>
      <c r="C746" t="inlineStr">
        <is>
          <t>+LS01</t>
        </is>
      </c>
      <c r="D746" t="inlineStr">
        <is>
          <t>-115Q1</t>
        </is>
      </c>
      <c r="E746" t="inlineStr">
        <is>
          <t>DILA-XHI22</t>
        </is>
      </c>
      <c r="F746" t="inlineStr">
        <is>
          <t>DILA-XHI22</t>
        </is>
      </c>
      <c r="G746" t="inlineStr">
        <is>
          <t>HILFSKONTAKTBLOCK</t>
        </is>
      </c>
      <c r="H746" t="inlineStr">
        <is>
          <t>2S 2OE Last+Hilfssch. Cage</t>
        </is>
      </c>
      <c r="I746">
        <v>316</v>
      </c>
      <c r="J746">
        <f>GS51/115.6</f>
        <v>0</v>
      </c>
      <c r="K746" t="inlineStr">
        <is>
          <t>DIL MC25</t>
        </is>
      </c>
      <c r="M746" t="inlineStr">
        <is>
          <t>-115Q1</t>
        </is>
      </c>
    </row>
    <row r="747">
      <c r="A747">
        <v>746</v>
      </c>
      <c r="B747">
        <f>GS51</f>
        <v>0</v>
      </c>
      <c r="C747" t="inlineStr">
        <is>
          <t>+LS01</t>
        </is>
      </c>
      <c r="D747" t="inlineStr">
        <is>
          <t>-115Q1</t>
        </is>
      </c>
      <c r="E747" t="inlineStr">
        <is>
          <t>DILMC25-10(RDC24)</t>
        </is>
      </c>
      <c r="F747" t="inlineStr">
        <is>
          <t>DILA-XHI22</t>
        </is>
      </c>
      <c r="G747" t="inlineStr">
        <is>
          <t>LASTSCHUETZ</t>
        </is>
      </c>
      <c r="H747" t="inlineStr">
        <is>
          <t>11kW 1S Federzugkl.</t>
        </is>
      </c>
      <c r="I747">
        <v>316</v>
      </c>
      <c r="J747">
        <f>GS51/115.6</f>
        <v>0</v>
      </c>
      <c r="K747" t="inlineStr">
        <is>
          <t>DIL MC25</t>
        </is>
      </c>
      <c r="M747" t="inlineStr">
        <is>
          <t>-115Q1</t>
        </is>
      </c>
    </row>
    <row r="748">
      <c r="A748">
        <v>747</v>
      </c>
      <c r="B748">
        <f>GS90</f>
        <v>0</v>
      </c>
      <c r="C748" t="inlineStr">
        <is>
          <t>+LS01</t>
        </is>
      </c>
      <c r="D748" t="inlineStr">
        <is>
          <t>-115Q1</t>
        </is>
      </c>
      <c r="E748" t="inlineStr">
        <is>
          <t>DILA-XHI22</t>
        </is>
      </c>
      <c r="F748" t="inlineStr">
        <is>
          <t>DILA-XHI22</t>
        </is>
      </c>
      <c r="G748" t="inlineStr">
        <is>
          <t>HILFSKONTAKTBLOCK</t>
        </is>
      </c>
      <c r="H748" t="inlineStr">
        <is>
          <t>2S 2OE Last+Hilfssch. Cage</t>
        </is>
      </c>
      <c r="I748">
        <v>1117</v>
      </c>
      <c r="J748">
        <f>GS90/115.4</f>
        <v>0</v>
      </c>
      <c r="K748" t="inlineStr">
        <is>
          <t>DIL MC25</t>
        </is>
      </c>
      <c r="M748" t="inlineStr">
        <is>
          <t>-115Q1</t>
        </is>
      </c>
    </row>
    <row r="749">
      <c r="A749">
        <v>748</v>
      </c>
      <c r="B749">
        <f>GS90</f>
        <v>0</v>
      </c>
      <c r="C749" t="inlineStr">
        <is>
          <t>+LS01</t>
        </is>
      </c>
      <c r="D749" t="inlineStr">
        <is>
          <t>-115Q1</t>
        </is>
      </c>
      <c r="E749" t="inlineStr">
        <is>
          <t>DILMC25-10(RDC24)</t>
        </is>
      </c>
      <c r="F749" t="inlineStr">
        <is>
          <t>DILA-XHI22</t>
        </is>
      </c>
      <c r="G749" t="inlineStr">
        <is>
          <t>LASTSCHUETZ</t>
        </is>
      </c>
      <c r="H749" t="inlineStr">
        <is>
          <t>11kW 1S Federzugkl.</t>
        </is>
      </c>
      <c r="I749">
        <v>1117</v>
      </c>
      <c r="J749">
        <f>GS90/115.4</f>
        <v>0</v>
      </c>
      <c r="K749" t="inlineStr">
        <is>
          <t>DIL MC25</t>
        </is>
      </c>
      <c r="M749" t="inlineStr">
        <is>
          <t>-115Q1</t>
        </is>
      </c>
    </row>
    <row r="750">
      <c r="A750">
        <v>749</v>
      </c>
      <c r="B750">
        <f>GS91</f>
        <v>0</v>
      </c>
      <c r="C750" t="inlineStr">
        <is>
          <t>+LS01</t>
        </is>
      </c>
      <c r="D750" t="inlineStr">
        <is>
          <t>-115Q1</t>
        </is>
      </c>
      <c r="E750" t="inlineStr">
        <is>
          <t>DILA-XHI22</t>
        </is>
      </c>
      <c r="F750" t="inlineStr">
        <is>
          <t>DILA-XHI22</t>
        </is>
      </c>
      <c r="G750" t="inlineStr">
        <is>
          <t>HILFSKONTAKTBLOCK</t>
        </is>
      </c>
      <c r="H750" t="inlineStr">
        <is>
          <t>2S 2OE Last+Hilfssch. Cage</t>
        </is>
      </c>
      <c r="I750">
        <v>263</v>
      </c>
      <c r="J750">
        <f>GS91/115.4</f>
        <v>0</v>
      </c>
      <c r="K750" t="inlineStr">
        <is>
          <t>DIL MC25</t>
        </is>
      </c>
      <c r="M750" t="inlineStr">
        <is>
          <t>-115Q1</t>
        </is>
      </c>
    </row>
    <row r="751">
      <c r="A751">
        <v>750</v>
      </c>
      <c r="B751">
        <f>GS91</f>
        <v>0</v>
      </c>
      <c r="C751" t="inlineStr">
        <is>
          <t>+LS01</t>
        </is>
      </c>
      <c r="D751" t="inlineStr">
        <is>
          <t>-115Q1</t>
        </is>
      </c>
      <c r="E751" t="inlineStr">
        <is>
          <t>DILMC25-10(RDC24)</t>
        </is>
      </c>
      <c r="F751" t="inlineStr">
        <is>
          <t>DILA-XHI22</t>
        </is>
      </c>
      <c r="G751" t="inlineStr">
        <is>
          <t>LASTSCHUETZ</t>
        </is>
      </c>
      <c r="H751" t="inlineStr">
        <is>
          <t>11kW 1S Federzugkl.</t>
        </is>
      </c>
      <c r="I751">
        <v>263</v>
      </c>
      <c r="J751">
        <f>GS91/115.4</f>
        <v>0</v>
      </c>
      <c r="K751" t="inlineStr">
        <is>
          <t>DIL MC25</t>
        </is>
      </c>
      <c r="M751" t="inlineStr">
        <is>
          <t>-115Q1</t>
        </is>
      </c>
    </row>
    <row r="752">
      <c r="A752">
        <v>751</v>
      </c>
      <c r="B752">
        <f>GS92</f>
        <v>0</v>
      </c>
      <c r="C752" t="inlineStr">
        <is>
          <t>+LS01</t>
        </is>
      </c>
      <c r="D752" t="inlineStr">
        <is>
          <t>-115Q1</t>
        </is>
      </c>
      <c r="E752" t="inlineStr">
        <is>
          <t>DILA-XHI22</t>
        </is>
      </c>
      <c r="F752" t="inlineStr">
        <is>
          <t>DILA-XHI22</t>
        </is>
      </c>
      <c r="G752" t="inlineStr">
        <is>
          <t>HILFSKONTAKTBLOCK</t>
        </is>
      </c>
      <c r="H752" t="inlineStr">
        <is>
          <t>2S 2OE Last+Hilfssch. Cage</t>
        </is>
      </c>
      <c r="I752">
        <v>261</v>
      </c>
      <c r="J752">
        <f>GS92/115.4</f>
        <v>0</v>
      </c>
      <c r="K752" t="inlineStr">
        <is>
          <t>DIL MC25</t>
        </is>
      </c>
      <c r="M752" t="inlineStr">
        <is>
          <t>-115Q1</t>
        </is>
      </c>
    </row>
    <row r="753">
      <c r="A753">
        <v>752</v>
      </c>
      <c r="B753">
        <f>GS92</f>
        <v>0</v>
      </c>
      <c r="C753" t="inlineStr">
        <is>
          <t>+LS01</t>
        </is>
      </c>
      <c r="D753" t="inlineStr">
        <is>
          <t>-115Q1</t>
        </is>
      </c>
      <c r="E753" t="inlineStr">
        <is>
          <t>DILMC25-10(RDC24)</t>
        </is>
      </c>
      <c r="F753" t="inlineStr">
        <is>
          <t>DILA-XHI22</t>
        </is>
      </c>
      <c r="G753" t="inlineStr">
        <is>
          <t>LASTSCHUETZ</t>
        </is>
      </c>
      <c r="H753" t="inlineStr">
        <is>
          <t>11kW 1S Federzugkl.</t>
        </is>
      </c>
      <c r="I753">
        <v>261</v>
      </c>
      <c r="J753">
        <f>GS92/115.4</f>
        <v>0</v>
      </c>
      <c r="K753" t="inlineStr">
        <is>
          <t>DIL MC25</t>
        </is>
      </c>
      <c r="M753" t="inlineStr">
        <is>
          <t>-115Q1</t>
        </is>
      </c>
    </row>
    <row r="754">
      <c r="A754">
        <v>753</v>
      </c>
      <c r="B754">
        <f>GS93</f>
        <v>0</v>
      </c>
      <c r="C754" t="inlineStr">
        <is>
          <t>+LS01</t>
        </is>
      </c>
      <c r="D754" t="inlineStr">
        <is>
          <t>-115Q1</t>
        </is>
      </c>
      <c r="E754" t="inlineStr">
        <is>
          <t>DILMC25-10(RDC24)</t>
        </is>
      </c>
      <c r="F754" t="inlineStr">
        <is>
          <t>DILA-XHI22</t>
        </is>
      </c>
      <c r="G754" t="inlineStr">
        <is>
          <t>LASTSCHUETZ</t>
        </is>
      </c>
      <c r="H754" t="inlineStr">
        <is>
          <t>11kW 1S Federzugkl.</t>
        </is>
      </c>
      <c r="I754">
        <v>684</v>
      </c>
      <c r="J754">
        <f>GS93/115.4</f>
        <v>0</v>
      </c>
      <c r="K754" t="inlineStr">
        <is>
          <t>DIL MC25</t>
        </is>
      </c>
      <c r="M754" t="inlineStr">
        <is>
          <t>-115Q1</t>
        </is>
      </c>
    </row>
    <row r="755">
      <c r="A755">
        <v>754</v>
      </c>
      <c r="B755">
        <f>GS93</f>
        <v>0</v>
      </c>
      <c r="C755" t="inlineStr">
        <is>
          <t>+LS01</t>
        </is>
      </c>
      <c r="D755" t="inlineStr">
        <is>
          <t>-115Q1</t>
        </is>
      </c>
      <c r="E755" t="inlineStr">
        <is>
          <t>DILA-XHI22</t>
        </is>
      </c>
      <c r="F755" t="inlineStr">
        <is>
          <t>DILA-XHI22</t>
        </is>
      </c>
      <c r="G755" t="inlineStr">
        <is>
          <t>HILFSKONTAKTBLOCK</t>
        </is>
      </c>
      <c r="H755" t="inlineStr">
        <is>
          <t>2S 2OE Last+Hilfssch. Cage</t>
        </is>
      </c>
      <c r="I755">
        <v>684</v>
      </c>
      <c r="J755">
        <f>GS93/115.4</f>
        <v>0</v>
      </c>
      <c r="K755" t="inlineStr">
        <is>
          <t>DIL MC25</t>
        </is>
      </c>
      <c r="M755" t="inlineStr">
        <is>
          <t>-115Q1</t>
        </is>
      </c>
    </row>
    <row r="756">
      <c r="A756">
        <v>755</v>
      </c>
      <c r="B756">
        <f>GS05</f>
        <v>0</v>
      </c>
      <c r="C756" t="inlineStr">
        <is>
          <t>+LS19</t>
        </is>
      </c>
      <c r="D756" t="inlineStr">
        <is>
          <t>-1165Q1</t>
        </is>
      </c>
      <c r="E756" t="inlineStr">
        <is>
          <t>DILA-XHI22</t>
        </is>
      </c>
      <c r="F756" t="inlineStr">
        <is>
          <t>DILA-XHI22</t>
        </is>
      </c>
      <c r="G756" t="inlineStr">
        <is>
          <t>HILFSKONTAKTBLOCK</t>
        </is>
      </c>
      <c r="H756" t="inlineStr">
        <is>
          <t>2S 2OE Last+Hilfssch. Cage</t>
        </is>
      </c>
      <c r="I756">
        <v>2916</v>
      </c>
      <c r="J756">
        <f>GS05/1165.6</f>
        <v>0</v>
      </c>
      <c r="K756" t="inlineStr">
        <is>
          <t>DIL MC25</t>
        </is>
      </c>
      <c r="M756" t="inlineStr">
        <is>
          <t>-1165Q1</t>
        </is>
      </c>
    </row>
    <row r="757">
      <c r="A757">
        <v>756</v>
      </c>
      <c r="B757">
        <f>GS05</f>
        <v>0</v>
      </c>
      <c r="C757" t="inlineStr">
        <is>
          <t>+LS19</t>
        </is>
      </c>
      <c r="D757" t="inlineStr">
        <is>
          <t>-1165Q1</t>
        </is>
      </c>
      <c r="E757" t="inlineStr">
        <is>
          <t>DILMC25-10(RDC24)</t>
        </is>
      </c>
      <c r="F757" t="inlineStr">
        <is>
          <t>DILA-XHI22</t>
        </is>
      </c>
      <c r="G757" t="inlineStr">
        <is>
          <t>LASTSCHUETZ</t>
        </is>
      </c>
      <c r="H757" t="inlineStr">
        <is>
          <t>11kW 1S Federzugkl.</t>
        </is>
      </c>
      <c r="I757">
        <v>2916</v>
      </c>
      <c r="J757">
        <f>GS05/1165.6</f>
        <v>0</v>
      </c>
      <c r="K757" t="inlineStr">
        <is>
          <t>DIL MC25</t>
        </is>
      </c>
      <c r="M757" t="inlineStr">
        <is>
          <t>-1165Q1</t>
        </is>
      </c>
    </row>
    <row r="758">
      <c r="A758">
        <v>757</v>
      </c>
      <c r="B758">
        <f>GS04</f>
        <v>0</v>
      </c>
      <c r="C758" t="inlineStr">
        <is>
          <t>+LS1</t>
        </is>
      </c>
      <c r="D758" t="inlineStr">
        <is>
          <t>-116K1</t>
        </is>
      </c>
      <c r="E758" t="inlineStr">
        <is>
          <t>22_DIL-M</t>
        </is>
      </c>
      <c r="F758" t="inlineStr">
        <is>
          <t>22_DIL-M</t>
        </is>
      </c>
      <c r="G758" t="inlineStr">
        <is>
          <t>HILFSKONTAKTBLOCK</t>
        </is>
      </c>
      <c r="H758" t="inlineStr">
        <is>
          <t>2S 2OE Lastschuetz DIL M</t>
        </is>
      </c>
      <c r="I758">
        <v>366</v>
      </c>
      <c r="J758">
        <f>GS04/116.2</f>
        <v>0</v>
      </c>
      <c r="K758" t="inlineStr">
        <is>
          <t>DIL2AM</t>
        </is>
      </c>
      <c r="M758" t="inlineStr">
        <is>
          <t>-116K1</t>
        </is>
      </c>
    </row>
    <row r="759">
      <c r="A759">
        <v>758</v>
      </c>
      <c r="B759">
        <f>GS04</f>
        <v>0</v>
      </c>
      <c r="C759" t="inlineStr">
        <is>
          <t>+LS1</t>
        </is>
      </c>
      <c r="D759" t="inlineStr">
        <is>
          <t>-116K1</t>
        </is>
      </c>
      <c r="E759" t="inlineStr">
        <is>
          <t>DIL_2AM</t>
        </is>
      </c>
      <c r="F759" t="inlineStr">
        <is>
          <t>22_DIL-M</t>
        </is>
      </c>
      <c r="G759" t="inlineStr">
        <is>
          <t>LASTSCHUETZ</t>
        </is>
      </c>
      <c r="H759" t="inlineStr">
        <is>
          <t>30 kW</t>
        </is>
      </c>
      <c r="I759">
        <v>366</v>
      </c>
      <c r="J759">
        <f>GS04/116.2</f>
        <v>0</v>
      </c>
      <c r="K759" t="inlineStr">
        <is>
          <t>DIL2AM</t>
        </is>
      </c>
      <c r="M759" t="inlineStr">
        <is>
          <t>-116K1</t>
        </is>
      </c>
    </row>
    <row r="760">
      <c r="A760">
        <v>759</v>
      </c>
      <c r="B760">
        <f>GS33</f>
        <v>0</v>
      </c>
      <c r="C760" t="inlineStr">
        <is>
          <t>+LS1</t>
        </is>
      </c>
      <c r="D760" t="inlineStr">
        <is>
          <t>-116K15.7</t>
        </is>
      </c>
      <c r="E760" t="inlineStr">
        <is>
          <t>DIL_EM-10-G</t>
        </is>
      </c>
      <c r="F760" t="inlineStr">
        <is>
          <t>#KALK!</t>
        </is>
      </c>
      <c r="G760" t="inlineStr">
        <is>
          <t>LASTSCHUETZ</t>
        </is>
      </c>
      <c r="H760" t="inlineStr">
        <is>
          <t>4kW 1S</t>
        </is>
      </c>
      <c r="I760">
        <v>548</v>
      </c>
      <c r="J760">
        <f>GS33/116.7</f>
        <v>0</v>
      </c>
      <c r="M760" t="inlineStr">
        <is>
          <t>-116K15.7</t>
        </is>
      </c>
    </row>
    <row r="761">
      <c r="A761">
        <v>760</v>
      </c>
      <c r="B761">
        <f>GS16</f>
        <v>0</v>
      </c>
      <c r="C761" t="inlineStr">
        <is>
          <t>+LS1</t>
        </is>
      </c>
      <c r="D761" t="inlineStr">
        <is>
          <t>-116K18.4</t>
        </is>
      </c>
      <c r="E761" t="inlineStr">
        <is>
          <t>DIL_EM-10-G</t>
        </is>
      </c>
      <c r="F761" t="inlineStr">
        <is>
          <t>#KALK!</t>
        </is>
      </c>
      <c r="G761" t="inlineStr">
        <is>
          <t>LASTSCHUETZ</t>
        </is>
      </c>
      <c r="H761" t="inlineStr">
        <is>
          <t>4kW 1S</t>
        </is>
      </c>
      <c r="I761">
        <v>336</v>
      </c>
      <c r="J761">
        <f>GS16/116.7</f>
        <v>0</v>
      </c>
      <c r="M761" t="inlineStr">
        <is>
          <t>-116K18.4</t>
        </is>
      </c>
    </row>
    <row r="762">
      <c r="A762">
        <v>761</v>
      </c>
      <c r="B762">
        <f>GS31</f>
        <v>0</v>
      </c>
      <c r="C762" t="inlineStr">
        <is>
          <t>+LS1</t>
        </is>
      </c>
      <c r="D762" t="inlineStr">
        <is>
          <t>-116K19.6</t>
        </is>
      </c>
      <c r="E762" t="inlineStr">
        <is>
          <t>DIL_EM-10-G</t>
        </is>
      </c>
      <c r="F762" t="inlineStr">
        <is>
          <t>#KALK!</t>
        </is>
      </c>
      <c r="G762" t="inlineStr">
        <is>
          <t>LASTSCHUETZ</t>
        </is>
      </c>
      <c r="H762" t="inlineStr">
        <is>
          <t>4kW 1S</t>
        </is>
      </c>
      <c r="I762">
        <v>400</v>
      </c>
      <c r="J762">
        <f>GS31/116.6</f>
        <v>0</v>
      </c>
      <c r="M762" t="inlineStr">
        <is>
          <t>-116K19.6</t>
        </is>
      </c>
    </row>
    <row r="763">
      <c r="A763">
        <v>762</v>
      </c>
      <c r="B763">
        <f>GS31</f>
        <v>0</v>
      </c>
      <c r="C763" t="inlineStr">
        <is>
          <t>+LS1</t>
        </is>
      </c>
      <c r="D763" t="inlineStr">
        <is>
          <t>-116K19.7</t>
        </is>
      </c>
      <c r="E763" t="inlineStr">
        <is>
          <t>DIL_EM-10-G</t>
        </is>
      </c>
      <c r="F763" t="inlineStr">
        <is>
          <t>#KALK!</t>
        </is>
      </c>
      <c r="G763" t="inlineStr">
        <is>
          <t>LASTSCHUETZ</t>
        </is>
      </c>
      <c r="H763" t="inlineStr">
        <is>
          <t>4kW 1S</t>
        </is>
      </c>
      <c r="I763">
        <v>400</v>
      </c>
      <c r="J763">
        <f>GS31/116.6</f>
        <v>0</v>
      </c>
      <c r="M763" t="inlineStr">
        <is>
          <t>-116K19.7</t>
        </is>
      </c>
    </row>
    <row r="764">
      <c r="A764">
        <v>763</v>
      </c>
      <c r="B764">
        <f>GS26</f>
        <v>0</v>
      </c>
      <c r="C764" t="inlineStr">
        <is>
          <t>+LS1</t>
        </is>
      </c>
      <c r="D764" t="inlineStr">
        <is>
          <t>-116K3534.2</t>
        </is>
      </c>
      <c r="E764" t="inlineStr">
        <is>
          <t>DILM-9-10</t>
        </is>
      </c>
      <c r="F764" t="inlineStr">
        <is>
          <t>#KALK!</t>
        </is>
      </c>
      <c r="G764" t="inlineStr">
        <is>
          <t>LASTSCHUETZ</t>
        </is>
      </c>
      <c r="H764" t="inlineStr">
        <is>
          <t>4kW 1S Federzugkl.</t>
        </is>
      </c>
      <c r="I764">
        <v>208</v>
      </c>
      <c r="J764">
        <f>GS26/116.7</f>
        <v>0</v>
      </c>
      <c r="M764" t="inlineStr">
        <is>
          <t>-116K3534.2</t>
        </is>
      </c>
    </row>
    <row r="765">
      <c r="A765">
        <v>764</v>
      </c>
      <c r="B765">
        <f>GS14</f>
        <v>0</v>
      </c>
      <c r="C765" t="inlineStr">
        <is>
          <t>+LS2</t>
        </is>
      </c>
      <c r="D765" t="inlineStr">
        <is>
          <t>-116K59.5</t>
        </is>
      </c>
      <c r="E765" t="inlineStr">
        <is>
          <t>DIL_EM-10-G</t>
        </is>
      </c>
      <c r="F765" t="inlineStr">
        <is>
          <t>#KALK!</t>
        </is>
      </c>
      <c r="G765" t="inlineStr">
        <is>
          <t>LASTSCHUETZ</t>
        </is>
      </c>
      <c r="H765" t="inlineStr">
        <is>
          <t>4kW 1S</t>
        </is>
      </c>
      <c r="I765">
        <v>242</v>
      </c>
      <c r="J765">
        <f>GS14/116.6</f>
        <v>0</v>
      </c>
      <c r="M765" t="inlineStr">
        <is>
          <t>-116K59.5</t>
        </is>
      </c>
    </row>
    <row r="766">
      <c r="A766">
        <v>765</v>
      </c>
      <c r="B766">
        <f>GS14</f>
        <v>0</v>
      </c>
      <c r="C766" t="inlineStr">
        <is>
          <t>+LS2</t>
        </is>
      </c>
      <c r="D766" t="inlineStr">
        <is>
          <t>-116K60.0</t>
        </is>
      </c>
      <c r="E766" t="inlineStr">
        <is>
          <t>DIL_EM-10-G</t>
        </is>
      </c>
      <c r="F766" t="inlineStr">
        <is>
          <t>#KALK!</t>
        </is>
      </c>
      <c r="G766" t="inlineStr">
        <is>
          <t>LASTSCHUETZ</t>
        </is>
      </c>
      <c r="H766" t="inlineStr">
        <is>
          <t>4kW 1S</t>
        </is>
      </c>
      <c r="I766">
        <v>242</v>
      </c>
      <c r="J766">
        <f>GS14/116.6</f>
        <v>0</v>
      </c>
      <c r="M766" t="inlineStr">
        <is>
          <t>-116K60.0</t>
        </is>
      </c>
    </row>
    <row r="767">
      <c r="A767">
        <v>766</v>
      </c>
      <c r="B767">
        <f>GS92</f>
        <v>0</v>
      </c>
      <c r="C767" t="inlineStr">
        <is>
          <t>+LS01</t>
        </is>
      </c>
      <c r="D767" t="inlineStr">
        <is>
          <t>-116Q151.1</t>
        </is>
      </c>
      <c r="E767" t="inlineStr">
        <is>
          <t>DILM-9-10</t>
        </is>
      </c>
      <c r="F767" t="inlineStr">
        <is>
          <t>#KALK!</t>
        </is>
      </c>
      <c r="G767" t="inlineStr">
        <is>
          <t>LASTSCHUETZ</t>
        </is>
      </c>
      <c r="H767" t="inlineStr">
        <is>
          <t>4kW 1S Federzugkl.</t>
        </is>
      </c>
      <c r="I767">
        <v>262</v>
      </c>
      <c r="J767">
        <f>GS92/116.5</f>
        <v>0</v>
      </c>
      <c r="M767" t="inlineStr">
        <is>
          <t>-116Q151.1</t>
        </is>
      </c>
    </row>
    <row r="768">
      <c r="A768">
        <v>767</v>
      </c>
      <c r="B768">
        <f>GS93</f>
        <v>0</v>
      </c>
      <c r="C768" t="inlineStr">
        <is>
          <t>+LS01</t>
        </is>
      </c>
      <c r="D768" t="inlineStr">
        <is>
          <t>-116Q151.1</t>
        </is>
      </c>
      <c r="E768" t="inlineStr">
        <is>
          <t>DILM-9-10</t>
        </is>
      </c>
      <c r="F768" t="inlineStr">
        <is>
          <t>#KALK!</t>
        </is>
      </c>
      <c r="G768" t="inlineStr">
        <is>
          <t>LASTSCHUETZ</t>
        </is>
      </c>
      <c r="H768" t="inlineStr">
        <is>
          <t>4kW 1S Federzugkl.</t>
        </is>
      </c>
      <c r="I768">
        <v>685</v>
      </c>
      <c r="J768">
        <f>GS93/116.5</f>
        <v>0</v>
      </c>
      <c r="M768" t="inlineStr">
        <is>
          <t>-116Q151.1</t>
        </is>
      </c>
    </row>
    <row r="769">
      <c r="A769">
        <v>768</v>
      </c>
      <c r="B769">
        <f>GS91</f>
        <v>0</v>
      </c>
      <c r="C769" t="inlineStr">
        <is>
          <t>+LS01</t>
        </is>
      </c>
      <c r="D769" t="inlineStr">
        <is>
          <t>-116Q153.5</t>
        </is>
      </c>
      <c r="E769" t="inlineStr">
        <is>
          <t>DILM-9-10</t>
        </is>
      </c>
      <c r="F769" t="inlineStr">
        <is>
          <t>#KALK!</t>
        </is>
      </c>
      <c r="G769" t="inlineStr">
        <is>
          <t>LASTSCHUETZ</t>
        </is>
      </c>
      <c r="H769" t="inlineStr">
        <is>
          <t>4kW 1S Federzugkl.</t>
        </is>
      </c>
      <c r="I769">
        <v>264</v>
      </c>
      <c r="J769">
        <f>GS91/116.5</f>
        <v>0</v>
      </c>
      <c r="M769" t="inlineStr">
        <is>
          <t>-116Q153.5</t>
        </is>
      </c>
    </row>
    <row r="770">
      <c r="A770">
        <v>769</v>
      </c>
      <c r="B770">
        <f>GS06</f>
        <v>0</v>
      </c>
      <c r="C770" t="inlineStr">
        <is>
          <t>+LS18</t>
        </is>
      </c>
      <c r="D770" t="inlineStr">
        <is>
          <t>-1170Q1</t>
        </is>
      </c>
      <c r="E770" t="inlineStr">
        <is>
          <t>DILA-XHI22</t>
        </is>
      </c>
      <c r="F770" t="inlineStr">
        <is>
          <t>DILA-XHI22</t>
        </is>
      </c>
      <c r="G770" t="inlineStr">
        <is>
          <t>HILFSKONTAKTBLOCK</t>
        </is>
      </c>
      <c r="H770" t="inlineStr">
        <is>
          <t>2S 2OE Last+Hilfssch. Cage</t>
        </is>
      </c>
      <c r="I770">
        <v>3038</v>
      </c>
      <c r="J770">
        <f>GS06/1170.6</f>
        <v>0</v>
      </c>
      <c r="K770" t="inlineStr">
        <is>
          <t>DIL MC25</t>
        </is>
      </c>
      <c r="M770" t="inlineStr">
        <is>
          <t>-1170Q1</t>
        </is>
      </c>
    </row>
    <row r="771">
      <c r="A771">
        <v>770</v>
      </c>
      <c r="B771">
        <f>GS06</f>
        <v>0</v>
      </c>
      <c r="C771" t="inlineStr">
        <is>
          <t>+LS18</t>
        </is>
      </c>
      <c r="D771" t="inlineStr">
        <is>
          <t>-1170Q1</t>
        </is>
      </c>
      <c r="E771" t="inlineStr">
        <is>
          <t>DILMC25-10(RDC24)</t>
        </is>
      </c>
      <c r="F771" t="inlineStr">
        <is>
          <t>DILA-XHI22</t>
        </is>
      </c>
      <c r="G771" t="inlineStr">
        <is>
          <t>LASTSCHUETZ</t>
        </is>
      </c>
      <c r="H771" t="inlineStr">
        <is>
          <t>11kW 1S Federzugkl.</t>
        </is>
      </c>
      <c r="I771">
        <v>3038</v>
      </c>
      <c r="J771">
        <f>GS06/1170.6</f>
        <v>0</v>
      </c>
      <c r="K771" t="inlineStr">
        <is>
          <t>DIL MC25</t>
        </is>
      </c>
      <c r="M771" t="inlineStr">
        <is>
          <t>-1170Q1</t>
        </is>
      </c>
    </row>
    <row r="772">
      <c r="A772">
        <v>771</v>
      </c>
      <c r="B772">
        <f>GS05</f>
        <v>0</v>
      </c>
      <c r="C772" t="inlineStr">
        <is>
          <t>+LS19</t>
        </is>
      </c>
      <c r="D772" t="inlineStr">
        <is>
          <t>-1172Q754.5</t>
        </is>
      </c>
      <c r="E772" t="inlineStr">
        <is>
          <t>DILM-9-10</t>
        </is>
      </c>
      <c r="F772" t="inlineStr">
        <is>
          <t>#KALK!</t>
        </is>
      </c>
      <c r="G772" t="inlineStr">
        <is>
          <t>LASTSCHUETZ</t>
        </is>
      </c>
      <c r="H772" t="inlineStr">
        <is>
          <t>4kW 1S Federzugkl.</t>
        </is>
      </c>
      <c r="I772">
        <v>2362</v>
      </c>
      <c r="J772">
        <f>GS05/1172.6</f>
        <v>0</v>
      </c>
      <c r="K772" t="inlineStr">
        <is>
          <t>DIL MC9</t>
        </is>
      </c>
      <c r="M772" t="inlineStr">
        <is>
          <t>-1172Q754.5</t>
        </is>
      </c>
    </row>
    <row r="773">
      <c r="A773">
        <v>772</v>
      </c>
      <c r="B773">
        <f>GS55</f>
        <v>0</v>
      </c>
      <c r="C773" t="inlineStr">
        <is>
          <t>+LS19</t>
        </is>
      </c>
      <c r="D773" t="inlineStr">
        <is>
          <t>-1175Q1</t>
        </is>
      </c>
      <c r="E773" t="inlineStr">
        <is>
          <t>DILA-XHI22</t>
        </is>
      </c>
      <c r="F773" t="inlineStr">
        <is>
          <t>DILA-XHI22</t>
        </is>
      </c>
      <c r="G773" t="inlineStr">
        <is>
          <t>HILFSKONTAKTBLOCK</t>
        </is>
      </c>
      <c r="H773" t="inlineStr">
        <is>
          <t>2S 2OE Last+Hilfssch. Cage</t>
        </is>
      </c>
      <c r="I773">
        <v>1404</v>
      </c>
      <c r="J773">
        <f>GS55/1175.6</f>
        <v>0</v>
      </c>
      <c r="K773" t="inlineStr">
        <is>
          <t>DIL MC25</t>
        </is>
      </c>
      <c r="M773" t="inlineStr">
        <is>
          <t>-1175Q1</t>
        </is>
      </c>
    </row>
    <row r="774">
      <c r="A774">
        <v>773</v>
      </c>
      <c r="B774">
        <f>GS55</f>
        <v>0</v>
      </c>
      <c r="C774" t="inlineStr">
        <is>
          <t>+LS19</t>
        </is>
      </c>
      <c r="D774" t="inlineStr">
        <is>
          <t>-1175Q1</t>
        </is>
      </c>
      <c r="E774" t="inlineStr">
        <is>
          <t>DILMC25-10(RDC24)</t>
        </is>
      </c>
      <c r="F774" t="inlineStr">
        <is>
          <t>DILA-XHI22</t>
        </is>
      </c>
      <c r="G774" t="inlineStr">
        <is>
          <t>LASTSCHUETZ</t>
        </is>
      </c>
      <c r="H774" t="inlineStr">
        <is>
          <t>11kW 1S Federzugkl.</t>
        </is>
      </c>
      <c r="I774">
        <v>1404</v>
      </c>
      <c r="J774">
        <f>GS55/1175.6</f>
        <v>0</v>
      </c>
      <c r="K774" t="inlineStr">
        <is>
          <t>DIL MC25</t>
        </is>
      </c>
      <c r="M774" t="inlineStr">
        <is>
          <t>-1175Q1</t>
        </is>
      </c>
    </row>
    <row r="775">
      <c r="A775">
        <v>774</v>
      </c>
      <c r="B775">
        <f>GS55</f>
        <v>0</v>
      </c>
      <c r="C775" t="inlineStr">
        <is>
          <t>+LS19</t>
        </is>
      </c>
      <c r="D775" t="inlineStr">
        <is>
          <t>-1177Q706.1</t>
        </is>
      </c>
      <c r="E775" t="inlineStr">
        <is>
          <t>DILM-9-10</t>
        </is>
      </c>
      <c r="F775" t="inlineStr">
        <is>
          <t>#KALK!</t>
        </is>
      </c>
      <c r="G775" t="inlineStr">
        <is>
          <t>LASTSCHUETZ</t>
        </is>
      </c>
      <c r="H775" t="inlineStr">
        <is>
          <t>4kW 1S Federzugkl.</t>
        </is>
      </c>
      <c r="I775">
        <v>1401</v>
      </c>
      <c r="J775">
        <f>GS55/1177.6</f>
        <v>0</v>
      </c>
      <c r="K775" t="inlineStr">
        <is>
          <t>DIL MC9</t>
        </is>
      </c>
      <c r="M775" t="inlineStr">
        <is>
          <t>-1177Q706.1</t>
        </is>
      </c>
    </row>
    <row r="776">
      <c r="A776">
        <v>775</v>
      </c>
      <c r="B776">
        <f>GS05</f>
        <v>0</v>
      </c>
      <c r="C776" t="inlineStr">
        <is>
          <t>+LS19</t>
        </is>
      </c>
      <c r="D776" t="inlineStr">
        <is>
          <t>-1177Q754.6</t>
        </is>
      </c>
      <c r="E776" t="inlineStr">
        <is>
          <t>DILM-9-10</t>
        </is>
      </c>
      <c r="F776" t="inlineStr">
        <is>
          <t>#KALK!</t>
        </is>
      </c>
      <c r="G776" t="inlineStr">
        <is>
          <t>LASTSCHUETZ</t>
        </is>
      </c>
      <c r="H776" t="inlineStr">
        <is>
          <t>4kW 1S Federzugkl.</t>
        </is>
      </c>
      <c r="I776">
        <v>2261</v>
      </c>
      <c r="J776">
        <f>GS05/1177.6</f>
        <v>0</v>
      </c>
      <c r="K776" t="inlineStr">
        <is>
          <t>DIL MC9</t>
        </is>
      </c>
      <c r="M776" t="inlineStr">
        <is>
          <t>-1177Q754.6</t>
        </is>
      </c>
    </row>
    <row r="777">
      <c r="A777">
        <v>776</v>
      </c>
      <c r="B777">
        <f>GS55</f>
        <v>0</v>
      </c>
      <c r="C777" t="inlineStr">
        <is>
          <t>+LS19</t>
        </is>
      </c>
      <c r="D777" t="inlineStr">
        <is>
          <t>-1178Q706.2</t>
        </is>
      </c>
      <c r="E777" t="inlineStr">
        <is>
          <t>DILM-9-10</t>
        </is>
      </c>
      <c r="F777" t="inlineStr">
        <is>
          <t>#KALK!</t>
        </is>
      </c>
      <c r="G777" t="inlineStr">
        <is>
          <t>LASTSCHUETZ</t>
        </is>
      </c>
      <c r="H777" t="inlineStr">
        <is>
          <t>4kW 1S Federzugkl.</t>
        </is>
      </c>
      <c r="I777">
        <v>1413</v>
      </c>
      <c r="J777">
        <f>GS55/1178.6</f>
        <v>0</v>
      </c>
      <c r="K777" t="inlineStr">
        <is>
          <t>DIL MC9</t>
        </is>
      </c>
      <c r="M777" t="inlineStr">
        <is>
          <t>-1178Q706.2</t>
        </is>
      </c>
    </row>
    <row r="778">
      <c r="A778">
        <v>777</v>
      </c>
      <c r="B778">
        <f>GS55</f>
        <v>0</v>
      </c>
      <c r="C778" t="inlineStr">
        <is>
          <t>+LS19</t>
        </is>
      </c>
      <c r="D778" t="inlineStr">
        <is>
          <t>-1179Q706.3</t>
        </is>
      </c>
      <c r="E778" t="inlineStr">
        <is>
          <t>DILM-9-10</t>
        </is>
      </c>
      <c r="F778" t="inlineStr">
        <is>
          <t>#KALK!</t>
        </is>
      </c>
      <c r="G778" t="inlineStr">
        <is>
          <t>LASTSCHUETZ</t>
        </is>
      </c>
      <c r="H778" t="inlineStr">
        <is>
          <t>4kW 1S Federzugkl.</t>
        </is>
      </c>
      <c r="I778">
        <v>1414</v>
      </c>
      <c r="J778">
        <f>GS55/1179.6</f>
        <v>0</v>
      </c>
      <c r="K778" t="inlineStr">
        <is>
          <t>DIL MC9</t>
        </is>
      </c>
      <c r="M778" t="inlineStr">
        <is>
          <t>-1179Q706.3</t>
        </is>
      </c>
    </row>
    <row r="779">
      <c r="A779">
        <v>778</v>
      </c>
      <c r="B779">
        <f>GS13</f>
        <v>0</v>
      </c>
      <c r="C779" t="inlineStr">
        <is>
          <t>+LS1</t>
        </is>
      </c>
      <c r="D779" t="inlineStr">
        <is>
          <t>-117K1</t>
        </is>
      </c>
      <c r="E779" t="inlineStr">
        <is>
          <t>DIL_0AM</t>
        </is>
      </c>
      <c r="F779" t="inlineStr">
        <is>
          <t>22_DIL-M</t>
        </is>
      </c>
      <c r="G779" t="inlineStr">
        <is>
          <t>LASTSCHUETZ</t>
        </is>
      </c>
      <c r="H779" t="inlineStr">
        <is>
          <t>11 kW</t>
        </is>
      </c>
      <c r="I779">
        <v>356</v>
      </c>
      <c r="J779">
        <f>GS13/117.2</f>
        <v>0</v>
      </c>
      <c r="K779" t="inlineStr">
        <is>
          <t>DIL0AM</t>
        </is>
      </c>
      <c r="M779" t="inlineStr">
        <is>
          <t>-117K1</t>
        </is>
      </c>
    </row>
    <row r="780">
      <c r="A780">
        <v>779</v>
      </c>
      <c r="B780">
        <f>GS13</f>
        <v>0</v>
      </c>
      <c r="C780" t="inlineStr">
        <is>
          <t>+LS1</t>
        </is>
      </c>
      <c r="D780" t="inlineStr">
        <is>
          <t>-117K1</t>
        </is>
      </c>
      <c r="E780" t="inlineStr">
        <is>
          <t>22_DIL-M</t>
        </is>
      </c>
      <c r="F780" t="inlineStr">
        <is>
          <t>22_DIL-M</t>
        </is>
      </c>
      <c r="G780" t="inlineStr">
        <is>
          <t>HILFSKONTAKTBLOCK</t>
        </is>
      </c>
      <c r="H780" t="inlineStr">
        <is>
          <t>2S 2OE Lastschuetz DIL M</t>
        </is>
      </c>
      <c r="I780">
        <v>356</v>
      </c>
      <c r="J780">
        <f>GS13/117.2</f>
        <v>0</v>
      </c>
      <c r="K780" t="inlineStr">
        <is>
          <t>DIL0AM</t>
        </is>
      </c>
      <c r="M780" t="inlineStr">
        <is>
          <t>-117K1</t>
        </is>
      </c>
    </row>
    <row r="781">
      <c r="A781">
        <v>780</v>
      </c>
      <c r="B781">
        <f>GS23</f>
        <v>0</v>
      </c>
      <c r="C781" t="inlineStr">
        <is>
          <t>+LS1</t>
        </is>
      </c>
      <c r="D781" t="inlineStr">
        <is>
          <t>-117K1</t>
        </is>
      </c>
      <c r="E781" t="inlineStr">
        <is>
          <t>22_DIL-M</t>
        </is>
      </c>
      <c r="F781" t="inlineStr">
        <is>
          <t>22_DIL-M</t>
        </is>
      </c>
      <c r="G781" t="inlineStr">
        <is>
          <t>HILFSKONTAKTBLOCK</t>
        </is>
      </c>
      <c r="H781" t="inlineStr">
        <is>
          <t>2S 2OE Lastschuetz DIL M</t>
        </is>
      </c>
      <c r="I781">
        <v>416</v>
      </c>
      <c r="J781">
        <f>GS23/117.2</f>
        <v>0</v>
      </c>
      <c r="K781" t="inlineStr">
        <is>
          <t>DIL0AM</t>
        </is>
      </c>
      <c r="M781" t="inlineStr">
        <is>
          <t>-117K1</t>
        </is>
      </c>
    </row>
    <row r="782">
      <c r="A782">
        <v>781</v>
      </c>
      <c r="B782">
        <f>GS23</f>
        <v>0</v>
      </c>
      <c r="C782" t="inlineStr">
        <is>
          <t>+LS1</t>
        </is>
      </c>
      <c r="D782" t="inlineStr">
        <is>
          <t>-117K1</t>
        </is>
      </c>
      <c r="E782" t="inlineStr">
        <is>
          <t>DIL_0AM</t>
        </is>
      </c>
      <c r="F782" t="inlineStr">
        <is>
          <t>22_DIL-M</t>
        </is>
      </c>
      <c r="G782" t="inlineStr">
        <is>
          <t>LASTSCHUETZ</t>
        </is>
      </c>
      <c r="H782" t="inlineStr">
        <is>
          <t>11 kW</t>
        </is>
      </c>
      <c r="I782">
        <v>416</v>
      </c>
      <c r="J782">
        <f>GS23/117.2</f>
        <v>0</v>
      </c>
      <c r="K782" t="inlineStr">
        <is>
          <t>DIL0AM</t>
        </is>
      </c>
      <c r="M782" t="inlineStr">
        <is>
          <t>-117K1</t>
        </is>
      </c>
    </row>
    <row r="783">
      <c r="A783">
        <v>782</v>
      </c>
      <c r="B783">
        <f>GS32</f>
        <v>0</v>
      </c>
      <c r="C783" t="inlineStr">
        <is>
          <t>+LS1</t>
        </is>
      </c>
      <c r="D783" t="inlineStr">
        <is>
          <t>-117K1</t>
        </is>
      </c>
      <c r="E783" t="inlineStr">
        <is>
          <t>DIL_2AM</t>
        </is>
      </c>
      <c r="F783" t="inlineStr">
        <is>
          <t>31 DIL M</t>
        </is>
      </c>
      <c r="G783" t="inlineStr">
        <is>
          <t>LASTSCHUETZ</t>
        </is>
      </c>
      <c r="H783" t="inlineStr">
        <is>
          <t>30 kW</t>
        </is>
      </c>
      <c r="I783">
        <v>926</v>
      </c>
      <c r="J783">
        <f>GS32/117.5</f>
        <v>0</v>
      </c>
      <c r="K783" t="inlineStr">
        <is>
          <t>DIL2AM</t>
        </is>
      </c>
      <c r="M783" t="inlineStr">
        <is>
          <t>-117K1</t>
        </is>
      </c>
    </row>
    <row r="784">
      <c r="A784">
        <v>783</v>
      </c>
      <c r="B784">
        <f>GS32</f>
        <v>0</v>
      </c>
      <c r="C784" t="inlineStr">
        <is>
          <t>+LS1</t>
        </is>
      </c>
      <c r="D784" t="inlineStr">
        <is>
          <t>-117K1</t>
        </is>
      </c>
      <c r="E784" t="inlineStr">
        <is>
          <t>31 DIL M</t>
        </is>
      </c>
      <c r="F784" t="inlineStr">
        <is>
          <t>31 DIL M</t>
        </is>
      </c>
      <c r="G784" t="inlineStr">
        <is>
          <t>HILFSKONTAKTBLOCK</t>
        </is>
      </c>
      <c r="H784" t="inlineStr">
        <is>
          <t>3S 1OE Lastschuetz DIL M</t>
        </is>
      </c>
      <c r="I784">
        <v>926</v>
      </c>
      <c r="J784">
        <f>GS32/117.5</f>
        <v>0</v>
      </c>
      <c r="K784" t="inlineStr">
        <is>
          <t>DIL2AM</t>
        </is>
      </c>
      <c r="M784" t="inlineStr">
        <is>
          <t>-117K1</t>
        </is>
      </c>
    </row>
    <row r="785">
      <c r="A785">
        <v>784</v>
      </c>
      <c r="B785">
        <f>GS33</f>
        <v>0</v>
      </c>
      <c r="C785" t="inlineStr">
        <is>
          <t>+LS1</t>
        </is>
      </c>
      <c r="D785" t="inlineStr">
        <is>
          <t>-117K16.3</t>
        </is>
      </c>
      <c r="E785" t="inlineStr">
        <is>
          <t>DIL_EM-10-G</t>
        </is>
      </c>
      <c r="F785" t="inlineStr">
        <is>
          <t>#KALK!</t>
        </is>
      </c>
      <c r="G785" t="inlineStr">
        <is>
          <t>LASTSCHUETZ</t>
        </is>
      </c>
      <c r="H785" t="inlineStr">
        <is>
          <t>4kW 1S</t>
        </is>
      </c>
      <c r="I785">
        <v>549</v>
      </c>
      <c r="J785">
        <f>GS33/117.7</f>
        <v>0</v>
      </c>
      <c r="M785" t="inlineStr">
        <is>
          <t>-117K16.3</t>
        </is>
      </c>
    </row>
    <row r="786">
      <c r="A786">
        <v>785</v>
      </c>
      <c r="B786">
        <f>GS16</f>
        <v>0</v>
      </c>
      <c r="C786" t="inlineStr">
        <is>
          <t>+LS1</t>
        </is>
      </c>
      <c r="D786" t="inlineStr">
        <is>
          <t>-117K19.2</t>
        </is>
      </c>
      <c r="E786" t="inlineStr">
        <is>
          <t>DIL_EM-01-G</t>
        </is>
      </c>
      <c r="F786" t="inlineStr">
        <is>
          <t>#KALK!</t>
        </is>
      </c>
      <c r="G786" t="inlineStr">
        <is>
          <t>LASTSCHUETZ</t>
        </is>
      </c>
      <c r="H786" t="inlineStr">
        <is>
          <t>4kW 1OE</t>
        </is>
      </c>
      <c r="I786">
        <v>337</v>
      </c>
      <c r="J786">
        <f>GS16/117.6</f>
        <v>0</v>
      </c>
      <c r="M786" t="inlineStr">
        <is>
          <t>-117K19.2</t>
        </is>
      </c>
    </row>
    <row r="787">
      <c r="A787">
        <v>786</v>
      </c>
      <c r="B787">
        <f>GS16</f>
        <v>0</v>
      </c>
      <c r="C787" t="inlineStr">
        <is>
          <t>+LS1</t>
        </is>
      </c>
      <c r="D787" t="inlineStr">
        <is>
          <t>-117K19.3</t>
        </is>
      </c>
      <c r="E787" t="inlineStr">
        <is>
          <t>DIL_EM-10-G</t>
        </is>
      </c>
      <c r="F787" t="inlineStr">
        <is>
          <t>#KALK!</t>
        </is>
      </c>
      <c r="G787" t="inlineStr">
        <is>
          <t>LASTSCHUETZ</t>
        </is>
      </c>
      <c r="H787" t="inlineStr">
        <is>
          <t>4kW 1S</t>
        </is>
      </c>
      <c r="I787">
        <v>337</v>
      </c>
      <c r="J787">
        <f>GS16/117.6</f>
        <v>0</v>
      </c>
      <c r="M787" t="inlineStr">
        <is>
          <t>-117K19.3</t>
        </is>
      </c>
    </row>
    <row r="788">
      <c r="A788">
        <v>787</v>
      </c>
      <c r="B788">
        <f>GS26</f>
        <v>0</v>
      </c>
      <c r="C788" t="inlineStr">
        <is>
          <t>+LS1</t>
        </is>
      </c>
      <c r="D788" t="inlineStr">
        <is>
          <t>-117K3534.3</t>
        </is>
      </c>
      <c r="E788" t="inlineStr">
        <is>
          <t>DILMC17-10(RDC24)</t>
        </is>
      </c>
      <c r="F788" t="inlineStr">
        <is>
          <t>#KALK!</t>
        </is>
      </c>
      <c r="G788" t="inlineStr">
        <is>
          <t>LASTSCHUETZ</t>
        </is>
      </c>
      <c r="H788" t="inlineStr">
        <is>
          <t>7,5kW 1S Federzugkl.</t>
        </is>
      </c>
      <c r="I788">
        <v>209</v>
      </c>
      <c r="J788">
        <f>GS26/117.6</f>
        <v>0</v>
      </c>
      <c r="K788" t="inlineStr">
        <is>
          <t>DIL MC17</t>
        </is>
      </c>
      <c r="M788" t="inlineStr">
        <is>
          <t>-117K3534.3</t>
        </is>
      </c>
    </row>
    <row r="789">
      <c r="A789">
        <v>788</v>
      </c>
      <c r="B789">
        <f>GS14</f>
        <v>0</v>
      </c>
      <c r="C789" t="inlineStr">
        <is>
          <t>+LS2</t>
        </is>
      </c>
      <c r="D789" t="inlineStr">
        <is>
          <t>-117K60.1</t>
        </is>
      </c>
      <c r="E789" t="inlineStr">
        <is>
          <t>DIL_EM-10-G</t>
        </is>
      </c>
      <c r="F789" t="inlineStr">
        <is>
          <t>#KALK!</t>
        </is>
      </c>
      <c r="G789" t="inlineStr">
        <is>
          <t>LASTSCHUETZ</t>
        </is>
      </c>
      <c r="H789" t="inlineStr">
        <is>
          <t>4kW 1S</t>
        </is>
      </c>
      <c r="I789">
        <v>243</v>
      </c>
      <c r="J789">
        <f>GS14/117.6</f>
        <v>0</v>
      </c>
      <c r="M789" t="inlineStr">
        <is>
          <t>-117K60.1</t>
        </is>
      </c>
    </row>
    <row r="790">
      <c r="A790">
        <v>789</v>
      </c>
      <c r="B790">
        <f>GS14</f>
        <v>0</v>
      </c>
      <c r="C790" t="inlineStr">
        <is>
          <t>+LS2</t>
        </is>
      </c>
      <c r="D790" t="inlineStr">
        <is>
          <t>-117K60.2</t>
        </is>
      </c>
      <c r="E790" t="inlineStr">
        <is>
          <t>DIL_EM-10-G</t>
        </is>
      </c>
      <c r="F790" t="inlineStr">
        <is>
          <t>#KALK!</t>
        </is>
      </c>
      <c r="G790" t="inlineStr">
        <is>
          <t>LASTSCHUETZ</t>
        </is>
      </c>
      <c r="H790" t="inlineStr">
        <is>
          <t>4kW 1S</t>
        </is>
      </c>
      <c r="I790">
        <v>243</v>
      </c>
      <c r="J790">
        <f>GS14/117.6</f>
        <v>0</v>
      </c>
      <c r="M790" t="inlineStr">
        <is>
          <t>-117K60.2</t>
        </is>
      </c>
    </row>
    <row r="791">
      <c r="A791">
        <v>790</v>
      </c>
      <c r="B791">
        <f>GS90</f>
        <v>0</v>
      </c>
      <c r="C791" t="inlineStr">
        <is>
          <t>+LS01</t>
        </is>
      </c>
      <c r="D791" t="inlineStr">
        <is>
          <t>-117Q153.6</t>
        </is>
      </c>
      <c r="E791" t="inlineStr">
        <is>
          <t>DILM-9-10</t>
        </is>
      </c>
      <c r="F791" t="inlineStr">
        <is>
          <t>#KALK!</t>
        </is>
      </c>
      <c r="G791" t="inlineStr">
        <is>
          <t>LASTSCHUETZ</t>
        </is>
      </c>
      <c r="H791" t="inlineStr">
        <is>
          <t>4kW 1S Federzugkl.</t>
        </is>
      </c>
      <c r="I791">
        <v>1120</v>
      </c>
      <c r="J791">
        <f>GS90/117.5</f>
        <v>0</v>
      </c>
      <c r="M791" t="inlineStr">
        <is>
          <t>-117Q153.6</t>
        </is>
      </c>
    </row>
    <row r="792">
      <c r="A792">
        <v>791</v>
      </c>
      <c r="B792">
        <f>GS05</f>
        <v>0</v>
      </c>
      <c r="C792" t="inlineStr">
        <is>
          <t>+LS19</t>
        </is>
      </c>
      <c r="D792" t="inlineStr">
        <is>
          <t>-1181Q755.2</t>
        </is>
      </c>
      <c r="E792" t="inlineStr">
        <is>
          <t>DILMC12-10(24VDC)</t>
        </is>
      </c>
      <c r="F792" t="inlineStr">
        <is>
          <t>#KALK!</t>
        </is>
      </c>
      <c r="G792" t="inlineStr">
        <is>
          <t>LASTSCHUETZ</t>
        </is>
      </c>
      <c r="H792" t="inlineStr">
        <is>
          <t>5,5kW 1S Federzugkl.</t>
        </is>
      </c>
      <c r="I792">
        <v>2375</v>
      </c>
      <c r="J792">
        <f>GS05/1181.4</f>
        <v>0</v>
      </c>
      <c r="K792" t="inlineStr">
        <is>
          <t>DIL MC12</t>
        </is>
      </c>
      <c r="M792" t="inlineStr">
        <is>
          <t>-1181Q755.2</t>
        </is>
      </c>
    </row>
    <row r="793">
      <c r="A793">
        <v>792</v>
      </c>
      <c r="B793">
        <f>GS55</f>
        <v>0</v>
      </c>
      <c r="C793" t="inlineStr">
        <is>
          <t>+LS19</t>
        </is>
      </c>
      <c r="D793" t="inlineStr">
        <is>
          <t>-1182Q706.4</t>
        </is>
      </c>
      <c r="E793" t="inlineStr">
        <is>
          <t>DILM-9-10</t>
        </is>
      </c>
      <c r="F793" t="inlineStr">
        <is>
          <t>#KALK!</t>
        </is>
      </c>
      <c r="G793" t="inlineStr">
        <is>
          <t>LASTSCHUETZ</t>
        </is>
      </c>
      <c r="H793" t="inlineStr">
        <is>
          <t>4kW 1S Federzugkl.</t>
        </is>
      </c>
      <c r="I793">
        <v>1386</v>
      </c>
      <c r="J793">
        <f>GS55/1182.6</f>
        <v>0</v>
      </c>
      <c r="K793" t="inlineStr">
        <is>
          <t>DIL MC9</t>
        </is>
      </c>
      <c r="M793" t="inlineStr">
        <is>
          <t>-1182Q706.4</t>
        </is>
      </c>
    </row>
    <row r="794">
      <c r="A794">
        <v>793</v>
      </c>
      <c r="B794">
        <f>GS55</f>
        <v>0</v>
      </c>
      <c r="C794" t="inlineStr">
        <is>
          <t>+LS19</t>
        </is>
      </c>
      <c r="D794" t="inlineStr">
        <is>
          <t>-1183Q706.5</t>
        </is>
      </c>
      <c r="E794" t="inlineStr">
        <is>
          <t>DILM-9-10</t>
        </is>
      </c>
      <c r="F794" t="inlineStr">
        <is>
          <t>#KALK!</t>
        </is>
      </c>
      <c r="G794" t="inlineStr">
        <is>
          <t>LASTSCHUETZ</t>
        </is>
      </c>
      <c r="H794" t="inlineStr">
        <is>
          <t>4kW 1S Federzugkl.</t>
        </is>
      </c>
      <c r="I794">
        <v>1417</v>
      </c>
      <c r="J794">
        <f>GS55/1183.6</f>
        <v>0</v>
      </c>
      <c r="K794" t="inlineStr">
        <is>
          <t>DIL MC9</t>
        </is>
      </c>
      <c r="M794" t="inlineStr">
        <is>
          <t>-1183Q706.5</t>
        </is>
      </c>
    </row>
    <row r="795">
      <c r="A795">
        <v>794</v>
      </c>
      <c r="B795">
        <f>GS55</f>
        <v>0</v>
      </c>
      <c r="C795" t="inlineStr">
        <is>
          <t>+LS19</t>
        </is>
      </c>
      <c r="D795" t="inlineStr">
        <is>
          <t>-1184Q706.6</t>
        </is>
      </c>
      <c r="E795" t="inlineStr">
        <is>
          <t>DILM-9-10</t>
        </is>
      </c>
      <c r="F795" t="inlineStr">
        <is>
          <t>#KALK!</t>
        </is>
      </c>
      <c r="G795" t="inlineStr">
        <is>
          <t>LASTSCHUETZ</t>
        </is>
      </c>
      <c r="H795" t="inlineStr">
        <is>
          <t>4kW 1S Federzugkl.</t>
        </is>
      </c>
      <c r="I795">
        <v>1418</v>
      </c>
      <c r="J795">
        <f>GS55/1184.6</f>
        <v>0</v>
      </c>
      <c r="K795" t="inlineStr">
        <is>
          <t>DIL MC9</t>
        </is>
      </c>
      <c r="M795" t="inlineStr">
        <is>
          <t>-1184Q706.6</t>
        </is>
      </c>
    </row>
    <row r="796">
      <c r="A796">
        <v>795</v>
      </c>
      <c r="B796">
        <f>GS15</f>
        <v>0</v>
      </c>
      <c r="C796" t="inlineStr">
        <is>
          <t>+LS16</t>
        </is>
      </c>
      <c r="D796" t="inlineStr">
        <is>
          <t>-1185K1</t>
        </is>
      </c>
      <c r="E796" t="inlineStr">
        <is>
          <t>22_DIL-M</t>
        </is>
      </c>
      <c r="F796" t="inlineStr">
        <is>
          <t>22_DIL-M</t>
        </is>
      </c>
      <c r="G796" t="inlineStr">
        <is>
          <t>HILFSKONTAKTBLOCK</t>
        </is>
      </c>
      <c r="H796" t="inlineStr">
        <is>
          <t>2S 2OE Lastschuetz DIL M</t>
        </is>
      </c>
      <c r="I796">
        <v>1616</v>
      </c>
      <c r="J796">
        <f>GS15/1185.2</f>
        <v>0</v>
      </c>
      <c r="K796" t="inlineStr">
        <is>
          <t>DIL0AM</t>
        </is>
      </c>
      <c r="M796" t="inlineStr">
        <is>
          <t>-1185K1</t>
        </is>
      </c>
    </row>
    <row r="797">
      <c r="A797">
        <v>796</v>
      </c>
      <c r="B797">
        <f>GS15</f>
        <v>0</v>
      </c>
      <c r="C797" t="inlineStr">
        <is>
          <t>+LS16</t>
        </is>
      </c>
      <c r="D797" t="inlineStr">
        <is>
          <t>-1185K1</t>
        </is>
      </c>
      <c r="E797" t="inlineStr">
        <is>
          <t>DIL_0AM</t>
        </is>
      </c>
      <c r="F797" t="inlineStr">
        <is>
          <t>22_DIL-M</t>
        </is>
      </c>
      <c r="G797" t="inlineStr">
        <is>
          <t>LASTSCHUETZ</t>
        </is>
      </c>
      <c r="H797" t="inlineStr">
        <is>
          <t>11 kW</t>
        </is>
      </c>
      <c r="I797">
        <v>1616</v>
      </c>
      <c r="J797">
        <f>GS15/1185.2</f>
        <v>0</v>
      </c>
      <c r="K797" t="inlineStr">
        <is>
          <t>DIL0AM</t>
        </is>
      </c>
      <c r="M797" t="inlineStr">
        <is>
          <t>-1185K1</t>
        </is>
      </c>
    </row>
    <row r="798">
      <c r="A798">
        <v>797</v>
      </c>
      <c r="B798">
        <f>GS51</f>
        <v>0</v>
      </c>
      <c r="C798" t="inlineStr">
        <is>
          <t>+LS18</t>
        </is>
      </c>
      <c r="D798" t="inlineStr">
        <is>
          <t>-1185Q1</t>
        </is>
      </c>
      <c r="E798" t="inlineStr">
        <is>
          <t>DILA-XHI22</t>
        </is>
      </c>
      <c r="F798" t="inlineStr">
        <is>
          <t>DILA-XHI22</t>
        </is>
      </c>
      <c r="G798" t="inlineStr">
        <is>
          <t>HILFSKONTAKTBLOCK</t>
        </is>
      </c>
      <c r="H798" t="inlineStr">
        <is>
          <t>2S 2OE Last+Hilfssch. Cage</t>
        </is>
      </c>
      <c r="I798">
        <v>1318</v>
      </c>
      <c r="J798">
        <f>GS51/1185.6</f>
        <v>0</v>
      </c>
      <c r="K798" t="inlineStr">
        <is>
          <t>DIL MC25</t>
        </is>
      </c>
      <c r="M798" t="inlineStr">
        <is>
          <t>-1185Q1</t>
        </is>
      </c>
    </row>
    <row r="799">
      <c r="A799">
        <v>798</v>
      </c>
      <c r="B799">
        <f>GS51</f>
        <v>0</v>
      </c>
      <c r="C799" t="inlineStr">
        <is>
          <t>+LS18</t>
        </is>
      </c>
      <c r="D799" t="inlineStr">
        <is>
          <t>-1185Q1</t>
        </is>
      </c>
      <c r="E799" t="inlineStr">
        <is>
          <t>DILMC25-10(RDC24)</t>
        </is>
      </c>
      <c r="F799" t="inlineStr">
        <is>
          <t>DILA-XHI22</t>
        </is>
      </c>
      <c r="G799" t="inlineStr">
        <is>
          <t>LASTSCHUETZ</t>
        </is>
      </c>
      <c r="H799" t="inlineStr">
        <is>
          <t>11kW 1S Federzugkl.</t>
        </is>
      </c>
      <c r="I799">
        <v>1318</v>
      </c>
      <c r="J799">
        <f>GS51/1185.6</f>
        <v>0</v>
      </c>
      <c r="K799" t="inlineStr">
        <is>
          <t>DIL MC25</t>
        </is>
      </c>
      <c r="M799" t="inlineStr">
        <is>
          <t>-1185Q1</t>
        </is>
      </c>
    </row>
    <row r="800">
      <c r="A800">
        <v>799</v>
      </c>
      <c r="B800">
        <f>GS15</f>
        <v>0</v>
      </c>
      <c r="C800" t="inlineStr">
        <is>
          <t>+LS16</t>
        </is>
      </c>
      <c r="D800" t="inlineStr">
        <is>
          <t>-1187K86.3</t>
        </is>
      </c>
      <c r="E800" t="inlineStr">
        <is>
          <t>DIL_EM-10-G</t>
        </is>
      </c>
      <c r="F800" t="inlineStr">
        <is>
          <t>#KALK!</t>
        </is>
      </c>
      <c r="G800" t="inlineStr">
        <is>
          <t>LASTSCHUETZ</t>
        </is>
      </c>
      <c r="H800" t="inlineStr">
        <is>
          <t>4kW 1S</t>
        </is>
      </c>
      <c r="I800">
        <v>1618</v>
      </c>
      <c r="J800">
        <f>GS15/1187.7</f>
        <v>0</v>
      </c>
      <c r="M800" t="inlineStr">
        <is>
          <t>-1187K86.3</t>
        </is>
      </c>
    </row>
    <row r="801">
      <c r="A801">
        <v>800</v>
      </c>
      <c r="B801">
        <f>GS55</f>
        <v>0</v>
      </c>
      <c r="C801" t="inlineStr">
        <is>
          <t>+LS19</t>
        </is>
      </c>
      <c r="D801" t="inlineStr">
        <is>
          <t>-1187Q706.7</t>
        </is>
      </c>
      <c r="E801" t="inlineStr">
        <is>
          <t>DILM-9-10</t>
        </is>
      </c>
      <c r="F801" t="inlineStr">
        <is>
          <t>#KALK!</t>
        </is>
      </c>
      <c r="G801" t="inlineStr">
        <is>
          <t>LASTSCHUETZ</t>
        </is>
      </c>
      <c r="H801" t="inlineStr">
        <is>
          <t>4kW 1S Federzugkl.</t>
        </is>
      </c>
      <c r="I801">
        <v>1421</v>
      </c>
      <c r="J801">
        <f>GS55/1187.6</f>
        <v>0</v>
      </c>
      <c r="K801" t="inlineStr">
        <is>
          <t>DIL MC9</t>
        </is>
      </c>
      <c r="M801" t="inlineStr">
        <is>
          <t>-1187Q706.7</t>
        </is>
      </c>
    </row>
    <row r="802">
      <c r="A802">
        <v>801</v>
      </c>
      <c r="B802">
        <f>GS15</f>
        <v>0</v>
      </c>
      <c r="C802" t="inlineStr">
        <is>
          <t>+LS16</t>
        </is>
      </c>
      <c r="D802" t="inlineStr">
        <is>
          <t>-1188K86.6</t>
        </is>
      </c>
      <c r="E802" t="inlineStr">
        <is>
          <t>DIL_EM-10-G</t>
        </is>
      </c>
      <c r="F802" t="inlineStr">
        <is>
          <t>#KALK!</t>
        </is>
      </c>
      <c r="G802" t="inlineStr">
        <is>
          <t>LASTSCHUETZ</t>
        </is>
      </c>
      <c r="H802" t="inlineStr">
        <is>
          <t>4kW 1S</t>
        </is>
      </c>
      <c r="I802">
        <v>1619</v>
      </c>
      <c r="J802">
        <f>GS15/1188.6</f>
        <v>0</v>
      </c>
      <c r="M802" t="inlineStr">
        <is>
          <t>-1188K86.6</t>
        </is>
      </c>
    </row>
    <row r="803">
      <c r="A803">
        <v>802</v>
      </c>
      <c r="B803">
        <f>GS15</f>
        <v>0</v>
      </c>
      <c r="C803" t="inlineStr">
        <is>
          <t>+LS16</t>
        </is>
      </c>
      <c r="D803" t="inlineStr">
        <is>
          <t>-1188K86.7</t>
        </is>
      </c>
      <c r="E803" t="inlineStr">
        <is>
          <t>DIL_EM-10-G</t>
        </is>
      </c>
      <c r="F803" t="inlineStr">
        <is>
          <t>#KALK!</t>
        </is>
      </c>
      <c r="G803" t="inlineStr">
        <is>
          <t>LASTSCHUETZ</t>
        </is>
      </c>
      <c r="H803" t="inlineStr">
        <is>
          <t>4kW 1S</t>
        </is>
      </c>
      <c r="I803">
        <v>1619</v>
      </c>
      <c r="J803">
        <f>GS15/1188.6</f>
        <v>0</v>
      </c>
      <c r="M803" t="inlineStr">
        <is>
          <t>-1188K86.7</t>
        </is>
      </c>
    </row>
    <row r="804">
      <c r="A804">
        <v>803</v>
      </c>
      <c r="B804">
        <f>GS15</f>
        <v>0</v>
      </c>
      <c r="C804" t="inlineStr">
        <is>
          <t>+LS16</t>
        </is>
      </c>
      <c r="D804" t="inlineStr">
        <is>
          <t>-1189K87.3</t>
        </is>
      </c>
      <c r="E804" t="inlineStr">
        <is>
          <t>DIL_EM-10-G</t>
        </is>
      </c>
      <c r="F804" t="inlineStr">
        <is>
          <t>#KALK!</t>
        </is>
      </c>
      <c r="G804" t="inlineStr">
        <is>
          <t>LASTSCHUETZ</t>
        </is>
      </c>
      <c r="H804" t="inlineStr">
        <is>
          <t>4kW 1S</t>
        </is>
      </c>
      <c r="I804">
        <v>1620</v>
      </c>
      <c r="J804">
        <f>GS15/1189.7</f>
        <v>0</v>
      </c>
      <c r="M804" t="inlineStr">
        <is>
          <t>-1189K87.3</t>
        </is>
      </c>
    </row>
    <row r="805">
      <c r="A805">
        <v>804</v>
      </c>
      <c r="B805">
        <f>GS55</f>
        <v>0</v>
      </c>
      <c r="C805" t="inlineStr">
        <is>
          <t>+LS19</t>
        </is>
      </c>
      <c r="D805" t="inlineStr">
        <is>
          <t>-1189Q705.4</t>
        </is>
      </c>
      <c r="E805" t="inlineStr">
        <is>
          <t>DILM-9-10</t>
        </is>
      </c>
      <c r="F805" t="inlineStr">
        <is>
          <t>#KALK!</t>
        </is>
      </c>
      <c r="G805" t="inlineStr">
        <is>
          <t>LASTSCHUETZ</t>
        </is>
      </c>
      <c r="H805" t="inlineStr">
        <is>
          <t>4kW 1S Federzugkl.</t>
        </is>
      </c>
      <c r="I805">
        <v>3286</v>
      </c>
      <c r="J805">
        <f>GS55/1189.6</f>
        <v>0</v>
      </c>
      <c r="K805" t="inlineStr">
        <is>
          <t>DIL MC9</t>
        </is>
      </c>
      <c r="M805" t="inlineStr">
        <is>
          <t>-1189Q705.4</t>
        </is>
      </c>
    </row>
    <row r="806">
      <c r="A806">
        <v>805</v>
      </c>
      <c r="B806">
        <f>GS33</f>
        <v>0</v>
      </c>
      <c r="C806" t="inlineStr">
        <is>
          <t>+LS1</t>
        </is>
      </c>
      <c r="D806" t="inlineStr">
        <is>
          <t>-118K16.7</t>
        </is>
      </c>
      <c r="E806" t="inlineStr">
        <is>
          <t>DIL_EM-10-G</t>
        </is>
      </c>
      <c r="F806" t="inlineStr">
        <is>
          <t>#KALK!</t>
        </is>
      </c>
      <c r="G806" t="inlineStr">
        <is>
          <t>LASTSCHUETZ</t>
        </is>
      </c>
      <c r="H806" t="inlineStr">
        <is>
          <t>4kW 1S</t>
        </is>
      </c>
      <c r="I806">
        <v>550</v>
      </c>
      <c r="J806">
        <f>GS33/118.7</f>
        <v>0</v>
      </c>
      <c r="M806" t="inlineStr">
        <is>
          <t>-118K16.7</t>
        </is>
      </c>
    </row>
    <row r="807">
      <c r="A807">
        <v>806</v>
      </c>
      <c r="B807">
        <f>GS16</f>
        <v>0</v>
      </c>
      <c r="C807" t="inlineStr">
        <is>
          <t>+LS1</t>
        </is>
      </c>
      <c r="D807" t="inlineStr">
        <is>
          <t>-118K19.4</t>
        </is>
      </c>
      <c r="E807" t="inlineStr">
        <is>
          <t>DIL_EM-10-G</t>
        </is>
      </c>
      <c r="F807" t="inlineStr">
        <is>
          <t>#KALK!</t>
        </is>
      </c>
      <c r="G807" t="inlineStr">
        <is>
          <t>LASTSCHUETZ</t>
        </is>
      </c>
      <c r="H807" t="inlineStr">
        <is>
          <t>4kW 1S</t>
        </is>
      </c>
      <c r="I807">
        <v>338</v>
      </c>
      <c r="J807">
        <f>GS16/118.6</f>
        <v>0</v>
      </c>
      <c r="M807" t="inlineStr">
        <is>
          <t>-118K19.4</t>
        </is>
      </c>
    </row>
    <row r="808">
      <c r="A808">
        <v>807</v>
      </c>
      <c r="B808">
        <f>GS16</f>
        <v>0</v>
      </c>
      <c r="C808" t="inlineStr">
        <is>
          <t>+LS1</t>
        </is>
      </c>
      <c r="D808" t="inlineStr">
        <is>
          <t>-118K19.5</t>
        </is>
      </c>
      <c r="E808" t="inlineStr">
        <is>
          <t>DIL_EM-10-G</t>
        </is>
      </c>
      <c r="F808" t="inlineStr">
        <is>
          <t>#KALK!</t>
        </is>
      </c>
      <c r="G808" t="inlineStr">
        <is>
          <t>LASTSCHUETZ</t>
        </is>
      </c>
      <c r="H808" t="inlineStr">
        <is>
          <t>4kW 1S</t>
        </is>
      </c>
      <c r="I808">
        <v>338</v>
      </c>
      <c r="J808">
        <f>GS16/118.6</f>
        <v>0</v>
      </c>
      <c r="M808" t="inlineStr">
        <is>
          <t>-118K19.5</t>
        </is>
      </c>
    </row>
    <row r="809">
      <c r="A809">
        <v>808</v>
      </c>
      <c r="B809">
        <f>GS26</f>
        <v>0</v>
      </c>
      <c r="C809" t="inlineStr">
        <is>
          <t>+LS1</t>
        </is>
      </c>
      <c r="D809" t="inlineStr">
        <is>
          <t>-118K3534.6</t>
        </is>
      </c>
      <c r="E809" t="inlineStr">
        <is>
          <t>DILA-22</t>
        </is>
      </c>
      <c r="F809" t="inlineStr">
        <is>
          <t>#KALK!</t>
        </is>
      </c>
      <c r="G809" t="inlineStr">
        <is>
          <t>HILFSSCHUETZ</t>
        </is>
      </c>
      <c r="H809" t="inlineStr">
        <is>
          <t>2S 2Oe Federzugkl.</t>
        </is>
      </c>
      <c r="I809">
        <v>210</v>
      </c>
      <c r="J809">
        <f>GS26/118.5</f>
        <v>0</v>
      </c>
      <c r="M809" t="inlineStr">
        <is>
          <t>-118K3534.6</t>
        </is>
      </c>
    </row>
    <row r="810">
      <c r="A810">
        <v>809</v>
      </c>
      <c r="B810">
        <f>GS14</f>
        <v>0</v>
      </c>
      <c r="C810" t="inlineStr">
        <is>
          <t>+LS3</t>
        </is>
      </c>
      <c r="D810" t="inlineStr">
        <is>
          <t>-118K60.6</t>
        </is>
      </c>
      <c r="E810" t="inlineStr">
        <is>
          <t>DIL_EM-10-G</t>
        </is>
      </c>
      <c r="F810" t="inlineStr">
        <is>
          <t>#KALK!</t>
        </is>
      </c>
      <c r="G810" t="inlineStr">
        <is>
          <t>LASTSCHUETZ</t>
        </is>
      </c>
      <c r="H810" t="inlineStr">
        <is>
          <t>4kW 1S</t>
        </is>
      </c>
      <c r="I810">
        <v>244</v>
      </c>
      <c r="J810">
        <f>GS14/118.7</f>
        <v>0</v>
      </c>
      <c r="M810" t="inlineStr">
        <is>
          <t>-118K60.6</t>
        </is>
      </c>
    </row>
    <row r="811">
      <c r="A811">
        <v>810</v>
      </c>
      <c r="B811">
        <f>GS7x</f>
        <v>0</v>
      </c>
      <c r="C811" t="inlineStr">
        <is>
          <t>+LS[l1]</t>
        </is>
      </c>
      <c r="D811" t="inlineStr">
        <is>
          <t>-118Q[a+11].4</t>
        </is>
      </c>
      <c r="E811" t="inlineStr">
        <is>
          <t>DILM-9-10</t>
        </is>
      </c>
      <c r="F811" t="inlineStr">
        <is>
          <t>#KALK!</t>
        </is>
      </c>
      <c r="G811" t="inlineStr">
        <is>
          <t>LASTSCHUETZ</t>
        </is>
      </c>
      <c r="H811" t="inlineStr">
        <is>
          <t>4kW 1S Federzugkl.</t>
        </is>
      </c>
      <c r="I811">
        <v>356</v>
      </c>
      <c r="J811">
        <f>GS7x/118.6</f>
        <v>0</v>
      </c>
      <c r="M811" t="inlineStr">
        <is>
          <t>-118Q[a+11].4</t>
        </is>
      </c>
    </row>
    <row r="812">
      <c r="A812">
        <v>811</v>
      </c>
      <c r="B812">
        <f>GS53</f>
        <v>0</v>
      </c>
      <c r="C812" t="inlineStr">
        <is>
          <t>+ES01</t>
        </is>
      </c>
      <c r="D812" t="inlineStr">
        <is>
          <t>-118Q1</t>
        </is>
      </c>
      <c r="E812" t="inlineStr">
        <is>
          <t>DILMC50(RDC24)</t>
        </is>
      </c>
      <c r="F812" t="inlineStr">
        <is>
          <t>DILM150-XHIC40</t>
        </is>
      </c>
      <c r="G812" t="inlineStr">
        <is>
          <t>LASTSCHUETZ</t>
        </is>
      </c>
      <c r="H812" t="inlineStr">
        <is>
          <t>22kW Federzugkl.</t>
        </is>
      </c>
      <c r="I812">
        <v>316</v>
      </c>
      <c r="J812">
        <f>GS53/118.3</f>
        <v>0</v>
      </c>
      <c r="K812" t="inlineStr">
        <is>
          <t>DIL MC50</t>
        </is>
      </c>
      <c r="M812" t="inlineStr">
        <is>
          <t>-118Q1</t>
        </is>
      </c>
    </row>
    <row r="813">
      <c r="A813">
        <v>812</v>
      </c>
      <c r="B813">
        <f>GS53</f>
        <v>0</v>
      </c>
      <c r="C813" t="inlineStr">
        <is>
          <t>+ES01</t>
        </is>
      </c>
      <c r="D813" t="inlineStr">
        <is>
          <t>-118Q1</t>
        </is>
      </c>
      <c r="E813" t="inlineStr">
        <is>
          <t>DILM150-XHIC40</t>
        </is>
      </c>
      <c r="F813" t="inlineStr">
        <is>
          <t>DILM150-XHIC40</t>
        </is>
      </c>
      <c r="G813" t="inlineStr">
        <is>
          <t>HILFSKONTAKTBLOCK</t>
        </is>
      </c>
      <c r="H813" t="inlineStr">
        <is>
          <t>4S ab DILMC40</t>
        </is>
      </c>
      <c r="I813">
        <v>316</v>
      </c>
      <c r="J813">
        <f>GS53/118.3</f>
        <v>0</v>
      </c>
      <c r="K813" t="inlineStr">
        <is>
          <t>DIL MC50</t>
        </is>
      </c>
      <c r="M813" t="inlineStr">
        <is>
          <t>-118Q1</t>
        </is>
      </c>
    </row>
    <row r="814">
      <c r="A814">
        <v>813</v>
      </c>
      <c r="B814">
        <f>GS53</f>
        <v>0</v>
      </c>
      <c r="C814" t="inlineStr">
        <is>
          <t>+ES01</t>
        </is>
      </c>
      <c r="D814" t="inlineStr">
        <is>
          <t>-118Q2</t>
        </is>
      </c>
      <c r="E814" t="inlineStr">
        <is>
          <t>DILMC50(RDC24)</t>
        </is>
      </c>
      <c r="F814" t="inlineStr">
        <is>
          <t>DILM150-XHIC40</t>
        </is>
      </c>
      <c r="G814" t="inlineStr">
        <is>
          <t>LASTSCHUETZ</t>
        </is>
      </c>
      <c r="H814" t="inlineStr">
        <is>
          <t>22kW Federzugkl.</t>
        </is>
      </c>
      <c r="I814">
        <v>316</v>
      </c>
      <c r="J814">
        <f>GS53/118.4</f>
        <v>0</v>
      </c>
      <c r="K814" t="inlineStr">
        <is>
          <t>DIL MC50</t>
        </is>
      </c>
      <c r="M814" t="inlineStr">
        <is>
          <t>-118Q2</t>
        </is>
      </c>
    </row>
    <row r="815">
      <c r="A815">
        <v>814</v>
      </c>
      <c r="B815">
        <f>GS53</f>
        <v>0</v>
      </c>
      <c r="C815" t="inlineStr">
        <is>
          <t>+ES01</t>
        </is>
      </c>
      <c r="D815" t="inlineStr">
        <is>
          <t>-118Q2</t>
        </is>
      </c>
      <c r="E815" t="inlineStr">
        <is>
          <t>DILM150-XHIC40</t>
        </is>
      </c>
      <c r="F815" t="inlineStr">
        <is>
          <t>DILM150-XHIC40</t>
        </is>
      </c>
      <c r="G815" t="inlineStr">
        <is>
          <t>HILFSKONTAKTBLOCK</t>
        </is>
      </c>
      <c r="H815" t="inlineStr">
        <is>
          <t>4S ab DILMC40</t>
        </is>
      </c>
      <c r="I815">
        <v>316</v>
      </c>
      <c r="J815">
        <f>GS53/118.4</f>
        <v>0</v>
      </c>
      <c r="K815" t="inlineStr">
        <is>
          <t>DIL MC50</t>
        </is>
      </c>
      <c r="M815" t="inlineStr">
        <is>
          <t>-118Q2</t>
        </is>
      </c>
    </row>
    <row r="816">
      <c r="A816">
        <v>815</v>
      </c>
      <c r="B816">
        <f>GS53</f>
        <v>0</v>
      </c>
      <c r="C816" t="inlineStr">
        <is>
          <t>+ES01</t>
        </is>
      </c>
      <c r="D816" t="inlineStr">
        <is>
          <t>-118Q3</t>
        </is>
      </c>
      <c r="E816" t="inlineStr">
        <is>
          <t>DILMC50(RDC24)</t>
        </is>
      </c>
      <c r="F816" t="inlineStr">
        <is>
          <t>DILM150-XHIC40</t>
        </is>
      </c>
      <c r="G816" t="inlineStr">
        <is>
          <t>LASTSCHUETZ</t>
        </is>
      </c>
      <c r="H816" t="inlineStr">
        <is>
          <t>22kW Federzugkl.</t>
        </is>
      </c>
      <c r="I816">
        <v>316</v>
      </c>
      <c r="J816">
        <f>GS53/118.6</f>
        <v>0</v>
      </c>
      <c r="K816" t="inlineStr">
        <is>
          <t>DIL MC50</t>
        </is>
      </c>
      <c r="M816" t="inlineStr">
        <is>
          <t>-118Q3</t>
        </is>
      </c>
    </row>
    <row r="817">
      <c r="A817">
        <v>816</v>
      </c>
      <c r="B817">
        <f>GS53</f>
        <v>0</v>
      </c>
      <c r="C817" t="inlineStr">
        <is>
          <t>+ES01</t>
        </is>
      </c>
      <c r="D817" t="inlineStr">
        <is>
          <t>-118Q3</t>
        </is>
      </c>
      <c r="E817" t="inlineStr">
        <is>
          <t>DILM150-XHIC40</t>
        </is>
      </c>
      <c r="F817" t="inlineStr">
        <is>
          <t>DILM150-XHIC40</t>
        </is>
      </c>
      <c r="G817" t="inlineStr">
        <is>
          <t>HILFSKONTAKTBLOCK</t>
        </is>
      </c>
      <c r="H817" t="inlineStr">
        <is>
          <t>4S ab DILMC40</t>
        </is>
      </c>
      <c r="I817">
        <v>316</v>
      </c>
      <c r="J817">
        <f>GS53/118.6</f>
        <v>0</v>
      </c>
      <c r="K817" t="inlineStr">
        <is>
          <t>DIL MC50</t>
        </is>
      </c>
      <c r="M817" t="inlineStr">
        <is>
          <t>-118Q3</t>
        </is>
      </c>
    </row>
    <row r="818">
      <c r="A818">
        <v>817</v>
      </c>
      <c r="B818">
        <f>GS53</f>
        <v>0</v>
      </c>
      <c r="C818" t="inlineStr">
        <is>
          <t>+ES01</t>
        </is>
      </c>
      <c r="D818" t="inlineStr">
        <is>
          <t>-118Q4</t>
        </is>
      </c>
      <c r="E818" t="inlineStr">
        <is>
          <t>DILMC50(RDC24)</t>
        </is>
      </c>
      <c r="F818" t="inlineStr">
        <is>
          <t>DILM150-XHIC40</t>
        </is>
      </c>
      <c r="G818" t="inlineStr">
        <is>
          <t>LASTSCHUETZ</t>
        </is>
      </c>
      <c r="H818" t="inlineStr">
        <is>
          <t>22kW Federzugkl.</t>
        </is>
      </c>
      <c r="I818">
        <v>316</v>
      </c>
      <c r="J818">
        <f>GS53/118.8</f>
        <v>0</v>
      </c>
      <c r="K818" t="inlineStr">
        <is>
          <t>DIL MC50</t>
        </is>
      </c>
      <c r="M818" t="inlineStr">
        <is>
          <t>-118Q4</t>
        </is>
      </c>
    </row>
    <row r="819">
      <c r="A819">
        <v>818</v>
      </c>
      <c r="B819">
        <f>GS53</f>
        <v>0</v>
      </c>
      <c r="C819" t="inlineStr">
        <is>
          <t>+ES01</t>
        </is>
      </c>
      <c r="D819" t="inlineStr">
        <is>
          <t>-118Q4</t>
        </is>
      </c>
      <c r="E819" t="inlineStr">
        <is>
          <t>DILM150-XHIC40</t>
        </is>
      </c>
      <c r="F819" t="inlineStr">
        <is>
          <t>DILM150-XHIC40</t>
        </is>
      </c>
      <c r="G819" t="inlineStr">
        <is>
          <t>HILFSKONTAKTBLOCK</t>
        </is>
      </c>
      <c r="H819" t="inlineStr">
        <is>
          <t>4S ab DILMC40</t>
        </is>
      </c>
      <c r="I819">
        <v>316</v>
      </c>
      <c r="J819">
        <f>GS53/118.8</f>
        <v>0</v>
      </c>
      <c r="K819" t="inlineStr">
        <is>
          <t>DIL MC50</t>
        </is>
      </c>
      <c r="M819" t="inlineStr">
        <is>
          <t>-118Q4</t>
        </is>
      </c>
    </row>
    <row r="820">
      <c r="A820">
        <v>819</v>
      </c>
      <c r="B820">
        <f>GS38</f>
        <v>0</v>
      </c>
      <c r="C820" t="inlineStr">
        <is>
          <t>+LS01</t>
        </is>
      </c>
      <c r="D820" t="inlineStr">
        <is>
          <t>-118Q705.4</t>
        </is>
      </c>
      <c r="E820" t="inlineStr">
        <is>
          <t>DILM-9-10</t>
        </is>
      </c>
      <c r="F820" t="inlineStr">
        <is>
          <t>#KALK!</t>
        </is>
      </c>
      <c r="G820" t="inlineStr">
        <is>
          <t>LASTSCHUETZ</t>
        </is>
      </c>
      <c r="H820" t="inlineStr">
        <is>
          <t>4kW 1S Federzugkl.</t>
        </is>
      </c>
      <c r="I820">
        <v>337</v>
      </c>
      <c r="J820">
        <f>GS38/118.3</f>
        <v>0</v>
      </c>
      <c r="M820" t="inlineStr">
        <is>
          <t>-118Q705.4</t>
        </is>
      </c>
    </row>
    <row r="821">
      <c r="A821">
        <v>820</v>
      </c>
      <c r="B821">
        <f>GS39</f>
        <v>0</v>
      </c>
      <c r="C821" t="inlineStr">
        <is>
          <t>+LS01</t>
        </is>
      </c>
      <c r="D821" t="inlineStr">
        <is>
          <t>-118Q705.4</t>
        </is>
      </c>
      <c r="E821" t="inlineStr">
        <is>
          <t>DILM-9-10</t>
        </is>
      </c>
      <c r="F821" t="inlineStr">
        <is>
          <t>#KALK!</t>
        </is>
      </c>
      <c r="G821" t="inlineStr">
        <is>
          <t>LASTSCHUETZ</t>
        </is>
      </c>
      <c r="H821" t="inlineStr">
        <is>
          <t>4kW 1S Federzugkl.</t>
        </is>
      </c>
      <c r="I821">
        <v>301</v>
      </c>
      <c r="J821">
        <f>GS39/118.3</f>
        <v>0</v>
      </c>
      <c r="M821" t="inlineStr">
        <is>
          <t>-118Q705.4</t>
        </is>
      </c>
    </row>
    <row r="822">
      <c r="A822">
        <v>821</v>
      </c>
      <c r="B822">
        <f>GS15</f>
        <v>0</v>
      </c>
      <c r="C822" t="inlineStr">
        <is>
          <t>+LS16</t>
        </is>
      </c>
      <c r="D822" t="inlineStr">
        <is>
          <t>-1190K87.6</t>
        </is>
      </c>
      <c r="E822" t="inlineStr">
        <is>
          <t>DIL_EM-10-G</t>
        </is>
      </c>
      <c r="F822" t="inlineStr">
        <is>
          <t>#KALK!</t>
        </is>
      </c>
      <c r="G822" t="inlineStr">
        <is>
          <t>LASTSCHUETZ</t>
        </is>
      </c>
      <c r="H822" t="inlineStr">
        <is>
          <t>4kW 1S</t>
        </is>
      </c>
      <c r="I822">
        <v>1621</v>
      </c>
      <c r="J822">
        <f>GS15/1190.6</f>
        <v>0</v>
      </c>
      <c r="M822" t="inlineStr">
        <is>
          <t>-1190K87.6</t>
        </is>
      </c>
    </row>
    <row r="823">
      <c r="A823">
        <v>822</v>
      </c>
      <c r="B823">
        <f>GS15</f>
        <v>0</v>
      </c>
      <c r="C823" t="inlineStr">
        <is>
          <t>+LS16</t>
        </is>
      </c>
      <c r="D823" t="inlineStr">
        <is>
          <t>-1191K88.3</t>
        </is>
      </c>
      <c r="E823" t="inlineStr">
        <is>
          <t>DIL_EM-10-G</t>
        </is>
      </c>
      <c r="F823" t="inlineStr">
        <is>
          <t>#KALK!</t>
        </is>
      </c>
      <c r="G823" t="inlineStr">
        <is>
          <t>LASTSCHUETZ</t>
        </is>
      </c>
      <c r="H823" t="inlineStr">
        <is>
          <t>4kW 1S</t>
        </is>
      </c>
      <c r="I823">
        <v>1622</v>
      </c>
      <c r="J823">
        <f>GS15/1191.7</f>
        <v>0</v>
      </c>
      <c r="M823" t="inlineStr">
        <is>
          <t>-1191K88.3</t>
        </is>
      </c>
    </row>
    <row r="824">
      <c r="A824">
        <v>823</v>
      </c>
      <c r="B824">
        <f>GS15</f>
        <v>0</v>
      </c>
      <c r="C824" t="inlineStr">
        <is>
          <t>+LS16</t>
        </is>
      </c>
      <c r="D824" t="inlineStr">
        <is>
          <t>-1192K88.6</t>
        </is>
      </c>
      <c r="E824" t="inlineStr">
        <is>
          <t>DIL_EM-10-G</t>
        </is>
      </c>
      <c r="F824" t="inlineStr">
        <is>
          <t>#KALK!</t>
        </is>
      </c>
      <c r="G824" t="inlineStr">
        <is>
          <t>LASTSCHUETZ</t>
        </is>
      </c>
      <c r="H824" t="inlineStr">
        <is>
          <t>4kW 1S</t>
        </is>
      </c>
      <c r="I824">
        <v>1623</v>
      </c>
      <c r="J824">
        <f>GS15/1192.6</f>
        <v>0</v>
      </c>
      <c r="M824" t="inlineStr">
        <is>
          <t>-1192K88.6</t>
        </is>
      </c>
    </row>
    <row r="825">
      <c r="A825">
        <v>824</v>
      </c>
      <c r="B825">
        <f>GS15</f>
        <v>0</v>
      </c>
      <c r="C825" t="inlineStr">
        <is>
          <t>+LS16</t>
        </is>
      </c>
      <c r="D825" t="inlineStr">
        <is>
          <t>-1192K88.7</t>
        </is>
      </c>
      <c r="E825" t="inlineStr">
        <is>
          <t>DIL_EM-10-G</t>
        </is>
      </c>
      <c r="F825" t="inlineStr">
        <is>
          <t>#KALK!</t>
        </is>
      </c>
      <c r="G825" t="inlineStr">
        <is>
          <t>LASTSCHUETZ</t>
        </is>
      </c>
      <c r="H825" t="inlineStr">
        <is>
          <t>4kW 1S</t>
        </is>
      </c>
      <c r="I825">
        <v>1623</v>
      </c>
      <c r="J825">
        <f>GS15/1192.6</f>
        <v>0</v>
      </c>
      <c r="M825" t="inlineStr">
        <is>
          <t>-1192K88.7</t>
        </is>
      </c>
    </row>
    <row r="826">
      <c r="A826">
        <v>825</v>
      </c>
      <c r="B826">
        <f>GS15</f>
        <v>0</v>
      </c>
      <c r="C826" t="inlineStr">
        <is>
          <t>+LS16</t>
        </is>
      </c>
      <c r="D826" t="inlineStr">
        <is>
          <t>-1193K89.0</t>
        </is>
      </c>
      <c r="E826" t="inlineStr">
        <is>
          <t>DIL_EM-10-G</t>
        </is>
      </c>
      <c r="F826" t="inlineStr">
        <is>
          <t>#KALK!</t>
        </is>
      </c>
      <c r="G826" t="inlineStr">
        <is>
          <t>LASTSCHUETZ</t>
        </is>
      </c>
      <c r="H826" t="inlineStr">
        <is>
          <t>4kW 1S</t>
        </is>
      </c>
      <c r="I826">
        <v>1624</v>
      </c>
      <c r="J826">
        <f>GS15/1193.6</f>
        <v>0</v>
      </c>
      <c r="M826" t="inlineStr">
        <is>
          <t>-1193K89.0</t>
        </is>
      </c>
    </row>
    <row r="827">
      <c r="A827">
        <v>826</v>
      </c>
      <c r="B827">
        <f>GS15</f>
        <v>0</v>
      </c>
      <c r="C827" t="inlineStr">
        <is>
          <t>+LS16</t>
        </is>
      </c>
      <c r="D827" t="inlineStr">
        <is>
          <t>-1194K89.1</t>
        </is>
      </c>
      <c r="E827" t="inlineStr">
        <is>
          <t>DIL_EM-10-G</t>
        </is>
      </c>
      <c r="F827" t="inlineStr">
        <is>
          <t>#KALK!</t>
        </is>
      </c>
      <c r="G827" t="inlineStr">
        <is>
          <t>LASTSCHUETZ</t>
        </is>
      </c>
      <c r="H827" t="inlineStr">
        <is>
          <t>4kW 1S</t>
        </is>
      </c>
      <c r="I827">
        <v>1625</v>
      </c>
      <c r="J827">
        <f>GS15/1194.6</f>
        <v>0</v>
      </c>
      <c r="M827" t="inlineStr">
        <is>
          <t>-1194K89.1</t>
        </is>
      </c>
    </row>
    <row r="828">
      <c r="A828">
        <v>827</v>
      </c>
      <c r="B828">
        <f>GS15</f>
        <v>0</v>
      </c>
      <c r="C828" t="inlineStr">
        <is>
          <t>+LS16</t>
        </is>
      </c>
      <c r="D828" t="inlineStr">
        <is>
          <t>-1194K89.2</t>
        </is>
      </c>
      <c r="E828" t="inlineStr">
        <is>
          <t>DIL_EM-10-G</t>
        </is>
      </c>
      <c r="F828" t="inlineStr">
        <is>
          <t>#KALK!</t>
        </is>
      </c>
      <c r="G828" t="inlineStr">
        <is>
          <t>LASTSCHUETZ</t>
        </is>
      </c>
      <c r="H828" t="inlineStr">
        <is>
          <t>4kW 1S</t>
        </is>
      </c>
      <c r="I828">
        <v>1625</v>
      </c>
      <c r="J828">
        <f>GS15/1194.6</f>
        <v>0</v>
      </c>
      <c r="M828" t="inlineStr">
        <is>
          <t>-1194K89.2</t>
        </is>
      </c>
    </row>
    <row r="829">
      <c r="A829">
        <v>828</v>
      </c>
      <c r="B829">
        <f>GS13</f>
        <v>0</v>
      </c>
      <c r="C829" t="inlineStr">
        <is>
          <t>+LS1</t>
        </is>
      </c>
      <c r="D829" t="inlineStr">
        <is>
          <t>-11954.5</t>
        </is>
      </c>
      <c r="E829" t="inlineStr">
        <is>
          <t>DIL_EM-10-G</t>
        </is>
      </c>
      <c r="F829" t="inlineStr">
        <is>
          <t>#KALK!</t>
        </is>
      </c>
      <c r="G829" t="inlineStr">
        <is>
          <t>LASTSCHUETZ</t>
        </is>
      </c>
      <c r="H829" t="inlineStr">
        <is>
          <t>4kW 1S</t>
        </is>
      </c>
      <c r="I829">
        <v>358</v>
      </c>
      <c r="J829">
        <f>GS13/119.7</f>
        <v>0</v>
      </c>
      <c r="M829" t="inlineStr">
        <is>
          <t>-11954.5</t>
        </is>
      </c>
    </row>
    <row r="830">
      <c r="A830">
        <v>829</v>
      </c>
      <c r="B830">
        <f>GS15</f>
        <v>0</v>
      </c>
      <c r="C830" t="inlineStr">
        <is>
          <t>+LS16</t>
        </is>
      </c>
      <c r="D830" t="inlineStr">
        <is>
          <t>-1195K89.6</t>
        </is>
      </c>
      <c r="E830" t="inlineStr">
        <is>
          <t>DIL_EM-10-G</t>
        </is>
      </c>
      <c r="F830" t="inlineStr">
        <is>
          <t>#KALK!</t>
        </is>
      </c>
      <c r="G830" t="inlineStr">
        <is>
          <t>LASTSCHUETZ</t>
        </is>
      </c>
      <c r="H830" t="inlineStr">
        <is>
          <t>4kW 1S</t>
        </is>
      </c>
      <c r="I830">
        <v>1626</v>
      </c>
      <c r="J830">
        <f>GS15/1195.7</f>
        <v>0</v>
      </c>
      <c r="M830" t="inlineStr">
        <is>
          <t>-1195K89.6</t>
        </is>
      </c>
    </row>
    <row r="831">
      <c r="A831">
        <v>830</v>
      </c>
      <c r="B831">
        <f>GS15</f>
        <v>0</v>
      </c>
      <c r="C831" t="inlineStr">
        <is>
          <t>+LS16</t>
        </is>
      </c>
      <c r="D831" t="inlineStr">
        <is>
          <t>-1196K90.1</t>
        </is>
      </c>
      <c r="E831" t="inlineStr">
        <is>
          <t>DIL_EM-10-G</t>
        </is>
      </c>
      <c r="F831" t="inlineStr">
        <is>
          <t>#KALK!</t>
        </is>
      </c>
      <c r="G831" t="inlineStr">
        <is>
          <t>LASTSCHUETZ</t>
        </is>
      </c>
      <c r="H831" t="inlineStr">
        <is>
          <t>4kW 1S</t>
        </is>
      </c>
      <c r="I831">
        <v>1627</v>
      </c>
      <c r="J831">
        <f>GS15/1196.6</f>
        <v>0</v>
      </c>
      <c r="M831" t="inlineStr">
        <is>
          <t>-1196K90.1</t>
        </is>
      </c>
    </row>
    <row r="832">
      <c r="A832">
        <v>831</v>
      </c>
      <c r="B832">
        <f>GS15</f>
        <v>0</v>
      </c>
      <c r="C832" t="inlineStr">
        <is>
          <t>+LS16</t>
        </is>
      </c>
      <c r="D832" t="inlineStr">
        <is>
          <t>-1196K90.2</t>
        </is>
      </c>
      <c r="E832" t="inlineStr">
        <is>
          <t>DIL_EM-10-G</t>
        </is>
      </c>
      <c r="F832" t="inlineStr">
        <is>
          <t>#KALK!</t>
        </is>
      </c>
      <c r="G832" t="inlineStr">
        <is>
          <t>LASTSCHUETZ</t>
        </is>
      </c>
      <c r="H832" t="inlineStr">
        <is>
          <t>4kW 1S</t>
        </is>
      </c>
      <c r="I832">
        <v>1627</v>
      </c>
      <c r="J832">
        <f>GS15/1196.6</f>
        <v>0</v>
      </c>
      <c r="M832" t="inlineStr">
        <is>
          <t>-1196K90.2</t>
        </is>
      </c>
    </row>
    <row r="833">
      <c r="A833">
        <v>832</v>
      </c>
      <c r="B833">
        <f>GS15</f>
        <v>0</v>
      </c>
      <c r="C833" t="inlineStr">
        <is>
          <t>+LS16</t>
        </is>
      </c>
      <c r="D833" t="inlineStr">
        <is>
          <t>-1197K90.3</t>
        </is>
      </c>
      <c r="E833" t="inlineStr">
        <is>
          <t>DIL_EM-10-G</t>
        </is>
      </c>
      <c r="F833" t="inlineStr">
        <is>
          <t>#KALK!</t>
        </is>
      </c>
      <c r="G833" t="inlineStr">
        <is>
          <t>LASTSCHUETZ</t>
        </is>
      </c>
      <c r="H833" t="inlineStr">
        <is>
          <t>4kW 1S</t>
        </is>
      </c>
      <c r="I833">
        <v>1628</v>
      </c>
      <c r="J833">
        <f>GS15/1197.6</f>
        <v>0</v>
      </c>
      <c r="M833" t="inlineStr">
        <is>
          <t>-1197K90.3</t>
        </is>
      </c>
    </row>
    <row r="834">
      <c r="A834">
        <v>833</v>
      </c>
      <c r="B834">
        <f>GS15</f>
        <v>0</v>
      </c>
      <c r="C834" t="inlineStr">
        <is>
          <t>+LS16</t>
        </is>
      </c>
      <c r="D834" t="inlineStr">
        <is>
          <t>-1198K90.4</t>
        </is>
      </c>
      <c r="E834" t="inlineStr">
        <is>
          <t>DIL_EM-10-G</t>
        </is>
      </c>
      <c r="F834" t="inlineStr">
        <is>
          <t>#KALK!</t>
        </is>
      </c>
      <c r="G834" t="inlineStr">
        <is>
          <t>LASTSCHUETZ</t>
        </is>
      </c>
      <c r="H834" t="inlineStr">
        <is>
          <t>4kW 1S</t>
        </is>
      </c>
      <c r="I834">
        <v>1629</v>
      </c>
      <c r="J834">
        <f>GS15/1198.6</f>
        <v>0</v>
      </c>
      <c r="M834" t="inlineStr">
        <is>
          <t>-1198K90.4</t>
        </is>
      </c>
    </row>
    <row r="835">
      <c r="A835">
        <v>834</v>
      </c>
      <c r="B835">
        <f>GS15</f>
        <v>0</v>
      </c>
      <c r="C835" t="inlineStr">
        <is>
          <t>+LS16</t>
        </is>
      </c>
      <c r="D835" t="inlineStr">
        <is>
          <t>-1198K90.5</t>
        </is>
      </c>
      <c r="E835" t="inlineStr">
        <is>
          <t>DIL_EM-10-G</t>
        </is>
      </c>
      <c r="F835" t="inlineStr">
        <is>
          <t>#KALK!</t>
        </is>
      </c>
      <c r="G835" t="inlineStr">
        <is>
          <t>LASTSCHUETZ</t>
        </is>
      </c>
      <c r="H835" t="inlineStr">
        <is>
          <t>4kW 1S</t>
        </is>
      </c>
      <c r="I835">
        <v>1629</v>
      </c>
      <c r="J835">
        <f>GS15/1198.6</f>
        <v>0</v>
      </c>
      <c r="M835" t="inlineStr">
        <is>
          <t>-1198K90.5</t>
        </is>
      </c>
    </row>
    <row r="836">
      <c r="A836">
        <v>835</v>
      </c>
      <c r="B836">
        <f>GS51</f>
        <v>0</v>
      </c>
      <c r="C836" t="inlineStr">
        <is>
          <t>+LS18</t>
        </is>
      </c>
      <c r="D836" t="inlineStr">
        <is>
          <t>-1199K771.3</t>
        </is>
      </c>
      <c r="E836" t="inlineStr">
        <is>
          <t>DILA-22</t>
        </is>
      </c>
      <c r="F836" t="inlineStr">
        <is>
          <t>#KALK!</t>
        </is>
      </c>
      <c r="G836" t="inlineStr">
        <is>
          <t>HILFSSCHUETZ</t>
        </is>
      </c>
      <c r="H836" t="inlineStr">
        <is>
          <t>2S 2Oe Federzugkl.</t>
        </is>
      </c>
      <c r="I836">
        <v>1333</v>
      </c>
      <c r="J836">
        <f>GS51/1199.5</f>
        <v>0</v>
      </c>
      <c r="M836" t="inlineStr">
        <is>
          <t>-1199K771.3</t>
        </is>
      </c>
    </row>
    <row r="837">
      <c r="A837">
        <v>836</v>
      </c>
      <c r="B837">
        <f>GS15</f>
        <v>0</v>
      </c>
      <c r="C837" t="inlineStr">
        <is>
          <t>+LS16</t>
        </is>
      </c>
      <c r="D837" t="inlineStr">
        <is>
          <t>-1199K91.1</t>
        </is>
      </c>
      <c r="E837" t="inlineStr">
        <is>
          <t>DIL_EM-10-G</t>
        </is>
      </c>
      <c r="F837" t="inlineStr">
        <is>
          <t>#KALK!</t>
        </is>
      </c>
      <c r="G837" t="inlineStr">
        <is>
          <t>LASTSCHUETZ</t>
        </is>
      </c>
      <c r="H837" t="inlineStr">
        <is>
          <t>4kW 1S</t>
        </is>
      </c>
      <c r="I837">
        <v>1630</v>
      </c>
      <c r="J837">
        <f>GS15/1199.7</f>
        <v>0</v>
      </c>
      <c r="M837" t="inlineStr">
        <is>
          <t>-1199K91.1</t>
        </is>
      </c>
    </row>
    <row r="838">
      <c r="A838">
        <v>837</v>
      </c>
      <c r="B838">
        <f>GS51</f>
        <v>0</v>
      </c>
      <c r="C838" t="inlineStr">
        <is>
          <t>+LS18</t>
        </is>
      </c>
      <c r="D838" t="inlineStr">
        <is>
          <t>-1199Q1</t>
        </is>
      </c>
      <c r="E838" t="inlineStr">
        <is>
          <t>DILM-9-10</t>
        </is>
      </c>
      <c r="F838" t="inlineStr">
        <is>
          <t>DILA-XHI22</t>
        </is>
      </c>
      <c r="G838" t="inlineStr">
        <is>
          <t>LASTSCHUETZ</t>
        </is>
      </c>
      <c r="H838" t="inlineStr">
        <is>
          <t>4kW 1S Federzugkl.</t>
        </is>
      </c>
      <c r="I838">
        <v>1333</v>
      </c>
      <c r="J838">
        <f>GS51/1199.4</f>
        <v>0</v>
      </c>
      <c r="K838" t="inlineStr">
        <is>
          <t>DIL MC9</t>
        </is>
      </c>
      <c r="M838" t="inlineStr">
        <is>
          <t>-1199Q1</t>
        </is>
      </c>
    </row>
    <row r="839">
      <c r="A839">
        <v>838</v>
      </c>
      <c r="B839">
        <f>GS51</f>
        <v>0</v>
      </c>
      <c r="C839" t="inlineStr">
        <is>
          <t>+LS18</t>
        </is>
      </c>
      <c r="D839" t="inlineStr">
        <is>
          <t>-1199Q1</t>
        </is>
      </c>
      <c r="E839" t="inlineStr">
        <is>
          <t>DILA-XHI22</t>
        </is>
      </c>
      <c r="F839" t="inlineStr">
        <is>
          <t>DILA-XHI22</t>
        </is>
      </c>
      <c r="G839" t="inlineStr">
        <is>
          <t>HILFSKONTAKTBLOCK</t>
        </is>
      </c>
      <c r="H839" t="inlineStr">
        <is>
          <t>2S 2OE Last+Hilfssch. Cage</t>
        </is>
      </c>
      <c r="I839">
        <v>1333</v>
      </c>
      <c r="J839">
        <f>GS51/1199.4</f>
        <v>0</v>
      </c>
      <c r="K839" t="inlineStr">
        <is>
          <t>DIL MC9</t>
        </is>
      </c>
      <c r="M839" t="inlineStr">
        <is>
          <t>-1199Q1</t>
        </is>
      </c>
    </row>
    <row r="840">
      <c r="A840">
        <v>839</v>
      </c>
      <c r="B840">
        <f>GS05</f>
        <v>0</v>
      </c>
      <c r="C840" t="inlineStr">
        <is>
          <t>+LS01</t>
        </is>
      </c>
      <c r="D840" t="inlineStr">
        <is>
          <t>-119K1</t>
        </is>
      </c>
      <c r="E840" t="inlineStr">
        <is>
          <t>DILM-9-01</t>
        </is>
      </c>
      <c r="F840" t="inlineStr">
        <is>
          <t>#KALK!</t>
        </is>
      </c>
      <c r="G840" t="inlineStr">
        <is>
          <t>LASTSCHUETZ</t>
        </is>
      </c>
      <c r="H840" t="inlineStr">
        <is>
          <t>4kW 1Oe Federzugkl.</t>
        </is>
      </c>
      <c r="I840">
        <v>1887</v>
      </c>
      <c r="J840">
        <f>GS05/119.5</f>
        <v>0</v>
      </c>
      <c r="M840" t="inlineStr">
        <is>
          <t>-119K1</t>
        </is>
      </c>
    </row>
    <row r="841">
      <c r="A841">
        <v>840</v>
      </c>
      <c r="B841">
        <f>GS05</f>
        <v>0</v>
      </c>
      <c r="C841" t="inlineStr">
        <is>
          <t>+LS01</t>
        </is>
      </c>
      <c r="D841" t="inlineStr">
        <is>
          <t>-119K103.2</t>
        </is>
      </c>
      <c r="E841" t="inlineStr">
        <is>
          <t>DILA-22</t>
        </is>
      </c>
      <c r="F841" t="inlineStr">
        <is>
          <t>#KALK!</t>
        </is>
      </c>
      <c r="G841" t="inlineStr">
        <is>
          <t>HILFSSCHUETZ</t>
        </is>
      </c>
      <c r="H841" t="inlineStr">
        <is>
          <t>2S 2Oe Federzugkl.</t>
        </is>
      </c>
      <c r="I841">
        <v>1887</v>
      </c>
      <c r="J841">
        <f>GS05/119.8</f>
        <v>0</v>
      </c>
      <c r="M841" t="inlineStr">
        <is>
          <t>-119K103.2</t>
        </is>
      </c>
    </row>
    <row r="842">
      <c r="A842">
        <v>841</v>
      </c>
      <c r="B842">
        <f>GS33</f>
        <v>0</v>
      </c>
      <c r="C842" t="inlineStr">
        <is>
          <t>+LS1</t>
        </is>
      </c>
      <c r="D842" t="inlineStr">
        <is>
          <t>-119K17.5</t>
        </is>
      </c>
      <c r="E842" t="inlineStr">
        <is>
          <t>DIL_EM-10-G</t>
        </is>
      </c>
      <c r="F842" t="inlineStr">
        <is>
          <t>#KALK!</t>
        </is>
      </c>
      <c r="G842" t="inlineStr">
        <is>
          <t>LASTSCHUETZ</t>
        </is>
      </c>
      <c r="H842" t="inlineStr">
        <is>
          <t>4kW 1S</t>
        </is>
      </c>
      <c r="I842">
        <v>551</v>
      </c>
      <c r="J842">
        <f>GS33/119.7</f>
        <v>0</v>
      </c>
      <c r="M842" t="inlineStr">
        <is>
          <t>-119K17.5</t>
        </is>
      </c>
    </row>
    <row r="843">
      <c r="A843">
        <v>842</v>
      </c>
      <c r="B843">
        <f>GS16</f>
        <v>0</v>
      </c>
      <c r="C843" t="inlineStr">
        <is>
          <t>+LS1</t>
        </is>
      </c>
      <c r="D843" t="inlineStr">
        <is>
          <t>-119K19.6</t>
        </is>
      </c>
      <c r="E843" t="inlineStr">
        <is>
          <t>DIL_EM-10-G</t>
        </is>
      </c>
      <c r="F843" t="inlineStr">
        <is>
          <t>#KALK!</t>
        </is>
      </c>
      <c r="G843" t="inlineStr">
        <is>
          <t>LASTSCHUETZ</t>
        </is>
      </c>
      <c r="H843" t="inlineStr">
        <is>
          <t>4kW 1S</t>
        </is>
      </c>
      <c r="I843">
        <v>339</v>
      </c>
      <c r="J843">
        <f>GS16/119.6</f>
        <v>0</v>
      </c>
      <c r="M843" t="inlineStr">
        <is>
          <t>-119K19.6</t>
        </is>
      </c>
    </row>
    <row r="844">
      <c r="A844">
        <v>843</v>
      </c>
      <c r="B844">
        <f>GS16</f>
        <v>0</v>
      </c>
      <c r="C844" t="inlineStr">
        <is>
          <t>+LS1</t>
        </is>
      </c>
      <c r="D844" t="inlineStr">
        <is>
          <t>-119K19.7</t>
        </is>
      </c>
      <c r="E844" t="inlineStr">
        <is>
          <t>DIL_EM-10-G</t>
        </is>
      </c>
      <c r="F844" t="inlineStr">
        <is>
          <t>#KALK!</t>
        </is>
      </c>
      <c r="G844" t="inlineStr">
        <is>
          <t>LASTSCHUETZ</t>
        </is>
      </c>
      <c r="H844" t="inlineStr">
        <is>
          <t>4kW 1S</t>
        </is>
      </c>
      <c r="I844">
        <v>339</v>
      </c>
      <c r="J844">
        <f>GS16/119.6</f>
        <v>0</v>
      </c>
      <c r="M844" t="inlineStr">
        <is>
          <t>-119K19.7</t>
        </is>
      </c>
    </row>
    <row r="845">
      <c r="A845">
        <v>844</v>
      </c>
      <c r="B845">
        <f>GS05</f>
        <v>0</v>
      </c>
      <c r="C845" t="inlineStr">
        <is>
          <t>+LS01</t>
        </is>
      </c>
      <c r="D845" t="inlineStr">
        <is>
          <t>-119K2</t>
        </is>
      </c>
      <c r="E845" t="inlineStr">
        <is>
          <t>DILM-9-01</t>
        </is>
      </c>
      <c r="F845" t="inlineStr">
        <is>
          <t>#KALK!</t>
        </is>
      </c>
      <c r="G845" t="inlineStr">
        <is>
          <t>LASTSCHUETZ</t>
        </is>
      </c>
      <c r="H845" t="inlineStr">
        <is>
          <t>4kW 1Oe Federzugkl.</t>
        </is>
      </c>
      <c r="I845">
        <v>1887</v>
      </c>
      <c r="J845">
        <f>GS05/119.5</f>
        <v>0</v>
      </c>
      <c r="M845" t="inlineStr">
        <is>
          <t>-119K2</t>
        </is>
      </c>
    </row>
    <row r="846">
      <c r="A846">
        <v>845</v>
      </c>
      <c r="B846">
        <f>GS23</f>
        <v>0</v>
      </c>
      <c r="C846" t="inlineStr">
        <is>
          <t>+LS1</t>
        </is>
      </c>
      <c r="D846" t="inlineStr">
        <is>
          <t>-119K54.5</t>
        </is>
      </c>
      <c r="E846" t="inlineStr">
        <is>
          <t>DIL_EM-10-G</t>
        </is>
      </c>
      <c r="F846" t="inlineStr">
        <is>
          <t>#KALK!</t>
        </is>
      </c>
      <c r="G846" t="inlineStr">
        <is>
          <t>LASTSCHUETZ</t>
        </is>
      </c>
      <c r="H846" t="inlineStr">
        <is>
          <t>4kW 1S</t>
        </is>
      </c>
      <c r="I846">
        <v>418</v>
      </c>
      <c r="J846">
        <f>GS23/119.7</f>
        <v>0</v>
      </c>
      <c r="M846" t="inlineStr">
        <is>
          <t>-119K54.5</t>
        </is>
      </c>
    </row>
    <row r="847">
      <c r="A847">
        <v>846</v>
      </c>
      <c r="B847">
        <f>GS14</f>
        <v>0</v>
      </c>
      <c r="C847" t="inlineStr">
        <is>
          <t>+LS2</t>
        </is>
      </c>
      <c r="D847" t="inlineStr">
        <is>
          <t>-119K60.7</t>
        </is>
      </c>
      <c r="E847" t="inlineStr">
        <is>
          <t>DIL_EM-10-G</t>
        </is>
      </c>
      <c r="F847" t="inlineStr">
        <is>
          <t>#KALK!</t>
        </is>
      </c>
      <c r="G847" t="inlineStr">
        <is>
          <t>LASTSCHUETZ</t>
        </is>
      </c>
      <c r="H847" t="inlineStr">
        <is>
          <t>4kW 1S</t>
        </is>
      </c>
      <c r="I847">
        <v>245</v>
      </c>
      <c r="J847">
        <f>GS14/119.6</f>
        <v>0</v>
      </c>
      <c r="M847" t="inlineStr">
        <is>
          <t>-119K60.7</t>
        </is>
      </c>
    </row>
    <row r="848">
      <c r="A848">
        <v>847</v>
      </c>
      <c r="B848">
        <f>GS24</f>
        <v>0</v>
      </c>
      <c r="C848" t="inlineStr">
        <is>
          <t>+LS2</t>
        </is>
      </c>
      <c r="D848" t="inlineStr">
        <is>
          <t>-119KQ90.5</t>
        </is>
      </c>
      <c r="E848" t="inlineStr">
        <is>
          <t>DILM-9-10</t>
        </is>
      </c>
      <c r="F848" t="inlineStr">
        <is>
          <t>#KALK!</t>
        </is>
      </c>
      <c r="G848" t="inlineStr">
        <is>
          <t>LASTSCHUETZ</t>
        </is>
      </c>
      <c r="H848" t="inlineStr">
        <is>
          <t>4kW 1S Federzugkl.</t>
        </is>
      </c>
      <c r="I848">
        <v>960</v>
      </c>
      <c r="J848">
        <f>GS24/119.6</f>
        <v>0</v>
      </c>
      <c r="K848" t="inlineStr">
        <is>
          <t>DIL MC9</t>
        </is>
      </c>
      <c r="M848" t="inlineStr">
        <is>
          <t>-119KQ90.5</t>
        </is>
      </c>
    </row>
    <row r="849">
      <c r="A849">
        <v>848</v>
      </c>
      <c r="B849">
        <f>GS90</f>
        <v>0</v>
      </c>
      <c r="C849" t="inlineStr">
        <is>
          <t>+LS01</t>
        </is>
      </c>
      <c r="D849" t="inlineStr">
        <is>
          <t>-119Q152.0</t>
        </is>
      </c>
      <c r="E849" t="inlineStr">
        <is>
          <t>DILM-9-10</t>
        </is>
      </c>
      <c r="F849" t="inlineStr">
        <is>
          <t>#KALK!</t>
        </is>
      </c>
      <c r="G849" t="inlineStr">
        <is>
          <t>LASTSCHUETZ</t>
        </is>
      </c>
      <c r="H849" t="inlineStr">
        <is>
          <t>4kW 1S Federzugkl.</t>
        </is>
      </c>
      <c r="I849">
        <v>1119</v>
      </c>
      <c r="J849">
        <f>GS90/119.5</f>
        <v>0</v>
      </c>
      <c r="M849" t="inlineStr">
        <is>
          <t>-119Q152.0</t>
        </is>
      </c>
    </row>
    <row r="850">
      <c r="A850">
        <v>849</v>
      </c>
      <c r="B850">
        <f>GS91</f>
        <v>0</v>
      </c>
      <c r="C850" t="inlineStr">
        <is>
          <t>+LS01</t>
        </is>
      </c>
      <c r="D850" t="inlineStr">
        <is>
          <t>-119Q154.0</t>
        </is>
      </c>
      <c r="E850" t="inlineStr">
        <is>
          <t>DILM-9-10</t>
        </is>
      </c>
      <c r="F850" t="inlineStr">
        <is>
          <t>#KALK!</t>
        </is>
      </c>
      <c r="G850" t="inlineStr">
        <is>
          <t>LASTSCHUETZ</t>
        </is>
      </c>
      <c r="H850" t="inlineStr">
        <is>
          <t>4kW 1S Federzugkl.</t>
        </is>
      </c>
      <c r="I850">
        <v>267</v>
      </c>
      <c r="J850">
        <f>GS91/119.5</f>
        <v>0</v>
      </c>
      <c r="M850" t="inlineStr">
        <is>
          <t>-119Q154.0</t>
        </is>
      </c>
    </row>
    <row r="851">
      <c r="A851">
        <v>850</v>
      </c>
      <c r="B851">
        <f>GS08</f>
        <v>0</v>
      </c>
      <c r="C851" t="inlineStr">
        <is>
          <t>+LS01</t>
        </is>
      </c>
      <c r="D851" t="inlineStr">
        <is>
          <t>-119Q204.1</t>
        </is>
      </c>
      <c r="E851" t="inlineStr">
        <is>
          <t>DILM-9-10</t>
        </is>
      </c>
      <c r="F851" t="inlineStr">
        <is>
          <t>#KALK!</t>
        </is>
      </c>
      <c r="G851" t="inlineStr">
        <is>
          <t>LASTSCHUETZ</t>
        </is>
      </c>
      <c r="H851" t="inlineStr">
        <is>
          <t>4kW 1S Federzugkl.</t>
        </is>
      </c>
      <c r="I851">
        <v>2024</v>
      </c>
      <c r="J851">
        <f>GS08/119.6</f>
        <v>0</v>
      </c>
      <c r="K851" t="inlineStr">
        <is>
          <t>DIL MC9</t>
        </is>
      </c>
      <c r="M851" t="inlineStr">
        <is>
          <t>-119Q204.1</t>
        </is>
      </c>
    </row>
    <row r="852">
      <c r="A852">
        <v>851</v>
      </c>
      <c r="B852">
        <f>GS80</f>
        <v>0</v>
      </c>
      <c r="C852" t="inlineStr">
        <is>
          <t>+LS03</t>
        </is>
      </c>
      <c r="D852" t="inlineStr">
        <is>
          <t>-11K1</t>
        </is>
      </c>
      <c r="E852" t="inlineStr">
        <is>
          <t>DILM-9-10</t>
        </is>
      </c>
      <c r="F852" t="inlineStr">
        <is>
          <t>DILA-XHI22</t>
        </is>
      </c>
      <c r="G852" t="inlineStr">
        <is>
          <t>LASTSCHUETZ</t>
        </is>
      </c>
      <c r="H852" t="inlineStr">
        <is>
          <t>4kW 1S Federzugkl.</t>
        </is>
      </c>
      <c r="I852">
        <v>149</v>
      </c>
      <c r="J852">
        <f>GS80/11.5</f>
        <v>0</v>
      </c>
      <c r="M852" t="inlineStr">
        <is>
          <t>-11K1</t>
        </is>
      </c>
    </row>
    <row r="853">
      <c r="A853">
        <v>852</v>
      </c>
      <c r="B853">
        <f>GS80</f>
        <v>0</v>
      </c>
      <c r="C853" t="inlineStr">
        <is>
          <t>+LS01</t>
        </is>
      </c>
      <c r="D853" t="inlineStr">
        <is>
          <t>-11K1</t>
        </is>
      </c>
      <c r="E853" t="inlineStr">
        <is>
          <t>DILM-9-10</t>
        </is>
      </c>
      <c r="F853" t="inlineStr">
        <is>
          <t>DILA-XHI22</t>
        </is>
      </c>
      <c r="G853" t="inlineStr">
        <is>
          <t>LASTSCHUETZ</t>
        </is>
      </c>
      <c r="H853" t="inlineStr">
        <is>
          <t>4kW 1S Federzugkl.</t>
        </is>
      </c>
      <c r="I853">
        <v>232</v>
      </c>
      <c r="J853">
        <f>GS80/11.5</f>
        <v>0</v>
      </c>
      <c r="M853" t="inlineStr">
        <is>
          <t>-11K1</t>
        </is>
      </c>
    </row>
    <row r="854">
      <c r="A854">
        <v>853</v>
      </c>
      <c r="B854">
        <f>GS80</f>
        <v>0</v>
      </c>
      <c r="C854" t="inlineStr">
        <is>
          <t>+LS01</t>
        </is>
      </c>
      <c r="D854" t="inlineStr">
        <is>
          <t>-11K1</t>
        </is>
      </c>
      <c r="E854" t="inlineStr">
        <is>
          <t>DILA-XHI22</t>
        </is>
      </c>
      <c r="F854" t="inlineStr">
        <is>
          <t>DILA-XHI22</t>
        </is>
      </c>
      <c r="G854" t="inlineStr">
        <is>
          <t>HILFSKONTAKTBLOCK</t>
        </is>
      </c>
      <c r="H854" t="inlineStr">
        <is>
          <t>2S 2OE Last+Hilfssch. Cage</t>
        </is>
      </c>
      <c r="I854">
        <v>232</v>
      </c>
      <c r="J854">
        <f>GS80/11.5</f>
        <v>0</v>
      </c>
      <c r="M854" t="inlineStr">
        <is>
          <t>-11K1</t>
        </is>
      </c>
    </row>
    <row r="855">
      <c r="A855">
        <v>854</v>
      </c>
      <c r="B855">
        <f>GS80</f>
        <v>0</v>
      </c>
      <c r="C855" t="inlineStr">
        <is>
          <t>+LS02</t>
        </is>
      </c>
      <c r="D855" t="inlineStr">
        <is>
          <t>-11K1</t>
        </is>
      </c>
      <c r="E855" t="inlineStr">
        <is>
          <t>DILM-9-10</t>
        </is>
      </c>
      <c r="F855" t="inlineStr">
        <is>
          <t>DILA-XHI22</t>
        </is>
      </c>
      <c r="G855" t="inlineStr">
        <is>
          <t>LASTSCHUETZ</t>
        </is>
      </c>
      <c r="H855" t="inlineStr">
        <is>
          <t>4kW 1S Federzugkl.</t>
        </is>
      </c>
      <c r="I855">
        <v>149</v>
      </c>
      <c r="J855">
        <f>GS80/11.5</f>
        <v>0</v>
      </c>
      <c r="M855" t="inlineStr">
        <is>
          <t>-11K1</t>
        </is>
      </c>
    </row>
    <row r="856">
      <c r="A856">
        <v>855</v>
      </c>
      <c r="B856">
        <f>GS80</f>
        <v>0</v>
      </c>
      <c r="C856" t="inlineStr">
        <is>
          <t>+LS02</t>
        </is>
      </c>
      <c r="D856" t="inlineStr">
        <is>
          <t>-11K1</t>
        </is>
      </c>
      <c r="E856" t="inlineStr">
        <is>
          <t>DILA-XHI22</t>
        </is>
      </c>
      <c r="F856" t="inlineStr">
        <is>
          <t>DILA-XHI22</t>
        </is>
      </c>
      <c r="G856" t="inlineStr">
        <is>
          <t>HILFSKONTAKTBLOCK</t>
        </is>
      </c>
      <c r="H856" t="inlineStr">
        <is>
          <t>2S 2OE Last+Hilfssch. Cage</t>
        </is>
      </c>
      <c r="I856">
        <v>149</v>
      </c>
      <c r="J856">
        <f>GS80/11.5</f>
        <v>0</v>
      </c>
      <c r="M856" t="inlineStr">
        <is>
          <t>-11K1</t>
        </is>
      </c>
    </row>
    <row r="857">
      <c r="A857">
        <v>856</v>
      </c>
      <c r="B857">
        <f>GS80</f>
        <v>0</v>
      </c>
      <c r="C857" t="inlineStr">
        <is>
          <t>+LS03</t>
        </is>
      </c>
      <c r="D857" t="inlineStr">
        <is>
          <t>-11K1</t>
        </is>
      </c>
      <c r="E857" t="inlineStr">
        <is>
          <t>DILA-XHI22</t>
        </is>
      </c>
      <c r="F857" t="inlineStr">
        <is>
          <t>DILA-XHI22</t>
        </is>
      </c>
      <c r="G857" t="inlineStr">
        <is>
          <t>HILFSKONTAKTBLOCK</t>
        </is>
      </c>
      <c r="H857" t="inlineStr">
        <is>
          <t>2S 2OE Last+Hilfssch. Cage</t>
        </is>
      </c>
      <c r="I857">
        <v>149</v>
      </c>
      <c r="J857">
        <f>GS80/11.5</f>
        <v>0</v>
      </c>
      <c r="M857" t="inlineStr">
        <is>
          <t>-11K1</t>
        </is>
      </c>
    </row>
    <row r="858">
      <c r="A858">
        <v>857</v>
      </c>
      <c r="B858">
        <f>GS8x</f>
        <v>0</v>
      </c>
      <c r="C858" t="inlineStr">
        <is>
          <t>+LS</t>
        </is>
      </c>
      <c r="D858" t="inlineStr">
        <is>
          <t>-11K1</t>
        </is>
      </c>
      <c r="E858" t="inlineStr">
        <is>
          <t>DILM-9-10</t>
        </is>
      </c>
      <c r="F858" t="inlineStr">
        <is>
          <t>DILA-XHI22</t>
        </is>
      </c>
      <c r="G858" t="inlineStr">
        <is>
          <t>LASTSCHUETZ</t>
        </is>
      </c>
      <c r="H858" t="inlineStr">
        <is>
          <t>4kW 1S Federzugkl.</t>
        </is>
      </c>
      <c r="I858">
        <v>186</v>
      </c>
      <c r="J858">
        <f>GS8x/11.5</f>
        <v>0</v>
      </c>
      <c r="M858" t="inlineStr">
        <is>
          <t>-11K1</t>
        </is>
      </c>
    </row>
    <row r="859">
      <c r="A859">
        <v>858</v>
      </c>
      <c r="B859">
        <f>GS8x</f>
        <v>0</v>
      </c>
      <c r="C859" t="inlineStr">
        <is>
          <t>+LS</t>
        </is>
      </c>
      <c r="D859" t="inlineStr">
        <is>
          <t>-11K1</t>
        </is>
      </c>
      <c r="E859" t="inlineStr">
        <is>
          <t>DILA-XHI22</t>
        </is>
      </c>
      <c r="F859" t="inlineStr">
        <is>
          <t>DILA-XHI22</t>
        </is>
      </c>
      <c r="G859" t="inlineStr">
        <is>
          <t>HILFSKONTAKTBLOCK</t>
        </is>
      </c>
      <c r="H859" t="inlineStr">
        <is>
          <t>2S 2OE Last+Hilfssch. Cage</t>
        </is>
      </c>
      <c r="I859">
        <v>186</v>
      </c>
      <c r="J859">
        <f>GS8x/11.5</f>
        <v>0</v>
      </c>
      <c r="M859" t="inlineStr">
        <is>
          <t>-11K1</t>
        </is>
      </c>
    </row>
    <row r="860">
      <c r="A860">
        <v>859</v>
      </c>
      <c r="B860">
        <f>GS80</f>
        <v>0</v>
      </c>
      <c r="C860" t="inlineStr">
        <is>
          <t>+LS03</t>
        </is>
      </c>
      <c r="D860" t="inlineStr">
        <is>
          <t>-11K2</t>
        </is>
      </c>
      <c r="E860" t="inlineStr">
        <is>
          <t>DILM-9-10</t>
        </is>
      </c>
      <c r="F860" t="inlineStr">
        <is>
          <t>DILA-XHI22</t>
        </is>
      </c>
      <c r="G860" t="inlineStr">
        <is>
          <t>LASTSCHUETZ</t>
        </is>
      </c>
      <c r="H860" t="inlineStr">
        <is>
          <t>4kW 1S Federzugkl.</t>
        </is>
      </c>
      <c r="I860">
        <v>149</v>
      </c>
      <c r="J860">
        <f>GS80/11.5</f>
        <v>0</v>
      </c>
      <c r="M860" t="inlineStr">
        <is>
          <t>-11K2</t>
        </is>
      </c>
    </row>
    <row r="861">
      <c r="A861">
        <v>860</v>
      </c>
      <c r="B861">
        <f>GS80</f>
        <v>0</v>
      </c>
      <c r="C861" t="inlineStr">
        <is>
          <t>+LS01</t>
        </is>
      </c>
      <c r="D861" t="inlineStr">
        <is>
          <t>-11K2</t>
        </is>
      </c>
      <c r="E861" t="inlineStr">
        <is>
          <t>DILM-9-10</t>
        </is>
      </c>
      <c r="F861" t="inlineStr">
        <is>
          <t>DILA-XHI22</t>
        </is>
      </c>
      <c r="G861" t="inlineStr">
        <is>
          <t>LASTSCHUETZ</t>
        </is>
      </c>
      <c r="H861" t="inlineStr">
        <is>
          <t>4kW 1S Federzugkl.</t>
        </is>
      </c>
      <c r="I861">
        <v>232</v>
      </c>
      <c r="J861">
        <f>GS80/11.5</f>
        <v>0</v>
      </c>
      <c r="M861" t="inlineStr">
        <is>
          <t>-11K2</t>
        </is>
      </c>
    </row>
    <row r="862">
      <c r="A862">
        <v>861</v>
      </c>
      <c r="B862">
        <f>GS80</f>
        <v>0</v>
      </c>
      <c r="C862" t="inlineStr">
        <is>
          <t>+LS02</t>
        </is>
      </c>
      <c r="D862" t="inlineStr">
        <is>
          <t>-11K2</t>
        </is>
      </c>
      <c r="E862" t="inlineStr">
        <is>
          <t>DILM-9-10</t>
        </is>
      </c>
      <c r="F862" t="inlineStr">
        <is>
          <t>DILA-XHI22</t>
        </is>
      </c>
      <c r="G862" t="inlineStr">
        <is>
          <t>LASTSCHUETZ</t>
        </is>
      </c>
      <c r="H862" t="inlineStr">
        <is>
          <t>4kW 1S Federzugkl.</t>
        </is>
      </c>
      <c r="I862">
        <v>149</v>
      </c>
      <c r="J862">
        <f>GS80/11.5</f>
        <v>0</v>
      </c>
      <c r="M862" t="inlineStr">
        <is>
          <t>-11K2</t>
        </is>
      </c>
    </row>
    <row r="863">
      <c r="A863">
        <v>862</v>
      </c>
      <c r="B863">
        <f>GS80</f>
        <v>0</v>
      </c>
      <c r="C863" t="inlineStr">
        <is>
          <t>+LS01</t>
        </is>
      </c>
      <c r="D863" t="inlineStr">
        <is>
          <t>-11K2</t>
        </is>
      </c>
      <c r="E863" t="inlineStr">
        <is>
          <t>DILA-XHI22</t>
        </is>
      </c>
      <c r="F863" t="inlineStr">
        <is>
          <t>DILA-XHI22</t>
        </is>
      </c>
      <c r="G863" t="inlineStr">
        <is>
          <t>HILFSKONTAKTBLOCK</t>
        </is>
      </c>
      <c r="H863" t="inlineStr">
        <is>
          <t>2S 2OE Last+Hilfssch. Cage</t>
        </is>
      </c>
      <c r="I863">
        <v>232</v>
      </c>
      <c r="J863">
        <f>GS80/11.5</f>
        <v>0</v>
      </c>
      <c r="M863" t="inlineStr">
        <is>
          <t>-11K2</t>
        </is>
      </c>
    </row>
    <row r="864">
      <c r="A864">
        <v>863</v>
      </c>
      <c r="B864">
        <f>GS80</f>
        <v>0</v>
      </c>
      <c r="C864" t="inlineStr">
        <is>
          <t>+LS03</t>
        </is>
      </c>
      <c r="D864" t="inlineStr">
        <is>
          <t>-11K2</t>
        </is>
      </c>
      <c r="E864" t="inlineStr">
        <is>
          <t>DILA-XHI22</t>
        </is>
      </c>
      <c r="F864" t="inlineStr">
        <is>
          <t>DILA-XHI22</t>
        </is>
      </c>
      <c r="G864" t="inlineStr">
        <is>
          <t>HILFSKONTAKTBLOCK</t>
        </is>
      </c>
      <c r="H864" t="inlineStr">
        <is>
          <t>2S 2OE Last+Hilfssch. Cage</t>
        </is>
      </c>
      <c r="I864">
        <v>149</v>
      </c>
      <c r="J864">
        <f>GS80/11.5</f>
        <v>0</v>
      </c>
      <c r="M864" t="inlineStr">
        <is>
          <t>-11K2</t>
        </is>
      </c>
    </row>
    <row r="865">
      <c r="A865">
        <v>864</v>
      </c>
      <c r="B865">
        <f>GS80</f>
        <v>0</v>
      </c>
      <c r="C865" t="inlineStr">
        <is>
          <t>+LS02</t>
        </is>
      </c>
      <c r="D865" t="inlineStr">
        <is>
          <t>-11K2</t>
        </is>
      </c>
      <c r="E865" t="inlineStr">
        <is>
          <t>DILA-XHI22</t>
        </is>
      </c>
      <c r="F865" t="inlineStr">
        <is>
          <t>DILA-XHI22</t>
        </is>
      </c>
      <c r="G865" t="inlineStr">
        <is>
          <t>HILFSKONTAKTBLOCK</t>
        </is>
      </c>
      <c r="H865" t="inlineStr">
        <is>
          <t>2S 2OE Last+Hilfssch. Cage</t>
        </is>
      </c>
      <c r="I865">
        <v>149</v>
      </c>
      <c r="J865">
        <f>GS80/11.5</f>
        <v>0</v>
      </c>
      <c r="M865" t="inlineStr">
        <is>
          <t>-11K2</t>
        </is>
      </c>
    </row>
    <row r="866">
      <c r="A866">
        <v>865</v>
      </c>
      <c r="B866">
        <f>GS8x</f>
        <v>0</v>
      </c>
      <c r="C866" t="inlineStr">
        <is>
          <t>+LS</t>
        </is>
      </c>
      <c r="D866" t="inlineStr">
        <is>
          <t>-11K2</t>
        </is>
      </c>
      <c r="E866" t="inlineStr">
        <is>
          <t>DILM-9-10</t>
        </is>
      </c>
      <c r="F866" t="inlineStr">
        <is>
          <t>DILA-XHI22</t>
        </is>
      </c>
      <c r="G866" t="inlineStr">
        <is>
          <t>LASTSCHUETZ</t>
        </is>
      </c>
      <c r="H866" t="inlineStr">
        <is>
          <t>4kW 1S Federzugkl.</t>
        </is>
      </c>
      <c r="I866">
        <v>186</v>
      </c>
      <c r="J866">
        <f>GS8x/11.6</f>
        <v>0</v>
      </c>
      <c r="M866" t="inlineStr">
        <is>
          <t>-11K2</t>
        </is>
      </c>
    </row>
    <row r="867">
      <c r="A867">
        <v>866</v>
      </c>
      <c r="B867">
        <f>GS8x</f>
        <v>0</v>
      </c>
      <c r="C867" t="inlineStr">
        <is>
          <t>+LS</t>
        </is>
      </c>
      <c r="D867" t="inlineStr">
        <is>
          <t>-11K2</t>
        </is>
      </c>
      <c r="E867" t="inlineStr">
        <is>
          <t>DILA-XHI22</t>
        </is>
      </c>
      <c r="F867" t="inlineStr">
        <is>
          <t>DILA-XHI22</t>
        </is>
      </c>
      <c r="G867" t="inlineStr">
        <is>
          <t>HILFSKONTAKTBLOCK</t>
        </is>
      </c>
      <c r="H867" t="inlineStr">
        <is>
          <t>2S 2OE Last+Hilfssch. Cage</t>
        </is>
      </c>
      <c r="I867">
        <v>186</v>
      </c>
      <c r="J867">
        <f>GS8x/11.6</f>
        <v>0</v>
      </c>
      <c r="M867" t="inlineStr">
        <is>
          <t>-11K2</t>
        </is>
      </c>
    </row>
    <row r="868">
      <c r="A868">
        <v>867</v>
      </c>
      <c r="B868">
        <f>GS80</f>
        <v>0</v>
      </c>
      <c r="C868" t="inlineStr">
        <is>
          <t>+LS02</t>
        </is>
      </c>
      <c r="D868" t="inlineStr">
        <is>
          <t>-11K3</t>
        </is>
      </c>
      <c r="E868" t="inlineStr">
        <is>
          <t>DILA-22</t>
        </is>
      </c>
      <c r="F868" t="inlineStr">
        <is>
          <t>#KALK!</t>
        </is>
      </c>
      <c r="G868" t="inlineStr">
        <is>
          <t>HILFSSCHUETZ</t>
        </is>
      </c>
      <c r="H868" t="inlineStr">
        <is>
          <t>2S 2Oe Federzugkl.</t>
        </is>
      </c>
      <c r="I868">
        <v>149</v>
      </c>
      <c r="J868">
        <f>GS80/11.7</f>
        <v>0</v>
      </c>
      <c r="M868" t="inlineStr">
        <is>
          <t>-11K3</t>
        </is>
      </c>
    </row>
    <row r="869">
      <c r="A869">
        <v>868</v>
      </c>
      <c r="B869">
        <f>GS80</f>
        <v>0</v>
      </c>
      <c r="C869" t="inlineStr">
        <is>
          <t>+LS03</t>
        </is>
      </c>
      <c r="D869" t="inlineStr">
        <is>
          <t>-11K3</t>
        </is>
      </c>
      <c r="E869" t="inlineStr">
        <is>
          <t>DILA-22</t>
        </is>
      </c>
      <c r="F869" t="inlineStr">
        <is>
          <t>#KALK!</t>
        </is>
      </c>
      <c r="G869" t="inlineStr">
        <is>
          <t>HILFSSCHUETZ</t>
        </is>
      </c>
      <c r="H869" t="inlineStr">
        <is>
          <t>2S 2Oe Federzugkl.</t>
        </is>
      </c>
      <c r="I869">
        <v>149</v>
      </c>
      <c r="J869">
        <f>GS80/11.7</f>
        <v>0</v>
      </c>
      <c r="M869" t="inlineStr">
        <is>
          <t>-11K3</t>
        </is>
      </c>
    </row>
    <row r="870">
      <c r="A870">
        <v>869</v>
      </c>
      <c r="B870">
        <f>GS80</f>
        <v>0</v>
      </c>
      <c r="C870" t="inlineStr">
        <is>
          <t>+LS01</t>
        </is>
      </c>
      <c r="D870" t="inlineStr">
        <is>
          <t>-11K3</t>
        </is>
      </c>
      <c r="E870" t="inlineStr">
        <is>
          <t>DILA-22</t>
        </is>
      </c>
      <c r="F870" t="inlineStr">
        <is>
          <t>#KALK!</t>
        </is>
      </c>
      <c r="G870" t="inlineStr">
        <is>
          <t>HILFSSCHUETZ</t>
        </is>
      </c>
      <c r="H870" t="inlineStr">
        <is>
          <t>2S 2Oe Federzugkl.</t>
        </is>
      </c>
      <c r="I870">
        <v>232</v>
      </c>
      <c r="J870">
        <f>GS80/11.7</f>
        <v>0</v>
      </c>
      <c r="M870" t="inlineStr">
        <is>
          <t>-11K3</t>
        </is>
      </c>
    </row>
    <row r="871">
      <c r="A871">
        <v>870</v>
      </c>
      <c r="B871">
        <f>GS8x</f>
        <v>0</v>
      </c>
      <c r="C871" t="inlineStr">
        <is>
          <t>+LS</t>
        </is>
      </c>
      <c r="D871" t="inlineStr">
        <is>
          <t>-11K3</t>
        </is>
      </c>
      <c r="E871" t="inlineStr">
        <is>
          <t>DILA-22</t>
        </is>
      </c>
      <c r="F871" t="inlineStr">
        <is>
          <t>#KALK!</t>
        </is>
      </c>
      <c r="G871" t="inlineStr">
        <is>
          <t>HILFSSCHUETZ</t>
        </is>
      </c>
      <c r="H871" t="inlineStr">
        <is>
          <t>2S 2Oe Federzugkl.</t>
        </is>
      </c>
      <c r="I871">
        <v>186</v>
      </c>
      <c r="J871">
        <f>GS8x/11.7</f>
        <v>0</v>
      </c>
      <c r="M871" t="inlineStr">
        <is>
          <t>-11K3</t>
        </is>
      </c>
    </row>
    <row r="872">
      <c r="A872">
        <v>871</v>
      </c>
      <c r="B872">
        <f>GS80</f>
        <v>0</v>
      </c>
      <c r="C872" t="inlineStr">
        <is>
          <t>+LS01</t>
        </is>
      </c>
      <c r="D872" t="inlineStr">
        <is>
          <t>-11K4</t>
        </is>
      </c>
      <c r="E872" t="inlineStr">
        <is>
          <t>DILA-40</t>
        </is>
      </c>
      <c r="F872" t="inlineStr">
        <is>
          <t>#KALK!</t>
        </is>
      </c>
      <c r="G872" t="inlineStr">
        <is>
          <t>HILFSSCHUETZ</t>
        </is>
      </c>
      <c r="H872" t="inlineStr">
        <is>
          <t>4S Federzugkl.</t>
        </is>
      </c>
      <c r="I872">
        <v>232</v>
      </c>
      <c r="J872">
        <f>GS80/11.7</f>
        <v>0</v>
      </c>
      <c r="M872" t="inlineStr">
        <is>
          <t>-11K4</t>
        </is>
      </c>
    </row>
    <row r="873">
      <c r="A873">
        <v>872</v>
      </c>
      <c r="B873">
        <f>GS80</f>
        <v>0</v>
      </c>
      <c r="C873" t="inlineStr">
        <is>
          <t>+LS02</t>
        </is>
      </c>
      <c r="D873" t="inlineStr">
        <is>
          <t>-11K4</t>
        </is>
      </c>
      <c r="E873" t="inlineStr">
        <is>
          <t>DILA-40</t>
        </is>
      </c>
      <c r="F873" t="inlineStr">
        <is>
          <t>#KALK!</t>
        </is>
      </c>
      <c r="G873" t="inlineStr">
        <is>
          <t>HILFSSCHUETZ</t>
        </is>
      </c>
      <c r="H873" t="inlineStr">
        <is>
          <t>4S Federzugkl.</t>
        </is>
      </c>
      <c r="I873">
        <v>149</v>
      </c>
      <c r="J873">
        <f>GS80/11.7</f>
        <v>0</v>
      </c>
      <c r="M873" t="inlineStr">
        <is>
          <t>-11K4</t>
        </is>
      </c>
    </row>
    <row r="874">
      <c r="A874">
        <v>873</v>
      </c>
      <c r="B874">
        <f>GS80</f>
        <v>0</v>
      </c>
      <c r="C874" t="inlineStr">
        <is>
          <t>+LS03</t>
        </is>
      </c>
      <c r="D874" t="inlineStr">
        <is>
          <t>-11K4</t>
        </is>
      </c>
      <c r="E874" t="inlineStr">
        <is>
          <t>DILA-40</t>
        </is>
      </c>
      <c r="F874" t="inlineStr">
        <is>
          <t>#KALK!</t>
        </is>
      </c>
      <c r="G874" t="inlineStr">
        <is>
          <t>HILFSSCHUETZ</t>
        </is>
      </c>
      <c r="H874" t="inlineStr">
        <is>
          <t>4S Federzugkl.</t>
        </is>
      </c>
      <c r="I874">
        <v>149</v>
      </c>
      <c r="J874">
        <f>GS80/11.7</f>
        <v>0</v>
      </c>
      <c r="M874" t="inlineStr">
        <is>
          <t>-11K4</t>
        </is>
      </c>
    </row>
    <row r="875">
      <c r="A875">
        <v>874</v>
      </c>
      <c r="B875">
        <f>GS8x</f>
        <v>0</v>
      </c>
      <c r="C875" t="inlineStr">
        <is>
          <t>+LS</t>
        </is>
      </c>
      <c r="D875" t="inlineStr">
        <is>
          <t>-11K4</t>
        </is>
      </c>
      <c r="E875" t="inlineStr">
        <is>
          <t>DILA-40</t>
        </is>
      </c>
      <c r="F875" t="inlineStr">
        <is>
          <t>#KALK!</t>
        </is>
      </c>
      <c r="G875" t="inlineStr">
        <is>
          <t>HILFSSCHUETZ</t>
        </is>
      </c>
      <c r="H875" t="inlineStr">
        <is>
          <t>4S Federzugkl.</t>
        </is>
      </c>
      <c r="I875">
        <v>186</v>
      </c>
      <c r="J875">
        <f>GS8x/11.7</f>
        <v>0</v>
      </c>
      <c r="M875" t="inlineStr">
        <is>
          <t>-11K4</t>
        </is>
      </c>
    </row>
    <row r="876">
      <c r="A876">
        <v>875</v>
      </c>
      <c r="B876">
        <f>GS9x</f>
        <v>0</v>
      </c>
      <c r="C876" t="inlineStr">
        <is>
          <t>+QVW[h1]01</t>
        </is>
      </c>
      <c r="D876" t="inlineStr">
        <is>
          <t>-11Q[a+1].0</t>
        </is>
      </c>
      <c r="E876" t="inlineStr">
        <is>
          <t>DILM-9-10</t>
        </is>
      </c>
      <c r="F876" t="inlineStr">
        <is>
          <t>#KALK!</t>
        </is>
      </c>
      <c r="G876" t="inlineStr">
        <is>
          <t>LASTSCHUETZ</t>
        </is>
      </c>
      <c r="H876" t="inlineStr">
        <is>
          <t>4kW 1S Federzugkl.</t>
        </is>
      </c>
      <c r="I876">
        <v>179</v>
      </c>
      <c r="J876">
        <f>GS9x/11.5</f>
        <v>0</v>
      </c>
      <c r="M876" t="inlineStr">
        <is>
          <t>-11Q[a+1].0</t>
        </is>
      </c>
    </row>
    <row r="877">
      <c r="A877">
        <v>876</v>
      </c>
      <c r="B877">
        <f>GS80</f>
        <v>0</v>
      </c>
      <c r="C877" t="inlineStr">
        <is>
          <t>+ES01</t>
        </is>
      </c>
      <c r="D877" t="inlineStr">
        <is>
          <t>-11Q21.7</t>
        </is>
      </c>
      <c r="E877" t="inlineStr">
        <is>
          <t>DILM-9-10</t>
        </is>
      </c>
      <c r="F877" t="inlineStr">
        <is>
          <t>#KALK!</t>
        </is>
      </c>
      <c r="G877" t="inlineStr">
        <is>
          <t>LASTSCHUETZ</t>
        </is>
      </c>
      <c r="H877" t="inlineStr">
        <is>
          <t>4kW 1S Federzugkl.</t>
        </is>
      </c>
      <c r="I877">
        <v>147</v>
      </c>
      <c r="J877">
        <f>GS80/11.6</f>
        <v>0</v>
      </c>
      <c r="M877" t="inlineStr">
        <is>
          <t>-11Q21.7</t>
        </is>
      </c>
    </row>
    <row r="878">
      <c r="A878">
        <v>877</v>
      </c>
      <c r="B878">
        <f>GS8x</f>
        <v>0</v>
      </c>
      <c r="C878" t="inlineStr">
        <is>
          <t>+ES02</t>
        </is>
      </c>
      <c r="D878" t="inlineStr">
        <is>
          <t>-11Q21.7</t>
        </is>
      </c>
      <c r="E878" t="inlineStr">
        <is>
          <t>DILM-9-10</t>
        </is>
      </c>
      <c r="F878" t="inlineStr">
        <is>
          <t>#KALK!</t>
        </is>
      </c>
      <c r="G878" t="inlineStr">
        <is>
          <t>LASTSCHUETZ</t>
        </is>
      </c>
      <c r="H878" t="inlineStr">
        <is>
          <t>4kW 1S Federzugkl.</t>
        </is>
      </c>
      <c r="I878">
        <v>150</v>
      </c>
      <c r="J878">
        <f>GS8x/11.6</f>
        <v>0</v>
      </c>
      <c r="M878" t="inlineStr">
        <is>
          <t>-11Q21.7</t>
        </is>
      </c>
    </row>
    <row r="879">
      <c r="A879">
        <v>878</v>
      </c>
      <c r="B879">
        <f>GS8x</f>
        <v>0</v>
      </c>
      <c r="C879" t="inlineStr">
        <is>
          <t>+ES02</t>
        </is>
      </c>
      <c r="D879" t="inlineStr">
        <is>
          <t>-11Q23.7</t>
        </is>
      </c>
      <c r="E879" t="inlineStr">
        <is>
          <t>DILM-9-10</t>
        </is>
      </c>
      <c r="F879" t="inlineStr">
        <is>
          <t>#KALK!</t>
        </is>
      </c>
      <c r="G879" t="inlineStr">
        <is>
          <t>LASTSCHUETZ</t>
        </is>
      </c>
      <c r="H879" t="inlineStr">
        <is>
          <t>4kW 1S Federzugkl.</t>
        </is>
      </c>
      <c r="I879">
        <v>147</v>
      </c>
      <c r="J879">
        <f>GS8x/11.6</f>
        <v>0</v>
      </c>
      <c r="M879" t="inlineStr">
        <is>
          <t>-11Q23.7</t>
        </is>
      </c>
    </row>
    <row r="880">
      <c r="A880">
        <v>879</v>
      </c>
      <c r="B880">
        <f>GS06</f>
        <v>0</v>
      </c>
      <c r="C880" t="inlineStr">
        <is>
          <t>+LS18</t>
        </is>
      </c>
      <c r="D880" t="inlineStr">
        <is>
          <t>-1201K1</t>
        </is>
      </c>
      <c r="E880" t="inlineStr">
        <is>
          <t>DILM-9-01</t>
        </is>
      </c>
      <c r="F880" t="inlineStr">
        <is>
          <t>#KALK!</t>
        </is>
      </c>
      <c r="G880" t="inlineStr">
        <is>
          <t>LASTSCHUETZ</t>
        </is>
      </c>
      <c r="H880" t="inlineStr">
        <is>
          <t>4kW 1Oe Federzugkl.</t>
        </is>
      </c>
      <c r="I880">
        <v>140</v>
      </c>
      <c r="J880">
        <f>GS06/1201.6</f>
        <v>0</v>
      </c>
      <c r="M880" t="inlineStr">
        <is>
          <t>-1201K1</t>
        </is>
      </c>
    </row>
    <row r="881">
      <c r="A881">
        <v>880</v>
      </c>
      <c r="B881">
        <f>GS06</f>
        <v>0</v>
      </c>
      <c r="C881" t="inlineStr">
        <is>
          <t>+LS18</t>
        </is>
      </c>
      <c r="D881" t="inlineStr">
        <is>
          <t>-1201K2</t>
        </is>
      </c>
      <c r="E881" t="inlineStr">
        <is>
          <t>DILM-9-01</t>
        </is>
      </c>
      <c r="F881" t="inlineStr">
        <is>
          <t>#KALK!</t>
        </is>
      </c>
      <c r="G881" t="inlineStr">
        <is>
          <t>LASTSCHUETZ</t>
        </is>
      </c>
      <c r="H881" t="inlineStr">
        <is>
          <t>4kW 1Oe Federzugkl.</t>
        </is>
      </c>
      <c r="I881">
        <v>140</v>
      </c>
      <c r="J881">
        <f>GS06/1201.7</f>
        <v>0</v>
      </c>
      <c r="M881" t="inlineStr">
        <is>
          <t>-1201K2</t>
        </is>
      </c>
    </row>
    <row r="882">
      <c r="A882">
        <v>881</v>
      </c>
      <c r="B882">
        <f>GS06</f>
        <v>0</v>
      </c>
      <c r="C882" t="inlineStr">
        <is>
          <t>+LS18</t>
        </is>
      </c>
      <c r="D882" t="inlineStr">
        <is>
          <t>-1202K1</t>
        </is>
      </c>
      <c r="E882" t="inlineStr">
        <is>
          <t>DILM-9-01</t>
        </is>
      </c>
      <c r="F882" t="inlineStr">
        <is>
          <t>#KALK!</t>
        </is>
      </c>
      <c r="G882" t="inlineStr">
        <is>
          <t>LASTSCHUETZ</t>
        </is>
      </c>
      <c r="H882" t="inlineStr">
        <is>
          <t>4kW 1Oe Federzugkl.</t>
        </is>
      </c>
      <c r="I882">
        <v>1009</v>
      </c>
      <c r="J882">
        <f>GS06/1202.6</f>
        <v>0</v>
      </c>
      <c r="M882" t="inlineStr">
        <is>
          <t>-1202K1</t>
        </is>
      </c>
    </row>
    <row r="883">
      <c r="A883">
        <v>882</v>
      </c>
      <c r="B883">
        <f>GS06</f>
        <v>0</v>
      </c>
      <c r="C883" t="inlineStr">
        <is>
          <t>+LS18</t>
        </is>
      </c>
      <c r="D883" t="inlineStr">
        <is>
          <t>-1202K2</t>
        </is>
      </c>
      <c r="E883" t="inlineStr">
        <is>
          <t>DILM-9-01</t>
        </is>
      </c>
      <c r="F883" t="inlineStr">
        <is>
          <t>#KALK!</t>
        </is>
      </c>
      <c r="G883" t="inlineStr">
        <is>
          <t>LASTSCHUETZ</t>
        </is>
      </c>
      <c r="H883" t="inlineStr">
        <is>
          <t>4kW 1Oe Federzugkl.</t>
        </is>
      </c>
      <c r="I883">
        <v>1009</v>
      </c>
      <c r="J883">
        <f>GS06/1202.7</f>
        <v>0</v>
      </c>
      <c r="M883" t="inlineStr">
        <is>
          <t>-1202K2</t>
        </is>
      </c>
    </row>
    <row r="884">
      <c r="A884">
        <v>883</v>
      </c>
      <c r="B884">
        <f>GS13</f>
        <v>0</v>
      </c>
      <c r="C884" t="inlineStr">
        <is>
          <t>+LS1</t>
        </is>
      </c>
      <c r="D884" t="inlineStr">
        <is>
          <t>-12055.1</t>
        </is>
      </c>
      <c r="E884" t="inlineStr">
        <is>
          <t>DIL_EM-10-G</t>
        </is>
      </c>
      <c r="F884" t="inlineStr">
        <is>
          <t>#KALK!</t>
        </is>
      </c>
      <c r="G884" t="inlineStr">
        <is>
          <t>LASTSCHUETZ</t>
        </is>
      </c>
      <c r="H884" t="inlineStr">
        <is>
          <t>4kW 1S</t>
        </is>
      </c>
      <c r="I884">
        <v>359</v>
      </c>
      <c r="J884">
        <f>GS13/120.7</f>
        <v>0</v>
      </c>
      <c r="M884" t="inlineStr">
        <is>
          <t>-12055.1</t>
        </is>
      </c>
    </row>
    <row r="885">
      <c r="A885">
        <v>884</v>
      </c>
      <c r="B885">
        <f>GS51</f>
        <v>0</v>
      </c>
      <c r="C885" t="inlineStr">
        <is>
          <t>+LS18</t>
        </is>
      </c>
      <c r="D885" t="inlineStr">
        <is>
          <t>-1205Q1</t>
        </is>
      </c>
      <c r="E885" t="inlineStr">
        <is>
          <t>DILA-XHI22</t>
        </is>
      </c>
      <c r="F885" t="inlineStr">
        <is>
          <t>DILA-XHI22</t>
        </is>
      </c>
      <c r="G885" t="inlineStr">
        <is>
          <t>HILFSKONTAKTBLOCK</t>
        </is>
      </c>
      <c r="H885" t="inlineStr">
        <is>
          <t>2S 2OE Last+Hilfssch. Cage</t>
        </is>
      </c>
      <c r="I885">
        <v>1341</v>
      </c>
      <c r="J885">
        <f>GS51/1205.5</f>
        <v>0</v>
      </c>
      <c r="K885" t="inlineStr">
        <is>
          <t>DIL MC25</t>
        </is>
      </c>
      <c r="M885" t="inlineStr">
        <is>
          <t>-1205Q1</t>
        </is>
      </c>
    </row>
    <row r="886">
      <c r="A886">
        <v>885</v>
      </c>
      <c r="B886">
        <f>GS51</f>
        <v>0</v>
      </c>
      <c r="C886" t="inlineStr">
        <is>
          <t>+LS18</t>
        </is>
      </c>
      <c r="D886" t="inlineStr">
        <is>
          <t>-1205Q1</t>
        </is>
      </c>
      <c r="E886" t="inlineStr">
        <is>
          <t>DILMC25-10(RDC24)</t>
        </is>
      </c>
      <c r="F886" t="inlineStr">
        <is>
          <t>DILA-XHI22</t>
        </is>
      </c>
      <c r="G886" t="inlineStr">
        <is>
          <t>LASTSCHUETZ</t>
        </is>
      </c>
      <c r="H886" t="inlineStr">
        <is>
          <t>11kW 1S Federzugkl.</t>
        </is>
      </c>
      <c r="I886">
        <v>1341</v>
      </c>
      <c r="J886">
        <f>GS51/1205.5</f>
        <v>0</v>
      </c>
      <c r="K886" t="inlineStr">
        <is>
          <t>DIL MC25</t>
        </is>
      </c>
      <c r="M886" t="inlineStr">
        <is>
          <t>-1205Q1</t>
        </is>
      </c>
    </row>
    <row r="887">
      <c r="A887">
        <v>886</v>
      </c>
      <c r="B887">
        <f>GS9x</f>
        <v>0</v>
      </c>
      <c r="C887" t="inlineStr">
        <is>
          <t>+LS[p1]</t>
        </is>
      </c>
      <c r="D887" t="inlineStr">
        <is>
          <t>-120K[a+3].7</t>
        </is>
      </c>
      <c r="E887" t="inlineStr">
        <is>
          <t>DILA-40</t>
        </is>
      </c>
      <c r="F887" t="inlineStr">
        <is>
          <t>#KALK!</t>
        </is>
      </c>
      <c r="G887" t="inlineStr">
        <is>
          <t>HILFSSCHUETZ</t>
        </is>
      </c>
      <c r="H887" t="inlineStr">
        <is>
          <t>4S Federzugkl.</t>
        </is>
      </c>
      <c r="I887">
        <v>218</v>
      </c>
      <c r="J887">
        <f>GS9x/120.7</f>
        <v>0</v>
      </c>
      <c r="M887" t="inlineStr">
        <is>
          <t>-120K[a+3].7</t>
        </is>
      </c>
    </row>
    <row r="888">
      <c r="A888">
        <v>887</v>
      </c>
      <c r="B888">
        <f>GS02</f>
        <v>0</v>
      </c>
      <c r="C888" t="inlineStr">
        <is>
          <t>+LS1</t>
        </is>
      </c>
      <c r="D888" t="inlineStr">
        <is>
          <t>-120K1</t>
        </is>
      </c>
      <c r="E888" t="inlineStr">
        <is>
          <t>22_DIL-M</t>
        </is>
      </c>
      <c r="F888" t="inlineStr">
        <is>
          <t>22_DIL-M</t>
        </is>
      </c>
      <c r="G888" t="inlineStr">
        <is>
          <t>HILFSKONTAKTBLOCK</t>
        </is>
      </c>
      <c r="H888" t="inlineStr">
        <is>
          <t>2S 2OE Lastschuetz DIL M</t>
        </is>
      </c>
      <c r="I888">
        <v>518</v>
      </c>
      <c r="J888">
        <f>GS02/120.2</f>
        <v>0</v>
      </c>
      <c r="K888" t="inlineStr">
        <is>
          <t>DIL0AM</t>
        </is>
      </c>
      <c r="M888" t="inlineStr">
        <is>
          <t>-120K1</t>
        </is>
      </c>
    </row>
    <row r="889">
      <c r="A889">
        <v>888</v>
      </c>
      <c r="B889">
        <f>GS02</f>
        <v>0</v>
      </c>
      <c r="C889" t="inlineStr">
        <is>
          <t>+LS1</t>
        </is>
      </c>
      <c r="D889" t="inlineStr">
        <is>
          <t>-120K1</t>
        </is>
      </c>
      <c r="E889" t="inlineStr">
        <is>
          <t>DIL_0AM</t>
        </is>
      </c>
      <c r="F889" t="inlineStr">
        <is>
          <t>22_DIL-M</t>
        </is>
      </c>
      <c r="G889" t="inlineStr">
        <is>
          <t>LASTSCHUETZ</t>
        </is>
      </c>
      <c r="H889" t="inlineStr">
        <is>
          <t>11 kW</t>
        </is>
      </c>
      <c r="I889">
        <v>518</v>
      </c>
      <c r="J889">
        <f>GS02/120.2</f>
        <v>0</v>
      </c>
      <c r="K889" t="inlineStr">
        <is>
          <t>DIL0AM</t>
        </is>
      </c>
      <c r="M889" t="inlineStr">
        <is>
          <t>-120K1</t>
        </is>
      </c>
    </row>
    <row r="890">
      <c r="A890">
        <v>889</v>
      </c>
      <c r="B890">
        <f>GS36</f>
        <v>0</v>
      </c>
      <c r="C890" t="inlineStr">
        <is>
          <t>+LS01</t>
        </is>
      </c>
      <c r="D890" t="inlineStr">
        <is>
          <t>-120K107.4</t>
        </is>
      </c>
      <c r="E890" t="inlineStr">
        <is>
          <t>DILA-40</t>
        </is>
      </c>
      <c r="F890" t="inlineStr">
        <is>
          <t>#KALK!</t>
        </is>
      </c>
      <c r="G890" t="inlineStr">
        <is>
          <t>HILFSSCHUETZ</t>
        </is>
      </c>
      <c r="H890" t="inlineStr">
        <is>
          <t>4S Federzugkl.</t>
        </is>
      </c>
      <c r="I890">
        <v>292</v>
      </c>
      <c r="J890">
        <f>GS36/120.7</f>
        <v>0</v>
      </c>
      <c r="M890" t="inlineStr">
        <is>
          <t>-120K107.4</t>
        </is>
      </c>
    </row>
    <row r="891">
      <c r="A891">
        <v>890</v>
      </c>
      <c r="B891">
        <f>GS92</f>
        <v>0</v>
      </c>
      <c r="C891" t="inlineStr">
        <is>
          <t>+LS01</t>
        </is>
      </c>
      <c r="D891" t="inlineStr">
        <is>
          <t>-120K151.4</t>
        </is>
      </c>
      <c r="E891" t="inlineStr">
        <is>
          <t>DILA-40</t>
        </is>
      </c>
      <c r="F891" t="inlineStr">
        <is>
          <t>#KALK!</t>
        </is>
      </c>
      <c r="G891" t="inlineStr">
        <is>
          <t>HILFSSCHUETZ</t>
        </is>
      </c>
      <c r="H891" t="inlineStr">
        <is>
          <t>4S Federzugkl.</t>
        </is>
      </c>
      <c r="I891">
        <v>266</v>
      </c>
      <c r="J891">
        <f>GS92/120.7</f>
        <v>0</v>
      </c>
      <c r="M891" t="inlineStr">
        <is>
          <t>-120K151.4</t>
        </is>
      </c>
    </row>
    <row r="892">
      <c r="A892">
        <v>891</v>
      </c>
      <c r="B892">
        <f>GS16</f>
        <v>0</v>
      </c>
      <c r="C892" t="inlineStr">
        <is>
          <t>+LS1</t>
        </is>
      </c>
      <c r="D892" t="inlineStr">
        <is>
          <t>-120K20.7</t>
        </is>
      </c>
      <c r="E892" t="inlineStr">
        <is>
          <t>DILMC12-10(24VDC)</t>
        </is>
      </c>
      <c r="F892" t="inlineStr">
        <is>
          <t>#KALK!</t>
        </is>
      </c>
      <c r="G892" t="inlineStr">
        <is>
          <t>LASTSCHUETZ</t>
        </is>
      </c>
      <c r="H892" t="inlineStr">
        <is>
          <t>5,5kW 1S Federzugkl.</t>
        </is>
      </c>
      <c r="I892">
        <v>340</v>
      </c>
      <c r="J892">
        <f>GS16/120.6</f>
        <v>0</v>
      </c>
      <c r="M892" t="inlineStr">
        <is>
          <t>-120K20.7</t>
        </is>
      </c>
    </row>
    <row r="893">
      <c r="A893">
        <v>892</v>
      </c>
      <c r="B893">
        <f>GS04</f>
        <v>0</v>
      </c>
      <c r="C893" t="inlineStr">
        <is>
          <t>+LS1</t>
        </is>
      </c>
      <c r="D893" t="inlineStr">
        <is>
          <t>-120K26.0</t>
        </is>
      </c>
      <c r="E893" t="inlineStr">
        <is>
          <t>DIL_ER-22-G</t>
        </is>
      </c>
      <c r="F893" t="inlineStr">
        <is>
          <t>#KALK!</t>
        </is>
      </c>
      <c r="G893" t="inlineStr">
        <is>
          <t>HILFSSCHUETZ</t>
        </is>
      </c>
      <c r="H893" t="inlineStr">
        <is>
          <t>2S 2OE</t>
        </is>
      </c>
      <c r="I893">
        <v>370</v>
      </c>
      <c r="J893">
        <f>GS04/120.5</f>
        <v>0</v>
      </c>
      <c r="M893" t="inlineStr">
        <is>
          <t>-120K26.0</t>
        </is>
      </c>
    </row>
    <row r="894">
      <c r="A894">
        <v>893</v>
      </c>
      <c r="B894">
        <f>GS04</f>
        <v>0</v>
      </c>
      <c r="C894" t="inlineStr">
        <is>
          <t>+LS1</t>
        </is>
      </c>
      <c r="D894" t="inlineStr">
        <is>
          <t>-120K26.1</t>
        </is>
      </c>
      <c r="E894" t="inlineStr">
        <is>
          <t>DIL_ER-22-G</t>
        </is>
      </c>
      <c r="F894" t="inlineStr">
        <is>
          <t>#KALK!</t>
        </is>
      </c>
      <c r="G894" t="inlineStr">
        <is>
          <t>HILFSSCHUETZ</t>
        </is>
      </c>
      <c r="H894" t="inlineStr">
        <is>
          <t>2S 2OE</t>
        </is>
      </c>
      <c r="I894">
        <v>370</v>
      </c>
      <c r="J894">
        <f>GS04/120.6</f>
        <v>0</v>
      </c>
      <c r="M894" t="inlineStr">
        <is>
          <t>-120K26.1</t>
        </is>
      </c>
    </row>
    <row r="895">
      <c r="A895">
        <v>894</v>
      </c>
      <c r="B895">
        <f>GS04</f>
        <v>0</v>
      </c>
      <c r="C895" t="inlineStr">
        <is>
          <t>+LS1</t>
        </is>
      </c>
      <c r="D895" t="inlineStr">
        <is>
          <t>-120K26.2</t>
        </is>
      </c>
      <c r="E895" t="inlineStr">
        <is>
          <t>DIL_ER-22-G</t>
        </is>
      </c>
      <c r="F895" t="inlineStr">
        <is>
          <t>#KALK!</t>
        </is>
      </c>
      <c r="G895" t="inlineStr">
        <is>
          <t>HILFSSCHUETZ</t>
        </is>
      </c>
      <c r="H895" t="inlineStr">
        <is>
          <t>2S 2OE</t>
        </is>
      </c>
      <c r="I895">
        <v>370</v>
      </c>
      <c r="J895">
        <f>GS04/120.7</f>
        <v>0</v>
      </c>
      <c r="M895" t="inlineStr">
        <is>
          <t>-120K26.2</t>
        </is>
      </c>
    </row>
    <row r="896">
      <c r="A896">
        <v>895</v>
      </c>
      <c r="B896">
        <f>GS04</f>
        <v>0</v>
      </c>
      <c r="C896" t="inlineStr">
        <is>
          <t>+LS1</t>
        </is>
      </c>
      <c r="D896" t="inlineStr">
        <is>
          <t>-120K26.4</t>
        </is>
      </c>
      <c r="E896" t="inlineStr">
        <is>
          <t>DIL_EM-10-G</t>
        </is>
      </c>
      <c r="F896" t="inlineStr">
        <is>
          <t>#KALK!</t>
        </is>
      </c>
      <c r="G896" t="inlineStr">
        <is>
          <t>LASTSCHUETZ</t>
        </is>
      </c>
      <c r="H896" t="inlineStr">
        <is>
          <t>4kW 1S</t>
        </is>
      </c>
      <c r="I896">
        <v>370</v>
      </c>
      <c r="J896">
        <f>GS04/120.7</f>
        <v>0</v>
      </c>
      <c r="M896" t="inlineStr">
        <is>
          <t>-120K26.4</t>
        </is>
      </c>
    </row>
    <row r="897">
      <c r="A897">
        <v>896</v>
      </c>
      <c r="B897">
        <f>GS35</f>
        <v>0</v>
      </c>
      <c r="C897" t="inlineStr">
        <is>
          <t>+LS01</t>
        </is>
      </c>
      <c r="D897" t="inlineStr">
        <is>
          <t>-120K409.4</t>
        </is>
      </c>
      <c r="E897" t="inlineStr">
        <is>
          <t>DILA-40</t>
        </is>
      </c>
      <c r="F897" t="inlineStr">
        <is>
          <t>#KALK!</t>
        </is>
      </c>
      <c r="G897" t="inlineStr">
        <is>
          <t>HILFSSCHUETZ</t>
        </is>
      </c>
      <c r="H897" t="inlineStr">
        <is>
          <t>4S Federzugkl.</t>
        </is>
      </c>
      <c r="I897">
        <v>263</v>
      </c>
      <c r="J897">
        <f>GS35/120.7</f>
        <v>0</v>
      </c>
      <c r="M897" t="inlineStr">
        <is>
          <t>-120K409.4</t>
        </is>
      </c>
    </row>
    <row r="898">
      <c r="A898">
        <v>897</v>
      </c>
      <c r="B898">
        <f>GS23</f>
        <v>0</v>
      </c>
      <c r="C898" t="inlineStr">
        <is>
          <t>+LS1</t>
        </is>
      </c>
      <c r="D898" t="inlineStr">
        <is>
          <t>-120K55.1</t>
        </is>
      </c>
      <c r="E898" t="inlineStr">
        <is>
          <t>DIL_EM-10-G</t>
        </is>
      </c>
      <c r="F898" t="inlineStr">
        <is>
          <t>#KALK!</t>
        </is>
      </c>
      <c r="G898" t="inlineStr">
        <is>
          <t>LASTSCHUETZ</t>
        </is>
      </c>
      <c r="H898" t="inlineStr">
        <is>
          <t>4kW 1S</t>
        </is>
      </c>
      <c r="I898">
        <v>419</v>
      </c>
      <c r="J898">
        <f>GS23/120.7</f>
        <v>0</v>
      </c>
      <c r="M898" t="inlineStr">
        <is>
          <t>-120K55.1</t>
        </is>
      </c>
    </row>
    <row r="899">
      <c r="A899">
        <v>898</v>
      </c>
      <c r="B899">
        <f>GS14</f>
        <v>0</v>
      </c>
      <c r="C899" t="inlineStr">
        <is>
          <t>+LS2</t>
        </is>
      </c>
      <c r="D899" t="inlineStr">
        <is>
          <t>-120K61.3</t>
        </is>
      </c>
      <c r="E899" t="inlineStr">
        <is>
          <t>DIL_EM-10-G</t>
        </is>
      </c>
      <c r="F899" t="inlineStr">
        <is>
          <t>#KALK!</t>
        </is>
      </c>
      <c r="G899" t="inlineStr">
        <is>
          <t>LASTSCHUETZ</t>
        </is>
      </c>
      <c r="H899" t="inlineStr">
        <is>
          <t>4kW 1S</t>
        </is>
      </c>
      <c r="I899">
        <v>246</v>
      </c>
      <c r="J899">
        <f>GS14/120.7</f>
        <v>0</v>
      </c>
      <c r="M899" t="inlineStr">
        <is>
          <t>-120K61.3</t>
        </is>
      </c>
    </row>
    <row r="900">
      <c r="A900">
        <v>899</v>
      </c>
      <c r="B900">
        <f>GS01</f>
        <v>0</v>
      </c>
      <c r="C900" t="inlineStr">
        <is>
          <t>+LS2</t>
        </is>
      </c>
      <c r="D900" t="inlineStr">
        <is>
          <t>-120K88.0</t>
        </is>
      </c>
      <c r="E900" t="inlineStr">
        <is>
          <t>DIL_ER-22-G</t>
        </is>
      </c>
      <c r="F900" t="inlineStr">
        <is>
          <t>#KALK!</t>
        </is>
      </c>
      <c r="G900" t="inlineStr">
        <is>
          <t>HILFSSCHUETZ</t>
        </is>
      </c>
      <c r="H900" t="inlineStr">
        <is>
          <t>2S 2OE</t>
        </is>
      </c>
      <c r="I900">
        <v>282</v>
      </c>
      <c r="J900">
        <f>GS01/120.5</f>
        <v>0</v>
      </c>
      <c r="M900" t="inlineStr">
        <is>
          <t>-120K88.0</t>
        </is>
      </c>
    </row>
    <row r="901">
      <c r="A901">
        <v>900</v>
      </c>
      <c r="B901">
        <f>GS01</f>
        <v>0</v>
      </c>
      <c r="C901" t="inlineStr">
        <is>
          <t>+LS2</t>
        </is>
      </c>
      <c r="D901" t="inlineStr">
        <is>
          <t>-120K88.1</t>
        </is>
      </c>
      <c r="E901" t="inlineStr">
        <is>
          <t>DIL_ER-22-G</t>
        </is>
      </c>
      <c r="F901" t="inlineStr">
        <is>
          <t>#KALK!</t>
        </is>
      </c>
      <c r="G901" t="inlineStr">
        <is>
          <t>HILFSSCHUETZ</t>
        </is>
      </c>
      <c r="H901" t="inlineStr">
        <is>
          <t>2S 2OE</t>
        </is>
      </c>
      <c r="I901">
        <v>282</v>
      </c>
      <c r="J901">
        <f>GS01/120.6</f>
        <v>0</v>
      </c>
      <c r="M901" t="inlineStr">
        <is>
          <t>-120K88.1</t>
        </is>
      </c>
    </row>
    <row r="902">
      <c r="A902">
        <v>901</v>
      </c>
      <c r="B902">
        <f>GS01</f>
        <v>0</v>
      </c>
      <c r="C902" t="inlineStr">
        <is>
          <t>+LS2</t>
        </is>
      </c>
      <c r="D902" t="inlineStr">
        <is>
          <t>-120K88.2</t>
        </is>
      </c>
      <c r="E902" t="inlineStr">
        <is>
          <t>DIL_ER-22-G</t>
        </is>
      </c>
      <c r="F902" t="inlineStr">
        <is>
          <t>#KALK!</t>
        </is>
      </c>
      <c r="G902" t="inlineStr">
        <is>
          <t>HILFSSCHUETZ</t>
        </is>
      </c>
      <c r="H902" t="inlineStr">
        <is>
          <t>2S 2OE</t>
        </is>
      </c>
      <c r="I902">
        <v>282</v>
      </c>
      <c r="J902">
        <f>GS01/120.7</f>
        <v>0</v>
      </c>
      <c r="M902" t="inlineStr">
        <is>
          <t>-120K88.2</t>
        </is>
      </c>
    </row>
    <row r="903">
      <c r="A903">
        <v>902</v>
      </c>
      <c r="B903">
        <f>GS01</f>
        <v>0</v>
      </c>
      <c r="C903" t="inlineStr">
        <is>
          <t>+LS2</t>
        </is>
      </c>
      <c r="D903" t="inlineStr">
        <is>
          <t>-120K88.4</t>
        </is>
      </c>
      <c r="E903" t="inlineStr">
        <is>
          <t>DIL_EM-10-G</t>
        </is>
      </c>
      <c r="F903" t="inlineStr">
        <is>
          <t>#KALK!</t>
        </is>
      </c>
      <c r="G903" t="inlineStr">
        <is>
          <t>LASTSCHUETZ</t>
        </is>
      </c>
      <c r="H903" t="inlineStr">
        <is>
          <t>4kW 1S</t>
        </is>
      </c>
      <c r="I903">
        <v>282</v>
      </c>
      <c r="J903">
        <f>GS01/120.7</f>
        <v>0</v>
      </c>
      <c r="M903" t="inlineStr">
        <is>
          <t>-120K88.4</t>
        </is>
      </c>
    </row>
    <row r="904">
      <c r="A904">
        <v>903</v>
      </c>
      <c r="B904">
        <f>GS7x</f>
        <v>0</v>
      </c>
      <c r="C904" t="inlineStr">
        <is>
          <t>+LS[l1]</t>
        </is>
      </c>
      <c r="D904" t="inlineStr">
        <is>
          <t>-120Q[a+11].5</t>
        </is>
      </c>
      <c r="E904" t="inlineStr">
        <is>
          <t>DILM-9-10</t>
        </is>
      </c>
      <c r="F904" t="inlineStr">
        <is>
          <t>#KALK!</t>
        </is>
      </c>
      <c r="G904" t="inlineStr">
        <is>
          <t>LASTSCHUETZ</t>
        </is>
      </c>
      <c r="H904" t="inlineStr">
        <is>
          <t>4kW 1S Federzugkl.</t>
        </is>
      </c>
      <c r="I904">
        <v>358</v>
      </c>
      <c r="J904">
        <f>GS7x/120.6</f>
        <v>0</v>
      </c>
      <c r="M904" t="inlineStr">
        <is>
          <t>-120Q[a+11].5</t>
        </is>
      </c>
    </row>
    <row r="905">
      <c r="A905">
        <v>904</v>
      </c>
      <c r="B905">
        <f>GS07</f>
        <v>0</v>
      </c>
      <c r="C905" t="inlineStr">
        <is>
          <t>+LS01</t>
        </is>
      </c>
      <c r="D905" t="inlineStr">
        <is>
          <t>-120Q1</t>
        </is>
      </c>
      <c r="E905" t="inlineStr">
        <is>
          <t>DILA-XHI22</t>
        </is>
      </c>
      <c r="F905" t="inlineStr">
        <is>
          <t>DILA-XHI22</t>
        </is>
      </c>
      <c r="G905" t="inlineStr">
        <is>
          <t>HILFSKONTAKTBLOCK</t>
        </is>
      </c>
      <c r="H905" t="inlineStr">
        <is>
          <t>2S 2OE Last+Hilfssch. Cage</t>
        </is>
      </c>
      <c r="I905">
        <v>197</v>
      </c>
      <c r="J905">
        <f>GS07/120.6</f>
        <v>0</v>
      </c>
      <c r="K905" t="inlineStr">
        <is>
          <t>DIL MC25</t>
        </is>
      </c>
      <c r="M905" t="inlineStr">
        <is>
          <t>-120Q1</t>
        </is>
      </c>
    </row>
    <row r="906">
      <c r="A906">
        <v>905</v>
      </c>
      <c r="B906">
        <f>GS07</f>
        <v>0</v>
      </c>
      <c r="C906" t="inlineStr">
        <is>
          <t>+LS01</t>
        </is>
      </c>
      <c r="D906" t="inlineStr">
        <is>
          <t>-120Q1</t>
        </is>
      </c>
      <c r="E906" t="inlineStr">
        <is>
          <t>DILMC25-10(RDC24)</t>
        </is>
      </c>
      <c r="F906" t="inlineStr">
        <is>
          <t>DILA-XHI22</t>
        </is>
      </c>
      <c r="G906" t="inlineStr">
        <is>
          <t>LASTSCHUETZ</t>
        </is>
      </c>
      <c r="H906" t="inlineStr">
        <is>
          <t>11kW 1S Federzugkl.</t>
        </is>
      </c>
      <c r="I906">
        <v>197</v>
      </c>
      <c r="J906">
        <f>GS07/120.6</f>
        <v>0</v>
      </c>
      <c r="K906" t="inlineStr">
        <is>
          <t>DIL MC25</t>
        </is>
      </c>
      <c r="M906" t="inlineStr">
        <is>
          <t>-120Q1</t>
        </is>
      </c>
    </row>
    <row r="907">
      <c r="A907">
        <v>906</v>
      </c>
      <c r="B907">
        <f>GS35</f>
        <v>0</v>
      </c>
      <c r="C907" t="inlineStr">
        <is>
          <t>+LS01</t>
        </is>
      </c>
      <c r="D907" t="inlineStr">
        <is>
          <t>-120Q1</t>
        </is>
      </c>
      <c r="E907" t="inlineStr">
        <is>
          <t>DILM-25-10</t>
        </is>
      </c>
      <c r="F907" t="inlineStr">
        <is>
          <t>DILA-XHI22</t>
        </is>
      </c>
      <c r="G907" t="inlineStr">
        <is>
          <t>LASTSCHUETZ</t>
        </is>
      </c>
      <c r="H907" t="inlineStr">
        <is>
          <t>11kW 1S Federzugkl.</t>
        </is>
      </c>
      <c r="I907">
        <v>263</v>
      </c>
      <c r="J907">
        <f>GS35/120.4</f>
        <v>0</v>
      </c>
      <c r="K907" t="inlineStr">
        <is>
          <t>DIL MC25</t>
        </is>
      </c>
      <c r="M907" t="inlineStr">
        <is>
          <t>-120Q1</t>
        </is>
      </c>
    </row>
    <row r="908">
      <c r="A908">
        <v>907</v>
      </c>
      <c r="B908">
        <f>GS35</f>
        <v>0</v>
      </c>
      <c r="C908" t="inlineStr">
        <is>
          <t>+LS01</t>
        </is>
      </c>
      <c r="D908" t="inlineStr">
        <is>
          <t>-120Q1</t>
        </is>
      </c>
      <c r="E908" t="inlineStr">
        <is>
          <t>DILA-XHI22</t>
        </is>
      </c>
      <c r="F908" t="inlineStr">
        <is>
          <t>DILA-XHI22</t>
        </is>
      </c>
      <c r="G908" t="inlineStr">
        <is>
          <t>HILFSKONTAKTBLOCK</t>
        </is>
      </c>
      <c r="H908" t="inlineStr">
        <is>
          <t>2S 2OE Last+Hilfssch. Cage</t>
        </is>
      </c>
      <c r="I908">
        <v>263</v>
      </c>
      <c r="J908">
        <f>GS35/120.4</f>
        <v>0</v>
      </c>
      <c r="K908" t="inlineStr">
        <is>
          <t>DIL MC25</t>
        </is>
      </c>
      <c r="M908" t="inlineStr">
        <is>
          <t>-120Q1</t>
        </is>
      </c>
    </row>
    <row r="909">
      <c r="A909">
        <v>908</v>
      </c>
      <c r="B909">
        <f>GS36</f>
        <v>0</v>
      </c>
      <c r="C909" t="inlineStr">
        <is>
          <t>+LS01</t>
        </is>
      </c>
      <c r="D909" t="inlineStr">
        <is>
          <t>-120Q1</t>
        </is>
      </c>
      <c r="E909" t="inlineStr">
        <is>
          <t>DILMC25-10(RDC24)</t>
        </is>
      </c>
      <c r="F909" t="inlineStr">
        <is>
          <t>DILA-XHI22</t>
        </is>
      </c>
      <c r="G909" t="inlineStr">
        <is>
          <t>LASTSCHUETZ</t>
        </is>
      </c>
      <c r="H909" t="inlineStr">
        <is>
          <t>11kW 1S Federzugkl.</t>
        </is>
      </c>
      <c r="I909">
        <v>292</v>
      </c>
      <c r="J909">
        <f>GS36/120.4</f>
        <v>0</v>
      </c>
      <c r="K909" t="inlineStr">
        <is>
          <t>DIL MC25</t>
        </is>
      </c>
      <c r="L909" t="inlineStr">
        <is>
          <t>HVO 01</t>
        </is>
      </c>
      <c r="M909" t="inlineStr">
        <is>
          <t>HVO 01
-120Q1</t>
        </is>
      </c>
      <c r="N909" t="inlineStr">
        <is>
          <t>P</t>
        </is>
      </c>
    </row>
    <row r="910">
      <c r="A910">
        <v>909</v>
      </c>
      <c r="B910">
        <f>GS36</f>
        <v>0</v>
      </c>
      <c r="C910" t="inlineStr">
        <is>
          <t>+LS01</t>
        </is>
      </c>
      <c r="D910" t="inlineStr">
        <is>
          <t>-120Q1</t>
        </is>
      </c>
      <c r="E910" t="inlineStr">
        <is>
          <t>DILA-XHI22</t>
        </is>
      </c>
      <c r="F910" t="inlineStr">
        <is>
          <t>DILA-XHI22</t>
        </is>
      </c>
      <c r="G910" t="inlineStr">
        <is>
          <t>HILFSKONTAKTBLOCK</t>
        </is>
      </c>
      <c r="H910" t="inlineStr">
        <is>
          <t>2S 2OE Last+Hilfssch. Cage</t>
        </is>
      </c>
      <c r="I910">
        <v>292</v>
      </c>
      <c r="J910">
        <f>GS36/120.4</f>
        <v>0</v>
      </c>
      <c r="K910" t="inlineStr">
        <is>
          <t>DIL MC25</t>
        </is>
      </c>
      <c r="L910" t="inlineStr">
        <is>
          <t>HVO 01</t>
        </is>
      </c>
      <c r="M910" t="inlineStr">
        <is>
          <t>HVO 01
-120Q1</t>
        </is>
      </c>
      <c r="N910" t="inlineStr">
        <is>
          <t>P</t>
        </is>
      </c>
    </row>
    <row r="911">
      <c r="A911">
        <v>910</v>
      </c>
      <c r="B911">
        <f>GS92</f>
        <v>0</v>
      </c>
      <c r="C911" t="inlineStr">
        <is>
          <t>+LS01</t>
        </is>
      </c>
      <c r="D911" t="inlineStr">
        <is>
          <t>-120Q1</t>
        </is>
      </c>
      <c r="E911" t="inlineStr">
        <is>
          <t>DILA-XHI22</t>
        </is>
      </c>
      <c r="F911" t="inlineStr">
        <is>
          <t>DILA-XHI22</t>
        </is>
      </c>
      <c r="G911" t="inlineStr">
        <is>
          <t>HILFSKONTAKTBLOCK</t>
        </is>
      </c>
      <c r="H911" t="inlineStr">
        <is>
          <t>2S 2OE Last+Hilfssch. Cage</t>
        </is>
      </c>
      <c r="I911">
        <v>266</v>
      </c>
      <c r="J911">
        <f>GS92/120.4</f>
        <v>0</v>
      </c>
      <c r="K911" t="inlineStr">
        <is>
          <t>DIL MC25</t>
        </is>
      </c>
      <c r="M911" t="inlineStr">
        <is>
          <t>-120Q1</t>
        </is>
      </c>
    </row>
    <row r="912">
      <c r="A912">
        <v>911</v>
      </c>
      <c r="B912">
        <f>GS92</f>
        <v>0</v>
      </c>
      <c r="C912" t="inlineStr">
        <is>
          <t>+LS01</t>
        </is>
      </c>
      <c r="D912" t="inlineStr">
        <is>
          <t>-120Q1</t>
        </is>
      </c>
      <c r="E912" t="inlineStr">
        <is>
          <t>DILMC25-10(RDC24)</t>
        </is>
      </c>
      <c r="F912" t="inlineStr">
        <is>
          <t>DILA-XHI22</t>
        </is>
      </c>
      <c r="G912" t="inlineStr">
        <is>
          <t>LASTSCHUETZ</t>
        </is>
      </c>
      <c r="H912" t="inlineStr">
        <is>
          <t>11kW 1S Federzugkl.</t>
        </is>
      </c>
      <c r="I912">
        <v>266</v>
      </c>
      <c r="J912">
        <f>GS92/120.4</f>
        <v>0</v>
      </c>
      <c r="K912" t="inlineStr">
        <is>
          <t>DIL MC25</t>
        </is>
      </c>
      <c r="M912" t="inlineStr">
        <is>
          <t>-120Q1</t>
        </is>
      </c>
    </row>
    <row r="913">
      <c r="A913">
        <v>912</v>
      </c>
      <c r="B913">
        <f>GS9x</f>
        <v>0</v>
      </c>
      <c r="C913" t="inlineStr">
        <is>
          <t>+LS[p1]</t>
        </is>
      </c>
      <c r="D913" t="inlineStr">
        <is>
          <t>-120Q1</t>
        </is>
      </c>
      <c r="E913" t="inlineStr">
        <is>
          <t>DILA-XHI22</t>
        </is>
      </c>
      <c r="F913" t="inlineStr">
        <is>
          <t>DILA-XHI22</t>
        </is>
      </c>
      <c r="G913" t="inlineStr">
        <is>
          <t>HILFSKONTAKTBLOCK</t>
        </is>
      </c>
      <c r="H913" t="inlineStr">
        <is>
          <t>2S 2OE Last+Hilfssch. Cage</t>
        </is>
      </c>
      <c r="I913">
        <v>218</v>
      </c>
      <c r="J913">
        <f>GS9x/120.4</f>
        <v>0</v>
      </c>
      <c r="K913" t="inlineStr">
        <is>
          <t>DIL MC25</t>
        </is>
      </c>
      <c r="M913" t="inlineStr">
        <is>
          <t>-120Q1</t>
        </is>
      </c>
    </row>
    <row r="914">
      <c r="A914">
        <v>913</v>
      </c>
      <c r="B914">
        <f>GS9x</f>
        <v>0</v>
      </c>
      <c r="C914" t="inlineStr">
        <is>
          <t>+LS[p1]</t>
        </is>
      </c>
      <c r="D914" t="inlineStr">
        <is>
          <t>-120Q1</t>
        </is>
      </c>
      <c r="E914" t="inlineStr">
        <is>
          <t>DILMC25-10(RDC24)</t>
        </is>
      </c>
      <c r="F914" t="inlineStr">
        <is>
          <t>DILA-XHI22</t>
        </is>
      </c>
      <c r="G914" t="inlineStr">
        <is>
          <t>LASTSCHUETZ</t>
        </is>
      </c>
      <c r="H914" t="inlineStr">
        <is>
          <t>11kW 1S Federzugkl.</t>
        </is>
      </c>
      <c r="I914">
        <v>218</v>
      </c>
      <c r="J914">
        <f>GS9x/120.4</f>
        <v>0</v>
      </c>
      <c r="K914" t="inlineStr">
        <is>
          <t>DIL MC25</t>
        </is>
      </c>
      <c r="M914" t="inlineStr">
        <is>
          <t>-120Q1</t>
        </is>
      </c>
    </row>
    <row r="915">
      <c r="A915">
        <v>914</v>
      </c>
      <c r="B915">
        <f>GS91</f>
        <v>0</v>
      </c>
      <c r="C915" t="inlineStr">
        <is>
          <t>+LS01</t>
        </is>
      </c>
      <c r="D915" t="inlineStr">
        <is>
          <t>-120Q154.1</t>
        </is>
      </c>
      <c r="E915" t="inlineStr">
        <is>
          <t>DILM-9-10</t>
        </is>
      </c>
      <c r="F915" t="inlineStr">
        <is>
          <t>#KALK!</t>
        </is>
      </c>
      <c r="G915" t="inlineStr">
        <is>
          <t>LASTSCHUETZ</t>
        </is>
      </c>
      <c r="H915" t="inlineStr">
        <is>
          <t>4kW 1S Federzugkl.</t>
        </is>
      </c>
      <c r="I915">
        <v>268</v>
      </c>
      <c r="J915">
        <f>GS91/120.5</f>
        <v>0</v>
      </c>
      <c r="M915" t="inlineStr">
        <is>
          <t>-120Q154.1</t>
        </is>
      </c>
    </row>
    <row r="916">
      <c r="A916">
        <v>915</v>
      </c>
      <c r="B916">
        <f>GS13</f>
        <v>0</v>
      </c>
      <c r="C916" t="inlineStr">
        <is>
          <t>+LS1</t>
        </is>
      </c>
      <c r="D916" t="inlineStr">
        <is>
          <t>-12155.6</t>
        </is>
      </c>
      <c r="E916" t="inlineStr">
        <is>
          <t>DIL_EM-10-G</t>
        </is>
      </c>
      <c r="F916" t="inlineStr">
        <is>
          <t>#KALK!</t>
        </is>
      </c>
      <c r="G916" t="inlineStr">
        <is>
          <t>LASTSCHUETZ</t>
        </is>
      </c>
      <c r="H916" t="inlineStr">
        <is>
          <t>4kW 1S</t>
        </is>
      </c>
      <c r="I916">
        <v>360</v>
      </c>
      <c r="J916">
        <f>GS13/121.7</f>
        <v>0</v>
      </c>
      <c r="M916" t="inlineStr">
        <is>
          <t>-12155.6</t>
        </is>
      </c>
    </row>
    <row r="917">
      <c r="A917">
        <v>916</v>
      </c>
      <c r="B917">
        <f>GS15</f>
        <v>0</v>
      </c>
      <c r="C917" t="inlineStr">
        <is>
          <t>+LS17</t>
        </is>
      </c>
      <c r="D917" t="inlineStr">
        <is>
          <t>-1216K3531.1</t>
        </is>
      </c>
      <c r="E917" t="inlineStr">
        <is>
          <t>DIL_EM-10-G</t>
        </is>
      </c>
      <c r="F917" t="inlineStr">
        <is>
          <t>#KALK!</t>
        </is>
      </c>
      <c r="G917" t="inlineStr">
        <is>
          <t>LASTSCHUETZ</t>
        </is>
      </c>
      <c r="H917" t="inlineStr">
        <is>
          <t>4kW 1S</t>
        </is>
      </c>
      <c r="I917">
        <v>1647</v>
      </c>
      <c r="J917">
        <f>GS15/1216.7</f>
        <v>0</v>
      </c>
      <c r="M917" t="inlineStr">
        <is>
          <t>-1216K3531.1</t>
        </is>
      </c>
    </row>
    <row r="918">
      <c r="A918">
        <v>917</v>
      </c>
      <c r="B918">
        <f>GS15</f>
        <v>0</v>
      </c>
      <c r="C918" t="inlineStr">
        <is>
          <t>+LS17</t>
        </is>
      </c>
      <c r="D918" t="inlineStr">
        <is>
          <t>-1217K3531.7</t>
        </is>
      </c>
      <c r="E918" t="inlineStr">
        <is>
          <t>DIL_EM-10-G</t>
        </is>
      </c>
      <c r="F918" t="inlineStr">
        <is>
          <t>#KALK!</t>
        </is>
      </c>
      <c r="G918" t="inlineStr">
        <is>
          <t>LASTSCHUETZ</t>
        </is>
      </c>
      <c r="H918" t="inlineStr">
        <is>
          <t>4kW 1S</t>
        </is>
      </c>
      <c r="I918">
        <v>1648</v>
      </c>
      <c r="J918">
        <f>GS15/1217.7</f>
        <v>0</v>
      </c>
      <c r="M918" t="inlineStr">
        <is>
          <t>-1217K3531.7</t>
        </is>
      </c>
    </row>
    <row r="919">
      <c r="A919">
        <v>918</v>
      </c>
      <c r="B919">
        <f>GS32</f>
        <v>0</v>
      </c>
      <c r="C919" t="inlineStr">
        <is>
          <t>+1KK10</t>
        </is>
      </c>
      <c r="D919" t="inlineStr">
        <is>
          <t>-1218K1</t>
        </is>
      </c>
      <c r="E919" t="inlineStr">
        <is>
          <t>DILA-40</t>
        </is>
      </c>
      <c r="F919" t="inlineStr">
        <is>
          <t>#KALK!</t>
        </is>
      </c>
      <c r="G919" t="inlineStr">
        <is>
          <t>HILFSSCHUETZ</t>
        </is>
      </c>
      <c r="H919" t="inlineStr">
        <is>
          <t>4S Federzugkl.</t>
        </is>
      </c>
      <c r="I919">
        <v>132</v>
      </c>
      <c r="J919">
        <f>GS32/1218.3</f>
        <v>0</v>
      </c>
      <c r="M919" t="inlineStr">
        <is>
          <t>-1218K1</t>
        </is>
      </c>
    </row>
    <row r="920">
      <c r="A920">
        <v>919</v>
      </c>
      <c r="B920">
        <f>GS32</f>
        <v>0</v>
      </c>
      <c r="C920" t="inlineStr">
        <is>
          <t>+1KK10</t>
        </is>
      </c>
      <c r="D920" t="inlineStr">
        <is>
          <t>-1218K2</t>
        </is>
      </c>
      <c r="E920" t="inlineStr">
        <is>
          <t>DILA-40</t>
        </is>
      </c>
      <c r="F920" t="inlineStr">
        <is>
          <t>#KALK!</t>
        </is>
      </c>
      <c r="G920" t="inlineStr">
        <is>
          <t>HILFSSCHUETZ</t>
        </is>
      </c>
      <c r="H920" t="inlineStr">
        <is>
          <t>4S Federzugkl.</t>
        </is>
      </c>
      <c r="I920">
        <v>132</v>
      </c>
      <c r="J920">
        <f>GS32/1218.5</f>
        <v>0</v>
      </c>
      <c r="M920" t="inlineStr">
        <is>
          <t>-1218K2</t>
        </is>
      </c>
    </row>
    <row r="921">
      <c r="A921">
        <v>920</v>
      </c>
      <c r="B921">
        <f>GS38</f>
        <v>0</v>
      </c>
      <c r="C921" t="inlineStr">
        <is>
          <t>+LS01</t>
        </is>
      </c>
      <c r="D921" t="inlineStr">
        <is>
          <t>-121K1</t>
        </is>
      </c>
      <c r="E921" t="inlineStr">
        <is>
          <t>DILM-9-01</t>
        </is>
      </c>
      <c r="F921" t="inlineStr">
        <is>
          <t>#KALK!</t>
        </is>
      </c>
      <c r="G921" t="inlineStr">
        <is>
          <t>LASTSCHUETZ</t>
        </is>
      </c>
      <c r="H921" t="inlineStr">
        <is>
          <t>4kW 1Oe Federzugkl.</t>
        </is>
      </c>
      <c r="I921">
        <v>274</v>
      </c>
      <c r="J921">
        <f>GS38/121.5</f>
        <v>0</v>
      </c>
      <c r="M921" t="inlineStr">
        <is>
          <t>-121K1</t>
        </is>
      </c>
    </row>
    <row r="922">
      <c r="A922">
        <v>921</v>
      </c>
      <c r="B922">
        <f>GS38</f>
        <v>0</v>
      </c>
      <c r="C922" t="inlineStr">
        <is>
          <t>+LS01</t>
        </is>
      </c>
      <c r="D922" t="inlineStr">
        <is>
          <t>-121K2</t>
        </is>
      </c>
      <c r="E922" t="inlineStr">
        <is>
          <t>DILM-9-01</t>
        </is>
      </c>
      <c r="F922" t="inlineStr">
        <is>
          <t>#KALK!</t>
        </is>
      </c>
      <c r="G922" t="inlineStr">
        <is>
          <t>LASTSCHUETZ</t>
        </is>
      </c>
      <c r="H922" t="inlineStr">
        <is>
          <t>4kW 1Oe Federzugkl.</t>
        </is>
      </c>
      <c r="I922">
        <v>274</v>
      </c>
      <c r="J922">
        <f>GS38/121.6</f>
        <v>0</v>
      </c>
      <c r="M922" t="inlineStr">
        <is>
          <t>-121K2</t>
        </is>
      </c>
    </row>
    <row r="923">
      <c r="A923">
        <v>922</v>
      </c>
      <c r="B923">
        <f>GS16</f>
        <v>0</v>
      </c>
      <c r="C923" t="inlineStr">
        <is>
          <t>+LS1</t>
        </is>
      </c>
      <c r="D923" t="inlineStr">
        <is>
          <t>-121K20.5</t>
        </is>
      </c>
      <c r="E923" t="inlineStr">
        <is>
          <t>DIL_EM-10-G</t>
        </is>
      </c>
      <c r="F923" t="inlineStr">
        <is>
          <t>#KALK!</t>
        </is>
      </c>
      <c r="G923" t="inlineStr">
        <is>
          <t>LASTSCHUETZ</t>
        </is>
      </c>
      <c r="H923" t="inlineStr">
        <is>
          <t>4kW 1S</t>
        </is>
      </c>
      <c r="I923">
        <v>341</v>
      </c>
      <c r="J923">
        <f>GS16/121.7</f>
        <v>0</v>
      </c>
      <c r="M923" t="inlineStr">
        <is>
          <t>-121K20.5</t>
        </is>
      </c>
    </row>
    <row r="924">
      <c r="A924">
        <v>923</v>
      </c>
      <c r="B924">
        <f>GS23</f>
        <v>0</v>
      </c>
      <c r="C924" t="inlineStr">
        <is>
          <t>+LS1</t>
        </is>
      </c>
      <c r="D924" t="inlineStr">
        <is>
          <t>-121K55.6</t>
        </is>
      </c>
      <c r="E924" t="inlineStr">
        <is>
          <t>DIL_EM-10-G</t>
        </is>
      </c>
      <c r="F924" t="inlineStr">
        <is>
          <t>#KALK!</t>
        </is>
      </c>
      <c r="G924" t="inlineStr">
        <is>
          <t>LASTSCHUETZ</t>
        </is>
      </c>
      <c r="H924" t="inlineStr">
        <is>
          <t>4kW 1S</t>
        </is>
      </c>
      <c r="I924">
        <v>420</v>
      </c>
      <c r="J924">
        <f>GS23/121.8</f>
        <v>0</v>
      </c>
      <c r="M924" t="inlineStr">
        <is>
          <t>-121K55.6</t>
        </is>
      </c>
    </row>
    <row r="925">
      <c r="A925">
        <v>924</v>
      </c>
      <c r="B925">
        <f>GS14</f>
        <v>0</v>
      </c>
      <c r="C925" t="inlineStr">
        <is>
          <t>+LS2</t>
        </is>
      </c>
      <c r="D925" t="inlineStr">
        <is>
          <t>-121K61.4</t>
        </is>
      </c>
      <c r="E925" t="inlineStr">
        <is>
          <t>DIL_EM-10-G</t>
        </is>
      </c>
      <c r="F925" t="inlineStr">
        <is>
          <t>#KALK!</t>
        </is>
      </c>
      <c r="G925" t="inlineStr">
        <is>
          <t>LASTSCHUETZ</t>
        </is>
      </c>
      <c r="H925" t="inlineStr">
        <is>
          <t>4kW 1S</t>
        </is>
      </c>
      <c r="I925">
        <v>247</v>
      </c>
      <c r="J925">
        <f>GS14/121.6</f>
        <v>0</v>
      </c>
      <c r="M925" t="inlineStr">
        <is>
          <t>-121K61.4</t>
        </is>
      </c>
    </row>
    <row r="926">
      <c r="A926">
        <v>925</v>
      </c>
      <c r="B926">
        <f>GS24</f>
        <v>0</v>
      </c>
      <c r="C926" t="inlineStr">
        <is>
          <t>+LS2</t>
        </is>
      </c>
      <c r="D926" t="inlineStr">
        <is>
          <t>-121K61.4</t>
        </is>
      </c>
      <c r="E926" t="inlineStr">
        <is>
          <t>DIL_EM-10-G</t>
        </is>
      </c>
      <c r="F926" t="inlineStr">
        <is>
          <t>#KALK!</t>
        </is>
      </c>
      <c r="G926" t="inlineStr">
        <is>
          <t>LASTSCHUETZ</t>
        </is>
      </c>
      <c r="H926" t="inlineStr">
        <is>
          <t>4kW 1S</t>
        </is>
      </c>
      <c r="I926">
        <v>958</v>
      </c>
      <c r="J926">
        <f>GS24/121.6</f>
        <v>0</v>
      </c>
      <c r="M926" t="inlineStr">
        <is>
          <t>-121K61.4</t>
        </is>
      </c>
    </row>
    <row r="927">
      <c r="A927">
        <v>926</v>
      </c>
      <c r="B927">
        <f>GS14</f>
        <v>0</v>
      </c>
      <c r="C927" t="inlineStr">
        <is>
          <t>+LS2</t>
        </is>
      </c>
      <c r="D927" t="inlineStr">
        <is>
          <t>-121K61.5</t>
        </is>
      </c>
      <c r="E927" t="inlineStr">
        <is>
          <t>DIL_EM-10-G</t>
        </is>
      </c>
      <c r="F927" t="inlineStr">
        <is>
          <t>#KALK!</t>
        </is>
      </c>
      <c r="G927" t="inlineStr">
        <is>
          <t>LASTSCHUETZ</t>
        </is>
      </c>
      <c r="H927" t="inlineStr">
        <is>
          <t>4kW 1S</t>
        </is>
      </c>
      <c r="I927">
        <v>247</v>
      </c>
      <c r="J927">
        <f>GS14/121.6</f>
        <v>0</v>
      </c>
      <c r="M927" t="inlineStr">
        <is>
          <t>-121K61.5</t>
        </is>
      </c>
    </row>
    <row r="928">
      <c r="A928">
        <v>927</v>
      </c>
      <c r="B928">
        <f>GS24</f>
        <v>0</v>
      </c>
      <c r="C928" t="inlineStr">
        <is>
          <t>+LS2</t>
        </is>
      </c>
      <c r="D928" t="inlineStr">
        <is>
          <t>-121K61.5</t>
        </is>
      </c>
      <c r="E928" t="inlineStr">
        <is>
          <t>DIL_EM-10-G</t>
        </is>
      </c>
      <c r="F928" t="inlineStr">
        <is>
          <t>#KALK!</t>
        </is>
      </c>
      <c r="G928" t="inlineStr">
        <is>
          <t>LASTSCHUETZ</t>
        </is>
      </c>
      <c r="H928" t="inlineStr">
        <is>
          <t>4kW 1S</t>
        </is>
      </c>
      <c r="I928">
        <v>958</v>
      </c>
      <c r="J928">
        <f>GS24/121.6</f>
        <v>0</v>
      </c>
      <c r="M928" t="inlineStr">
        <is>
          <t>-121K61.5</t>
        </is>
      </c>
    </row>
    <row r="929">
      <c r="A929">
        <v>928</v>
      </c>
      <c r="B929">
        <f>GS7x</f>
        <v>0</v>
      </c>
      <c r="C929" t="inlineStr">
        <is>
          <t>+LS[l1]</t>
        </is>
      </c>
      <c r="D929" t="inlineStr">
        <is>
          <t>-121Q[a+11].6</t>
        </is>
      </c>
      <c r="E929" t="inlineStr">
        <is>
          <t>DILM-9-10</t>
        </is>
      </c>
      <c r="F929" t="inlineStr">
        <is>
          <t>#KALK!</t>
        </is>
      </c>
      <c r="G929" t="inlineStr">
        <is>
          <t>LASTSCHUETZ</t>
        </is>
      </c>
      <c r="H929" t="inlineStr">
        <is>
          <t>4kW 1S Federzugkl.</t>
        </is>
      </c>
      <c r="I929">
        <v>359</v>
      </c>
      <c r="J929">
        <f>GS7x/121.6</f>
        <v>0</v>
      </c>
      <c r="M929" t="inlineStr">
        <is>
          <t>-121Q[a+11].6</t>
        </is>
      </c>
    </row>
    <row r="930">
      <c r="A930">
        <v>929</v>
      </c>
      <c r="B930">
        <f>GS92</f>
        <v>0</v>
      </c>
      <c r="C930" t="inlineStr">
        <is>
          <t>+LS01</t>
        </is>
      </c>
      <c r="D930" t="inlineStr">
        <is>
          <t>-121Q151.5</t>
        </is>
      </c>
      <c r="E930" t="inlineStr">
        <is>
          <t>DILM-9-10</t>
        </is>
      </c>
      <c r="F930" t="inlineStr">
        <is>
          <t>#KALK!</t>
        </is>
      </c>
      <c r="G930" t="inlineStr">
        <is>
          <t>LASTSCHUETZ</t>
        </is>
      </c>
      <c r="H930" t="inlineStr">
        <is>
          <t>4kW 1S Federzugkl.</t>
        </is>
      </c>
      <c r="I930">
        <v>267</v>
      </c>
      <c r="J930">
        <f>GS92/121.5</f>
        <v>0</v>
      </c>
      <c r="M930" t="inlineStr">
        <is>
          <t>-121Q151.5</t>
        </is>
      </c>
    </row>
    <row r="931">
      <c r="A931">
        <v>930</v>
      </c>
      <c r="B931">
        <f>GS91</f>
        <v>0</v>
      </c>
      <c r="C931" t="inlineStr">
        <is>
          <t>+LS01</t>
        </is>
      </c>
      <c r="D931" t="inlineStr">
        <is>
          <t>-121Q154.2</t>
        </is>
      </c>
      <c r="E931" t="inlineStr">
        <is>
          <t>DILM-9-10</t>
        </is>
      </c>
      <c r="F931" t="inlineStr">
        <is>
          <t>#KALK!</t>
        </is>
      </c>
      <c r="G931" t="inlineStr">
        <is>
          <t>LASTSCHUETZ</t>
        </is>
      </c>
      <c r="H931" t="inlineStr">
        <is>
          <t>4kW 1S Federzugkl.</t>
        </is>
      </c>
      <c r="I931">
        <v>269</v>
      </c>
      <c r="J931">
        <f>GS91/121.5</f>
        <v>0</v>
      </c>
      <c r="M931" t="inlineStr">
        <is>
          <t>-121Q154.2</t>
        </is>
      </c>
    </row>
    <row r="932">
      <c r="A932">
        <v>931</v>
      </c>
      <c r="B932">
        <f>GS13</f>
        <v>0</v>
      </c>
      <c r="C932" t="inlineStr">
        <is>
          <t>+LS1</t>
        </is>
      </c>
      <c r="D932" t="inlineStr">
        <is>
          <t>-12259.3</t>
        </is>
      </c>
      <c r="E932" t="inlineStr">
        <is>
          <t>DIL_EM-10-G</t>
        </is>
      </c>
      <c r="F932" t="inlineStr">
        <is>
          <t>#KALK!</t>
        </is>
      </c>
      <c r="G932" t="inlineStr">
        <is>
          <t>LASTSCHUETZ</t>
        </is>
      </c>
      <c r="H932" t="inlineStr">
        <is>
          <t>4kW 1S</t>
        </is>
      </c>
      <c r="I932">
        <v>361</v>
      </c>
      <c r="J932">
        <f>GS13/122.7</f>
        <v>0</v>
      </c>
      <c r="M932" t="inlineStr">
        <is>
          <t>-12259.3</t>
        </is>
      </c>
    </row>
    <row r="933">
      <c r="A933">
        <v>932</v>
      </c>
      <c r="B933">
        <f>GS05</f>
        <v>0</v>
      </c>
      <c r="C933" t="inlineStr">
        <is>
          <t>+LS20</t>
        </is>
      </c>
      <c r="D933" t="inlineStr">
        <is>
          <t>-1225Q1</t>
        </is>
      </c>
      <c r="E933" t="inlineStr">
        <is>
          <t>DILA-XHI22</t>
        </is>
      </c>
      <c r="F933" t="inlineStr">
        <is>
          <t>DILA-XHI22</t>
        </is>
      </c>
      <c r="G933" t="inlineStr">
        <is>
          <t>HILFSKONTAKTBLOCK</t>
        </is>
      </c>
      <c r="H933" t="inlineStr">
        <is>
          <t>2S 2OE Last+Hilfssch. Cage</t>
        </is>
      </c>
      <c r="I933">
        <v>2308</v>
      </c>
      <c r="J933">
        <f>GS05/1225.6</f>
        <v>0</v>
      </c>
      <c r="K933" t="inlineStr">
        <is>
          <t>DIL MC25</t>
        </is>
      </c>
      <c r="M933" t="inlineStr">
        <is>
          <t>-1225Q1</t>
        </is>
      </c>
    </row>
    <row r="934">
      <c r="A934">
        <v>933</v>
      </c>
      <c r="B934">
        <f>GS05</f>
        <v>0</v>
      </c>
      <c r="C934" t="inlineStr">
        <is>
          <t>+LS20</t>
        </is>
      </c>
      <c r="D934" t="inlineStr">
        <is>
          <t>-1225Q1</t>
        </is>
      </c>
      <c r="E934" t="inlineStr">
        <is>
          <t>DILMC25-10(RDC24)</t>
        </is>
      </c>
      <c r="F934" t="inlineStr">
        <is>
          <t>DILA-XHI22</t>
        </is>
      </c>
      <c r="G934" t="inlineStr">
        <is>
          <t>LASTSCHUETZ</t>
        </is>
      </c>
      <c r="H934" t="inlineStr">
        <is>
          <t>11kW 1S Federzugkl.</t>
        </is>
      </c>
      <c r="I934">
        <v>2308</v>
      </c>
      <c r="J934">
        <f>GS05/1225.6</f>
        <v>0</v>
      </c>
      <c r="K934" t="inlineStr">
        <is>
          <t>DIL MC25</t>
        </is>
      </c>
      <c r="M934" t="inlineStr">
        <is>
          <t>-1225Q1</t>
        </is>
      </c>
    </row>
    <row r="935">
      <c r="A935">
        <v>934</v>
      </c>
      <c r="B935">
        <f>GS06</f>
        <v>0</v>
      </c>
      <c r="C935" t="inlineStr">
        <is>
          <t>+LS19</t>
        </is>
      </c>
      <c r="D935" t="inlineStr">
        <is>
          <t>-1225Q1</t>
        </is>
      </c>
      <c r="E935" t="inlineStr">
        <is>
          <t>DILA-XHI22</t>
        </is>
      </c>
      <c r="F935" t="inlineStr">
        <is>
          <t>DILA-XHI22</t>
        </is>
      </c>
      <c r="G935" t="inlineStr">
        <is>
          <t>HILFSKONTAKTBLOCK</t>
        </is>
      </c>
      <c r="H935" t="inlineStr">
        <is>
          <t>2S 2OE Last+Hilfssch. Cage</t>
        </is>
      </c>
      <c r="I935">
        <v>2118</v>
      </c>
      <c r="J935">
        <f>GS06/1225.6</f>
        <v>0</v>
      </c>
      <c r="K935" t="inlineStr">
        <is>
          <t>DIL MC25</t>
        </is>
      </c>
      <c r="M935" t="inlineStr">
        <is>
          <t>-1225Q1</t>
        </is>
      </c>
    </row>
    <row r="936">
      <c r="A936">
        <v>935</v>
      </c>
      <c r="B936">
        <f>GS06</f>
        <v>0</v>
      </c>
      <c r="C936" t="inlineStr">
        <is>
          <t>+LS19</t>
        </is>
      </c>
      <c r="D936" t="inlineStr">
        <is>
          <t>-1225Q1</t>
        </is>
      </c>
      <c r="E936" t="inlineStr">
        <is>
          <t>DILMC25-10(RDC24)</t>
        </is>
      </c>
      <c r="F936" t="inlineStr">
        <is>
          <t>DILA-XHI22</t>
        </is>
      </c>
      <c r="G936" t="inlineStr">
        <is>
          <t>LASTSCHUETZ</t>
        </is>
      </c>
      <c r="H936" t="inlineStr">
        <is>
          <t>11kW 1S Federzugkl.</t>
        </is>
      </c>
      <c r="I936">
        <v>2118</v>
      </c>
      <c r="J936">
        <f>GS06/1225.6</f>
        <v>0</v>
      </c>
      <c r="K936" t="inlineStr">
        <is>
          <t>DIL MC25</t>
        </is>
      </c>
      <c r="M936" t="inlineStr">
        <is>
          <t>-1225Q1</t>
        </is>
      </c>
    </row>
    <row r="937">
      <c r="A937">
        <v>936</v>
      </c>
      <c r="B937">
        <f>GS15</f>
        <v>0</v>
      </c>
      <c r="C937" t="inlineStr">
        <is>
          <t>+LS17</t>
        </is>
      </c>
      <c r="D937" t="inlineStr">
        <is>
          <t>-1226K3534.3</t>
        </is>
      </c>
      <c r="E937" t="inlineStr">
        <is>
          <t>DIL_EM-10-G</t>
        </is>
      </c>
      <c r="F937" t="inlineStr">
        <is>
          <t>#KALK!</t>
        </is>
      </c>
      <c r="G937" t="inlineStr">
        <is>
          <t>LASTSCHUETZ</t>
        </is>
      </c>
      <c r="H937" t="inlineStr">
        <is>
          <t>4kW 1S</t>
        </is>
      </c>
      <c r="I937">
        <v>1657</v>
      </c>
      <c r="J937">
        <f>GS15/1226.7</f>
        <v>0</v>
      </c>
      <c r="M937" t="inlineStr">
        <is>
          <t>-1226K3534.3</t>
        </is>
      </c>
    </row>
    <row r="938">
      <c r="A938">
        <v>937</v>
      </c>
      <c r="B938">
        <f>GS15</f>
        <v>0</v>
      </c>
      <c r="C938" t="inlineStr">
        <is>
          <t>+LS17</t>
        </is>
      </c>
      <c r="D938" t="inlineStr">
        <is>
          <t>-1227K3535.1</t>
        </is>
      </c>
      <c r="E938" t="inlineStr">
        <is>
          <t>DIL_EM-10-G</t>
        </is>
      </c>
      <c r="F938" t="inlineStr">
        <is>
          <t>#KALK!</t>
        </is>
      </c>
      <c r="G938" t="inlineStr">
        <is>
          <t>LASTSCHUETZ</t>
        </is>
      </c>
      <c r="H938" t="inlineStr">
        <is>
          <t>4kW 1S</t>
        </is>
      </c>
      <c r="I938">
        <v>1658</v>
      </c>
      <c r="J938">
        <f>GS15/1227.7</f>
        <v>0</v>
      </c>
      <c r="M938" t="inlineStr">
        <is>
          <t>-1227K3535.1</t>
        </is>
      </c>
    </row>
    <row r="939">
      <c r="A939">
        <v>938</v>
      </c>
      <c r="B939">
        <f>GS15</f>
        <v>0</v>
      </c>
      <c r="C939" t="inlineStr">
        <is>
          <t>+LS17</t>
        </is>
      </c>
      <c r="D939" t="inlineStr">
        <is>
          <t>-1228K3535.4</t>
        </is>
      </c>
      <c r="E939" t="inlineStr">
        <is>
          <t>DIL_EM-10-G</t>
        </is>
      </c>
      <c r="F939" t="inlineStr">
        <is>
          <t>#KALK!</t>
        </is>
      </c>
      <c r="G939" t="inlineStr">
        <is>
          <t>LASTSCHUETZ</t>
        </is>
      </c>
      <c r="H939" t="inlineStr">
        <is>
          <t>4kW 1S</t>
        </is>
      </c>
      <c r="I939">
        <v>1659</v>
      </c>
      <c r="J939">
        <f>GS15/1228.6</f>
        <v>0</v>
      </c>
      <c r="M939" t="inlineStr">
        <is>
          <t>-1228K3535.4</t>
        </is>
      </c>
    </row>
    <row r="940">
      <c r="A940">
        <v>939</v>
      </c>
      <c r="B940">
        <f>GS15</f>
        <v>0</v>
      </c>
      <c r="C940" t="inlineStr">
        <is>
          <t>+LS17</t>
        </is>
      </c>
      <c r="D940" t="inlineStr">
        <is>
          <t>-1229K3535.5</t>
        </is>
      </c>
      <c r="E940" t="inlineStr">
        <is>
          <t>DIL_EM-10-G</t>
        </is>
      </c>
      <c r="F940" t="inlineStr">
        <is>
          <t>#KALK!</t>
        </is>
      </c>
      <c r="G940" t="inlineStr">
        <is>
          <t>LASTSCHUETZ</t>
        </is>
      </c>
      <c r="H940" t="inlineStr">
        <is>
          <t>4kW 1S</t>
        </is>
      </c>
      <c r="I940">
        <v>1660</v>
      </c>
      <c r="J940">
        <f>GS15/1229.6</f>
        <v>0</v>
      </c>
      <c r="M940" t="inlineStr">
        <is>
          <t>-1229K3535.5</t>
        </is>
      </c>
    </row>
    <row r="941">
      <c r="A941">
        <v>940</v>
      </c>
      <c r="B941">
        <f>GS15</f>
        <v>0</v>
      </c>
      <c r="C941" t="inlineStr">
        <is>
          <t>+LS17</t>
        </is>
      </c>
      <c r="D941" t="inlineStr">
        <is>
          <t>-1229K3535.6</t>
        </is>
      </c>
      <c r="E941" t="inlineStr">
        <is>
          <t>DIL_EM-10-G</t>
        </is>
      </c>
      <c r="F941" t="inlineStr">
        <is>
          <t>#KALK!</t>
        </is>
      </c>
      <c r="G941" t="inlineStr">
        <is>
          <t>LASTSCHUETZ</t>
        </is>
      </c>
      <c r="H941" t="inlineStr">
        <is>
          <t>4kW 1S</t>
        </is>
      </c>
      <c r="I941">
        <v>1660</v>
      </c>
      <c r="J941">
        <f>GS15/1229.6</f>
        <v>0</v>
      </c>
      <c r="M941" t="inlineStr">
        <is>
          <t>-1229K3535.6</t>
        </is>
      </c>
    </row>
    <row r="942">
      <c r="A942">
        <v>941</v>
      </c>
      <c r="B942">
        <f>GS38</f>
        <v>0</v>
      </c>
      <c r="C942" t="inlineStr">
        <is>
          <t>+LS01</t>
        </is>
      </c>
      <c r="D942" t="inlineStr">
        <is>
          <t>-122K1</t>
        </is>
      </c>
      <c r="E942" t="inlineStr">
        <is>
          <t>DILM-9-01</t>
        </is>
      </c>
      <c r="F942" t="inlineStr">
        <is>
          <t>#KALK!</t>
        </is>
      </c>
      <c r="G942" t="inlineStr">
        <is>
          <t>LASTSCHUETZ</t>
        </is>
      </c>
      <c r="H942" t="inlineStr">
        <is>
          <t>4kW 1Oe Federzugkl.</t>
        </is>
      </c>
      <c r="I942">
        <v>339</v>
      </c>
      <c r="J942">
        <f>GS38/122.5</f>
        <v>0</v>
      </c>
      <c r="M942" t="inlineStr">
        <is>
          <t>-122K1</t>
        </is>
      </c>
    </row>
    <row r="943">
      <c r="A943">
        <v>942</v>
      </c>
      <c r="B943">
        <f>GS7x</f>
        <v>0</v>
      </c>
      <c r="C943" t="inlineStr">
        <is>
          <t>+LS[l1]</t>
        </is>
      </c>
      <c r="D943" t="inlineStr">
        <is>
          <t>-122K1</t>
        </is>
      </c>
      <c r="E943" t="inlineStr">
        <is>
          <t>DILM-9-10</t>
        </is>
      </c>
      <c r="F943" t="inlineStr">
        <is>
          <t>DILA-XHIC40</t>
        </is>
      </c>
      <c r="G943" t="inlineStr">
        <is>
          <t>LASTSCHUETZ</t>
        </is>
      </c>
      <c r="H943" t="inlineStr">
        <is>
          <t>4kW 1S Federzugkl.</t>
        </is>
      </c>
      <c r="I943">
        <v>360</v>
      </c>
      <c r="J943">
        <f>GS7x/122.3</f>
        <v>0</v>
      </c>
      <c r="M943" t="inlineStr">
        <is>
          <t>-122K1</t>
        </is>
      </c>
    </row>
    <row r="944">
      <c r="A944">
        <v>943</v>
      </c>
      <c r="B944">
        <f>GS7x</f>
        <v>0</v>
      </c>
      <c r="C944" t="inlineStr">
        <is>
          <t>+LS[l1]</t>
        </is>
      </c>
      <c r="D944" t="inlineStr">
        <is>
          <t>-122K1</t>
        </is>
      </c>
      <c r="E944" t="inlineStr">
        <is>
          <t>DILA-XHIC40</t>
        </is>
      </c>
      <c r="F944" t="inlineStr">
        <is>
          <t>DILA-XHIC40</t>
        </is>
      </c>
      <c r="G944" t="inlineStr">
        <is>
          <t>HILFSKONTAKTBLOCK</t>
        </is>
      </c>
      <c r="H944" t="inlineStr">
        <is>
          <t>4S Last+Hilfssch. Cage</t>
        </is>
      </c>
      <c r="I944">
        <v>360</v>
      </c>
      <c r="J944">
        <f>GS7x/122.3</f>
        <v>0</v>
      </c>
      <c r="M944" t="inlineStr">
        <is>
          <t>-122K1</t>
        </is>
      </c>
    </row>
    <row r="945">
      <c r="A945">
        <v>944</v>
      </c>
      <c r="B945">
        <f>GS02</f>
        <v>0</v>
      </c>
      <c r="C945" t="inlineStr">
        <is>
          <t>+LS1</t>
        </is>
      </c>
      <c r="D945" t="inlineStr">
        <is>
          <t>-122K15.0</t>
        </is>
      </c>
      <c r="E945" t="inlineStr">
        <is>
          <t>DIL_EM-10-G</t>
        </is>
      </c>
      <c r="F945" t="inlineStr">
        <is>
          <t>#KALK!</t>
        </is>
      </c>
      <c r="G945" t="inlineStr">
        <is>
          <t>LASTSCHUETZ</t>
        </is>
      </c>
      <c r="H945" t="inlineStr">
        <is>
          <t>4kW 1S</t>
        </is>
      </c>
      <c r="I945">
        <v>520</v>
      </c>
      <c r="J945">
        <f>GS02/122.6</f>
        <v>0</v>
      </c>
      <c r="M945" t="inlineStr">
        <is>
          <t>-122K15.0</t>
        </is>
      </c>
    </row>
    <row r="946">
      <c r="A946">
        <v>945</v>
      </c>
      <c r="B946">
        <f>GS02</f>
        <v>0</v>
      </c>
      <c r="C946" t="inlineStr">
        <is>
          <t>+LS1</t>
        </is>
      </c>
      <c r="D946" t="inlineStr">
        <is>
          <t>-122K15.1</t>
        </is>
      </c>
      <c r="E946" t="inlineStr">
        <is>
          <t>DIL_EM-10-G</t>
        </is>
      </c>
      <c r="F946" t="inlineStr">
        <is>
          <t>#KALK!</t>
        </is>
      </c>
      <c r="G946" t="inlineStr">
        <is>
          <t>LASTSCHUETZ</t>
        </is>
      </c>
      <c r="H946" t="inlineStr">
        <is>
          <t>4kW 1S</t>
        </is>
      </c>
      <c r="I946">
        <v>520</v>
      </c>
      <c r="J946">
        <f>GS02/122.6</f>
        <v>0</v>
      </c>
      <c r="M946" t="inlineStr">
        <is>
          <t>-122K15.1</t>
        </is>
      </c>
    </row>
    <row r="947">
      <c r="A947">
        <v>946</v>
      </c>
      <c r="B947">
        <f>GS38</f>
        <v>0</v>
      </c>
      <c r="C947" t="inlineStr">
        <is>
          <t>+LS01</t>
        </is>
      </c>
      <c r="D947" t="inlineStr">
        <is>
          <t>-122K2</t>
        </is>
      </c>
      <c r="E947" t="inlineStr">
        <is>
          <t>DILM-9-01</t>
        </is>
      </c>
      <c r="F947" t="inlineStr">
        <is>
          <t>#KALK!</t>
        </is>
      </c>
      <c r="G947" t="inlineStr">
        <is>
          <t>LASTSCHUETZ</t>
        </is>
      </c>
      <c r="H947" t="inlineStr">
        <is>
          <t>4kW 1Oe Federzugkl.</t>
        </is>
      </c>
      <c r="I947">
        <v>339</v>
      </c>
      <c r="J947">
        <f>GS38/122.6</f>
        <v>0</v>
      </c>
      <c r="M947" t="inlineStr">
        <is>
          <t>-122K2</t>
        </is>
      </c>
    </row>
    <row r="948">
      <c r="A948">
        <v>947</v>
      </c>
      <c r="B948">
        <f>GS23</f>
        <v>0</v>
      </c>
      <c r="C948" t="inlineStr">
        <is>
          <t>+LS1</t>
        </is>
      </c>
      <c r="D948" t="inlineStr">
        <is>
          <t>-122K59.3</t>
        </is>
      </c>
      <c r="E948" t="inlineStr">
        <is>
          <t>DIL_EM-10-G</t>
        </is>
      </c>
      <c r="F948" t="inlineStr">
        <is>
          <t>#KALK!</t>
        </is>
      </c>
      <c r="G948" t="inlineStr">
        <is>
          <t>LASTSCHUETZ</t>
        </is>
      </c>
      <c r="H948" t="inlineStr">
        <is>
          <t>4kW 1S</t>
        </is>
      </c>
      <c r="I948">
        <v>421</v>
      </c>
      <c r="J948">
        <f>GS23/122.7</f>
        <v>0</v>
      </c>
      <c r="M948" t="inlineStr">
        <is>
          <t>-122K59.3</t>
        </is>
      </c>
    </row>
    <row r="949">
      <c r="A949">
        <v>948</v>
      </c>
      <c r="B949">
        <f>GS14</f>
        <v>0</v>
      </c>
      <c r="C949" t="inlineStr">
        <is>
          <t>+LS2</t>
        </is>
      </c>
      <c r="D949" t="inlineStr">
        <is>
          <t>-122K61.6</t>
        </is>
      </c>
      <c r="E949" t="inlineStr">
        <is>
          <t>DIL_EM-10-G</t>
        </is>
      </c>
      <c r="F949" t="inlineStr">
        <is>
          <t>#KALK!</t>
        </is>
      </c>
      <c r="G949" t="inlineStr">
        <is>
          <t>LASTSCHUETZ</t>
        </is>
      </c>
      <c r="H949" t="inlineStr">
        <is>
          <t>4kW 1S</t>
        </is>
      </c>
      <c r="I949">
        <v>248</v>
      </c>
      <c r="J949">
        <f>GS14/122.6</f>
        <v>0</v>
      </c>
      <c r="M949" t="inlineStr">
        <is>
          <t>-122K61.6</t>
        </is>
      </c>
    </row>
    <row r="950">
      <c r="A950">
        <v>949</v>
      </c>
      <c r="B950">
        <f>GS24</f>
        <v>0</v>
      </c>
      <c r="C950" t="inlineStr">
        <is>
          <t>+LS2</t>
        </is>
      </c>
      <c r="D950" t="inlineStr">
        <is>
          <t>-122K61.6</t>
        </is>
      </c>
      <c r="E950" t="inlineStr">
        <is>
          <t>DIL_EM-10-G</t>
        </is>
      </c>
      <c r="F950" t="inlineStr">
        <is>
          <t>#KALK!</t>
        </is>
      </c>
      <c r="G950" t="inlineStr">
        <is>
          <t>LASTSCHUETZ</t>
        </is>
      </c>
      <c r="H950" t="inlineStr">
        <is>
          <t>4kW 1S</t>
        </is>
      </c>
      <c r="I950">
        <v>957</v>
      </c>
      <c r="J950">
        <f>GS24/122.6</f>
        <v>0</v>
      </c>
      <c r="M950" t="inlineStr">
        <is>
          <t>-122K61.6</t>
        </is>
      </c>
    </row>
    <row r="951">
      <c r="A951">
        <v>950</v>
      </c>
      <c r="B951">
        <f>GS14</f>
        <v>0</v>
      </c>
      <c r="C951" t="inlineStr">
        <is>
          <t>+LS2</t>
        </is>
      </c>
      <c r="D951" t="inlineStr">
        <is>
          <t>-122K61.7</t>
        </is>
      </c>
      <c r="E951" t="inlineStr">
        <is>
          <t>DIL_EM-10-G</t>
        </is>
      </c>
      <c r="F951" t="inlineStr">
        <is>
          <t>#KALK!</t>
        </is>
      </c>
      <c r="G951" t="inlineStr">
        <is>
          <t>LASTSCHUETZ</t>
        </is>
      </c>
      <c r="H951" t="inlineStr">
        <is>
          <t>4kW 1S</t>
        </is>
      </c>
      <c r="I951">
        <v>248</v>
      </c>
      <c r="J951">
        <f>GS14/122.6</f>
        <v>0</v>
      </c>
      <c r="M951" t="inlineStr">
        <is>
          <t>-122K61.7</t>
        </is>
      </c>
    </row>
    <row r="952">
      <c r="A952">
        <v>951</v>
      </c>
      <c r="B952">
        <f>GS24</f>
        <v>0</v>
      </c>
      <c r="C952" t="inlineStr">
        <is>
          <t>+LS2</t>
        </is>
      </c>
      <c r="D952" t="inlineStr">
        <is>
          <t>-122K61.7</t>
        </is>
      </c>
      <c r="E952" t="inlineStr">
        <is>
          <t>DIL_EM-10-G</t>
        </is>
      </c>
      <c r="F952" t="inlineStr">
        <is>
          <t>#KALK!</t>
        </is>
      </c>
      <c r="G952" t="inlineStr">
        <is>
          <t>LASTSCHUETZ</t>
        </is>
      </c>
      <c r="H952" t="inlineStr">
        <is>
          <t>4kW 1S</t>
        </is>
      </c>
      <c r="I952">
        <v>957</v>
      </c>
      <c r="J952">
        <f>GS24/122.6</f>
        <v>0</v>
      </c>
      <c r="M952" t="inlineStr">
        <is>
          <t>-122K61.7</t>
        </is>
      </c>
    </row>
    <row r="953">
      <c r="A953">
        <v>952</v>
      </c>
      <c r="B953">
        <f>GS9x</f>
        <v>0</v>
      </c>
      <c r="C953" t="inlineStr">
        <is>
          <t>+LS[p1]</t>
        </is>
      </c>
      <c r="D953" t="inlineStr">
        <is>
          <t>-122Q[a+3].5</t>
        </is>
      </c>
      <c r="E953" t="inlineStr">
        <is>
          <t>DILM-9-10</t>
        </is>
      </c>
      <c r="F953" t="inlineStr">
        <is>
          <t>#KALK!</t>
        </is>
      </c>
      <c r="G953" t="inlineStr">
        <is>
          <t>LASTSCHUETZ</t>
        </is>
      </c>
      <c r="H953" t="inlineStr">
        <is>
          <t>4kW 1S Federzugkl.</t>
        </is>
      </c>
      <c r="I953">
        <v>163</v>
      </c>
      <c r="J953">
        <f>GS9x/122.5</f>
        <v>0</v>
      </c>
      <c r="M953" t="inlineStr">
        <is>
          <t>-122Q[a+3].5</t>
        </is>
      </c>
    </row>
    <row r="954">
      <c r="A954">
        <v>953</v>
      </c>
      <c r="B954">
        <f>GS91</f>
        <v>0</v>
      </c>
      <c r="C954" t="inlineStr">
        <is>
          <t>+LS01</t>
        </is>
      </c>
      <c r="D954" t="inlineStr">
        <is>
          <t>-122Q154.3</t>
        </is>
      </c>
      <c r="E954" t="inlineStr">
        <is>
          <t>DILM-9-10</t>
        </is>
      </c>
      <c r="F954" t="inlineStr">
        <is>
          <t>#KALK!</t>
        </is>
      </c>
      <c r="G954" t="inlineStr">
        <is>
          <t>LASTSCHUETZ</t>
        </is>
      </c>
      <c r="H954" t="inlineStr">
        <is>
          <t>4kW 1S Federzugkl.</t>
        </is>
      </c>
      <c r="I954">
        <v>270</v>
      </c>
      <c r="J954">
        <f>GS91/122.5</f>
        <v>0</v>
      </c>
      <c r="M954" t="inlineStr">
        <is>
          <t>-122Q154.3</t>
        </is>
      </c>
    </row>
    <row r="955">
      <c r="A955">
        <v>954</v>
      </c>
      <c r="B955">
        <f>GS15</f>
        <v>0</v>
      </c>
      <c r="C955" t="inlineStr">
        <is>
          <t>+LS17</t>
        </is>
      </c>
      <c r="D955" t="inlineStr">
        <is>
          <t>-1230K3536.3</t>
        </is>
      </c>
      <c r="E955" t="inlineStr">
        <is>
          <t>DIL_EM-10-G</t>
        </is>
      </c>
      <c r="F955" t="inlineStr">
        <is>
          <t>#KALK!</t>
        </is>
      </c>
      <c r="G955" t="inlineStr">
        <is>
          <t>LASTSCHUETZ</t>
        </is>
      </c>
      <c r="H955" t="inlineStr">
        <is>
          <t>4kW 1S</t>
        </is>
      </c>
      <c r="I955">
        <v>1661</v>
      </c>
      <c r="J955">
        <f>GS15/1230.6</f>
        <v>0</v>
      </c>
      <c r="M955" t="inlineStr">
        <is>
          <t>-1230K3536.3</t>
        </is>
      </c>
    </row>
    <row r="956">
      <c r="A956">
        <v>955</v>
      </c>
      <c r="B956">
        <f>GS15</f>
        <v>0</v>
      </c>
      <c r="C956" t="inlineStr">
        <is>
          <t>+LS17</t>
        </is>
      </c>
      <c r="D956" t="inlineStr">
        <is>
          <t>-1230K3536.4</t>
        </is>
      </c>
      <c r="E956" t="inlineStr">
        <is>
          <t>DIL_EM-10-G</t>
        </is>
      </c>
      <c r="F956" t="inlineStr">
        <is>
          <t>#KALK!</t>
        </is>
      </c>
      <c r="G956" t="inlineStr">
        <is>
          <t>LASTSCHUETZ</t>
        </is>
      </c>
      <c r="H956" t="inlineStr">
        <is>
          <t>4kW 1S</t>
        </is>
      </c>
      <c r="I956">
        <v>1661</v>
      </c>
      <c r="J956">
        <f>GS15/1230.6</f>
        <v>0</v>
      </c>
      <c r="M956" t="inlineStr">
        <is>
          <t>-1230K3536.4</t>
        </is>
      </c>
    </row>
    <row r="957">
      <c r="A957">
        <v>956</v>
      </c>
      <c r="B957">
        <f>GS15</f>
        <v>0</v>
      </c>
      <c r="C957" t="inlineStr">
        <is>
          <t>+LS17</t>
        </is>
      </c>
      <c r="D957" t="inlineStr">
        <is>
          <t>-1231K3537.0</t>
        </is>
      </c>
      <c r="E957" t="inlineStr">
        <is>
          <t>DIL_EM-10-G</t>
        </is>
      </c>
      <c r="F957" t="inlineStr">
        <is>
          <t>#KALK!</t>
        </is>
      </c>
      <c r="G957" t="inlineStr">
        <is>
          <t>LASTSCHUETZ</t>
        </is>
      </c>
      <c r="H957" t="inlineStr">
        <is>
          <t>4kW 1S</t>
        </is>
      </c>
      <c r="I957">
        <v>1662</v>
      </c>
      <c r="J957">
        <f>GS15/1231.7</f>
        <v>0</v>
      </c>
      <c r="M957" t="inlineStr">
        <is>
          <t>-1231K3537.0</t>
        </is>
      </c>
    </row>
    <row r="958">
      <c r="A958">
        <v>957</v>
      </c>
      <c r="B958">
        <f>GS15</f>
        <v>0</v>
      </c>
      <c r="C958" t="inlineStr">
        <is>
          <t>+LS17</t>
        </is>
      </c>
      <c r="D958" t="inlineStr">
        <is>
          <t>-1233K3537.5</t>
        </is>
      </c>
      <c r="E958" t="inlineStr">
        <is>
          <t>DIL_EM-10-G</t>
        </is>
      </c>
      <c r="F958" t="inlineStr">
        <is>
          <t>#KALK!</t>
        </is>
      </c>
      <c r="G958" t="inlineStr">
        <is>
          <t>LASTSCHUETZ</t>
        </is>
      </c>
      <c r="H958" t="inlineStr">
        <is>
          <t>4kW 1S</t>
        </is>
      </c>
      <c r="I958">
        <v>1664</v>
      </c>
      <c r="J958">
        <f>GS15/1233.6</f>
        <v>0</v>
      </c>
      <c r="M958" t="inlineStr">
        <is>
          <t>-1233K3537.5</t>
        </is>
      </c>
    </row>
    <row r="959">
      <c r="A959">
        <v>958</v>
      </c>
      <c r="B959">
        <f>GS05</f>
        <v>0</v>
      </c>
      <c r="C959" t="inlineStr">
        <is>
          <t>+LS20</t>
        </is>
      </c>
      <c r="D959" t="inlineStr">
        <is>
          <t>-1234Q762.5</t>
        </is>
      </c>
      <c r="E959" t="inlineStr">
        <is>
          <t>DILM-9-10</t>
        </is>
      </c>
      <c r="F959" t="inlineStr">
        <is>
          <t>#KALK!</t>
        </is>
      </c>
      <c r="G959" t="inlineStr">
        <is>
          <t>LASTSCHUETZ</t>
        </is>
      </c>
      <c r="H959" t="inlineStr">
        <is>
          <t>4kW 1S Federzugkl.</t>
        </is>
      </c>
      <c r="I959">
        <v>2317</v>
      </c>
      <c r="J959">
        <f>GS05/1234.6</f>
        <v>0</v>
      </c>
      <c r="K959" t="inlineStr">
        <is>
          <t>DIL MC9</t>
        </is>
      </c>
      <c r="M959" t="inlineStr">
        <is>
          <t>-1234Q762.5</t>
        </is>
      </c>
    </row>
    <row r="960">
      <c r="A960">
        <v>959</v>
      </c>
      <c r="B960">
        <f>GS05</f>
        <v>0</v>
      </c>
      <c r="C960" t="inlineStr">
        <is>
          <t>+LS20</t>
        </is>
      </c>
      <c r="D960" t="inlineStr">
        <is>
          <t>-1237Q764.5</t>
        </is>
      </c>
      <c r="E960" t="inlineStr">
        <is>
          <t>DILM-9-10</t>
        </is>
      </c>
      <c r="F960" t="inlineStr">
        <is>
          <t>#KALK!</t>
        </is>
      </c>
      <c r="G960" t="inlineStr">
        <is>
          <t>LASTSCHUETZ</t>
        </is>
      </c>
      <c r="H960" t="inlineStr">
        <is>
          <t>4kW 1S Federzugkl.</t>
        </is>
      </c>
      <c r="I960">
        <v>2536</v>
      </c>
      <c r="J960">
        <f>GS05/1237.6</f>
        <v>0</v>
      </c>
      <c r="K960" t="inlineStr">
        <is>
          <t>DIL MC9</t>
        </is>
      </c>
      <c r="M960" t="inlineStr">
        <is>
          <t>-1237Q764.5</t>
        </is>
      </c>
    </row>
    <row r="961">
      <c r="A961">
        <v>960</v>
      </c>
      <c r="B961">
        <f>GS31</f>
        <v>0</v>
      </c>
      <c r="C961" t="inlineStr">
        <is>
          <t>+LS1</t>
        </is>
      </c>
      <c r="D961" t="inlineStr">
        <is>
          <t>-123K1</t>
        </is>
      </c>
      <c r="E961" t="inlineStr">
        <is>
          <t>22_DIL-M</t>
        </is>
      </c>
      <c r="F961" t="inlineStr">
        <is>
          <t>22_DIL-M</t>
        </is>
      </c>
      <c r="G961" t="inlineStr">
        <is>
          <t>HILFSKONTAKTBLOCK</t>
        </is>
      </c>
      <c r="H961" t="inlineStr">
        <is>
          <t>2S 2OE Lastschuetz DIL M</t>
        </is>
      </c>
      <c r="I961">
        <v>407</v>
      </c>
      <c r="J961">
        <f>GS31/123.2</f>
        <v>0</v>
      </c>
      <c r="K961" t="inlineStr">
        <is>
          <t>DIL0AM</t>
        </is>
      </c>
      <c r="M961" t="inlineStr">
        <is>
          <t>-123K1</t>
        </is>
      </c>
    </row>
    <row r="962">
      <c r="A962">
        <v>961</v>
      </c>
      <c r="B962">
        <f>GS31</f>
        <v>0</v>
      </c>
      <c r="C962" t="inlineStr">
        <is>
          <t>+LS1</t>
        </is>
      </c>
      <c r="D962" t="inlineStr">
        <is>
          <t>-123K1</t>
        </is>
      </c>
      <c r="E962" t="inlineStr">
        <is>
          <t>DIL_0AM</t>
        </is>
      </c>
      <c r="F962" t="inlineStr">
        <is>
          <t>22_DIL-M</t>
        </is>
      </c>
      <c r="G962" t="inlineStr">
        <is>
          <t>LASTSCHUETZ</t>
        </is>
      </c>
      <c r="H962" t="inlineStr">
        <is>
          <t>11 kW</t>
        </is>
      </c>
      <c r="I962">
        <v>407</v>
      </c>
      <c r="J962">
        <f>GS31/123.2</f>
        <v>0</v>
      </c>
      <c r="K962" t="inlineStr">
        <is>
          <t>DIL0AM</t>
        </is>
      </c>
      <c r="M962" t="inlineStr">
        <is>
          <t>-123K1</t>
        </is>
      </c>
    </row>
    <row r="963">
      <c r="A963">
        <v>962</v>
      </c>
      <c r="B963">
        <f>GS34</f>
        <v>0</v>
      </c>
      <c r="C963" t="inlineStr">
        <is>
          <t>+LS1</t>
        </is>
      </c>
      <c r="D963" t="inlineStr">
        <is>
          <t>-123K1</t>
        </is>
      </c>
      <c r="E963" t="inlineStr">
        <is>
          <t>DIL_0AM</t>
        </is>
      </c>
      <c r="F963" t="inlineStr">
        <is>
          <t>22_DIL-M</t>
        </is>
      </c>
      <c r="G963" t="inlineStr">
        <is>
          <t>LASTSCHUETZ</t>
        </is>
      </c>
      <c r="H963" t="inlineStr">
        <is>
          <t>11 kW</t>
        </is>
      </c>
      <c r="I963">
        <v>247</v>
      </c>
      <c r="J963">
        <f>GS34/123.2</f>
        <v>0</v>
      </c>
      <c r="K963" t="inlineStr">
        <is>
          <t>DIL0AM</t>
        </is>
      </c>
      <c r="M963" t="inlineStr">
        <is>
          <t>-123K1</t>
        </is>
      </c>
    </row>
    <row r="964">
      <c r="A964">
        <v>963</v>
      </c>
      <c r="B964">
        <f>GS34</f>
        <v>0</v>
      </c>
      <c r="C964" t="inlineStr">
        <is>
          <t>+LS1</t>
        </is>
      </c>
      <c r="D964" t="inlineStr">
        <is>
          <t>-123K1</t>
        </is>
      </c>
      <c r="E964" t="inlineStr">
        <is>
          <t>22_DIL-M</t>
        </is>
      </c>
      <c r="F964" t="inlineStr">
        <is>
          <t>22_DIL-M</t>
        </is>
      </c>
      <c r="G964" t="inlineStr">
        <is>
          <t>HILFSKONTAKTBLOCK</t>
        </is>
      </c>
      <c r="H964" t="inlineStr">
        <is>
          <t>2S 2OE Lastschuetz DIL M</t>
        </is>
      </c>
      <c r="I964">
        <v>247</v>
      </c>
      <c r="J964">
        <f>GS34/123.2</f>
        <v>0</v>
      </c>
      <c r="K964" t="inlineStr">
        <is>
          <t>DIL0AM</t>
        </is>
      </c>
      <c r="M964" t="inlineStr">
        <is>
          <t>-123K1</t>
        </is>
      </c>
    </row>
    <row r="965">
      <c r="A965">
        <v>964</v>
      </c>
      <c r="B965">
        <f>GS38</f>
        <v>0</v>
      </c>
      <c r="C965" t="inlineStr">
        <is>
          <t>+LS01</t>
        </is>
      </c>
      <c r="D965" t="inlineStr">
        <is>
          <t>-123K1</t>
        </is>
      </c>
      <c r="E965" t="inlineStr">
        <is>
          <t>DILM-9-01</t>
        </is>
      </c>
      <c r="F965" t="inlineStr">
        <is>
          <t>#KALK!</t>
        </is>
      </c>
      <c r="G965" t="inlineStr">
        <is>
          <t>LASTSCHUETZ</t>
        </is>
      </c>
      <c r="H965" t="inlineStr">
        <is>
          <t>4kW 1Oe Federzugkl.</t>
        </is>
      </c>
      <c r="I965">
        <v>341</v>
      </c>
      <c r="J965">
        <f>GS38/123.5</f>
        <v>0</v>
      </c>
      <c r="M965" t="inlineStr">
        <is>
          <t>-123K1</t>
        </is>
      </c>
    </row>
    <row r="966">
      <c r="A966">
        <v>965</v>
      </c>
      <c r="B966">
        <f>GS02</f>
        <v>0</v>
      </c>
      <c r="C966" t="inlineStr">
        <is>
          <t>+LS1</t>
        </is>
      </c>
      <c r="D966" t="inlineStr">
        <is>
          <t>-123K15.2</t>
        </is>
      </c>
      <c r="E966" t="inlineStr">
        <is>
          <t>DIL_EM-10-G</t>
        </is>
      </c>
      <c r="F966" t="inlineStr">
        <is>
          <t>#KALK!</t>
        </is>
      </c>
      <c r="G966" t="inlineStr">
        <is>
          <t>LASTSCHUETZ</t>
        </is>
      </c>
      <c r="H966" t="inlineStr">
        <is>
          <t>4kW 1S</t>
        </is>
      </c>
      <c r="I966">
        <v>521</v>
      </c>
      <c r="J966">
        <f>GS02/123.6</f>
        <v>0</v>
      </c>
      <c r="M966" t="inlineStr">
        <is>
          <t>-123K15.2</t>
        </is>
      </c>
    </row>
    <row r="967">
      <c r="A967">
        <v>966</v>
      </c>
      <c r="B967">
        <f>GS38</f>
        <v>0</v>
      </c>
      <c r="C967" t="inlineStr">
        <is>
          <t>+LS01</t>
        </is>
      </c>
      <c r="D967" t="inlineStr">
        <is>
          <t>-123K2</t>
        </is>
      </c>
      <c r="E967" t="inlineStr">
        <is>
          <t>DILM-9-01</t>
        </is>
      </c>
      <c r="F967" t="inlineStr">
        <is>
          <t>#KALK!</t>
        </is>
      </c>
      <c r="G967" t="inlineStr">
        <is>
          <t>LASTSCHUETZ</t>
        </is>
      </c>
      <c r="H967" t="inlineStr">
        <is>
          <t>4kW 1Oe Federzugkl.</t>
        </is>
      </c>
      <c r="I967">
        <v>341</v>
      </c>
      <c r="J967">
        <f>GS38/123.6</f>
        <v>0</v>
      </c>
      <c r="M967" t="inlineStr">
        <is>
          <t>-123K2</t>
        </is>
      </c>
    </row>
    <row r="968">
      <c r="A968">
        <v>967</v>
      </c>
      <c r="B968">
        <f>GS79</f>
        <v>0</v>
      </c>
      <c r="C968" t="inlineStr">
        <is>
          <t>+LS[l2]</t>
        </is>
      </c>
      <c r="D968" t="inlineStr">
        <is>
          <t>-123Q[a+164].1</t>
        </is>
      </c>
      <c r="E968" t="inlineStr">
        <is>
          <t>DILM-9-10</t>
        </is>
      </c>
      <c r="F968" t="inlineStr">
        <is>
          <t>#KALK!</t>
        </is>
      </c>
      <c r="G968" t="inlineStr">
        <is>
          <t>LASTSCHUETZ</t>
        </is>
      </c>
      <c r="H968" t="inlineStr">
        <is>
          <t>4kW 1S Federzugkl.</t>
        </is>
      </c>
      <c r="I968">
        <v>164</v>
      </c>
      <c r="J968">
        <f>GS79/123.6</f>
        <v>0</v>
      </c>
      <c r="M968" t="inlineStr">
        <is>
          <t>-123Q[a+164].1</t>
        </is>
      </c>
    </row>
    <row r="969">
      <c r="A969">
        <v>968</v>
      </c>
      <c r="B969">
        <f>GS79</f>
        <v>0</v>
      </c>
      <c r="C969" t="inlineStr">
        <is>
          <t>+LS[l2]</t>
        </is>
      </c>
      <c r="D969" t="inlineStr">
        <is>
          <t>-123Q[a+164].1</t>
        </is>
      </c>
      <c r="E969" t="inlineStr">
        <is>
          <t>DILM-9-10</t>
        </is>
      </c>
      <c r="F969" t="inlineStr">
        <is>
          <t>#KALK!</t>
        </is>
      </c>
      <c r="G969" t="inlineStr">
        <is>
          <t>LASTSCHUETZ</t>
        </is>
      </c>
      <c r="H969" t="inlineStr">
        <is>
          <t>4kW 1S Federzugkl.</t>
        </is>
      </c>
      <c r="I969">
        <v>214</v>
      </c>
      <c r="J969">
        <f>GS79/123.6</f>
        <v>0</v>
      </c>
      <c r="M969" t="inlineStr">
        <is>
          <t>-123Q[a+164].1</t>
        </is>
      </c>
    </row>
    <row r="970">
      <c r="A970">
        <v>969</v>
      </c>
      <c r="B970">
        <f>GS36</f>
        <v>0</v>
      </c>
      <c r="C970" t="inlineStr">
        <is>
          <t>+LS01</t>
        </is>
      </c>
      <c r="D970" t="inlineStr">
        <is>
          <t>-123Q107.7</t>
        </is>
      </c>
      <c r="E970" t="inlineStr">
        <is>
          <t>DILMC12-10(24VDC)</t>
        </is>
      </c>
      <c r="F970" t="inlineStr">
        <is>
          <t>#KALK!</t>
        </is>
      </c>
      <c r="G970" t="inlineStr">
        <is>
          <t>LASTSCHUETZ</t>
        </is>
      </c>
      <c r="H970" t="inlineStr">
        <is>
          <t>5,5kW 1S Federzugkl.</t>
        </is>
      </c>
      <c r="I970">
        <v>295</v>
      </c>
      <c r="J970">
        <f>GS36/123.5</f>
        <v>0</v>
      </c>
      <c r="K970" t="inlineStr">
        <is>
          <t>DIL MC12</t>
        </is>
      </c>
      <c r="L970" t="inlineStr">
        <is>
          <t>HT_0202</t>
        </is>
      </c>
      <c r="M970" t="inlineStr">
        <is>
          <t>HT_0202
-123Q107.7</t>
        </is>
      </c>
      <c r="N970" t="inlineStr">
        <is>
          <t>P</t>
        </is>
      </c>
    </row>
    <row r="971">
      <c r="A971">
        <v>970</v>
      </c>
      <c r="B971">
        <f>GS06</f>
        <v>0</v>
      </c>
      <c r="C971" t="inlineStr">
        <is>
          <t>+LS19</t>
        </is>
      </c>
      <c r="D971" t="inlineStr">
        <is>
          <t>-1240Q1</t>
        </is>
      </c>
      <c r="E971" t="inlineStr">
        <is>
          <t>DILA-XHI22</t>
        </is>
      </c>
      <c r="F971" t="inlineStr">
        <is>
          <t>DILA-XHI22</t>
        </is>
      </c>
      <c r="G971" t="inlineStr">
        <is>
          <t>HILFSKONTAKTBLOCK</t>
        </is>
      </c>
      <c r="H971" t="inlineStr">
        <is>
          <t>2S 2OE Last+Hilfssch. Cage</t>
        </is>
      </c>
      <c r="I971">
        <v>1987</v>
      </c>
      <c r="J971">
        <f>GS06/1240.6</f>
        <v>0</v>
      </c>
      <c r="K971" t="inlineStr">
        <is>
          <t>DIL MC25</t>
        </is>
      </c>
      <c r="M971" t="inlineStr">
        <is>
          <t>-1240Q1</t>
        </is>
      </c>
    </row>
    <row r="972">
      <c r="A972">
        <v>971</v>
      </c>
      <c r="B972">
        <f>GS06</f>
        <v>0</v>
      </c>
      <c r="C972" t="inlineStr">
        <is>
          <t>+LS19</t>
        </is>
      </c>
      <c r="D972" t="inlineStr">
        <is>
          <t>-1240Q1</t>
        </is>
      </c>
      <c r="E972" t="inlineStr">
        <is>
          <t>DILMC25-10(RDC24)</t>
        </is>
      </c>
      <c r="F972" t="inlineStr">
        <is>
          <t>DILA-XHI22</t>
        </is>
      </c>
      <c r="G972" t="inlineStr">
        <is>
          <t>LASTSCHUETZ</t>
        </is>
      </c>
      <c r="H972" t="inlineStr">
        <is>
          <t>11kW 1S Federzugkl.</t>
        </is>
      </c>
      <c r="I972">
        <v>1987</v>
      </c>
      <c r="J972">
        <f>GS06/1240.6</f>
        <v>0</v>
      </c>
      <c r="K972" t="inlineStr">
        <is>
          <t>DIL MC25</t>
        </is>
      </c>
      <c r="M972" t="inlineStr">
        <is>
          <t>-1240Q1</t>
        </is>
      </c>
    </row>
    <row r="973">
      <c r="A973">
        <v>972</v>
      </c>
      <c r="B973">
        <f>GS55</f>
        <v>0</v>
      </c>
      <c r="C973" t="inlineStr">
        <is>
          <t>+LS20</t>
        </is>
      </c>
      <c r="D973" t="inlineStr">
        <is>
          <t>-1245Q1</t>
        </is>
      </c>
      <c r="E973" t="inlineStr">
        <is>
          <t>DILA-XHI22</t>
        </is>
      </c>
      <c r="F973" t="inlineStr">
        <is>
          <t>DILA-XHI22</t>
        </is>
      </c>
      <c r="G973" t="inlineStr">
        <is>
          <t>HILFSKONTAKTBLOCK</t>
        </is>
      </c>
      <c r="H973" t="inlineStr">
        <is>
          <t>2S 2OE Last+Hilfssch. Cage</t>
        </is>
      </c>
      <c r="I973">
        <v>1472</v>
      </c>
      <c r="J973">
        <f>GS55/1245.6</f>
        <v>0</v>
      </c>
      <c r="K973" t="inlineStr">
        <is>
          <t>DIL MC25</t>
        </is>
      </c>
      <c r="M973" t="inlineStr">
        <is>
          <t>-1245Q1</t>
        </is>
      </c>
    </row>
    <row r="974">
      <c r="A974">
        <v>973</v>
      </c>
      <c r="B974">
        <f>GS55</f>
        <v>0</v>
      </c>
      <c r="C974" t="inlineStr">
        <is>
          <t>+LS20</t>
        </is>
      </c>
      <c r="D974" t="inlineStr">
        <is>
          <t>-1245Q1</t>
        </is>
      </c>
      <c r="E974" t="inlineStr">
        <is>
          <t>DILMC25-10(RDC24)</t>
        </is>
      </c>
      <c r="F974" t="inlineStr">
        <is>
          <t>DILA-XHI22</t>
        </is>
      </c>
      <c r="G974" t="inlineStr">
        <is>
          <t>LASTSCHUETZ</t>
        </is>
      </c>
      <c r="H974" t="inlineStr">
        <is>
          <t>11kW 1S Federzugkl.</t>
        </is>
      </c>
      <c r="I974">
        <v>1472</v>
      </c>
      <c r="J974">
        <f>GS55/1245.6</f>
        <v>0</v>
      </c>
      <c r="K974" t="inlineStr">
        <is>
          <t>DIL MC25</t>
        </is>
      </c>
      <c r="M974" t="inlineStr">
        <is>
          <t>-1245Q1</t>
        </is>
      </c>
    </row>
    <row r="975">
      <c r="A975">
        <v>974</v>
      </c>
      <c r="B975">
        <f>GS55</f>
        <v>0</v>
      </c>
      <c r="C975" t="inlineStr">
        <is>
          <t>+LS20</t>
        </is>
      </c>
      <c r="D975" t="inlineStr">
        <is>
          <t>-1248Q712.2</t>
        </is>
      </c>
      <c r="E975" t="inlineStr">
        <is>
          <t>DILA-XHI22</t>
        </is>
      </c>
      <c r="F975" t="inlineStr">
        <is>
          <t>DILA-XHI22</t>
        </is>
      </c>
      <c r="G975" t="inlineStr">
        <is>
          <t>HILFSKONTAKTBLOCK</t>
        </is>
      </c>
      <c r="H975" t="inlineStr">
        <is>
          <t>2S 2OE Last+Hilfssch. Cage</t>
        </is>
      </c>
      <c r="I975">
        <v>1475</v>
      </c>
      <c r="J975">
        <f>GS55/1248.6</f>
        <v>0</v>
      </c>
      <c r="K975" t="inlineStr">
        <is>
          <t>DIL MC9 HT2107</t>
        </is>
      </c>
      <c r="M975" t="inlineStr">
        <is>
          <t>-1248Q712.2</t>
        </is>
      </c>
    </row>
    <row r="976">
      <c r="A976">
        <v>975</v>
      </c>
      <c r="B976">
        <f>GS55</f>
        <v>0</v>
      </c>
      <c r="C976" t="inlineStr">
        <is>
          <t>+LS20</t>
        </is>
      </c>
      <c r="D976" t="inlineStr">
        <is>
          <t>-1248Q712.2</t>
        </is>
      </c>
      <c r="E976" t="inlineStr">
        <is>
          <t>DILM-9-10</t>
        </is>
      </c>
      <c r="F976" t="inlineStr">
        <is>
          <t>DILA-XHI22</t>
        </is>
      </c>
      <c r="G976" t="inlineStr">
        <is>
          <t>LASTSCHUETZ</t>
        </is>
      </c>
      <c r="H976" t="inlineStr">
        <is>
          <t>4kW 1S Federzugkl.</t>
        </is>
      </c>
      <c r="I976">
        <v>1475</v>
      </c>
      <c r="J976">
        <f>GS55/1248.6</f>
        <v>0</v>
      </c>
      <c r="K976" t="inlineStr">
        <is>
          <t>DIL MC9 HT2107</t>
        </is>
      </c>
      <c r="M976" t="inlineStr">
        <is>
          <t>-1248Q712.2</t>
        </is>
      </c>
    </row>
    <row r="977">
      <c r="A977">
        <v>976</v>
      </c>
      <c r="B977">
        <f>GS55</f>
        <v>0</v>
      </c>
      <c r="C977" t="inlineStr">
        <is>
          <t>+LS20</t>
        </is>
      </c>
      <c r="D977" t="inlineStr">
        <is>
          <t>-1248Q712.4</t>
        </is>
      </c>
      <c r="E977" t="inlineStr">
        <is>
          <t>DILA-XHI22</t>
        </is>
      </c>
      <c r="F977" t="inlineStr">
        <is>
          <t>DILA-XHI22</t>
        </is>
      </c>
      <c r="G977" t="inlineStr">
        <is>
          <t>HILFSKONTAKTBLOCK</t>
        </is>
      </c>
      <c r="H977" t="inlineStr">
        <is>
          <t>2S 2OE Last+Hilfssch. Cage</t>
        </is>
      </c>
      <c r="I977">
        <v>1475</v>
      </c>
      <c r="J977">
        <f>GS55/1248.7</f>
        <v>0</v>
      </c>
      <c r="K977" t="inlineStr">
        <is>
          <t>DIL MC9 HT2107</t>
        </is>
      </c>
      <c r="M977" t="inlineStr">
        <is>
          <t>-1248Q712.4</t>
        </is>
      </c>
    </row>
    <row r="978">
      <c r="A978">
        <v>977</v>
      </c>
      <c r="B978">
        <f>GS55</f>
        <v>0</v>
      </c>
      <c r="C978" t="inlineStr">
        <is>
          <t>+LS20</t>
        </is>
      </c>
      <c r="D978" t="inlineStr">
        <is>
          <t>-1248Q712.4</t>
        </is>
      </c>
      <c r="E978" t="inlineStr">
        <is>
          <t>DILM-9-10</t>
        </is>
      </c>
      <c r="F978" t="inlineStr">
        <is>
          <t>DILA-XHI22</t>
        </is>
      </c>
      <c r="G978" t="inlineStr">
        <is>
          <t>LASTSCHUETZ</t>
        </is>
      </c>
      <c r="H978" t="inlineStr">
        <is>
          <t>4kW 1S Federzugkl.</t>
        </is>
      </c>
      <c r="I978">
        <v>1475</v>
      </c>
      <c r="J978">
        <f>GS55/1248.7</f>
        <v>0</v>
      </c>
      <c r="K978" t="inlineStr">
        <is>
          <t>DIL MC9 HT2107</t>
        </is>
      </c>
      <c r="M978" t="inlineStr">
        <is>
          <t>-1248Q712.4</t>
        </is>
      </c>
    </row>
    <row r="979">
      <c r="A979">
        <v>978</v>
      </c>
      <c r="B979">
        <f>GS02</f>
        <v>0</v>
      </c>
      <c r="C979" t="inlineStr">
        <is>
          <t>+LS1</t>
        </is>
      </c>
      <c r="D979" t="inlineStr">
        <is>
          <t>-124K16.0</t>
        </is>
      </c>
      <c r="E979" t="inlineStr">
        <is>
          <t>DIL_EM-10-G</t>
        </is>
      </c>
      <c r="F979" t="inlineStr">
        <is>
          <t>#KALK!</t>
        </is>
      </c>
      <c r="G979" t="inlineStr">
        <is>
          <t>LASTSCHUETZ</t>
        </is>
      </c>
      <c r="H979" t="inlineStr">
        <is>
          <t>4kW 1S</t>
        </is>
      </c>
      <c r="I979">
        <v>522</v>
      </c>
      <c r="J979">
        <f>GS02/124.7</f>
        <v>0</v>
      </c>
      <c r="M979" t="inlineStr">
        <is>
          <t>-124K16.0</t>
        </is>
      </c>
    </row>
    <row r="980">
      <c r="A980">
        <v>979</v>
      </c>
      <c r="B980">
        <f>GS04</f>
        <v>0</v>
      </c>
      <c r="C980" t="inlineStr">
        <is>
          <t>+LS1</t>
        </is>
      </c>
      <c r="D980" t="inlineStr">
        <is>
          <t>-124K26.6</t>
        </is>
      </c>
      <c r="E980" t="inlineStr">
        <is>
          <t>22_DIL-E</t>
        </is>
      </c>
      <c r="F980" t="inlineStr">
        <is>
          <t>22_DIL-E</t>
        </is>
      </c>
      <c r="G980" t="inlineStr">
        <is>
          <t>HILFSKONTAKTBLOCK</t>
        </is>
      </c>
      <c r="H980" t="inlineStr">
        <is>
          <t>2S 2OE Last+Hilfsschuetz</t>
        </is>
      </c>
      <c r="I980">
        <v>374</v>
      </c>
      <c r="J980">
        <f>GS04/124.2</f>
        <v>0</v>
      </c>
      <c r="M980" t="inlineStr">
        <is>
          <t>-124K26.6</t>
        </is>
      </c>
    </row>
    <row r="981">
      <c r="A981">
        <v>980</v>
      </c>
      <c r="B981">
        <f>GS04</f>
        <v>0</v>
      </c>
      <c r="C981" t="inlineStr">
        <is>
          <t>+LS1</t>
        </is>
      </c>
      <c r="D981" t="inlineStr">
        <is>
          <t>-124K26.6</t>
        </is>
      </c>
      <c r="E981" t="inlineStr">
        <is>
          <t>DIL_EM-10-G</t>
        </is>
      </c>
      <c r="F981" t="inlineStr">
        <is>
          <t>22_DIL-E</t>
        </is>
      </c>
      <c r="G981" t="inlineStr">
        <is>
          <t>LASTSCHUETZ</t>
        </is>
      </c>
      <c r="H981" t="inlineStr">
        <is>
          <t>4kW 1S</t>
        </is>
      </c>
      <c r="I981">
        <v>374</v>
      </c>
      <c r="J981">
        <f>GS04/124.2</f>
        <v>0</v>
      </c>
      <c r="M981" t="inlineStr">
        <is>
          <t>-124K26.6</t>
        </is>
      </c>
    </row>
    <row r="982">
      <c r="A982">
        <v>981</v>
      </c>
      <c r="B982">
        <f>GS04</f>
        <v>0</v>
      </c>
      <c r="C982" t="inlineStr">
        <is>
          <t>+LS1</t>
        </is>
      </c>
      <c r="D982" t="inlineStr">
        <is>
          <t>-124K26.7</t>
        </is>
      </c>
      <c r="E982" t="inlineStr">
        <is>
          <t>22_DIL-E</t>
        </is>
      </c>
      <c r="F982" t="inlineStr">
        <is>
          <t>22_DIL-E</t>
        </is>
      </c>
      <c r="G982" t="inlineStr">
        <is>
          <t>HILFSKONTAKTBLOCK</t>
        </is>
      </c>
      <c r="H982" t="inlineStr">
        <is>
          <t>2S 2OE Last+Hilfsschuetz</t>
        </is>
      </c>
      <c r="I982">
        <v>374</v>
      </c>
      <c r="J982">
        <f>GS04/124.2</f>
        <v>0</v>
      </c>
      <c r="M982" t="inlineStr">
        <is>
          <t>-124K26.7</t>
        </is>
      </c>
    </row>
    <row r="983">
      <c r="A983">
        <v>982</v>
      </c>
      <c r="B983">
        <f>GS04</f>
        <v>0</v>
      </c>
      <c r="C983" t="inlineStr">
        <is>
          <t>+LS1</t>
        </is>
      </c>
      <c r="D983" t="inlineStr">
        <is>
          <t>-124K26.7</t>
        </is>
      </c>
      <c r="E983" t="inlineStr">
        <is>
          <t>DIL_EM-10-G</t>
        </is>
      </c>
      <c r="F983" t="inlineStr">
        <is>
          <t>22_DIL-E</t>
        </is>
      </c>
      <c r="G983" t="inlineStr">
        <is>
          <t>LASTSCHUETZ</t>
        </is>
      </c>
      <c r="H983" t="inlineStr">
        <is>
          <t>4kW 1S</t>
        </is>
      </c>
      <c r="I983">
        <v>374</v>
      </c>
      <c r="J983">
        <f>GS04/124.2</f>
        <v>0</v>
      </c>
      <c r="M983" t="inlineStr">
        <is>
          <t>-124K26.7</t>
        </is>
      </c>
    </row>
    <row r="984">
      <c r="A984">
        <v>983</v>
      </c>
      <c r="B984">
        <f>GS04</f>
        <v>0</v>
      </c>
      <c r="C984" t="inlineStr">
        <is>
          <t>+LS1</t>
        </is>
      </c>
      <c r="D984" t="inlineStr">
        <is>
          <t>-124KA1</t>
        </is>
      </c>
      <c r="E984" t="inlineStr">
        <is>
          <t>DIL_ER-31-G</t>
        </is>
      </c>
      <c r="F984" t="inlineStr">
        <is>
          <t>31_DIL-E</t>
        </is>
      </c>
      <c r="G984" t="inlineStr">
        <is>
          <t>HILFSSCHUETZ</t>
        </is>
      </c>
      <c r="H984" t="inlineStr">
        <is>
          <t>3S 1OE</t>
        </is>
      </c>
      <c r="I984">
        <v>374</v>
      </c>
      <c r="J984">
        <f>GS04/124.4</f>
        <v>0</v>
      </c>
      <c r="M984" t="inlineStr">
        <is>
          <t>-124KA1</t>
        </is>
      </c>
    </row>
    <row r="985">
      <c r="A985">
        <v>984</v>
      </c>
      <c r="B985">
        <f>GS04</f>
        <v>0</v>
      </c>
      <c r="C985" t="inlineStr">
        <is>
          <t>+LS1</t>
        </is>
      </c>
      <c r="D985" t="inlineStr">
        <is>
          <t>-124KA1</t>
        </is>
      </c>
      <c r="E985" t="inlineStr">
        <is>
          <t>31_DIL-E</t>
        </is>
      </c>
      <c r="F985" t="inlineStr">
        <is>
          <t>31_DIL-E</t>
        </is>
      </c>
      <c r="G985" t="inlineStr">
        <is>
          <t>HILFSKONTAKTBLOCK</t>
        </is>
      </c>
      <c r="H985" t="inlineStr">
        <is>
          <t>3S 1OE Last+Hilsschuetz</t>
        </is>
      </c>
      <c r="I985">
        <v>374</v>
      </c>
      <c r="J985">
        <f>GS04/124.4</f>
        <v>0</v>
      </c>
      <c r="M985" t="inlineStr">
        <is>
          <t>-124KA1</t>
        </is>
      </c>
    </row>
    <row r="986">
      <c r="A986">
        <v>985</v>
      </c>
      <c r="B986">
        <f>GS04</f>
        <v>0</v>
      </c>
      <c r="C986" t="inlineStr">
        <is>
          <t>+LS1</t>
        </is>
      </c>
      <c r="D986" t="inlineStr">
        <is>
          <t>-124KA2</t>
        </is>
      </c>
      <c r="E986" t="inlineStr">
        <is>
          <t>DIL_ER-22-G</t>
        </is>
      </c>
      <c r="F986" t="inlineStr">
        <is>
          <t>#KALK!</t>
        </is>
      </c>
      <c r="G986" t="inlineStr">
        <is>
          <t>HILFSSCHUETZ</t>
        </is>
      </c>
      <c r="H986" t="inlineStr">
        <is>
          <t>2S 2OE</t>
        </is>
      </c>
      <c r="I986">
        <v>374</v>
      </c>
      <c r="J986">
        <f>GS04/124.5</f>
        <v>0</v>
      </c>
      <c r="M986" t="inlineStr">
        <is>
          <t>-124KA2</t>
        </is>
      </c>
    </row>
    <row r="987">
      <c r="A987">
        <v>986</v>
      </c>
      <c r="B987">
        <f>GS04</f>
        <v>0</v>
      </c>
      <c r="C987" t="inlineStr">
        <is>
          <t>+LS1</t>
        </is>
      </c>
      <c r="D987" t="inlineStr">
        <is>
          <t>-124KA3</t>
        </is>
      </c>
      <c r="E987" t="inlineStr">
        <is>
          <t>DIL_ER-40-G</t>
        </is>
      </c>
      <c r="F987" t="inlineStr">
        <is>
          <t>#KALK!</t>
        </is>
      </c>
      <c r="G987" t="inlineStr">
        <is>
          <t>HILFSSCHUETZ</t>
        </is>
      </c>
      <c r="H987" t="inlineStr">
        <is>
          <t>4S</t>
        </is>
      </c>
      <c r="I987">
        <v>374</v>
      </c>
      <c r="J987">
        <f>GS04/124.6</f>
        <v>0</v>
      </c>
      <c r="M987" t="inlineStr">
        <is>
          <t>-124KA3</t>
        </is>
      </c>
    </row>
    <row r="988">
      <c r="A988">
        <v>987</v>
      </c>
      <c r="B988">
        <f>GS07</f>
        <v>0</v>
      </c>
      <c r="C988" t="inlineStr">
        <is>
          <t>+LS01</t>
        </is>
      </c>
      <c r="D988" t="inlineStr">
        <is>
          <t>-124Q106.5</t>
        </is>
      </c>
      <c r="E988" t="inlineStr">
        <is>
          <t>DILMC12-10(24VDC)</t>
        </is>
      </c>
      <c r="F988" t="inlineStr">
        <is>
          <t>#KALK!</t>
        </is>
      </c>
      <c r="G988" t="inlineStr">
        <is>
          <t>LASTSCHUETZ</t>
        </is>
      </c>
      <c r="H988" t="inlineStr">
        <is>
          <t>5,5kW 1S Federzugkl.</t>
        </is>
      </c>
      <c r="I988">
        <v>283</v>
      </c>
      <c r="J988">
        <f>GS07/124.4</f>
        <v>0</v>
      </c>
      <c r="K988" t="inlineStr">
        <is>
          <t>DIL MC12</t>
        </is>
      </c>
      <c r="M988" t="inlineStr">
        <is>
          <t>-124Q106.5</t>
        </is>
      </c>
    </row>
    <row r="989">
      <c r="A989">
        <v>988</v>
      </c>
      <c r="B989">
        <f>GS36</f>
        <v>0</v>
      </c>
      <c r="C989" t="inlineStr">
        <is>
          <t>+LS01</t>
        </is>
      </c>
      <c r="D989" t="inlineStr">
        <is>
          <t>-124Q108.0</t>
        </is>
      </c>
      <c r="E989" t="inlineStr">
        <is>
          <t>DILM-9-10</t>
        </is>
      </c>
      <c r="F989" t="inlineStr">
        <is>
          <t>#KALK!</t>
        </is>
      </c>
      <c r="G989" t="inlineStr">
        <is>
          <t>LASTSCHUETZ</t>
        </is>
      </c>
      <c r="H989" t="inlineStr">
        <is>
          <t>4kW 1S Federzugkl.</t>
        </is>
      </c>
      <c r="I989">
        <v>296</v>
      </c>
      <c r="J989">
        <f>GS36/124.5</f>
        <v>0</v>
      </c>
      <c r="L989" t="inlineStr">
        <is>
          <t>KF_0203</t>
        </is>
      </c>
      <c r="M989" t="inlineStr">
        <is>
          <t>KF_0203
-124Q108.0</t>
        </is>
      </c>
      <c r="N989" t="inlineStr">
        <is>
          <t>P</t>
        </is>
      </c>
    </row>
    <row r="990">
      <c r="A990">
        <v>989</v>
      </c>
      <c r="B990">
        <f>GS51</f>
        <v>0</v>
      </c>
      <c r="C990" t="inlineStr">
        <is>
          <t>+LS19</t>
        </is>
      </c>
      <c r="D990" t="inlineStr">
        <is>
          <t>-1255Q1</t>
        </is>
      </c>
      <c r="E990" t="inlineStr">
        <is>
          <t>DILA-XHI22</t>
        </is>
      </c>
      <c r="F990" t="inlineStr">
        <is>
          <t>DILA-XHI22</t>
        </is>
      </c>
      <c r="G990" t="inlineStr">
        <is>
          <t>HILFSKONTAKTBLOCK</t>
        </is>
      </c>
      <c r="H990" t="inlineStr">
        <is>
          <t>2S 2OE Last+Hilfssch. Cage</t>
        </is>
      </c>
      <c r="I990">
        <v>1194</v>
      </c>
      <c r="J990">
        <f>GS51/1255.6</f>
        <v>0</v>
      </c>
      <c r="K990" t="inlineStr">
        <is>
          <t>DIL MC25</t>
        </is>
      </c>
      <c r="M990" t="inlineStr">
        <is>
          <t>-1255Q1</t>
        </is>
      </c>
    </row>
    <row r="991">
      <c r="A991">
        <v>990</v>
      </c>
      <c r="B991">
        <f>GS51</f>
        <v>0</v>
      </c>
      <c r="C991" t="inlineStr">
        <is>
          <t>+LS19</t>
        </is>
      </c>
      <c r="D991" t="inlineStr">
        <is>
          <t>-1255Q1</t>
        </is>
      </c>
      <c r="E991" t="inlineStr">
        <is>
          <t>DILMC25-10(RDC24)</t>
        </is>
      </c>
      <c r="F991" t="inlineStr">
        <is>
          <t>DILA-XHI22</t>
        </is>
      </c>
      <c r="G991" t="inlineStr">
        <is>
          <t>LASTSCHUETZ</t>
        </is>
      </c>
      <c r="H991" t="inlineStr">
        <is>
          <t>11kW 1S Federzugkl.</t>
        </is>
      </c>
      <c r="I991">
        <v>1194</v>
      </c>
      <c r="J991">
        <f>GS51/1255.6</f>
        <v>0</v>
      </c>
      <c r="K991" t="inlineStr">
        <is>
          <t>DIL MC25</t>
        </is>
      </c>
      <c r="M991" t="inlineStr">
        <is>
          <t>-1255Q1</t>
        </is>
      </c>
    </row>
    <row r="992">
      <c r="A992">
        <v>991</v>
      </c>
      <c r="B992">
        <f>GS51</f>
        <v>0</v>
      </c>
      <c r="C992" t="inlineStr">
        <is>
          <t>+LS19</t>
        </is>
      </c>
      <c r="D992" t="inlineStr">
        <is>
          <t>-1259Q781.6</t>
        </is>
      </c>
      <c r="E992" t="inlineStr">
        <is>
          <t>DILM-9-10</t>
        </is>
      </c>
      <c r="F992" t="inlineStr">
        <is>
          <t>#KALK!</t>
        </is>
      </c>
      <c r="G992" t="inlineStr">
        <is>
          <t>LASTSCHUETZ</t>
        </is>
      </c>
      <c r="H992" t="inlineStr">
        <is>
          <t>4kW 1S Federzugkl.</t>
        </is>
      </c>
      <c r="I992">
        <v>1389</v>
      </c>
      <c r="J992">
        <f>GS51/1259.6</f>
        <v>0</v>
      </c>
      <c r="K992" t="inlineStr">
        <is>
          <t>DIL MC9</t>
        </is>
      </c>
      <c r="M992" t="inlineStr">
        <is>
          <t>-1259Q781.6</t>
        </is>
      </c>
    </row>
    <row r="993">
      <c r="A993">
        <v>992</v>
      </c>
      <c r="B993">
        <f>GC03</f>
        <v>0</v>
      </c>
      <c r="C993" t="inlineStr">
        <is>
          <t>+LS2</t>
        </is>
      </c>
      <c r="D993" t="inlineStr">
        <is>
          <t>-125K1</t>
        </is>
      </c>
      <c r="E993" t="inlineStr">
        <is>
          <t>22_DIL-M</t>
        </is>
      </c>
      <c r="F993" t="inlineStr">
        <is>
          <t>22_DIL-M</t>
        </is>
      </c>
      <c r="G993" t="inlineStr">
        <is>
          <t>HILFSKONTAKTBLOCK</t>
        </is>
      </c>
      <c r="H993" t="inlineStr">
        <is>
          <t>2S 2OE Lastschuetz DIL M</t>
        </is>
      </c>
      <c r="I993">
        <v>3576</v>
      </c>
      <c r="J993">
        <f>GC03/125.2</f>
        <v>0</v>
      </c>
      <c r="K993" t="inlineStr">
        <is>
          <t>DIL0AM</t>
        </is>
      </c>
      <c r="M993" t="inlineStr">
        <is>
          <t>-125K1</t>
        </is>
      </c>
    </row>
    <row r="994">
      <c r="A994">
        <v>993</v>
      </c>
      <c r="B994">
        <f>GC03</f>
        <v>0</v>
      </c>
      <c r="C994" t="inlineStr">
        <is>
          <t>+LS2</t>
        </is>
      </c>
      <c r="D994" t="inlineStr">
        <is>
          <t>-125K1</t>
        </is>
      </c>
      <c r="E994" t="inlineStr">
        <is>
          <t>DIL_0AM</t>
        </is>
      </c>
      <c r="F994" t="inlineStr">
        <is>
          <t>22_DIL-M</t>
        </is>
      </c>
      <c r="G994" t="inlineStr">
        <is>
          <t>LASTSCHUETZ</t>
        </is>
      </c>
      <c r="H994" t="inlineStr">
        <is>
          <t>11 kW</t>
        </is>
      </c>
      <c r="I994">
        <v>3576</v>
      </c>
      <c r="J994">
        <f>GC03/125.2</f>
        <v>0</v>
      </c>
      <c r="K994" t="inlineStr">
        <is>
          <t>DIL0AM</t>
        </is>
      </c>
      <c r="M994" t="inlineStr">
        <is>
          <t>-125K1</t>
        </is>
      </c>
    </row>
    <row r="995">
      <c r="A995">
        <v>994</v>
      </c>
      <c r="B995">
        <f>GS11</f>
        <v>0</v>
      </c>
      <c r="C995" t="inlineStr">
        <is>
          <t>+LS2</t>
        </is>
      </c>
      <c r="D995" t="inlineStr">
        <is>
          <t>-125K1</t>
        </is>
      </c>
      <c r="E995" t="inlineStr">
        <is>
          <t>22_DIL-M</t>
        </is>
      </c>
      <c r="F995" t="inlineStr">
        <is>
          <t>22_DIL-M</t>
        </is>
      </c>
      <c r="G995" t="inlineStr">
        <is>
          <t>HILFSKONTAKTBLOCK</t>
        </is>
      </c>
      <c r="H995" t="inlineStr">
        <is>
          <t>2S 2OE Lastschuetz DIL M</t>
        </is>
      </c>
      <c r="I995">
        <v>236</v>
      </c>
      <c r="J995">
        <f>GS11/125.2</f>
        <v>0</v>
      </c>
      <c r="K995" t="inlineStr">
        <is>
          <t>DIL0AM</t>
        </is>
      </c>
      <c r="M995" t="inlineStr">
        <is>
          <t>-125K1</t>
        </is>
      </c>
    </row>
    <row r="996">
      <c r="A996">
        <v>995</v>
      </c>
      <c r="B996">
        <f>GS11</f>
        <v>0</v>
      </c>
      <c r="C996" t="inlineStr">
        <is>
          <t>+LS2</t>
        </is>
      </c>
      <c r="D996" t="inlineStr">
        <is>
          <t>-125K1</t>
        </is>
      </c>
      <c r="E996" t="inlineStr">
        <is>
          <t>DIL_0AM</t>
        </is>
      </c>
      <c r="F996" t="inlineStr">
        <is>
          <t>22_DIL-M</t>
        </is>
      </c>
      <c r="G996" t="inlineStr">
        <is>
          <t>LASTSCHUETZ</t>
        </is>
      </c>
      <c r="H996" t="inlineStr">
        <is>
          <t>11 kW</t>
        </is>
      </c>
      <c r="I996">
        <v>236</v>
      </c>
      <c r="J996">
        <f>GS11/125.2</f>
        <v>0</v>
      </c>
      <c r="K996" t="inlineStr">
        <is>
          <t>DIL0AM</t>
        </is>
      </c>
      <c r="M996" t="inlineStr">
        <is>
          <t>-125K1</t>
        </is>
      </c>
    </row>
    <row r="997">
      <c r="A997">
        <v>996</v>
      </c>
      <c r="B997">
        <f>GS21</f>
        <v>0</v>
      </c>
      <c r="C997" t="inlineStr">
        <is>
          <t>+LS2</t>
        </is>
      </c>
      <c r="D997" t="inlineStr">
        <is>
          <t>-125K1</t>
        </is>
      </c>
      <c r="E997" t="inlineStr">
        <is>
          <t>DIL_0AM</t>
        </is>
      </c>
      <c r="F997" t="inlineStr">
        <is>
          <t>22_DIL-M</t>
        </is>
      </c>
      <c r="G997" t="inlineStr">
        <is>
          <t>LASTSCHUETZ</t>
        </is>
      </c>
      <c r="H997" t="inlineStr">
        <is>
          <t>11 kW</t>
        </is>
      </c>
      <c r="I997">
        <v>210</v>
      </c>
      <c r="J997">
        <f>GS21/125.2</f>
        <v>0</v>
      </c>
      <c r="K997" t="inlineStr">
        <is>
          <t>DIL0AM</t>
        </is>
      </c>
      <c r="M997" t="inlineStr">
        <is>
          <t>-125K1</t>
        </is>
      </c>
    </row>
    <row r="998">
      <c r="A998">
        <v>997</v>
      </c>
      <c r="B998">
        <f>GS21</f>
        <v>0</v>
      </c>
      <c r="C998" t="inlineStr">
        <is>
          <t>+LS2</t>
        </is>
      </c>
      <c r="D998" t="inlineStr">
        <is>
          <t>-125K1</t>
        </is>
      </c>
      <c r="E998" t="inlineStr">
        <is>
          <t>22_DIL-M</t>
        </is>
      </c>
      <c r="F998" t="inlineStr">
        <is>
          <t>22_DIL-M</t>
        </is>
      </c>
      <c r="G998" t="inlineStr">
        <is>
          <t>HILFSKONTAKTBLOCK</t>
        </is>
      </c>
      <c r="H998" t="inlineStr">
        <is>
          <t>2S 2OE Lastschuetz DIL M</t>
        </is>
      </c>
      <c r="I998">
        <v>210</v>
      </c>
      <c r="J998">
        <f>GS21/125.2</f>
        <v>0</v>
      </c>
      <c r="K998" t="inlineStr">
        <is>
          <t>DIL0AM</t>
        </is>
      </c>
      <c r="M998" t="inlineStr">
        <is>
          <t>-125K1</t>
        </is>
      </c>
    </row>
    <row r="999">
      <c r="A999">
        <v>998</v>
      </c>
      <c r="B999">
        <f>GS25</f>
        <v>0</v>
      </c>
      <c r="C999" t="inlineStr">
        <is>
          <t>+LS2</t>
        </is>
      </c>
      <c r="D999" t="inlineStr">
        <is>
          <t>-125K1</t>
        </is>
      </c>
      <c r="E999" t="inlineStr">
        <is>
          <t>DIL_0AM</t>
        </is>
      </c>
      <c r="F999" t="inlineStr">
        <is>
          <t>22_DIL-M</t>
        </is>
      </c>
      <c r="G999" t="inlineStr">
        <is>
          <t>LASTSCHUETZ</t>
        </is>
      </c>
      <c r="H999" t="inlineStr">
        <is>
          <t>11 kW</t>
        </is>
      </c>
      <c r="I999">
        <v>246</v>
      </c>
      <c r="J999">
        <f>GS25/125.2</f>
        <v>0</v>
      </c>
      <c r="K999" t="inlineStr">
        <is>
          <t>DIL0AM</t>
        </is>
      </c>
      <c r="M999" t="inlineStr">
        <is>
          <t>-125K1</t>
        </is>
      </c>
    </row>
    <row r="1000">
      <c r="A1000">
        <v>999</v>
      </c>
      <c r="B1000">
        <f>GS25</f>
        <v>0</v>
      </c>
      <c r="C1000" t="inlineStr">
        <is>
          <t>+LS2</t>
        </is>
      </c>
      <c r="D1000" t="inlineStr">
        <is>
          <t>-125K1</t>
        </is>
      </c>
      <c r="E1000" t="inlineStr">
        <is>
          <t>22_DIL-M</t>
        </is>
      </c>
      <c r="F1000" t="inlineStr">
        <is>
          <t>22_DIL-M</t>
        </is>
      </c>
      <c r="G1000" t="inlineStr">
        <is>
          <t>HILFSKONTAKTBLOCK</t>
        </is>
      </c>
      <c r="H1000" t="inlineStr">
        <is>
          <t>2S 2OE Lastschuetz DIL M</t>
        </is>
      </c>
      <c r="I1000">
        <v>246</v>
      </c>
      <c r="J1000">
        <f>GS25/125.2</f>
        <v>0</v>
      </c>
      <c r="K1000" t="inlineStr">
        <is>
          <t>DIL0AM</t>
        </is>
      </c>
      <c r="M1000" t="inlineStr">
        <is>
          <t>-125K1</t>
        </is>
      </c>
    </row>
    <row r="1001">
      <c r="A1001">
        <v>1000</v>
      </c>
      <c r="B1001">
        <f>GS32</f>
        <v>0</v>
      </c>
      <c r="C1001" t="inlineStr">
        <is>
          <t>+LS2</t>
        </is>
      </c>
      <c r="D1001" t="inlineStr">
        <is>
          <t>-125K1</t>
        </is>
      </c>
      <c r="E1001" t="inlineStr">
        <is>
          <t>22_DIL-M</t>
        </is>
      </c>
      <c r="F1001" t="inlineStr">
        <is>
          <t>22_DIL-M</t>
        </is>
      </c>
      <c r="G1001" t="inlineStr">
        <is>
          <t>HILFSKONTAKTBLOCK</t>
        </is>
      </c>
      <c r="H1001" t="inlineStr">
        <is>
          <t>2S 2OE Lastschuetz DIL M</t>
        </is>
      </c>
      <c r="I1001">
        <v>934</v>
      </c>
      <c r="J1001">
        <f>GS32/125.3</f>
        <v>0</v>
      </c>
      <c r="K1001" t="inlineStr">
        <is>
          <t>DIL2AM</t>
        </is>
      </c>
      <c r="M1001" t="inlineStr">
        <is>
          <t>-125K1</t>
        </is>
      </c>
    </row>
    <row r="1002">
      <c r="A1002">
        <v>1001</v>
      </c>
      <c r="B1002">
        <f>GS32</f>
        <v>0</v>
      </c>
      <c r="C1002" t="inlineStr">
        <is>
          <t>+LS2</t>
        </is>
      </c>
      <c r="D1002" t="inlineStr">
        <is>
          <t>-125K1</t>
        </is>
      </c>
      <c r="E1002" t="inlineStr">
        <is>
          <t>DIL_2AM</t>
        </is>
      </c>
      <c r="F1002" t="inlineStr">
        <is>
          <t>22_DIL-M</t>
        </is>
      </c>
      <c r="G1002" t="inlineStr">
        <is>
          <t>LASTSCHUETZ</t>
        </is>
      </c>
      <c r="H1002" t="inlineStr">
        <is>
          <t>30 kW</t>
        </is>
      </c>
      <c r="I1002">
        <v>934</v>
      </c>
      <c r="J1002">
        <f>GS32/125.3</f>
        <v>0</v>
      </c>
      <c r="K1002" t="inlineStr">
        <is>
          <t>DIL2AM</t>
        </is>
      </c>
      <c r="M1002" t="inlineStr">
        <is>
          <t>-125K1</t>
        </is>
      </c>
    </row>
    <row r="1003">
      <c r="A1003">
        <v>1002</v>
      </c>
      <c r="B1003">
        <f>GS20</f>
        <v>0</v>
      </c>
      <c r="C1003" t="inlineStr">
        <is>
          <t>+LS01</t>
        </is>
      </c>
      <c r="D1003" t="inlineStr">
        <is>
          <t>-125K102.4</t>
        </is>
      </c>
      <c r="E1003" t="inlineStr">
        <is>
          <t>DILA-40</t>
        </is>
      </c>
      <c r="F1003" t="inlineStr">
        <is>
          <t>#KALK!</t>
        </is>
      </c>
      <c r="G1003" t="inlineStr">
        <is>
          <t>HILFSSCHUETZ</t>
        </is>
      </c>
      <c r="H1003" t="inlineStr">
        <is>
          <t>4S Federzugkl.</t>
        </is>
      </c>
      <c r="I1003">
        <v>2035</v>
      </c>
      <c r="J1003">
        <f>GS20/125.7</f>
        <v>0</v>
      </c>
      <c r="M1003" t="inlineStr">
        <is>
          <t>-125K102.4</t>
        </is>
      </c>
    </row>
    <row r="1004">
      <c r="A1004">
        <v>1003</v>
      </c>
      <c r="B1004">
        <f>GS46</f>
        <v>0</v>
      </c>
      <c r="C1004" t="inlineStr">
        <is>
          <t>+LS01</t>
        </is>
      </c>
      <c r="D1004" t="inlineStr">
        <is>
          <t>-125K144.0</t>
        </is>
      </c>
      <c r="E1004" t="inlineStr">
        <is>
          <t>DILA-40</t>
        </is>
      </c>
      <c r="F1004" t="inlineStr">
        <is>
          <t>#KALK!</t>
        </is>
      </c>
      <c r="G1004" t="inlineStr">
        <is>
          <t>HILFSSCHUETZ</t>
        </is>
      </c>
      <c r="H1004" t="inlineStr">
        <is>
          <t>4S Federzugkl.</t>
        </is>
      </c>
      <c r="I1004">
        <v>439</v>
      </c>
      <c r="J1004">
        <f>GS46/125.7</f>
        <v>0</v>
      </c>
      <c r="M1004" t="inlineStr">
        <is>
          <t>-125K144.0</t>
        </is>
      </c>
    </row>
    <row r="1005">
      <c r="A1005">
        <v>1004</v>
      </c>
      <c r="B1005">
        <f>GS47</f>
        <v>0</v>
      </c>
      <c r="C1005" t="inlineStr">
        <is>
          <t>+LS01</t>
        </is>
      </c>
      <c r="D1005" t="inlineStr">
        <is>
          <t>-125K144.0</t>
        </is>
      </c>
      <c r="E1005" t="inlineStr">
        <is>
          <t>DILA-40</t>
        </is>
      </c>
      <c r="F1005" t="inlineStr">
        <is>
          <t>#KALK!</t>
        </is>
      </c>
      <c r="G1005" t="inlineStr">
        <is>
          <t>HILFSSCHUETZ</t>
        </is>
      </c>
      <c r="H1005" t="inlineStr">
        <is>
          <t>4S Federzugkl.</t>
        </is>
      </c>
      <c r="I1005">
        <v>439</v>
      </c>
      <c r="J1005">
        <f>GS47/125.7</f>
        <v>0</v>
      </c>
      <c r="M1005" t="inlineStr">
        <is>
          <t>-125K144.0</t>
        </is>
      </c>
    </row>
    <row r="1006">
      <c r="A1006">
        <v>1005</v>
      </c>
      <c r="B1006">
        <f>GS48</f>
        <v>0</v>
      </c>
      <c r="C1006" t="inlineStr">
        <is>
          <t>+LS01</t>
        </is>
      </c>
      <c r="D1006" t="inlineStr">
        <is>
          <t>-125K144.0</t>
        </is>
      </c>
      <c r="E1006" t="inlineStr">
        <is>
          <t>DILA-40</t>
        </is>
      </c>
      <c r="F1006" t="inlineStr">
        <is>
          <t>#KALK!</t>
        </is>
      </c>
      <c r="G1006" t="inlineStr">
        <is>
          <t>HILFSSCHUETZ</t>
        </is>
      </c>
      <c r="H1006" t="inlineStr">
        <is>
          <t>4S Federzugkl.</t>
        </is>
      </c>
      <c r="I1006">
        <v>277</v>
      </c>
      <c r="J1006">
        <f>GS48/125.7</f>
        <v>0</v>
      </c>
      <c r="M1006" t="inlineStr">
        <is>
          <t>-125K144.0</t>
        </is>
      </c>
    </row>
    <row r="1007">
      <c r="A1007">
        <v>1006</v>
      </c>
      <c r="B1007">
        <f>GS49</f>
        <v>0</v>
      </c>
      <c r="C1007" t="inlineStr">
        <is>
          <t>+LS01</t>
        </is>
      </c>
      <c r="D1007" t="inlineStr">
        <is>
          <t>-125K144.0</t>
        </is>
      </c>
      <c r="E1007" t="inlineStr">
        <is>
          <t>DILA-40</t>
        </is>
      </c>
      <c r="F1007" t="inlineStr">
        <is>
          <t>#KALK!</t>
        </is>
      </c>
      <c r="G1007" t="inlineStr">
        <is>
          <t>HILFSSCHUETZ</t>
        </is>
      </c>
      <c r="H1007" t="inlineStr">
        <is>
          <t>4S Federzugkl.</t>
        </is>
      </c>
      <c r="I1007">
        <v>276</v>
      </c>
      <c r="J1007">
        <f>GS49/125.7</f>
        <v>0</v>
      </c>
      <c r="M1007" t="inlineStr">
        <is>
          <t>-125K144.0</t>
        </is>
      </c>
    </row>
    <row r="1008">
      <c r="A1008">
        <v>1007</v>
      </c>
      <c r="B1008">
        <f>GS92</f>
        <v>0</v>
      </c>
      <c r="C1008" t="inlineStr">
        <is>
          <t>+LS01</t>
        </is>
      </c>
      <c r="D1008" t="inlineStr">
        <is>
          <t>-125K152.4</t>
        </is>
      </c>
      <c r="E1008" t="inlineStr">
        <is>
          <t>DILA-40</t>
        </is>
      </c>
      <c r="F1008" t="inlineStr">
        <is>
          <t>#KALK!</t>
        </is>
      </c>
      <c r="G1008" t="inlineStr">
        <is>
          <t>HILFSSCHUETZ</t>
        </is>
      </c>
      <c r="H1008" t="inlineStr">
        <is>
          <t>4S Federzugkl.</t>
        </is>
      </c>
      <c r="I1008">
        <v>271</v>
      </c>
      <c r="J1008">
        <f>GS92/125.7</f>
        <v>0</v>
      </c>
      <c r="M1008" t="inlineStr">
        <is>
          <t>-125K152.4</t>
        </is>
      </c>
    </row>
    <row r="1009">
      <c r="A1009">
        <v>1008</v>
      </c>
      <c r="B1009">
        <f>GS93</f>
        <v>0</v>
      </c>
      <c r="C1009" t="inlineStr">
        <is>
          <t>+LS01</t>
        </is>
      </c>
      <c r="D1009" t="inlineStr">
        <is>
          <t>-125K152.4</t>
        </is>
      </c>
      <c r="E1009" t="inlineStr">
        <is>
          <t>DILA-40</t>
        </is>
      </c>
      <c r="F1009" t="inlineStr">
        <is>
          <t>#KALK!</t>
        </is>
      </c>
      <c r="G1009" t="inlineStr">
        <is>
          <t>HILFSSCHUETZ</t>
        </is>
      </c>
      <c r="H1009" t="inlineStr">
        <is>
          <t>4S Federzugkl.</t>
        </is>
      </c>
      <c r="I1009">
        <v>694</v>
      </c>
      <c r="J1009">
        <f>GS93/125.7</f>
        <v>0</v>
      </c>
      <c r="M1009" t="inlineStr">
        <is>
          <t>-125K152.4</t>
        </is>
      </c>
    </row>
    <row r="1010">
      <c r="A1010">
        <v>1009</v>
      </c>
      <c r="B1010">
        <f>GS90</f>
        <v>0</v>
      </c>
      <c r="C1010" t="inlineStr">
        <is>
          <t>+LS01</t>
        </is>
      </c>
      <c r="D1010" t="inlineStr">
        <is>
          <t>-125K157.0</t>
        </is>
      </c>
      <c r="E1010" t="inlineStr">
        <is>
          <t>DILA-40</t>
        </is>
      </c>
      <c r="F1010" t="inlineStr">
        <is>
          <t>#KALK!</t>
        </is>
      </c>
      <c r="G1010" t="inlineStr">
        <is>
          <t>HILFSSCHUETZ</t>
        </is>
      </c>
      <c r="H1010" t="inlineStr">
        <is>
          <t>4S Federzugkl.</t>
        </is>
      </c>
      <c r="I1010">
        <v>1112</v>
      </c>
      <c r="J1010">
        <f>GS90/125.7</f>
        <v>0</v>
      </c>
      <c r="M1010" t="inlineStr">
        <is>
          <t>-125K157.0</t>
        </is>
      </c>
    </row>
    <row r="1011">
      <c r="A1011">
        <v>1010</v>
      </c>
      <c r="B1011">
        <f>GS02</f>
        <v>0</v>
      </c>
      <c r="C1011" t="inlineStr">
        <is>
          <t>+LS1</t>
        </is>
      </c>
      <c r="D1011" t="inlineStr">
        <is>
          <t>-125K16.0</t>
        </is>
      </c>
      <c r="E1011" t="inlineStr">
        <is>
          <t>DIL_EM-10-G</t>
        </is>
      </c>
      <c r="F1011" t="inlineStr">
        <is>
          <t>#KALK!</t>
        </is>
      </c>
      <c r="G1011" t="inlineStr">
        <is>
          <t>LASTSCHUETZ</t>
        </is>
      </c>
      <c r="H1011" t="inlineStr">
        <is>
          <t>4kW 1S</t>
        </is>
      </c>
      <c r="I1011">
        <v>523</v>
      </c>
      <c r="J1011">
        <f>GS02/125.7</f>
        <v>0</v>
      </c>
      <c r="M1011" t="inlineStr">
        <is>
          <t>-125K16.0</t>
        </is>
      </c>
    </row>
    <row r="1012">
      <c r="A1012">
        <v>1011</v>
      </c>
      <c r="B1012">
        <f>GS34</f>
        <v>0</v>
      </c>
      <c r="C1012" t="inlineStr">
        <is>
          <t>+LS1</t>
        </is>
      </c>
      <c r="D1012" t="inlineStr">
        <is>
          <t>-125K17.0</t>
        </is>
      </c>
      <c r="E1012" t="inlineStr">
        <is>
          <t>DIL_EM-10-G</t>
        </is>
      </c>
      <c r="F1012" t="inlineStr">
        <is>
          <t>#KALK!</t>
        </is>
      </c>
      <c r="G1012" t="inlineStr">
        <is>
          <t>LASTSCHUETZ</t>
        </is>
      </c>
      <c r="H1012" t="inlineStr">
        <is>
          <t>4kW 1S</t>
        </is>
      </c>
      <c r="I1012">
        <v>249</v>
      </c>
      <c r="J1012">
        <f>GS34/125.6</f>
        <v>0</v>
      </c>
      <c r="M1012" t="inlineStr">
        <is>
          <t>-125K17.0</t>
        </is>
      </c>
    </row>
    <row r="1013">
      <c r="A1013">
        <v>1012</v>
      </c>
      <c r="B1013">
        <f>GS34</f>
        <v>0</v>
      </c>
      <c r="C1013" t="inlineStr">
        <is>
          <t>+LS1</t>
        </is>
      </c>
      <c r="D1013" t="inlineStr">
        <is>
          <t>-125K17.1</t>
        </is>
      </c>
      <c r="E1013" t="inlineStr">
        <is>
          <t>DIL_EM-10-G</t>
        </is>
      </c>
      <c r="F1013" t="inlineStr">
        <is>
          <t>#KALK!</t>
        </is>
      </c>
      <c r="G1013" t="inlineStr">
        <is>
          <t>LASTSCHUETZ</t>
        </is>
      </c>
      <c r="H1013" t="inlineStr">
        <is>
          <t>4kW 1S</t>
        </is>
      </c>
      <c r="I1013">
        <v>249</v>
      </c>
      <c r="J1013">
        <f>GS34/125.6</f>
        <v>0</v>
      </c>
      <c r="M1013" t="inlineStr">
        <is>
          <t>-125K17.1</t>
        </is>
      </c>
    </row>
    <row r="1014">
      <c r="A1014">
        <v>1013</v>
      </c>
      <c r="B1014">
        <f>GS31</f>
        <v>0</v>
      </c>
      <c r="C1014" t="inlineStr">
        <is>
          <t>+LS1</t>
        </is>
      </c>
      <c r="D1014" t="inlineStr">
        <is>
          <t>-125K20.0</t>
        </is>
      </c>
      <c r="E1014" t="inlineStr">
        <is>
          <t>DIL_EM-10-G</t>
        </is>
      </c>
      <c r="F1014" t="inlineStr">
        <is>
          <t>#KALK!</t>
        </is>
      </c>
      <c r="G1014" t="inlineStr">
        <is>
          <t>LASTSCHUETZ</t>
        </is>
      </c>
      <c r="H1014" t="inlineStr">
        <is>
          <t>4kW 1S</t>
        </is>
      </c>
      <c r="I1014">
        <v>409</v>
      </c>
      <c r="J1014">
        <f>GS31/125.6</f>
        <v>0</v>
      </c>
      <c r="M1014" t="inlineStr">
        <is>
          <t>-125K20.0</t>
        </is>
      </c>
    </row>
    <row r="1015">
      <c r="A1015">
        <v>1014</v>
      </c>
      <c r="B1015">
        <f>GS31</f>
        <v>0</v>
      </c>
      <c r="C1015" t="inlineStr">
        <is>
          <t>+LS1</t>
        </is>
      </c>
      <c r="D1015" t="inlineStr">
        <is>
          <t>-125K20.1</t>
        </is>
      </c>
      <c r="E1015" t="inlineStr">
        <is>
          <t>DIL_EM-10-G</t>
        </is>
      </c>
      <c r="F1015" t="inlineStr">
        <is>
          <t>#KALK!</t>
        </is>
      </c>
      <c r="G1015" t="inlineStr">
        <is>
          <t>LASTSCHUETZ</t>
        </is>
      </c>
      <c r="H1015" t="inlineStr">
        <is>
          <t>4kW 1S</t>
        </is>
      </c>
      <c r="I1015">
        <v>409</v>
      </c>
      <c r="J1015">
        <f>GS31/125.6</f>
        <v>0</v>
      </c>
      <c r="M1015" t="inlineStr">
        <is>
          <t>-125K20.1</t>
        </is>
      </c>
    </row>
    <row r="1016">
      <c r="A1016">
        <v>1015</v>
      </c>
      <c r="B1016">
        <f>GS37</f>
        <v>0</v>
      </c>
      <c r="C1016" t="inlineStr">
        <is>
          <t>+LS01</t>
        </is>
      </c>
      <c r="D1016" t="inlineStr">
        <is>
          <t>-125K412.4</t>
        </is>
      </c>
      <c r="E1016" t="inlineStr">
        <is>
          <t>DILA-40</t>
        </is>
      </c>
      <c r="F1016" t="inlineStr">
        <is>
          <t>#KALK!</t>
        </is>
      </c>
      <c r="G1016" t="inlineStr">
        <is>
          <t>HILFSSCHUETZ</t>
        </is>
      </c>
      <c r="H1016" t="inlineStr">
        <is>
          <t>4S Federzugkl.</t>
        </is>
      </c>
      <c r="I1016">
        <v>346</v>
      </c>
      <c r="J1016">
        <f>GS37/125.7</f>
        <v>0</v>
      </c>
      <c r="M1016" t="inlineStr">
        <is>
          <t>-125K412.4</t>
        </is>
      </c>
    </row>
    <row r="1017">
      <c r="A1017">
        <v>1016</v>
      </c>
      <c r="B1017">
        <f>GS01</f>
        <v>0</v>
      </c>
      <c r="C1017" t="inlineStr">
        <is>
          <t>+LS2</t>
        </is>
      </c>
      <c r="D1017" t="inlineStr">
        <is>
          <t>-125K86.3</t>
        </is>
      </c>
      <c r="E1017" t="inlineStr">
        <is>
          <t>DIL_EM-10-G</t>
        </is>
      </c>
      <c r="F1017" t="inlineStr">
        <is>
          <t>#KALK!</t>
        </is>
      </c>
      <c r="G1017" t="inlineStr">
        <is>
          <t>LASTSCHUETZ</t>
        </is>
      </c>
      <c r="H1017" t="inlineStr">
        <is>
          <t>4kW 1S</t>
        </is>
      </c>
      <c r="I1017">
        <v>287</v>
      </c>
      <c r="J1017">
        <f>GS01/125.7</f>
        <v>0</v>
      </c>
      <c r="M1017" t="inlineStr">
        <is>
          <t>-125K86.3</t>
        </is>
      </c>
    </row>
    <row r="1018">
      <c r="A1018">
        <v>1017</v>
      </c>
      <c r="B1018">
        <f>GS79</f>
        <v>0</v>
      </c>
      <c r="C1018" t="inlineStr">
        <is>
          <t>+LS[l2]</t>
        </is>
      </c>
      <c r="D1018" t="inlineStr">
        <is>
          <t>-125Q[a+164].4</t>
        </is>
      </c>
      <c r="E1018" t="inlineStr">
        <is>
          <t>DILM-9-10</t>
        </is>
      </c>
      <c r="F1018" t="inlineStr">
        <is>
          <t>#KALK!</t>
        </is>
      </c>
      <c r="G1018" t="inlineStr">
        <is>
          <t>LASTSCHUETZ</t>
        </is>
      </c>
      <c r="H1018" t="inlineStr">
        <is>
          <t>4kW 1S Federzugkl.</t>
        </is>
      </c>
      <c r="I1018">
        <v>166</v>
      </c>
      <c r="J1018">
        <f>GS79/125.6</f>
        <v>0</v>
      </c>
      <c r="M1018" t="inlineStr">
        <is>
          <t>-125Q[a+164].4</t>
        </is>
      </c>
    </row>
    <row r="1019">
      <c r="A1019">
        <v>1018</v>
      </c>
      <c r="B1019">
        <f>GS79</f>
        <v>0</v>
      </c>
      <c r="C1019" t="inlineStr">
        <is>
          <t>+LS[l2]</t>
        </is>
      </c>
      <c r="D1019" t="inlineStr">
        <is>
          <t>-125Q[a+164].4</t>
        </is>
      </c>
      <c r="E1019" t="inlineStr">
        <is>
          <t>DILM-9-10</t>
        </is>
      </c>
      <c r="F1019" t="inlineStr">
        <is>
          <t>#KALK!</t>
        </is>
      </c>
      <c r="G1019" t="inlineStr">
        <is>
          <t>LASTSCHUETZ</t>
        </is>
      </c>
      <c r="H1019" t="inlineStr">
        <is>
          <t>4kW 1S Federzugkl.</t>
        </is>
      </c>
      <c r="I1019">
        <v>217</v>
      </c>
      <c r="J1019">
        <f>GS79/125.6</f>
        <v>0</v>
      </c>
      <c r="M1019" t="inlineStr">
        <is>
          <t>-125Q[a+164].4</t>
        </is>
      </c>
    </row>
    <row r="1020">
      <c r="A1020">
        <v>1019</v>
      </c>
      <c r="B1020">
        <f>GS20</f>
        <v>0</v>
      </c>
      <c r="C1020" t="inlineStr">
        <is>
          <t>+LS01</t>
        </is>
      </c>
      <c r="D1020" t="inlineStr">
        <is>
          <t>-125Q1</t>
        </is>
      </c>
      <c r="E1020" t="inlineStr">
        <is>
          <t>DILA-XHI22</t>
        </is>
      </c>
      <c r="F1020" t="inlineStr">
        <is>
          <t>DILA-XHI22</t>
        </is>
      </c>
      <c r="G1020" t="inlineStr">
        <is>
          <t>HILFSKONTAKTBLOCK</t>
        </is>
      </c>
      <c r="H1020" t="inlineStr">
        <is>
          <t>2S 2OE Last+Hilfssch. Cage</t>
        </is>
      </c>
      <c r="I1020">
        <v>2035</v>
      </c>
      <c r="J1020">
        <f>GS20/125.4</f>
        <v>0</v>
      </c>
      <c r="K1020" t="inlineStr">
        <is>
          <t>DIL MC25</t>
        </is>
      </c>
      <c r="M1020" t="inlineStr">
        <is>
          <t>-125Q1</t>
        </is>
      </c>
    </row>
    <row r="1021">
      <c r="A1021">
        <v>1020</v>
      </c>
      <c r="B1021">
        <f>GS20</f>
        <v>0</v>
      </c>
      <c r="C1021" t="inlineStr">
        <is>
          <t>+LS01</t>
        </is>
      </c>
      <c r="D1021" t="inlineStr">
        <is>
          <t>-125Q1</t>
        </is>
      </c>
      <c r="E1021" t="inlineStr">
        <is>
          <t>DILMC25-10(RDC24)</t>
        </is>
      </c>
      <c r="F1021" t="inlineStr">
        <is>
          <t>DILA-XHI22</t>
        </is>
      </c>
      <c r="G1021" t="inlineStr">
        <is>
          <t>LASTSCHUETZ</t>
        </is>
      </c>
      <c r="H1021" t="inlineStr">
        <is>
          <t>11kW 1S Federzugkl.</t>
        </is>
      </c>
      <c r="I1021">
        <v>2035</v>
      </c>
      <c r="J1021">
        <f>GS20/125.4</f>
        <v>0</v>
      </c>
      <c r="K1021" t="inlineStr">
        <is>
          <t>DIL MC25</t>
        </is>
      </c>
      <c r="M1021" t="inlineStr">
        <is>
          <t>-125Q1</t>
        </is>
      </c>
    </row>
    <row r="1022">
      <c r="A1022">
        <v>1021</v>
      </c>
      <c r="B1022">
        <f>GS37</f>
        <v>0</v>
      </c>
      <c r="C1022" t="inlineStr">
        <is>
          <t>+LS01</t>
        </is>
      </c>
      <c r="D1022" t="inlineStr">
        <is>
          <t>-125Q1</t>
        </is>
      </c>
      <c r="E1022" t="inlineStr">
        <is>
          <t>DILMC25-10(RDC24)</t>
        </is>
      </c>
      <c r="F1022" t="inlineStr">
        <is>
          <t>DILA-XHI22</t>
        </is>
      </c>
      <c r="G1022" t="inlineStr">
        <is>
          <t>LASTSCHUETZ</t>
        </is>
      </c>
      <c r="H1022" t="inlineStr">
        <is>
          <t>11kW 1S Federzugkl.</t>
        </is>
      </c>
      <c r="I1022">
        <v>346</v>
      </c>
      <c r="J1022">
        <f>GS37/125.5</f>
        <v>0</v>
      </c>
      <c r="K1022" t="inlineStr">
        <is>
          <t>DIL MC25</t>
        </is>
      </c>
      <c r="M1022" t="inlineStr">
        <is>
          <t>-125Q1</t>
        </is>
      </c>
    </row>
    <row r="1023">
      <c r="A1023">
        <v>1022</v>
      </c>
      <c r="B1023">
        <f>GS37</f>
        <v>0</v>
      </c>
      <c r="C1023" t="inlineStr">
        <is>
          <t>+LS01</t>
        </is>
      </c>
      <c r="D1023" t="inlineStr">
        <is>
          <t>-125Q1</t>
        </is>
      </c>
      <c r="E1023" t="inlineStr">
        <is>
          <t>DILA-XHI22</t>
        </is>
      </c>
      <c r="F1023" t="inlineStr">
        <is>
          <t>DILA-XHI22</t>
        </is>
      </c>
      <c r="G1023" t="inlineStr">
        <is>
          <t>HILFSKONTAKTBLOCK</t>
        </is>
      </c>
      <c r="H1023" t="inlineStr">
        <is>
          <t>2S 2OE Last+Hilfssch. Cage</t>
        </is>
      </c>
      <c r="I1023">
        <v>346</v>
      </c>
      <c r="J1023">
        <f>GS37/125.5</f>
        <v>0</v>
      </c>
      <c r="K1023" t="inlineStr">
        <is>
          <t>DIL MC25</t>
        </is>
      </c>
      <c r="M1023" t="inlineStr">
        <is>
          <t>-125Q1</t>
        </is>
      </c>
    </row>
    <row r="1024">
      <c r="A1024">
        <v>1023</v>
      </c>
      <c r="B1024">
        <f>GS46</f>
        <v>0</v>
      </c>
      <c r="C1024" t="inlineStr">
        <is>
          <t>+LS01</t>
        </is>
      </c>
      <c r="D1024" t="inlineStr">
        <is>
          <t>-125Q1</t>
        </is>
      </c>
      <c r="E1024" t="inlineStr">
        <is>
          <t>DILMC40(RDC24)</t>
        </is>
      </c>
      <c r="F1024" t="inlineStr">
        <is>
          <t>DILM150-XHIC22</t>
        </is>
      </c>
      <c r="G1024" t="inlineStr">
        <is>
          <t>LASTSCHUETZ</t>
        </is>
      </c>
      <c r="H1024" t="inlineStr">
        <is>
          <t>18,5kW Federzugkl.</t>
        </is>
      </c>
      <c r="I1024">
        <v>439</v>
      </c>
      <c r="J1024">
        <f>GS46/125.2</f>
        <v>0</v>
      </c>
      <c r="K1024" t="inlineStr">
        <is>
          <t>DIL MC40</t>
        </is>
      </c>
      <c r="M1024" t="inlineStr">
        <is>
          <t>-125Q1</t>
        </is>
      </c>
    </row>
    <row r="1025">
      <c r="A1025">
        <v>1024</v>
      </c>
      <c r="B1025">
        <f>GS46</f>
        <v>0</v>
      </c>
      <c r="C1025" t="inlineStr">
        <is>
          <t>+LS01</t>
        </is>
      </c>
      <c r="D1025" t="inlineStr">
        <is>
          <t>-125Q1</t>
        </is>
      </c>
      <c r="E1025" t="inlineStr">
        <is>
          <t>DILM150-XHIC22</t>
        </is>
      </c>
      <c r="F1025" t="inlineStr">
        <is>
          <t>DILM150-XHIC22</t>
        </is>
      </c>
      <c r="G1025" t="inlineStr">
        <is>
          <t>HILFSKONTAKTBLOCK</t>
        </is>
      </c>
      <c r="H1025" t="inlineStr">
        <is>
          <t>2S 2OE ab DILMC40</t>
        </is>
      </c>
      <c r="I1025">
        <v>439</v>
      </c>
      <c r="J1025">
        <f>GS46/125.2</f>
        <v>0</v>
      </c>
      <c r="K1025" t="inlineStr">
        <is>
          <t>DIL MC40</t>
        </is>
      </c>
      <c r="M1025" t="inlineStr">
        <is>
          <t>-125Q1</t>
        </is>
      </c>
    </row>
    <row r="1026">
      <c r="A1026">
        <v>1025</v>
      </c>
      <c r="B1026">
        <f>GS47</f>
        <v>0</v>
      </c>
      <c r="C1026" t="inlineStr">
        <is>
          <t>+LS01</t>
        </is>
      </c>
      <c r="D1026" t="inlineStr">
        <is>
          <t>-125Q1</t>
        </is>
      </c>
      <c r="E1026" t="inlineStr">
        <is>
          <t>DILMC40(RDC24)</t>
        </is>
      </c>
      <c r="F1026" t="inlineStr">
        <is>
          <t>DILM150-XHIC22</t>
        </is>
      </c>
      <c r="G1026" t="inlineStr">
        <is>
          <t>LASTSCHUETZ</t>
        </is>
      </c>
      <c r="H1026" t="inlineStr">
        <is>
          <t>18,5kW Federzugkl.</t>
        </is>
      </c>
      <c r="I1026">
        <v>439</v>
      </c>
      <c r="J1026">
        <f>GS47/125.2</f>
        <v>0</v>
      </c>
      <c r="K1026" t="inlineStr">
        <is>
          <t>DIL MC40</t>
        </is>
      </c>
      <c r="M1026" t="inlineStr">
        <is>
          <t>-125Q1</t>
        </is>
      </c>
    </row>
    <row r="1027">
      <c r="A1027">
        <v>1026</v>
      </c>
      <c r="B1027">
        <f>GS47</f>
        <v>0</v>
      </c>
      <c r="C1027" t="inlineStr">
        <is>
          <t>+LS01</t>
        </is>
      </c>
      <c r="D1027" t="inlineStr">
        <is>
          <t>-125Q1</t>
        </is>
      </c>
      <c r="E1027" t="inlineStr">
        <is>
          <t>DILM150-XHIC22</t>
        </is>
      </c>
      <c r="F1027" t="inlineStr">
        <is>
          <t>DILM150-XHIC22</t>
        </is>
      </c>
      <c r="G1027" t="inlineStr">
        <is>
          <t>HILFSKONTAKTBLOCK</t>
        </is>
      </c>
      <c r="H1027" t="inlineStr">
        <is>
          <t>2S 2OE ab DILMC40</t>
        </is>
      </c>
      <c r="I1027">
        <v>439</v>
      </c>
      <c r="J1027">
        <f>GS47/125.2</f>
        <v>0</v>
      </c>
      <c r="K1027" t="inlineStr">
        <is>
          <t>DIL MC40</t>
        </is>
      </c>
      <c r="M1027" t="inlineStr">
        <is>
          <t>-125Q1</t>
        </is>
      </c>
    </row>
    <row r="1028">
      <c r="A1028">
        <v>1027</v>
      </c>
      <c r="B1028">
        <f>GS48</f>
        <v>0</v>
      </c>
      <c r="C1028" t="inlineStr">
        <is>
          <t>+LS01</t>
        </is>
      </c>
      <c r="D1028" t="inlineStr">
        <is>
          <t>-125Q1</t>
        </is>
      </c>
      <c r="E1028" t="inlineStr">
        <is>
          <t>DILMC40(RDC24)</t>
        </is>
      </c>
      <c r="F1028" t="inlineStr">
        <is>
          <t>DILM150-XHIC22</t>
        </is>
      </c>
      <c r="G1028" t="inlineStr">
        <is>
          <t>LASTSCHUETZ</t>
        </is>
      </c>
      <c r="H1028" t="inlineStr">
        <is>
          <t>18,5kW Federzugkl.</t>
        </is>
      </c>
      <c r="I1028">
        <v>277</v>
      </c>
      <c r="J1028">
        <f>GS48/125.2</f>
        <v>0</v>
      </c>
      <c r="K1028" t="inlineStr">
        <is>
          <t>DIL MC40</t>
        </is>
      </c>
      <c r="M1028" t="inlineStr">
        <is>
          <t>-125Q1</t>
        </is>
      </c>
    </row>
    <row r="1029">
      <c r="A1029">
        <v>1028</v>
      </c>
      <c r="B1029">
        <f>GS48</f>
        <v>0</v>
      </c>
      <c r="C1029" t="inlineStr">
        <is>
          <t>+LS01</t>
        </is>
      </c>
      <c r="D1029" t="inlineStr">
        <is>
          <t>-125Q1</t>
        </is>
      </c>
      <c r="E1029" t="inlineStr">
        <is>
          <t>DILM150-XHIC22</t>
        </is>
      </c>
      <c r="F1029" t="inlineStr">
        <is>
          <t>DILM150-XHIC22</t>
        </is>
      </c>
      <c r="G1029" t="inlineStr">
        <is>
          <t>HILFSKONTAKTBLOCK</t>
        </is>
      </c>
      <c r="H1029" t="inlineStr">
        <is>
          <t>2S 2OE ab DILMC40</t>
        </is>
      </c>
      <c r="I1029">
        <v>277</v>
      </c>
      <c r="J1029">
        <f>GS48/125.2</f>
        <v>0</v>
      </c>
      <c r="K1029" t="inlineStr">
        <is>
          <t>DIL MC40</t>
        </is>
      </c>
      <c r="M1029" t="inlineStr">
        <is>
          <t>-125Q1</t>
        </is>
      </c>
    </row>
    <row r="1030">
      <c r="A1030">
        <v>1029</v>
      </c>
      <c r="B1030">
        <f>GS49</f>
        <v>0</v>
      </c>
      <c r="C1030" t="inlineStr">
        <is>
          <t>+LS01</t>
        </is>
      </c>
      <c r="D1030" t="inlineStr">
        <is>
          <t>-125Q1</t>
        </is>
      </c>
      <c r="E1030" t="inlineStr">
        <is>
          <t>DILMC40(RDC24)</t>
        </is>
      </c>
      <c r="F1030" t="inlineStr">
        <is>
          <t>DILM150-XHIC22</t>
        </is>
      </c>
      <c r="G1030" t="inlineStr">
        <is>
          <t>LASTSCHUETZ</t>
        </is>
      </c>
      <c r="H1030" t="inlineStr">
        <is>
          <t>18,5kW Federzugkl.</t>
        </is>
      </c>
      <c r="I1030">
        <v>276</v>
      </c>
      <c r="J1030">
        <f>GS49/125.2</f>
        <v>0</v>
      </c>
      <c r="K1030" t="inlineStr">
        <is>
          <t>DIL MC40</t>
        </is>
      </c>
      <c r="M1030" t="inlineStr">
        <is>
          <t>-125Q1</t>
        </is>
      </c>
    </row>
    <row r="1031">
      <c r="A1031">
        <v>1030</v>
      </c>
      <c r="B1031">
        <f>GS49</f>
        <v>0</v>
      </c>
      <c r="C1031" t="inlineStr">
        <is>
          <t>+LS01</t>
        </is>
      </c>
      <c r="D1031" t="inlineStr">
        <is>
          <t>-125Q1</t>
        </is>
      </c>
      <c r="E1031" t="inlineStr">
        <is>
          <t>DILM150-XHIC22</t>
        </is>
      </c>
      <c r="F1031" t="inlineStr">
        <is>
          <t>DILM150-XHIC22</t>
        </is>
      </c>
      <c r="G1031" t="inlineStr">
        <is>
          <t>HILFSKONTAKTBLOCK</t>
        </is>
      </c>
      <c r="H1031" t="inlineStr">
        <is>
          <t>2S 2OE ab DILMC40</t>
        </is>
      </c>
      <c r="I1031">
        <v>276</v>
      </c>
      <c r="J1031">
        <f>GS49/125.2</f>
        <v>0</v>
      </c>
      <c r="K1031" t="inlineStr">
        <is>
          <t>DIL MC40</t>
        </is>
      </c>
      <c r="M1031" t="inlineStr">
        <is>
          <t>-125Q1</t>
        </is>
      </c>
    </row>
    <row r="1032">
      <c r="A1032">
        <v>1031</v>
      </c>
      <c r="B1032">
        <f>GS51</f>
        <v>0</v>
      </c>
      <c r="C1032" t="inlineStr">
        <is>
          <t>+LS01</t>
        </is>
      </c>
      <c r="D1032" t="inlineStr">
        <is>
          <t>-125Q1</t>
        </is>
      </c>
      <c r="E1032" t="inlineStr">
        <is>
          <t>DILA-XHI22</t>
        </is>
      </c>
      <c r="F1032" t="inlineStr">
        <is>
          <t>DILA-XHI22</t>
        </is>
      </c>
      <c r="G1032" t="inlineStr">
        <is>
          <t>HILFSKONTAKTBLOCK</t>
        </is>
      </c>
      <c r="H1032" t="inlineStr">
        <is>
          <t>2S 2OE Last+Hilfssch. Cage</t>
        </is>
      </c>
      <c r="I1032">
        <v>325</v>
      </c>
      <c r="J1032">
        <f>GS51/125.6</f>
        <v>0</v>
      </c>
      <c r="K1032" t="inlineStr">
        <is>
          <t>DIL MC25</t>
        </is>
      </c>
      <c r="M1032" t="inlineStr">
        <is>
          <t>-125Q1</t>
        </is>
      </c>
    </row>
    <row r="1033">
      <c r="A1033">
        <v>1032</v>
      </c>
      <c r="B1033">
        <f>GS51</f>
        <v>0</v>
      </c>
      <c r="C1033" t="inlineStr">
        <is>
          <t>+LS01</t>
        </is>
      </c>
      <c r="D1033" t="inlineStr">
        <is>
          <t>-125Q1</t>
        </is>
      </c>
      <c r="E1033" t="inlineStr">
        <is>
          <t>DILMC25-10(RDC24)</t>
        </is>
      </c>
      <c r="F1033" t="inlineStr">
        <is>
          <t>DILA-XHI22</t>
        </is>
      </c>
      <c r="G1033" t="inlineStr">
        <is>
          <t>LASTSCHUETZ</t>
        </is>
      </c>
      <c r="H1033" t="inlineStr">
        <is>
          <t>11kW 1S Federzugkl.</t>
        </is>
      </c>
      <c r="I1033">
        <v>325</v>
      </c>
      <c r="J1033">
        <f>GS51/125.6</f>
        <v>0</v>
      </c>
      <c r="K1033" t="inlineStr">
        <is>
          <t>DIL MC25</t>
        </is>
      </c>
      <c r="M1033" t="inlineStr">
        <is>
          <t>-125Q1</t>
        </is>
      </c>
    </row>
    <row r="1034">
      <c r="A1034">
        <v>1033</v>
      </c>
      <c r="B1034">
        <f>GS55</f>
        <v>0</v>
      </c>
      <c r="C1034" t="inlineStr">
        <is>
          <t>+LS01</t>
        </is>
      </c>
      <c r="D1034" t="inlineStr">
        <is>
          <t>-125Q1</t>
        </is>
      </c>
      <c r="E1034" t="inlineStr">
        <is>
          <t>DILA-XHI22</t>
        </is>
      </c>
      <c r="F1034" t="inlineStr">
        <is>
          <t>DILA-XHI22</t>
        </is>
      </c>
      <c r="G1034" t="inlineStr">
        <is>
          <t>HILFSKONTAKTBLOCK</t>
        </is>
      </c>
      <c r="H1034" t="inlineStr">
        <is>
          <t>2S 2OE Last+Hilfssch. Cage</t>
        </is>
      </c>
      <c r="I1034">
        <v>398</v>
      </c>
      <c r="J1034">
        <f>GS55/125.6</f>
        <v>0</v>
      </c>
      <c r="K1034" t="inlineStr">
        <is>
          <t>DIL MC25</t>
        </is>
      </c>
      <c r="M1034" t="inlineStr">
        <is>
          <t>-125Q1</t>
        </is>
      </c>
    </row>
    <row r="1035">
      <c r="A1035">
        <v>1034</v>
      </c>
      <c r="B1035">
        <f>GS55</f>
        <v>0</v>
      </c>
      <c r="C1035" t="inlineStr">
        <is>
          <t>+LS01</t>
        </is>
      </c>
      <c r="D1035" t="inlineStr">
        <is>
          <t>-125Q1</t>
        </is>
      </c>
      <c r="E1035" t="inlineStr">
        <is>
          <t>DILMC25-10(RDC24)</t>
        </is>
      </c>
      <c r="F1035" t="inlineStr">
        <is>
          <t>DILA-XHI22</t>
        </is>
      </c>
      <c r="G1035" t="inlineStr">
        <is>
          <t>LASTSCHUETZ</t>
        </is>
      </c>
      <c r="H1035" t="inlineStr">
        <is>
          <t>11kW 1S Federzugkl.</t>
        </is>
      </c>
      <c r="I1035">
        <v>398</v>
      </c>
      <c r="J1035">
        <f>GS55/125.6</f>
        <v>0</v>
      </c>
      <c r="K1035" t="inlineStr">
        <is>
          <t>DIL MC25</t>
        </is>
      </c>
      <c r="M1035" t="inlineStr">
        <is>
          <t>-125Q1</t>
        </is>
      </c>
    </row>
    <row r="1036">
      <c r="A1036">
        <v>1035</v>
      </c>
      <c r="B1036">
        <f>GS90</f>
        <v>0</v>
      </c>
      <c r="C1036" t="inlineStr">
        <is>
          <t>+LS01</t>
        </is>
      </c>
      <c r="D1036" t="inlineStr">
        <is>
          <t>-125Q1</t>
        </is>
      </c>
      <c r="E1036" t="inlineStr">
        <is>
          <t>DILA-XHI22</t>
        </is>
      </c>
      <c r="F1036" t="inlineStr">
        <is>
          <t>DILA-XHI22</t>
        </is>
      </c>
      <c r="G1036" t="inlineStr">
        <is>
          <t>HILFSKONTAKTBLOCK</t>
        </is>
      </c>
      <c r="H1036" t="inlineStr">
        <is>
          <t>2S 2OE Last+Hilfssch. Cage</t>
        </is>
      </c>
      <c r="I1036">
        <v>1112</v>
      </c>
      <c r="J1036">
        <f>GS90/125.4</f>
        <v>0</v>
      </c>
      <c r="K1036" t="inlineStr">
        <is>
          <t>DIL MC25</t>
        </is>
      </c>
      <c r="M1036" t="inlineStr">
        <is>
          <t>-125Q1</t>
        </is>
      </c>
    </row>
    <row r="1037">
      <c r="A1037">
        <v>1036</v>
      </c>
      <c r="B1037">
        <f>GS90</f>
        <v>0</v>
      </c>
      <c r="C1037" t="inlineStr">
        <is>
          <t>+LS01</t>
        </is>
      </c>
      <c r="D1037" t="inlineStr">
        <is>
          <t>-125Q1</t>
        </is>
      </c>
      <c r="E1037" t="inlineStr">
        <is>
          <t>DILMC25-10(RDC24)</t>
        </is>
      </c>
      <c r="F1037" t="inlineStr">
        <is>
          <t>DILA-XHI22</t>
        </is>
      </c>
      <c r="G1037" t="inlineStr">
        <is>
          <t>LASTSCHUETZ</t>
        </is>
      </c>
      <c r="H1037" t="inlineStr">
        <is>
          <t>11kW 1S Federzugkl.</t>
        </is>
      </c>
      <c r="I1037">
        <v>1112</v>
      </c>
      <c r="J1037">
        <f>GS90/125.4</f>
        <v>0</v>
      </c>
      <c r="K1037" t="inlineStr">
        <is>
          <t>DIL MC25</t>
        </is>
      </c>
      <c r="M1037" t="inlineStr">
        <is>
          <t>-125Q1</t>
        </is>
      </c>
    </row>
    <row r="1038">
      <c r="A1038">
        <v>1037</v>
      </c>
      <c r="B1038">
        <f>GS92</f>
        <v>0</v>
      </c>
      <c r="C1038" t="inlineStr">
        <is>
          <t>+LS01</t>
        </is>
      </c>
      <c r="D1038" t="inlineStr">
        <is>
          <t>-125Q1</t>
        </is>
      </c>
      <c r="E1038" t="inlineStr">
        <is>
          <t>DILA-XHI22</t>
        </is>
      </c>
      <c r="F1038" t="inlineStr">
        <is>
          <t>DILA-XHI22</t>
        </is>
      </c>
      <c r="G1038" t="inlineStr">
        <is>
          <t>HILFSKONTAKTBLOCK</t>
        </is>
      </c>
      <c r="H1038" t="inlineStr">
        <is>
          <t>2S 2OE Last+Hilfssch. Cage</t>
        </is>
      </c>
      <c r="I1038">
        <v>271</v>
      </c>
      <c r="J1038">
        <f>GS92/125.4</f>
        <v>0</v>
      </c>
      <c r="K1038" t="inlineStr">
        <is>
          <t>DIL MC25</t>
        </is>
      </c>
      <c r="M1038" t="inlineStr">
        <is>
          <t>-125Q1</t>
        </is>
      </c>
    </row>
    <row r="1039">
      <c r="A1039">
        <v>1038</v>
      </c>
      <c r="B1039">
        <f>GS92</f>
        <v>0</v>
      </c>
      <c r="C1039" t="inlineStr">
        <is>
          <t>+LS01</t>
        </is>
      </c>
      <c r="D1039" t="inlineStr">
        <is>
          <t>-125Q1</t>
        </is>
      </c>
      <c r="E1039" t="inlineStr">
        <is>
          <t>DILMC25-10(RDC24)</t>
        </is>
      </c>
      <c r="F1039" t="inlineStr">
        <is>
          <t>DILA-XHI22</t>
        </is>
      </c>
      <c r="G1039" t="inlineStr">
        <is>
          <t>LASTSCHUETZ</t>
        </is>
      </c>
      <c r="H1039" t="inlineStr">
        <is>
          <t>11kW 1S Federzugkl.</t>
        </is>
      </c>
      <c r="I1039">
        <v>271</v>
      </c>
      <c r="J1039">
        <f>GS92/125.4</f>
        <v>0</v>
      </c>
      <c r="K1039" t="inlineStr">
        <is>
          <t>DIL MC25</t>
        </is>
      </c>
      <c r="M1039" t="inlineStr">
        <is>
          <t>-125Q1</t>
        </is>
      </c>
    </row>
    <row r="1040">
      <c r="A1040">
        <v>1039</v>
      </c>
      <c r="B1040">
        <f>GS93</f>
        <v>0</v>
      </c>
      <c r="C1040" t="inlineStr">
        <is>
          <t>+LS01</t>
        </is>
      </c>
      <c r="D1040" t="inlineStr">
        <is>
          <t>-125Q1</t>
        </is>
      </c>
      <c r="E1040" t="inlineStr">
        <is>
          <t>DILMC25-10(RDC24)</t>
        </is>
      </c>
      <c r="F1040" t="inlineStr">
        <is>
          <t>DILA-XHI22</t>
        </is>
      </c>
      <c r="G1040" t="inlineStr">
        <is>
          <t>LASTSCHUETZ</t>
        </is>
      </c>
      <c r="H1040" t="inlineStr">
        <is>
          <t>11kW 1S Federzugkl.</t>
        </is>
      </c>
      <c r="I1040">
        <v>694</v>
      </c>
      <c r="J1040">
        <f>GS93/125.4</f>
        <v>0</v>
      </c>
      <c r="K1040" t="inlineStr">
        <is>
          <t>DIL MC25</t>
        </is>
      </c>
      <c r="M1040" t="inlineStr">
        <is>
          <t>-125Q1</t>
        </is>
      </c>
    </row>
    <row r="1041">
      <c r="A1041">
        <v>1040</v>
      </c>
      <c r="B1041">
        <f>GS93</f>
        <v>0</v>
      </c>
      <c r="C1041" t="inlineStr">
        <is>
          <t>+LS01</t>
        </is>
      </c>
      <c r="D1041" t="inlineStr">
        <is>
          <t>-125Q1</t>
        </is>
      </c>
      <c r="E1041" t="inlineStr">
        <is>
          <t>DILA-XHI22</t>
        </is>
      </c>
      <c r="F1041" t="inlineStr">
        <is>
          <t>DILA-XHI22</t>
        </is>
      </c>
      <c r="G1041" t="inlineStr">
        <is>
          <t>HILFSKONTAKTBLOCK</t>
        </is>
      </c>
      <c r="H1041" t="inlineStr">
        <is>
          <t>2S 2OE Last+Hilfssch. Cage</t>
        </is>
      </c>
      <c r="I1041">
        <v>694</v>
      </c>
      <c r="J1041">
        <f>GS93/125.4</f>
        <v>0</v>
      </c>
      <c r="K1041" t="inlineStr">
        <is>
          <t>DIL MC25</t>
        </is>
      </c>
      <c r="M1041" t="inlineStr">
        <is>
          <t>-125Q1</t>
        </is>
      </c>
    </row>
    <row r="1042">
      <c r="A1042">
        <v>1041</v>
      </c>
      <c r="B1042">
        <f>GS36</f>
        <v>0</v>
      </c>
      <c r="C1042" t="inlineStr">
        <is>
          <t>+LS01</t>
        </is>
      </c>
      <c r="D1042" t="inlineStr">
        <is>
          <t>-125Q108.1</t>
        </is>
      </c>
      <c r="E1042" t="inlineStr">
        <is>
          <t>DILMC25-10(RDC24)</t>
        </is>
      </c>
      <c r="F1042" t="inlineStr">
        <is>
          <t>DILA-XHI22</t>
        </is>
      </c>
      <c r="G1042" t="inlineStr">
        <is>
          <t>LASTSCHUETZ</t>
        </is>
      </c>
      <c r="H1042" t="inlineStr">
        <is>
          <t>11kW 1S Federzugkl.</t>
        </is>
      </c>
      <c r="I1042">
        <v>297</v>
      </c>
      <c r="J1042">
        <f>GS36/125.5</f>
        <v>0</v>
      </c>
      <c r="K1042" t="inlineStr">
        <is>
          <t>DIL MC25</t>
        </is>
      </c>
      <c r="L1042" t="inlineStr">
        <is>
          <t>HT_0203</t>
        </is>
      </c>
      <c r="M1042" t="inlineStr">
        <is>
          <t>HT_0203
-125Q108.1</t>
        </is>
      </c>
      <c r="N1042" t="inlineStr">
        <is>
          <t>P</t>
        </is>
      </c>
    </row>
    <row r="1043">
      <c r="A1043">
        <v>1042</v>
      </c>
      <c r="B1043">
        <f>GS36</f>
        <v>0</v>
      </c>
      <c r="C1043" t="inlineStr">
        <is>
          <t>+LS01</t>
        </is>
      </c>
      <c r="D1043" t="inlineStr">
        <is>
          <t>-125Q108.1</t>
        </is>
      </c>
      <c r="E1043" t="inlineStr">
        <is>
          <t>DILA-XHI22</t>
        </is>
      </c>
      <c r="F1043" t="inlineStr">
        <is>
          <t>DILA-XHI22</t>
        </is>
      </c>
      <c r="G1043" t="inlineStr">
        <is>
          <t>HILFSKONTAKTBLOCK</t>
        </is>
      </c>
      <c r="H1043" t="inlineStr">
        <is>
          <t>2S 2OE Last+Hilfssch. Cage</t>
        </is>
      </c>
      <c r="I1043">
        <v>297</v>
      </c>
      <c r="J1043">
        <f>GS36/125.5</f>
        <v>0</v>
      </c>
      <c r="K1043" t="inlineStr">
        <is>
          <t>DIL MC25</t>
        </is>
      </c>
      <c r="L1043" t="inlineStr">
        <is>
          <t>HT_0203</t>
        </is>
      </c>
      <c r="M1043" t="inlineStr">
        <is>
          <t>HT_0203
-125Q108.1</t>
        </is>
      </c>
      <c r="N1043" t="inlineStr">
        <is>
          <t>P</t>
        </is>
      </c>
    </row>
    <row r="1044">
      <c r="A1044">
        <v>1043</v>
      </c>
      <c r="B1044">
        <f>GS46</f>
        <v>0</v>
      </c>
      <c r="C1044" t="inlineStr">
        <is>
          <t>+LS01</t>
        </is>
      </c>
      <c r="D1044" t="inlineStr">
        <is>
          <t>-125Q2</t>
        </is>
      </c>
      <c r="E1044" t="inlineStr">
        <is>
          <t>DILM-9-10</t>
        </is>
      </c>
      <c r="F1044" t="inlineStr">
        <is>
          <t>DILA-XHI22</t>
        </is>
      </c>
      <c r="G1044" t="inlineStr">
        <is>
          <t>LASTSCHUETZ</t>
        </is>
      </c>
      <c r="H1044" t="inlineStr">
        <is>
          <t>4kW 1S Federzugkl.</t>
        </is>
      </c>
      <c r="I1044">
        <v>439</v>
      </c>
      <c r="J1044">
        <f>GS46/125.3</f>
        <v>0</v>
      </c>
      <c r="M1044" t="inlineStr">
        <is>
          <t>-125Q2</t>
        </is>
      </c>
    </row>
    <row r="1045">
      <c r="A1045">
        <v>1044</v>
      </c>
      <c r="B1045">
        <f>GS46</f>
        <v>0</v>
      </c>
      <c r="C1045" t="inlineStr">
        <is>
          <t>+LS01</t>
        </is>
      </c>
      <c r="D1045" t="inlineStr">
        <is>
          <t>-125Q2</t>
        </is>
      </c>
      <c r="E1045" t="inlineStr">
        <is>
          <t>DILA-XHI22</t>
        </is>
      </c>
      <c r="F1045" t="inlineStr">
        <is>
          <t>DILA-XHI22</t>
        </is>
      </c>
      <c r="G1045" t="inlineStr">
        <is>
          <t>HILFSKONTAKTBLOCK</t>
        </is>
      </c>
      <c r="H1045" t="inlineStr">
        <is>
          <t>2S 2OE Last+Hilfssch. Cage</t>
        </is>
      </c>
      <c r="I1045">
        <v>439</v>
      </c>
      <c r="J1045">
        <f>GS46/125.3</f>
        <v>0</v>
      </c>
      <c r="M1045" t="inlineStr">
        <is>
          <t>-125Q2</t>
        </is>
      </c>
    </row>
    <row r="1046">
      <c r="A1046">
        <v>1045</v>
      </c>
      <c r="B1046">
        <f>GS47</f>
        <v>0</v>
      </c>
      <c r="C1046" t="inlineStr">
        <is>
          <t>+LS01</t>
        </is>
      </c>
      <c r="D1046" t="inlineStr">
        <is>
          <t>-125Q2</t>
        </is>
      </c>
      <c r="E1046" t="inlineStr">
        <is>
          <t>DILM-9-10</t>
        </is>
      </c>
      <c r="F1046" t="inlineStr">
        <is>
          <t>DILA-XHI22</t>
        </is>
      </c>
      <c r="G1046" t="inlineStr">
        <is>
          <t>LASTSCHUETZ</t>
        </is>
      </c>
      <c r="H1046" t="inlineStr">
        <is>
          <t>4kW 1S Federzugkl.</t>
        </is>
      </c>
      <c r="I1046">
        <v>439</v>
      </c>
      <c r="J1046">
        <f>GS47/125.3</f>
        <v>0</v>
      </c>
      <c r="M1046" t="inlineStr">
        <is>
          <t>-125Q2</t>
        </is>
      </c>
    </row>
    <row r="1047">
      <c r="A1047">
        <v>1046</v>
      </c>
      <c r="B1047">
        <f>GS47</f>
        <v>0</v>
      </c>
      <c r="C1047" t="inlineStr">
        <is>
          <t>+LS01</t>
        </is>
      </c>
      <c r="D1047" t="inlineStr">
        <is>
          <t>-125Q2</t>
        </is>
      </c>
      <c r="E1047" t="inlineStr">
        <is>
          <t>DILA-XHI22</t>
        </is>
      </c>
      <c r="F1047" t="inlineStr">
        <is>
          <t>DILA-XHI22</t>
        </is>
      </c>
      <c r="G1047" t="inlineStr">
        <is>
          <t>HILFSKONTAKTBLOCK</t>
        </is>
      </c>
      <c r="H1047" t="inlineStr">
        <is>
          <t>2S 2OE Last+Hilfssch. Cage</t>
        </is>
      </c>
      <c r="I1047">
        <v>439</v>
      </c>
      <c r="J1047">
        <f>GS47/125.3</f>
        <v>0</v>
      </c>
      <c r="M1047" t="inlineStr">
        <is>
          <t>-125Q2</t>
        </is>
      </c>
    </row>
    <row r="1048">
      <c r="A1048">
        <v>1047</v>
      </c>
      <c r="B1048">
        <f>GS48</f>
        <v>0</v>
      </c>
      <c r="C1048" t="inlineStr">
        <is>
          <t>+LS01</t>
        </is>
      </c>
      <c r="D1048" t="inlineStr">
        <is>
          <t>-125Q2</t>
        </is>
      </c>
      <c r="E1048" t="inlineStr">
        <is>
          <t>DILA-XHI22</t>
        </is>
      </c>
      <c r="F1048" t="inlineStr">
        <is>
          <t>DILA-XHI22</t>
        </is>
      </c>
      <c r="G1048" t="inlineStr">
        <is>
          <t>HILFSKONTAKTBLOCK</t>
        </is>
      </c>
      <c r="H1048" t="inlineStr">
        <is>
          <t>2S 2OE Last+Hilfssch. Cage</t>
        </is>
      </c>
      <c r="I1048">
        <v>277</v>
      </c>
      <c r="J1048">
        <f>GS48/125.3</f>
        <v>0</v>
      </c>
      <c r="M1048" t="inlineStr">
        <is>
          <t>-125Q2</t>
        </is>
      </c>
    </row>
    <row r="1049">
      <c r="A1049">
        <v>1048</v>
      </c>
      <c r="B1049">
        <f>GS48</f>
        <v>0</v>
      </c>
      <c r="C1049" t="inlineStr">
        <is>
          <t>+LS01</t>
        </is>
      </c>
      <c r="D1049" t="inlineStr">
        <is>
          <t>-125Q2</t>
        </is>
      </c>
      <c r="E1049" t="inlineStr">
        <is>
          <t>DILM-9-10</t>
        </is>
      </c>
      <c r="F1049" t="inlineStr">
        <is>
          <t>DILA-XHI22</t>
        </is>
      </c>
      <c r="G1049" t="inlineStr">
        <is>
          <t>LASTSCHUETZ</t>
        </is>
      </c>
      <c r="H1049" t="inlineStr">
        <is>
          <t>4kW 1S Federzugkl.</t>
        </is>
      </c>
      <c r="I1049">
        <v>277</v>
      </c>
      <c r="J1049">
        <f>GS48/125.3</f>
        <v>0</v>
      </c>
      <c r="M1049" t="inlineStr">
        <is>
          <t>-125Q2</t>
        </is>
      </c>
    </row>
    <row r="1050">
      <c r="A1050">
        <v>1049</v>
      </c>
      <c r="B1050">
        <f>GS49</f>
        <v>0</v>
      </c>
      <c r="C1050" t="inlineStr">
        <is>
          <t>+LS01</t>
        </is>
      </c>
      <c r="D1050" t="inlineStr">
        <is>
          <t>-125Q2</t>
        </is>
      </c>
      <c r="E1050" t="inlineStr">
        <is>
          <t>DILM-9-10</t>
        </is>
      </c>
      <c r="F1050" t="inlineStr">
        <is>
          <t>DILA-XHI22</t>
        </is>
      </c>
      <c r="G1050" t="inlineStr">
        <is>
          <t>LASTSCHUETZ</t>
        </is>
      </c>
      <c r="H1050" t="inlineStr">
        <is>
          <t>4kW 1S Federzugkl.</t>
        </is>
      </c>
      <c r="I1050">
        <v>276</v>
      </c>
      <c r="J1050">
        <f>GS49/125.3</f>
        <v>0</v>
      </c>
      <c r="M1050" t="inlineStr">
        <is>
          <t>-125Q2</t>
        </is>
      </c>
    </row>
    <row r="1051">
      <c r="A1051">
        <v>1050</v>
      </c>
      <c r="B1051">
        <f>GS49</f>
        <v>0</v>
      </c>
      <c r="C1051" t="inlineStr">
        <is>
          <t>+LS01</t>
        </is>
      </c>
      <c r="D1051" t="inlineStr">
        <is>
          <t>-125Q2</t>
        </is>
      </c>
      <c r="E1051" t="inlineStr">
        <is>
          <t>DILA-XHI22</t>
        </is>
      </c>
      <c r="F1051" t="inlineStr">
        <is>
          <t>DILA-XHI22</t>
        </is>
      </c>
      <c r="G1051" t="inlineStr">
        <is>
          <t>HILFSKONTAKTBLOCK</t>
        </is>
      </c>
      <c r="H1051" t="inlineStr">
        <is>
          <t>2S 2OE Last+Hilfssch. Cage</t>
        </is>
      </c>
      <c r="I1051">
        <v>276</v>
      </c>
      <c r="J1051">
        <f>GS49/125.3</f>
        <v>0</v>
      </c>
      <c r="M1051" t="inlineStr">
        <is>
          <t>-125Q2</t>
        </is>
      </c>
    </row>
    <row r="1052">
      <c r="A1052">
        <v>1051</v>
      </c>
      <c r="B1052">
        <f>GS38</f>
        <v>0</v>
      </c>
      <c r="C1052" t="inlineStr">
        <is>
          <t>+LS01</t>
        </is>
      </c>
      <c r="D1052" t="inlineStr">
        <is>
          <t>-125Q705.5</t>
        </is>
      </c>
      <c r="E1052" t="inlineStr">
        <is>
          <t>DILA-XHI22</t>
        </is>
      </c>
      <c r="F1052" t="inlineStr">
        <is>
          <t>DILA-XHI22</t>
        </is>
      </c>
      <c r="G1052" t="inlineStr">
        <is>
          <t>HILFSKONTAKTBLOCK</t>
        </is>
      </c>
      <c r="H1052" t="inlineStr">
        <is>
          <t>2S 2OE Last+Hilfssch. Cage</t>
        </is>
      </c>
      <c r="I1052">
        <v>343</v>
      </c>
      <c r="J1052">
        <f>GS38/125.5</f>
        <v>0</v>
      </c>
      <c r="K1052" t="inlineStr">
        <is>
          <t>DIL MC25</t>
        </is>
      </c>
      <c r="M1052" t="inlineStr">
        <is>
          <t>-125Q705.5</t>
        </is>
      </c>
    </row>
    <row r="1053">
      <c r="A1053">
        <v>1052</v>
      </c>
      <c r="B1053">
        <f>GS38</f>
        <v>0</v>
      </c>
      <c r="C1053" t="inlineStr">
        <is>
          <t>+LS01</t>
        </is>
      </c>
      <c r="D1053" t="inlineStr">
        <is>
          <t>-125Q705.5</t>
        </is>
      </c>
      <c r="E1053" t="inlineStr">
        <is>
          <t>DILMC25-10(RDC24)</t>
        </is>
      </c>
      <c r="F1053" t="inlineStr">
        <is>
          <t>DILA-XHI22</t>
        </is>
      </c>
      <c r="G1053" t="inlineStr">
        <is>
          <t>LASTSCHUETZ</t>
        </is>
      </c>
      <c r="H1053" t="inlineStr">
        <is>
          <t>11kW 1S Federzugkl.</t>
        </is>
      </c>
      <c r="I1053">
        <v>343</v>
      </c>
      <c r="J1053">
        <f>GS38/125.5</f>
        <v>0</v>
      </c>
      <c r="K1053" t="inlineStr">
        <is>
          <t>DIL MC25</t>
        </is>
      </c>
      <c r="M1053" t="inlineStr">
        <is>
          <t>-125Q705.5</t>
        </is>
      </c>
    </row>
    <row r="1054">
      <c r="A1054">
        <v>1053</v>
      </c>
      <c r="B1054">
        <f>GS39</f>
        <v>0</v>
      </c>
      <c r="C1054" t="inlineStr">
        <is>
          <t>+LS01</t>
        </is>
      </c>
      <c r="D1054" t="inlineStr">
        <is>
          <t>-125Q705.5</t>
        </is>
      </c>
      <c r="E1054" t="inlineStr">
        <is>
          <t>DILMC25-10(RDC24)</t>
        </is>
      </c>
      <c r="F1054" t="inlineStr">
        <is>
          <t>DILA-XHI22</t>
        </is>
      </c>
      <c r="G1054" t="inlineStr">
        <is>
          <t>LASTSCHUETZ</t>
        </is>
      </c>
      <c r="H1054" t="inlineStr">
        <is>
          <t>11kW 1S Federzugkl.</t>
        </is>
      </c>
      <c r="I1054">
        <v>308</v>
      </c>
      <c r="J1054">
        <f>GS39/125.5</f>
        <v>0</v>
      </c>
      <c r="K1054" t="inlineStr">
        <is>
          <t>DIL MC25</t>
        </is>
      </c>
      <c r="M1054" t="inlineStr">
        <is>
          <t>-125Q705.5</t>
        </is>
      </c>
    </row>
    <row r="1055">
      <c r="A1055">
        <v>1054</v>
      </c>
      <c r="B1055">
        <f>GS39</f>
        <v>0</v>
      </c>
      <c r="C1055" t="inlineStr">
        <is>
          <t>+LS01</t>
        </is>
      </c>
      <c r="D1055" t="inlineStr">
        <is>
          <t>-125Q705.5</t>
        </is>
      </c>
      <c r="E1055" t="inlineStr">
        <is>
          <t>DILA-XHI22</t>
        </is>
      </c>
      <c r="F1055" t="inlineStr">
        <is>
          <t>DILA-XHI22</t>
        </is>
      </c>
      <c r="G1055" t="inlineStr">
        <is>
          <t>HILFSKONTAKTBLOCK</t>
        </is>
      </c>
      <c r="H1055" t="inlineStr">
        <is>
          <t>2S 2OE Last+Hilfssch. Cage</t>
        </is>
      </c>
      <c r="I1055">
        <v>308</v>
      </c>
      <c r="J1055">
        <f>GS39/125.5</f>
        <v>0</v>
      </c>
      <c r="K1055" t="inlineStr">
        <is>
          <t>DIL MC25</t>
        </is>
      </c>
      <c r="M1055" t="inlineStr">
        <is>
          <t>-125Q705.5</t>
        </is>
      </c>
    </row>
    <row r="1056">
      <c r="A1056">
        <v>1055</v>
      </c>
      <c r="B1056">
        <f>GS55</f>
        <v>0</v>
      </c>
      <c r="C1056" t="inlineStr">
        <is>
          <t>+LS20</t>
        </is>
      </c>
      <c r="D1056" t="inlineStr">
        <is>
          <t>-1260Q1</t>
        </is>
      </c>
      <c r="E1056" t="inlineStr">
        <is>
          <t>DILA-XHI22</t>
        </is>
      </c>
      <c r="F1056" t="inlineStr">
        <is>
          <t>DILA-XHI22</t>
        </is>
      </c>
      <c r="G1056" t="inlineStr">
        <is>
          <t>HILFSKONTAKTBLOCK</t>
        </is>
      </c>
      <c r="H1056" t="inlineStr">
        <is>
          <t>2S 2OE Last+Hilfssch. Cage</t>
        </is>
      </c>
      <c r="I1056">
        <v>1487</v>
      </c>
      <c r="J1056">
        <f>GS55/1260.6</f>
        <v>0</v>
      </c>
      <c r="K1056" t="inlineStr">
        <is>
          <t>DIL MC25</t>
        </is>
      </c>
      <c r="M1056" t="inlineStr">
        <is>
          <t>-1260Q1</t>
        </is>
      </c>
    </row>
    <row r="1057">
      <c r="A1057">
        <v>1056</v>
      </c>
      <c r="B1057">
        <f>GS55</f>
        <v>0</v>
      </c>
      <c r="C1057" t="inlineStr">
        <is>
          <t>+LS20</t>
        </is>
      </c>
      <c r="D1057" t="inlineStr">
        <is>
          <t>-1260Q1</t>
        </is>
      </c>
      <c r="E1057" t="inlineStr">
        <is>
          <t>DILMC25-10(RDC24)</t>
        </is>
      </c>
      <c r="F1057" t="inlineStr">
        <is>
          <t>DILA-XHI22</t>
        </is>
      </c>
      <c r="G1057" t="inlineStr">
        <is>
          <t>LASTSCHUETZ</t>
        </is>
      </c>
      <c r="H1057" t="inlineStr">
        <is>
          <t>11kW 1S Federzugkl.</t>
        </is>
      </c>
      <c r="I1057">
        <v>1487</v>
      </c>
      <c r="J1057">
        <f>GS55/1260.6</f>
        <v>0</v>
      </c>
      <c r="K1057" t="inlineStr">
        <is>
          <t>DIL MC25</t>
        </is>
      </c>
      <c r="M1057" t="inlineStr">
        <is>
          <t>-1260Q1</t>
        </is>
      </c>
    </row>
    <row r="1058">
      <c r="A1058">
        <v>1057</v>
      </c>
      <c r="B1058">
        <f>GS55</f>
        <v>0</v>
      </c>
      <c r="C1058" t="inlineStr">
        <is>
          <t>+LS20</t>
        </is>
      </c>
      <c r="D1058" t="inlineStr">
        <is>
          <t>-1261Q715.1</t>
        </is>
      </c>
      <c r="E1058" t="inlineStr">
        <is>
          <t>DILA-XHI22</t>
        </is>
      </c>
      <c r="F1058" t="inlineStr">
        <is>
          <t>DILA-XHI22</t>
        </is>
      </c>
      <c r="G1058" t="inlineStr">
        <is>
          <t>HILFSKONTAKTBLOCK</t>
        </is>
      </c>
      <c r="H1058" t="inlineStr">
        <is>
          <t>2S 2OE Last+Hilfssch. Cage</t>
        </is>
      </c>
      <c r="I1058">
        <v>1488</v>
      </c>
      <c r="J1058">
        <f>GS55/1261.6</f>
        <v>0</v>
      </c>
      <c r="K1058" t="inlineStr">
        <is>
          <t>DIL MC9 HT2201</t>
        </is>
      </c>
      <c r="M1058" t="inlineStr">
        <is>
          <t>-1261Q715.1</t>
        </is>
      </c>
    </row>
    <row r="1059">
      <c r="A1059">
        <v>1058</v>
      </c>
      <c r="B1059">
        <f>GS55</f>
        <v>0</v>
      </c>
      <c r="C1059" t="inlineStr">
        <is>
          <t>+LS20</t>
        </is>
      </c>
      <c r="D1059" t="inlineStr">
        <is>
          <t>-1261Q715.1</t>
        </is>
      </c>
      <c r="E1059" t="inlineStr">
        <is>
          <t>DILM-9-10</t>
        </is>
      </c>
      <c r="F1059" t="inlineStr">
        <is>
          <t>DILA-XHI22</t>
        </is>
      </c>
      <c r="G1059" t="inlineStr">
        <is>
          <t>LASTSCHUETZ</t>
        </is>
      </c>
      <c r="H1059" t="inlineStr">
        <is>
          <t>4kW 1S Federzugkl.</t>
        </is>
      </c>
      <c r="I1059">
        <v>1488</v>
      </c>
      <c r="J1059">
        <f>GS55/1261.6</f>
        <v>0</v>
      </c>
      <c r="K1059" t="inlineStr">
        <is>
          <t>DIL MC9 HT2201</t>
        </is>
      </c>
      <c r="M1059" t="inlineStr">
        <is>
          <t>-1261Q715.1</t>
        </is>
      </c>
    </row>
    <row r="1060">
      <c r="A1060">
        <v>1059</v>
      </c>
      <c r="B1060">
        <f>GS55</f>
        <v>0</v>
      </c>
      <c r="C1060" t="inlineStr">
        <is>
          <t>+LS20</t>
        </is>
      </c>
      <c r="D1060" t="inlineStr">
        <is>
          <t>-1261Q715.2</t>
        </is>
      </c>
      <c r="E1060" t="inlineStr">
        <is>
          <t>DILA-XHI22</t>
        </is>
      </c>
      <c r="F1060" t="inlineStr">
        <is>
          <t>DILA-XHI22</t>
        </is>
      </c>
      <c r="G1060" t="inlineStr">
        <is>
          <t>HILFSKONTAKTBLOCK</t>
        </is>
      </c>
      <c r="H1060" t="inlineStr">
        <is>
          <t>2S 2OE Last+Hilfssch. Cage</t>
        </is>
      </c>
      <c r="I1060">
        <v>1488</v>
      </c>
      <c r="J1060">
        <f>GS55/1261.7</f>
        <v>0</v>
      </c>
      <c r="K1060" t="inlineStr">
        <is>
          <t>DIL MC9 HT2201</t>
        </is>
      </c>
      <c r="M1060" t="inlineStr">
        <is>
          <t>-1261Q715.2</t>
        </is>
      </c>
    </row>
    <row r="1061">
      <c r="A1061">
        <v>1060</v>
      </c>
      <c r="B1061">
        <f>GS55</f>
        <v>0</v>
      </c>
      <c r="C1061" t="inlineStr">
        <is>
          <t>+LS20</t>
        </is>
      </c>
      <c r="D1061" t="inlineStr">
        <is>
          <t>-1261Q715.2</t>
        </is>
      </c>
      <c r="E1061" t="inlineStr">
        <is>
          <t>DILM-9-10</t>
        </is>
      </c>
      <c r="F1061" t="inlineStr">
        <is>
          <t>DILA-XHI22</t>
        </is>
      </c>
      <c r="G1061" t="inlineStr">
        <is>
          <t>LASTSCHUETZ</t>
        </is>
      </c>
      <c r="H1061" t="inlineStr">
        <is>
          <t>4kW 1S Federzugkl.</t>
        </is>
      </c>
      <c r="I1061">
        <v>1488</v>
      </c>
      <c r="J1061">
        <f>GS55/1261.7</f>
        <v>0</v>
      </c>
      <c r="K1061" t="inlineStr">
        <is>
          <t>DIL MC9 HT2201</t>
        </is>
      </c>
      <c r="M1061" t="inlineStr">
        <is>
          <t>-1261Q715.2</t>
        </is>
      </c>
    </row>
    <row r="1062">
      <c r="A1062">
        <v>1061</v>
      </c>
      <c r="B1062">
        <f>GS26</f>
        <v>0</v>
      </c>
      <c r="C1062" t="inlineStr">
        <is>
          <t>+LS1</t>
        </is>
      </c>
      <c r="D1062" t="inlineStr">
        <is>
          <t>-126K1</t>
        </is>
      </c>
      <c r="E1062" t="inlineStr">
        <is>
          <t>DILMC25-10230V50HZ</t>
        </is>
      </c>
      <c r="F1062" t="inlineStr">
        <is>
          <t>DILA-XHI22</t>
        </is>
      </c>
      <c r="G1062" t="inlineStr">
        <is>
          <t>LASTSCHUETZ</t>
        </is>
      </c>
      <c r="H1062" t="inlineStr">
        <is>
          <t>11kW 1S Federzugkl.</t>
        </is>
      </c>
      <c r="I1062">
        <v>217</v>
      </c>
      <c r="J1062">
        <f>GS26/126.2</f>
        <v>0</v>
      </c>
      <c r="K1062" t="inlineStr">
        <is>
          <t>DIL MC 25</t>
        </is>
      </c>
      <c r="M1062" t="inlineStr">
        <is>
          <t>-126K1</t>
        </is>
      </c>
    </row>
    <row r="1063">
      <c r="A1063">
        <v>1062</v>
      </c>
      <c r="B1063">
        <f>GS26</f>
        <v>0</v>
      </c>
      <c r="C1063" t="inlineStr">
        <is>
          <t>+LS1</t>
        </is>
      </c>
      <c r="D1063" t="inlineStr">
        <is>
          <t>-126K1</t>
        </is>
      </c>
      <c r="E1063" t="inlineStr">
        <is>
          <t>DILA-XHI22</t>
        </is>
      </c>
      <c r="F1063" t="inlineStr">
        <is>
          <t>DILA-XHI22</t>
        </is>
      </c>
      <c r="G1063" t="inlineStr">
        <is>
          <t>HILFSKONTAKTBLOCK</t>
        </is>
      </c>
      <c r="H1063" t="inlineStr">
        <is>
          <t>2S 2OE Last+Hilfssch. Cage</t>
        </is>
      </c>
      <c r="I1063">
        <v>217</v>
      </c>
      <c r="J1063">
        <f>GS26/126.2</f>
        <v>0</v>
      </c>
      <c r="K1063" t="inlineStr">
        <is>
          <t>DIL MC 25</t>
        </is>
      </c>
      <c r="M1063" t="inlineStr">
        <is>
          <t>-126K1</t>
        </is>
      </c>
    </row>
    <row r="1064">
      <c r="A1064">
        <v>1063</v>
      </c>
      <c r="B1064">
        <f>GS02</f>
        <v>0</v>
      </c>
      <c r="C1064" t="inlineStr">
        <is>
          <t>+LS1</t>
        </is>
      </c>
      <c r="D1064" t="inlineStr">
        <is>
          <t>-126K16.0</t>
        </is>
      </c>
      <c r="E1064" t="inlineStr">
        <is>
          <t>DIL_EM-10-G</t>
        </is>
      </c>
      <c r="F1064" t="inlineStr">
        <is>
          <t>#KALK!</t>
        </is>
      </c>
      <c r="G1064" t="inlineStr">
        <is>
          <t>LASTSCHUETZ</t>
        </is>
      </c>
      <c r="H1064" t="inlineStr">
        <is>
          <t>4kW 1S</t>
        </is>
      </c>
      <c r="I1064">
        <v>524</v>
      </c>
      <c r="J1064">
        <f>GS02/126.7</f>
        <v>0</v>
      </c>
      <c r="M1064" t="inlineStr">
        <is>
          <t>-126K16.0</t>
        </is>
      </c>
    </row>
    <row r="1065">
      <c r="A1065">
        <v>1064</v>
      </c>
      <c r="B1065">
        <f>GS34</f>
        <v>0</v>
      </c>
      <c r="C1065" t="inlineStr">
        <is>
          <t>+LS1</t>
        </is>
      </c>
      <c r="D1065" t="inlineStr">
        <is>
          <t>-126K17.2</t>
        </is>
      </c>
      <c r="E1065" t="inlineStr">
        <is>
          <t>DIL_EM-10-G</t>
        </is>
      </c>
      <c r="F1065" t="inlineStr">
        <is>
          <t>#KALK!</t>
        </is>
      </c>
      <c r="G1065" t="inlineStr">
        <is>
          <t>LASTSCHUETZ</t>
        </is>
      </c>
      <c r="H1065" t="inlineStr">
        <is>
          <t>4kW 1S</t>
        </is>
      </c>
      <c r="I1065">
        <v>250</v>
      </c>
      <c r="J1065">
        <f>GS34/126.6</f>
        <v>0</v>
      </c>
      <c r="M1065" t="inlineStr">
        <is>
          <t>-126K17.2</t>
        </is>
      </c>
    </row>
    <row r="1066">
      <c r="A1066">
        <v>1065</v>
      </c>
      <c r="B1066">
        <f>GS34</f>
        <v>0</v>
      </c>
      <c r="C1066" t="inlineStr">
        <is>
          <t>+LS1</t>
        </is>
      </c>
      <c r="D1066" t="inlineStr">
        <is>
          <t>-126K17.3</t>
        </is>
      </c>
      <c r="E1066" t="inlineStr">
        <is>
          <t>DIL_EM-10-G</t>
        </is>
      </c>
      <c r="F1066" t="inlineStr">
        <is>
          <t>#KALK!</t>
        </is>
      </c>
      <c r="G1066" t="inlineStr">
        <is>
          <t>LASTSCHUETZ</t>
        </is>
      </c>
      <c r="H1066" t="inlineStr">
        <is>
          <t>4kW 1S</t>
        </is>
      </c>
      <c r="I1066">
        <v>250</v>
      </c>
      <c r="J1066">
        <f>GS34/126.6</f>
        <v>0</v>
      </c>
      <c r="M1066" t="inlineStr">
        <is>
          <t>-126K17.3</t>
        </is>
      </c>
    </row>
    <row r="1067">
      <c r="A1067">
        <v>1066</v>
      </c>
      <c r="B1067">
        <f>GS31</f>
        <v>0</v>
      </c>
      <c r="C1067" t="inlineStr">
        <is>
          <t>+LS1</t>
        </is>
      </c>
      <c r="D1067" t="inlineStr">
        <is>
          <t>-126K20.2</t>
        </is>
      </c>
      <c r="E1067" t="inlineStr">
        <is>
          <t>DIL_EM-10-G</t>
        </is>
      </c>
      <c r="F1067" t="inlineStr">
        <is>
          <t>#KALK!</t>
        </is>
      </c>
      <c r="G1067" t="inlineStr">
        <is>
          <t>LASTSCHUETZ</t>
        </is>
      </c>
      <c r="H1067" t="inlineStr">
        <is>
          <t>4kW 1S</t>
        </is>
      </c>
      <c r="I1067">
        <v>410</v>
      </c>
      <c r="J1067">
        <f>GS31/126.6</f>
        <v>0</v>
      </c>
      <c r="M1067" t="inlineStr">
        <is>
          <t>-126K20.2</t>
        </is>
      </c>
    </row>
    <row r="1068">
      <c r="A1068">
        <v>1067</v>
      </c>
      <c r="B1068">
        <f>GS31</f>
        <v>0</v>
      </c>
      <c r="C1068" t="inlineStr">
        <is>
          <t>+LS1</t>
        </is>
      </c>
      <c r="D1068" t="inlineStr">
        <is>
          <t>-126K20.3</t>
        </is>
      </c>
      <c r="E1068" t="inlineStr">
        <is>
          <t>DIL_EM-10-G</t>
        </is>
      </c>
      <c r="F1068" t="inlineStr">
        <is>
          <t>#KALK!</t>
        </is>
      </c>
      <c r="G1068" t="inlineStr">
        <is>
          <t>LASTSCHUETZ</t>
        </is>
      </c>
      <c r="H1068" t="inlineStr">
        <is>
          <t>4kW 1S</t>
        </is>
      </c>
      <c r="I1068">
        <v>410</v>
      </c>
      <c r="J1068">
        <f>GS31/126.6</f>
        <v>0</v>
      </c>
      <c r="M1068" t="inlineStr">
        <is>
          <t>-126K20.3</t>
        </is>
      </c>
    </row>
    <row r="1069">
      <c r="A1069">
        <v>1068</v>
      </c>
      <c r="B1069">
        <f>GS01</f>
        <v>0</v>
      </c>
      <c r="C1069" t="inlineStr">
        <is>
          <t>+LS2</t>
        </is>
      </c>
      <c r="D1069" t="inlineStr">
        <is>
          <t>-126K86.7</t>
        </is>
      </c>
      <c r="E1069" t="inlineStr">
        <is>
          <t>DIL_EM-10-G</t>
        </is>
      </c>
      <c r="F1069" t="inlineStr">
        <is>
          <t>#KALK!</t>
        </is>
      </c>
      <c r="G1069" t="inlineStr">
        <is>
          <t>LASTSCHUETZ</t>
        </is>
      </c>
      <c r="H1069" t="inlineStr">
        <is>
          <t>4kW 1S</t>
        </is>
      </c>
      <c r="I1069">
        <v>288</v>
      </c>
      <c r="J1069">
        <f>GS01/126.7</f>
        <v>0</v>
      </c>
      <c r="M1069" t="inlineStr">
        <is>
          <t>-126K86.7</t>
        </is>
      </c>
    </row>
    <row r="1070">
      <c r="A1070">
        <v>1069</v>
      </c>
      <c r="B1070">
        <f>GS79</f>
        <v>0</v>
      </c>
      <c r="C1070" t="inlineStr">
        <is>
          <t>+LS[l2]</t>
        </is>
      </c>
      <c r="D1070" t="inlineStr">
        <is>
          <t>-126Q[a+166].0</t>
        </is>
      </c>
      <c r="E1070" t="inlineStr">
        <is>
          <t>DILM-9-10</t>
        </is>
      </c>
      <c r="F1070" t="inlineStr">
        <is>
          <t>#ÜBERLAUF!</t>
        </is>
      </c>
      <c r="G1070" t="inlineStr">
        <is>
          <t>LASTSCHUETZ</t>
        </is>
      </c>
      <c r="H1070" t="inlineStr">
        <is>
          <t>4kW 1S Federzugkl.</t>
        </is>
      </c>
      <c r="I1070">
        <v>167</v>
      </c>
      <c r="J1070">
        <f>GS79/126.6</f>
        <v>0</v>
      </c>
      <c r="M1070" t="inlineStr">
        <is>
          <t>-126Q[a+166].0</t>
        </is>
      </c>
    </row>
    <row r="1071">
      <c r="A1071">
        <v>1070</v>
      </c>
      <c r="B1071">
        <f>GS79</f>
        <v>0</v>
      </c>
      <c r="C1071" t="inlineStr">
        <is>
          <t>+LS[l2]</t>
        </is>
      </c>
      <c r="D1071" t="inlineStr">
        <is>
          <t>-126Q[a+166].0</t>
        </is>
      </c>
      <c r="E1071" t="inlineStr">
        <is>
          <t>DILM-9-10</t>
        </is>
      </c>
      <c r="F1071" t="inlineStr">
        <is>
          <t>#ÜBERLAUF!</t>
        </is>
      </c>
      <c r="G1071" t="inlineStr">
        <is>
          <t>LASTSCHUETZ</t>
        </is>
      </c>
      <c r="H1071" t="inlineStr">
        <is>
          <t>4kW 1S Federzugkl.</t>
        </is>
      </c>
      <c r="I1071">
        <v>218</v>
      </c>
      <c r="J1071">
        <f>GS79/126.6</f>
        <v>0</v>
      </c>
      <c r="M1071" t="inlineStr">
        <is>
          <t>-126Q[a+166].0</t>
        </is>
      </c>
    </row>
    <row r="1072">
      <c r="A1072">
        <v>1071</v>
      </c>
      <c r="B1072">
        <f>GS79</f>
        <v>0</v>
      </c>
      <c r="C1072" t="inlineStr">
        <is>
          <t>+LS[l2]</t>
        </is>
      </c>
      <c r="D1072" t="inlineStr">
        <is>
          <t>-126Q[a+166].0</t>
        </is>
      </c>
      <c r="E1072" t="inlineStr">
        <is>
          <t>DILA-XHI22</t>
        </is>
      </c>
      <c r="F1072" t="inlineStr">
        <is>
          <t>#ÜBERLAUF!</t>
        </is>
      </c>
      <c r="G1072" t="inlineStr">
        <is>
          <t>HILFSKONTAKTBLOCK</t>
        </is>
      </c>
      <c r="H1072" t="inlineStr">
        <is>
          <t>2S 2OE Last+Hilfssch. Cage</t>
        </is>
      </c>
      <c r="I1072">
        <v>218</v>
      </c>
      <c r="J1072">
        <f>GS79/126.6</f>
        <v>0</v>
      </c>
      <c r="M1072" t="inlineStr">
        <is>
          <t>-126Q[a+166].0</t>
        </is>
      </c>
    </row>
    <row r="1073">
      <c r="A1073">
        <v>1072</v>
      </c>
      <c r="B1073">
        <f>GS79</f>
        <v>0</v>
      </c>
      <c r="C1073" t="inlineStr">
        <is>
          <t>+LS[l2]</t>
        </is>
      </c>
      <c r="D1073" t="inlineStr">
        <is>
          <t>-126Q[a+166].0</t>
        </is>
      </c>
      <c r="E1073" t="inlineStr">
        <is>
          <t>DILA-XHI22</t>
        </is>
      </c>
      <c r="F1073" t="inlineStr">
        <is>
          <t>#ÜBERLAUF!</t>
        </is>
      </c>
      <c r="G1073" t="inlineStr">
        <is>
          <t>HILFSKONTAKTBLOCK</t>
        </is>
      </c>
      <c r="H1073" t="inlineStr">
        <is>
          <t>2S 2OE Last+Hilfssch. Cage</t>
        </is>
      </c>
      <c r="I1073">
        <v>167</v>
      </c>
      <c r="J1073">
        <f>GS79/126.6</f>
        <v>0</v>
      </c>
      <c r="M1073" t="inlineStr">
        <is>
          <t>-126Q[a+166].0</t>
        </is>
      </c>
    </row>
    <row r="1074">
      <c r="A1074">
        <v>1073</v>
      </c>
      <c r="B1074">
        <f>GS79</f>
        <v>0</v>
      </c>
      <c r="C1074" t="inlineStr">
        <is>
          <t>+LS[l2]</t>
        </is>
      </c>
      <c r="D1074" t="inlineStr">
        <is>
          <t>-126Q[a+166].1</t>
        </is>
      </c>
      <c r="E1074" t="inlineStr">
        <is>
          <t>DILM-9-10</t>
        </is>
      </c>
      <c r="F1074" t="inlineStr">
        <is>
          <t>#ÜBERLAUF!</t>
        </is>
      </c>
      <c r="G1074" t="inlineStr">
        <is>
          <t>LASTSCHUETZ</t>
        </is>
      </c>
      <c r="H1074" t="inlineStr">
        <is>
          <t>4kW 1S Federzugkl.</t>
        </is>
      </c>
      <c r="I1074">
        <v>167</v>
      </c>
      <c r="J1074">
        <f>GS79/126.7</f>
        <v>0</v>
      </c>
      <c r="M1074" t="inlineStr">
        <is>
          <t>-126Q[a+166].1</t>
        </is>
      </c>
    </row>
    <row r="1075">
      <c r="A1075">
        <v>1074</v>
      </c>
      <c r="B1075">
        <f>GS79</f>
        <v>0</v>
      </c>
      <c r="C1075" t="inlineStr">
        <is>
          <t>+LS[l2]</t>
        </is>
      </c>
      <c r="D1075" t="inlineStr">
        <is>
          <t>-126Q[a+166].1</t>
        </is>
      </c>
      <c r="E1075" t="inlineStr">
        <is>
          <t>DILM-9-10</t>
        </is>
      </c>
      <c r="F1075" t="inlineStr">
        <is>
          <t>#ÜBERLAUF!</t>
        </is>
      </c>
      <c r="G1075" t="inlineStr">
        <is>
          <t>LASTSCHUETZ</t>
        </is>
      </c>
      <c r="H1075" t="inlineStr">
        <is>
          <t>4kW 1S Federzugkl.</t>
        </is>
      </c>
      <c r="I1075">
        <v>218</v>
      </c>
      <c r="J1075">
        <f>GS79/126.7</f>
        <v>0</v>
      </c>
      <c r="M1075" t="inlineStr">
        <is>
          <t>-126Q[a+166].1</t>
        </is>
      </c>
    </row>
    <row r="1076">
      <c r="A1076">
        <v>1075</v>
      </c>
      <c r="B1076">
        <f>GS79</f>
        <v>0</v>
      </c>
      <c r="C1076" t="inlineStr">
        <is>
          <t>+LS[l2]</t>
        </is>
      </c>
      <c r="D1076" t="inlineStr">
        <is>
          <t>-126Q[a+166].1</t>
        </is>
      </c>
      <c r="E1076" t="inlineStr">
        <is>
          <t>DILA-XHI22</t>
        </is>
      </c>
      <c r="F1076" t="inlineStr">
        <is>
          <t>#ÜBERLAUF!</t>
        </is>
      </c>
      <c r="G1076" t="inlineStr">
        <is>
          <t>HILFSKONTAKTBLOCK</t>
        </is>
      </c>
      <c r="H1076" t="inlineStr">
        <is>
          <t>2S 2OE Last+Hilfssch. Cage</t>
        </is>
      </c>
      <c r="I1076">
        <v>218</v>
      </c>
      <c r="J1076">
        <f>GS79/126.7</f>
        <v>0</v>
      </c>
      <c r="M1076" t="inlineStr">
        <is>
          <t>-126Q[a+166].1</t>
        </is>
      </c>
    </row>
    <row r="1077">
      <c r="A1077">
        <v>1076</v>
      </c>
      <c r="B1077">
        <f>GS79</f>
        <v>0</v>
      </c>
      <c r="C1077" t="inlineStr">
        <is>
          <t>+LS[l2]</t>
        </is>
      </c>
      <c r="D1077" t="inlineStr">
        <is>
          <t>-126Q[a+166].1</t>
        </is>
      </c>
      <c r="E1077" t="inlineStr">
        <is>
          <t>DILA-XHI22</t>
        </is>
      </c>
      <c r="F1077" t="inlineStr">
        <is>
          <t>#ÜBERLAUF!</t>
        </is>
      </c>
      <c r="G1077" t="inlineStr">
        <is>
          <t>HILFSKONTAKTBLOCK</t>
        </is>
      </c>
      <c r="H1077" t="inlineStr">
        <is>
          <t>2S 2OE Last+Hilfssch. Cage</t>
        </is>
      </c>
      <c r="I1077">
        <v>167</v>
      </c>
      <c r="J1077">
        <f>GS79/126.7</f>
        <v>0</v>
      </c>
      <c r="M1077" t="inlineStr">
        <is>
          <t>-126Q[a+166].1</t>
        </is>
      </c>
    </row>
    <row r="1078">
      <c r="A1078">
        <v>1077</v>
      </c>
      <c r="B1078">
        <f>GS92</f>
        <v>0</v>
      </c>
      <c r="C1078" t="inlineStr">
        <is>
          <t>+LS01</t>
        </is>
      </c>
      <c r="D1078" t="inlineStr">
        <is>
          <t>-126Q152.5</t>
        </is>
      </c>
      <c r="E1078" t="inlineStr">
        <is>
          <t>DILM-9-10</t>
        </is>
      </c>
      <c r="F1078" t="inlineStr">
        <is>
          <t>#KALK!</t>
        </is>
      </c>
      <c r="G1078" t="inlineStr">
        <is>
          <t>LASTSCHUETZ</t>
        </is>
      </c>
      <c r="H1078" t="inlineStr">
        <is>
          <t>4kW 1S Federzugkl.</t>
        </is>
      </c>
      <c r="I1078">
        <v>275</v>
      </c>
      <c r="J1078">
        <f>GS92/126.5</f>
        <v>0</v>
      </c>
      <c r="M1078" t="inlineStr">
        <is>
          <t>-126Q152.5</t>
        </is>
      </c>
    </row>
    <row r="1079">
      <c r="A1079">
        <v>1078</v>
      </c>
      <c r="B1079">
        <f>GS93</f>
        <v>0</v>
      </c>
      <c r="C1079" t="inlineStr">
        <is>
          <t>+LS01</t>
        </is>
      </c>
      <c r="D1079" t="inlineStr">
        <is>
          <t>-126Q152.5</t>
        </is>
      </c>
      <c r="E1079" t="inlineStr">
        <is>
          <t>DILM-9-10</t>
        </is>
      </c>
      <c r="F1079" t="inlineStr">
        <is>
          <t>#KALK!</t>
        </is>
      </c>
      <c r="G1079" t="inlineStr">
        <is>
          <t>LASTSCHUETZ</t>
        </is>
      </c>
      <c r="H1079" t="inlineStr">
        <is>
          <t>4kW 1S Federzugkl.</t>
        </is>
      </c>
      <c r="I1079">
        <v>695</v>
      </c>
      <c r="J1079">
        <f>GS93/126.5</f>
        <v>0</v>
      </c>
      <c r="M1079" t="inlineStr">
        <is>
          <t>-126Q152.5</t>
        </is>
      </c>
    </row>
    <row r="1080">
      <c r="A1080">
        <v>1079</v>
      </c>
      <c r="B1080">
        <f>GS51</f>
        <v>0</v>
      </c>
      <c r="C1080" t="inlineStr">
        <is>
          <t>+LS19</t>
        </is>
      </c>
      <c r="D1080" t="inlineStr">
        <is>
          <t>-1270Q1</t>
        </is>
      </c>
      <c r="E1080" t="inlineStr">
        <is>
          <t>DILA-XHI22</t>
        </is>
      </c>
      <c r="F1080" t="inlineStr">
        <is>
          <t>DILA-XHI22</t>
        </is>
      </c>
      <c r="G1080" t="inlineStr">
        <is>
          <t>HILFSKONTAKTBLOCK</t>
        </is>
      </c>
      <c r="H1080" t="inlineStr">
        <is>
          <t>2S 2OE Last+Hilfssch. Cage</t>
        </is>
      </c>
      <c r="I1080">
        <v>1399</v>
      </c>
      <c r="J1080">
        <f>GS51/1270.6</f>
        <v>0</v>
      </c>
      <c r="K1080" t="inlineStr">
        <is>
          <t>DIL MC25</t>
        </is>
      </c>
      <c r="M1080" t="inlineStr">
        <is>
          <t>-1270Q1</t>
        </is>
      </c>
    </row>
    <row r="1081">
      <c r="A1081">
        <v>1080</v>
      </c>
      <c r="B1081">
        <f>GS51</f>
        <v>0</v>
      </c>
      <c r="C1081" t="inlineStr">
        <is>
          <t>+LS19</t>
        </is>
      </c>
      <c r="D1081" t="inlineStr">
        <is>
          <t>-1270Q1</t>
        </is>
      </c>
      <c r="E1081" t="inlineStr">
        <is>
          <t>DILMC25-10(RDC24)</t>
        </is>
      </c>
      <c r="F1081" t="inlineStr">
        <is>
          <t>DILA-XHI22</t>
        </is>
      </c>
      <c r="G1081" t="inlineStr">
        <is>
          <t>LASTSCHUETZ</t>
        </is>
      </c>
      <c r="H1081" t="inlineStr">
        <is>
          <t>11kW 1S Federzugkl.</t>
        </is>
      </c>
      <c r="I1081">
        <v>1399</v>
      </c>
      <c r="J1081">
        <f>GS51/1270.6</f>
        <v>0</v>
      </c>
      <c r="K1081" t="inlineStr">
        <is>
          <t>DIL MC25</t>
        </is>
      </c>
      <c r="M1081" t="inlineStr">
        <is>
          <t>-1270Q1</t>
        </is>
      </c>
    </row>
    <row r="1082">
      <c r="A1082">
        <v>1081</v>
      </c>
      <c r="B1082">
        <f>GS06</f>
        <v>0</v>
      </c>
      <c r="C1082" t="inlineStr">
        <is>
          <t>+LS19</t>
        </is>
      </c>
      <c r="D1082" t="inlineStr">
        <is>
          <t>-1271K1</t>
        </is>
      </c>
      <c r="E1082" t="inlineStr">
        <is>
          <t>DILM-9-01</t>
        </is>
      </c>
      <c r="F1082" t="inlineStr">
        <is>
          <t>#KALK!</t>
        </is>
      </c>
      <c r="G1082" t="inlineStr">
        <is>
          <t>LASTSCHUETZ</t>
        </is>
      </c>
      <c r="H1082" t="inlineStr">
        <is>
          <t>4kW 1Oe Federzugkl.</t>
        </is>
      </c>
      <c r="I1082">
        <v>2147</v>
      </c>
      <c r="J1082">
        <f>GS06/1271.6</f>
        <v>0</v>
      </c>
      <c r="M1082" t="inlineStr">
        <is>
          <t>-1271K1</t>
        </is>
      </c>
    </row>
    <row r="1083">
      <c r="A1083">
        <v>1082</v>
      </c>
      <c r="B1083">
        <f>GS06</f>
        <v>0</v>
      </c>
      <c r="C1083" t="inlineStr">
        <is>
          <t>+LS19</t>
        </is>
      </c>
      <c r="D1083" t="inlineStr">
        <is>
          <t>-1271K2</t>
        </is>
      </c>
      <c r="E1083" t="inlineStr">
        <is>
          <t>DILM-9-01</t>
        </is>
      </c>
      <c r="F1083" t="inlineStr">
        <is>
          <t>#KALK!</t>
        </is>
      </c>
      <c r="G1083" t="inlineStr">
        <is>
          <t>LASTSCHUETZ</t>
        </is>
      </c>
      <c r="H1083" t="inlineStr">
        <is>
          <t>4kW 1Oe Federzugkl.</t>
        </is>
      </c>
      <c r="I1083">
        <v>2147</v>
      </c>
      <c r="J1083">
        <f>GS06/1271.7</f>
        <v>0</v>
      </c>
      <c r="M1083" t="inlineStr">
        <is>
          <t>-1271K2</t>
        </is>
      </c>
    </row>
    <row r="1084">
      <c r="A1084">
        <v>1083</v>
      </c>
      <c r="B1084">
        <f>GS06</f>
        <v>0</v>
      </c>
      <c r="C1084" t="inlineStr">
        <is>
          <t>+LS19</t>
        </is>
      </c>
      <c r="D1084" t="inlineStr">
        <is>
          <t>-1272K1</t>
        </is>
      </c>
      <c r="E1084" t="inlineStr">
        <is>
          <t>DILM-9-01</t>
        </is>
      </c>
      <c r="F1084" t="inlineStr">
        <is>
          <t>#KALK!</t>
        </is>
      </c>
      <c r="G1084" t="inlineStr">
        <is>
          <t>LASTSCHUETZ</t>
        </is>
      </c>
      <c r="H1084" t="inlineStr">
        <is>
          <t>4kW 1Oe Federzugkl.</t>
        </is>
      </c>
      <c r="I1084">
        <v>2146</v>
      </c>
      <c r="J1084">
        <f>GS06/1272.6</f>
        <v>0</v>
      </c>
      <c r="M1084" t="inlineStr">
        <is>
          <t>-1272K1</t>
        </is>
      </c>
    </row>
    <row r="1085">
      <c r="A1085">
        <v>1084</v>
      </c>
      <c r="B1085">
        <f>GS06</f>
        <v>0</v>
      </c>
      <c r="C1085" t="inlineStr">
        <is>
          <t>+LS19</t>
        </is>
      </c>
      <c r="D1085" t="inlineStr">
        <is>
          <t>-1272K2</t>
        </is>
      </c>
      <c r="E1085" t="inlineStr">
        <is>
          <t>DILM-9-01</t>
        </is>
      </c>
      <c r="F1085" t="inlineStr">
        <is>
          <t>#KALK!</t>
        </is>
      </c>
      <c r="G1085" t="inlineStr">
        <is>
          <t>LASTSCHUETZ</t>
        </is>
      </c>
      <c r="H1085" t="inlineStr">
        <is>
          <t>4kW 1Oe Federzugkl.</t>
        </is>
      </c>
      <c r="I1085">
        <v>2146</v>
      </c>
      <c r="J1085">
        <f>GS06/1272.7</f>
        <v>0</v>
      </c>
      <c r="M1085" t="inlineStr">
        <is>
          <t>-1272K2</t>
        </is>
      </c>
    </row>
    <row r="1086">
      <c r="A1086">
        <v>1085</v>
      </c>
      <c r="B1086">
        <f>GS51</f>
        <v>0</v>
      </c>
      <c r="C1086" t="inlineStr">
        <is>
          <t>+LS19</t>
        </is>
      </c>
      <c r="D1086" t="inlineStr">
        <is>
          <t>-1273Q784.5</t>
        </is>
      </c>
      <c r="E1086" t="inlineStr">
        <is>
          <t>DILM-9-10</t>
        </is>
      </c>
      <c r="F1086" t="inlineStr">
        <is>
          <t>#KALK!</t>
        </is>
      </c>
      <c r="G1086" t="inlineStr">
        <is>
          <t>LASTSCHUETZ</t>
        </is>
      </c>
      <c r="H1086" t="inlineStr">
        <is>
          <t>4kW 1S Federzugkl.</t>
        </is>
      </c>
      <c r="I1086">
        <v>1403</v>
      </c>
      <c r="J1086">
        <f>GS51/1273.6</f>
        <v>0</v>
      </c>
      <c r="K1086" t="inlineStr">
        <is>
          <t>DIL MC9</t>
        </is>
      </c>
      <c r="M1086" t="inlineStr">
        <is>
          <t>-1273Q784.5</t>
        </is>
      </c>
    </row>
    <row r="1087">
      <c r="A1087">
        <v>1086</v>
      </c>
      <c r="B1087">
        <f>GS05</f>
        <v>0</v>
      </c>
      <c r="C1087" t="inlineStr">
        <is>
          <t>+LS21</t>
        </is>
      </c>
      <c r="D1087" t="inlineStr">
        <is>
          <t>-1275Q1</t>
        </is>
      </c>
      <c r="E1087" t="inlineStr">
        <is>
          <t>DILA-XHI22</t>
        </is>
      </c>
      <c r="F1087" t="inlineStr">
        <is>
          <t>DILA-XHI22</t>
        </is>
      </c>
      <c r="G1087" t="inlineStr">
        <is>
          <t>HILFSKONTAKTBLOCK</t>
        </is>
      </c>
      <c r="H1087" t="inlineStr">
        <is>
          <t>2S 2OE Last+Hilfssch. Cage</t>
        </is>
      </c>
      <c r="I1087">
        <v>2215</v>
      </c>
      <c r="J1087">
        <f>GS05/1275.6</f>
        <v>0</v>
      </c>
      <c r="K1087" t="inlineStr">
        <is>
          <t>DIL MC25</t>
        </is>
      </c>
      <c r="M1087" t="inlineStr">
        <is>
          <t>-1275Q1</t>
        </is>
      </c>
    </row>
    <row r="1088">
      <c r="A1088">
        <v>1087</v>
      </c>
      <c r="B1088">
        <f>GS05</f>
        <v>0</v>
      </c>
      <c r="C1088" t="inlineStr">
        <is>
          <t>+LS21</t>
        </is>
      </c>
      <c r="D1088" t="inlineStr">
        <is>
          <t>-1275Q1</t>
        </is>
      </c>
      <c r="E1088" t="inlineStr">
        <is>
          <t>DILMC25-10(RDC24)</t>
        </is>
      </c>
      <c r="F1088" t="inlineStr">
        <is>
          <t>DILA-XHI22</t>
        </is>
      </c>
      <c r="G1088" t="inlineStr">
        <is>
          <t>LASTSCHUETZ</t>
        </is>
      </c>
      <c r="H1088" t="inlineStr">
        <is>
          <t>11kW 1S Federzugkl.</t>
        </is>
      </c>
      <c r="I1088">
        <v>2215</v>
      </c>
      <c r="J1088">
        <f>GS05/1275.6</f>
        <v>0</v>
      </c>
      <c r="K1088" t="inlineStr">
        <is>
          <t>DIL MC25</t>
        </is>
      </c>
      <c r="M1088" t="inlineStr">
        <is>
          <t>-1275Q1</t>
        </is>
      </c>
    </row>
    <row r="1089">
      <c r="A1089">
        <v>1088</v>
      </c>
      <c r="B1089">
        <f>GS51</f>
        <v>0</v>
      </c>
      <c r="C1089" t="inlineStr">
        <is>
          <t>+LS19</t>
        </is>
      </c>
      <c r="D1089" t="inlineStr">
        <is>
          <t>-1275Q784.6</t>
        </is>
      </c>
      <c r="E1089" t="inlineStr">
        <is>
          <t>DILM-9-10</t>
        </is>
      </c>
      <c r="F1089" t="inlineStr">
        <is>
          <t>#KALK!</t>
        </is>
      </c>
      <c r="G1089" t="inlineStr">
        <is>
          <t>LASTSCHUETZ</t>
        </is>
      </c>
      <c r="H1089" t="inlineStr">
        <is>
          <t>4kW 1S Federzugkl.</t>
        </is>
      </c>
      <c r="I1089">
        <v>1401</v>
      </c>
      <c r="J1089">
        <f>GS51/1275.6</f>
        <v>0</v>
      </c>
      <c r="K1089" t="inlineStr">
        <is>
          <t>DIL MC9</t>
        </is>
      </c>
      <c r="M1089" t="inlineStr">
        <is>
          <t>-1275Q784.6</t>
        </is>
      </c>
    </row>
    <row r="1090">
      <c r="A1090">
        <v>1089</v>
      </c>
      <c r="B1090">
        <f>GS16</f>
        <v>0</v>
      </c>
      <c r="C1090" t="inlineStr">
        <is>
          <t>+LS11</t>
        </is>
      </c>
      <c r="D1090" t="inlineStr">
        <is>
          <t>-1276K3522.5</t>
        </is>
      </c>
      <c r="E1090" t="inlineStr">
        <is>
          <t>DILM-9-10</t>
        </is>
      </c>
      <c r="F1090" t="inlineStr">
        <is>
          <t>#KALK!</t>
        </is>
      </c>
      <c r="G1090" t="inlineStr">
        <is>
          <t>LASTSCHUETZ</t>
        </is>
      </c>
      <c r="H1090" t="inlineStr">
        <is>
          <t>4kW 1S Federzugkl.</t>
        </is>
      </c>
      <c r="I1090">
        <v>1511</v>
      </c>
      <c r="J1090">
        <f>GS16/1276.7</f>
        <v>0</v>
      </c>
      <c r="M1090" t="inlineStr">
        <is>
          <t>-1276K3522.5</t>
        </is>
      </c>
    </row>
    <row r="1091">
      <c r="A1091">
        <v>1090</v>
      </c>
      <c r="B1091">
        <f>GS16</f>
        <v>0</v>
      </c>
      <c r="C1091" t="inlineStr">
        <is>
          <t>+LS11</t>
        </is>
      </c>
      <c r="D1091" t="inlineStr">
        <is>
          <t>-1278K3523.5</t>
        </is>
      </c>
      <c r="E1091" t="inlineStr">
        <is>
          <t>DILM-9-10</t>
        </is>
      </c>
      <c r="F1091" t="inlineStr">
        <is>
          <t>#KALK!</t>
        </is>
      </c>
      <c r="G1091" t="inlineStr">
        <is>
          <t>LASTSCHUETZ</t>
        </is>
      </c>
      <c r="H1091" t="inlineStr">
        <is>
          <t>4kW 1S Federzugkl.</t>
        </is>
      </c>
      <c r="I1091">
        <v>1513</v>
      </c>
      <c r="J1091">
        <f>GS16/1278.7</f>
        <v>0</v>
      </c>
      <c r="M1091" t="inlineStr">
        <is>
          <t>-1278K3523.5</t>
        </is>
      </c>
    </row>
    <row r="1092">
      <c r="A1092">
        <v>1091</v>
      </c>
      <c r="B1092">
        <f>GS16</f>
        <v>0</v>
      </c>
      <c r="C1092" t="inlineStr">
        <is>
          <t>+LS11</t>
        </is>
      </c>
      <c r="D1092" t="inlineStr">
        <is>
          <t>-1279K3523.0</t>
        </is>
      </c>
      <c r="E1092" t="inlineStr">
        <is>
          <t>DILM-9-01</t>
        </is>
      </c>
      <c r="F1092" t="inlineStr">
        <is>
          <t>#KALK!</t>
        </is>
      </c>
      <c r="G1092" t="inlineStr">
        <is>
          <t>LASTSCHUETZ</t>
        </is>
      </c>
      <c r="H1092" t="inlineStr">
        <is>
          <t>4kW 1Oe Federzugkl.</t>
        </is>
      </c>
      <c r="I1092">
        <v>1514</v>
      </c>
      <c r="J1092">
        <f>GS16/1279.6</f>
        <v>0</v>
      </c>
      <c r="M1092" t="inlineStr">
        <is>
          <t>-1279K3523.0</t>
        </is>
      </c>
    </row>
    <row r="1093">
      <c r="A1093">
        <v>1092</v>
      </c>
      <c r="B1093">
        <f>GS16</f>
        <v>0</v>
      </c>
      <c r="C1093" t="inlineStr">
        <is>
          <t>+LS11</t>
        </is>
      </c>
      <c r="D1093" t="inlineStr">
        <is>
          <t>-1279K3523.1</t>
        </is>
      </c>
      <c r="E1093" t="inlineStr">
        <is>
          <t>DILM-9-01</t>
        </is>
      </c>
      <c r="F1093" t="inlineStr">
        <is>
          <t>#KALK!</t>
        </is>
      </c>
      <c r="G1093" t="inlineStr">
        <is>
          <t>LASTSCHUETZ</t>
        </is>
      </c>
      <c r="H1093" t="inlineStr">
        <is>
          <t>4kW 1Oe Federzugkl.</t>
        </is>
      </c>
      <c r="I1093">
        <v>1514</v>
      </c>
      <c r="J1093">
        <f>GS16/1279.6</f>
        <v>0</v>
      </c>
      <c r="M1093" t="inlineStr">
        <is>
          <t>-1279K3523.1</t>
        </is>
      </c>
    </row>
    <row r="1094">
      <c r="A1094">
        <v>1093</v>
      </c>
      <c r="B1094">
        <f>GS02</f>
        <v>0</v>
      </c>
      <c r="C1094" t="inlineStr">
        <is>
          <t>+LS1</t>
        </is>
      </c>
      <c r="D1094" t="inlineStr">
        <is>
          <t>-127K16.5</t>
        </is>
      </c>
      <c r="E1094" t="inlineStr">
        <is>
          <t>DIL_EM-10-G</t>
        </is>
      </c>
      <c r="F1094" t="inlineStr">
        <is>
          <t>#KALK!</t>
        </is>
      </c>
      <c r="G1094" t="inlineStr">
        <is>
          <t>LASTSCHUETZ</t>
        </is>
      </c>
      <c r="H1094" t="inlineStr">
        <is>
          <t>4kW 1S</t>
        </is>
      </c>
      <c r="I1094">
        <v>525</v>
      </c>
      <c r="J1094">
        <f>GS02/127.6</f>
        <v>0</v>
      </c>
      <c r="M1094" t="inlineStr">
        <is>
          <t>-127K16.5</t>
        </is>
      </c>
    </row>
    <row r="1095">
      <c r="A1095">
        <v>1094</v>
      </c>
      <c r="B1095">
        <f>GS34</f>
        <v>0</v>
      </c>
      <c r="C1095" t="inlineStr">
        <is>
          <t>+LS1</t>
        </is>
      </c>
      <c r="D1095" t="inlineStr">
        <is>
          <t>-127K17.4</t>
        </is>
      </c>
      <c r="E1095" t="inlineStr">
        <is>
          <t>DIL_EM-10-G</t>
        </is>
      </c>
      <c r="F1095" t="inlineStr">
        <is>
          <t>#KALK!</t>
        </is>
      </c>
      <c r="G1095" t="inlineStr">
        <is>
          <t>LASTSCHUETZ</t>
        </is>
      </c>
      <c r="H1095" t="inlineStr">
        <is>
          <t>4kW 1S</t>
        </is>
      </c>
      <c r="I1095">
        <v>251</v>
      </c>
      <c r="J1095">
        <f>GS34/127.6</f>
        <v>0</v>
      </c>
      <c r="M1095" t="inlineStr">
        <is>
          <t>-127K17.4</t>
        </is>
      </c>
    </row>
    <row r="1096">
      <c r="A1096">
        <v>1095</v>
      </c>
      <c r="B1096">
        <f>GS34</f>
        <v>0</v>
      </c>
      <c r="C1096" t="inlineStr">
        <is>
          <t>+LS1</t>
        </is>
      </c>
      <c r="D1096" t="inlineStr">
        <is>
          <t>-127K17.5</t>
        </is>
      </c>
      <c r="E1096" t="inlineStr">
        <is>
          <t>DIL_EM-10-G</t>
        </is>
      </c>
      <c r="F1096" t="inlineStr">
        <is>
          <t>#KALK!</t>
        </is>
      </c>
      <c r="G1096" t="inlineStr">
        <is>
          <t>LASTSCHUETZ</t>
        </is>
      </c>
      <c r="H1096" t="inlineStr">
        <is>
          <t>4kW 1S</t>
        </is>
      </c>
      <c r="I1096">
        <v>251</v>
      </c>
      <c r="J1096">
        <f>GS34/127.6</f>
        <v>0</v>
      </c>
      <c r="M1096" t="inlineStr">
        <is>
          <t>-127K17.5</t>
        </is>
      </c>
    </row>
    <row r="1097">
      <c r="A1097">
        <v>1096</v>
      </c>
      <c r="B1097">
        <f>GS31</f>
        <v>0</v>
      </c>
      <c r="C1097" t="inlineStr">
        <is>
          <t>+LS1</t>
        </is>
      </c>
      <c r="D1097" t="inlineStr">
        <is>
          <t>-127K20.4</t>
        </is>
      </c>
      <c r="E1097" t="inlineStr">
        <is>
          <t>DIL_EM-10-G</t>
        </is>
      </c>
      <c r="F1097" t="inlineStr">
        <is>
          <t>#KALK!</t>
        </is>
      </c>
      <c r="G1097" t="inlineStr">
        <is>
          <t>LASTSCHUETZ</t>
        </is>
      </c>
      <c r="H1097" t="inlineStr">
        <is>
          <t>4kW 1S</t>
        </is>
      </c>
      <c r="I1097">
        <v>411</v>
      </c>
      <c r="J1097">
        <f>GS31/127.6</f>
        <v>0</v>
      </c>
      <c r="M1097" t="inlineStr">
        <is>
          <t>-127K20.4</t>
        </is>
      </c>
    </row>
    <row r="1098">
      <c r="A1098">
        <v>1097</v>
      </c>
      <c r="B1098">
        <f>GS31</f>
        <v>0</v>
      </c>
      <c r="C1098" t="inlineStr">
        <is>
          <t>+LS1</t>
        </is>
      </c>
      <c r="D1098" t="inlineStr">
        <is>
          <t>-127K20.5</t>
        </is>
      </c>
      <c r="E1098" t="inlineStr">
        <is>
          <t>DIL_EM-10-G</t>
        </is>
      </c>
      <c r="F1098" t="inlineStr">
        <is>
          <t>#KALK!</t>
        </is>
      </c>
      <c r="G1098" t="inlineStr">
        <is>
          <t>LASTSCHUETZ</t>
        </is>
      </c>
      <c r="H1098" t="inlineStr">
        <is>
          <t>4kW 1S</t>
        </is>
      </c>
      <c r="I1098">
        <v>411</v>
      </c>
      <c r="J1098">
        <f>GS31/127.6</f>
        <v>0</v>
      </c>
      <c r="M1098" t="inlineStr">
        <is>
          <t>-127K20.5</t>
        </is>
      </c>
    </row>
    <row r="1099">
      <c r="A1099">
        <v>1098</v>
      </c>
      <c r="B1099">
        <f>GS11</f>
        <v>0</v>
      </c>
      <c r="C1099" t="inlineStr">
        <is>
          <t>+LS2</t>
        </is>
      </c>
      <c r="D1099" t="inlineStr">
        <is>
          <t>-127K32.3</t>
        </is>
      </c>
      <c r="E1099" t="inlineStr">
        <is>
          <t>DIL_EM-10-G</t>
        </is>
      </c>
      <c r="F1099" t="inlineStr">
        <is>
          <t>#KALK!</t>
        </is>
      </c>
      <c r="G1099" t="inlineStr">
        <is>
          <t>LASTSCHUETZ</t>
        </is>
      </c>
      <c r="H1099" t="inlineStr">
        <is>
          <t>4kW 1S</t>
        </is>
      </c>
      <c r="I1099">
        <v>238</v>
      </c>
      <c r="J1099">
        <f>GS11/127.7</f>
        <v>0</v>
      </c>
      <c r="M1099" t="inlineStr">
        <is>
          <t>-127K32.3</t>
        </is>
      </c>
    </row>
    <row r="1100">
      <c r="A1100">
        <v>1099</v>
      </c>
      <c r="B1100">
        <f>GS21</f>
        <v>0</v>
      </c>
      <c r="C1100" t="inlineStr">
        <is>
          <t>+LS2</t>
        </is>
      </c>
      <c r="D1100" t="inlineStr">
        <is>
          <t>-127K32.3</t>
        </is>
      </c>
      <c r="E1100" t="inlineStr">
        <is>
          <t>DIL_EM-10-G</t>
        </is>
      </c>
      <c r="F1100" t="inlineStr">
        <is>
          <t>#KALK!</t>
        </is>
      </c>
      <c r="G1100" t="inlineStr">
        <is>
          <t>LASTSCHUETZ</t>
        </is>
      </c>
      <c r="H1100" t="inlineStr">
        <is>
          <t>4kW 1S</t>
        </is>
      </c>
      <c r="I1100">
        <v>212</v>
      </c>
      <c r="J1100">
        <f>GS21/127.7</f>
        <v>0</v>
      </c>
      <c r="M1100" t="inlineStr">
        <is>
          <t>-127K32.3</t>
        </is>
      </c>
    </row>
    <row r="1101">
      <c r="A1101">
        <v>1100</v>
      </c>
      <c r="B1101">
        <f>GS26</f>
        <v>0</v>
      </c>
      <c r="C1101" t="inlineStr">
        <is>
          <t>+LS1</t>
        </is>
      </c>
      <c r="D1101" t="inlineStr">
        <is>
          <t>-127K3536.5</t>
        </is>
      </c>
      <c r="E1101" t="inlineStr">
        <is>
          <t>DILM-9-10</t>
        </is>
      </c>
      <c r="F1101" t="inlineStr">
        <is>
          <t>#KALK!</t>
        </is>
      </c>
      <c r="G1101" t="inlineStr">
        <is>
          <t>LASTSCHUETZ</t>
        </is>
      </c>
      <c r="H1101" t="inlineStr">
        <is>
          <t>4kW 1S Federzugkl.</t>
        </is>
      </c>
      <c r="I1101">
        <v>218</v>
      </c>
      <c r="J1101">
        <f>GS26/127.7</f>
        <v>0</v>
      </c>
      <c r="M1101" t="inlineStr">
        <is>
          <t>-127K3536.5</t>
        </is>
      </c>
    </row>
    <row r="1102">
      <c r="A1102">
        <v>1101</v>
      </c>
      <c r="B1102">
        <f>GS25</f>
        <v>0</v>
      </c>
      <c r="C1102" t="inlineStr">
        <is>
          <t>+LS2</t>
        </is>
      </c>
      <c r="D1102" t="inlineStr">
        <is>
          <t>-127K58.0</t>
        </is>
      </c>
      <c r="E1102" t="inlineStr">
        <is>
          <t>DIL_EM-10-G</t>
        </is>
      </c>
      <c r="F1102" t="inlineStr">
        <is>
          <t>#KALK!</t>
        </is>
      </c>
      <c r="G1102" t="inlineStr">
        <is>
          <t>LASTSCHUETZ</t>
        </is>
      </c>
      <c r="H1102" t="inlineStr">
        <is>
          <t>4kW 1S</t>
        </is>
      </c>
      <c r="I1102">
        <v>248</v>
      </c>
      <c r="J1102">
        <f>GS25/127.6</f>
        <v>0</v>
      </c>
      <c r="M1102" t="inlineStr">
        <is>
          <t>-127K58.0</t>
        </is>
      </c>
    </row>
    <row r="1103">
      <c r="A1103">
        <v>1102</v>
      </c>
      <c r="B1103">
        <f>GS25</f>
        <v>0</v>
      </c>
      <c r="C1103" t="inlineStr">
        <is>
          <t>+LS2</t>
        </is>
      </c>
      <c r="D1103" t="inlineStr">
        <is>
          <t>-127K58.1</t>
        </is>
      </c>
      <c r="E1103" t="inlineStr">
        <is>
          <t>DIL_EM-10-G</t>
        </is>
      </c>
      <c r="F1103" t="inlineStr">
        <is>
          <t>#KALK!</t>
        </is>
      </c>
      <c r="G1103" t="inlineStr">
        <is>
          <t>LASTSCHUETZ</t>
        </is>
      </c>
      <c r="H1103" t="inlineStr">
        <is>
          <t>4kW 1S</t>
        </is>
      </c>
      <c r="I1103">
        <v>248</v>
      </c>
      <c r="J1103">
        <f>GS25/127.6</f>
        <v>0</v>
      </c>
      <c r="M1103" t="inlineStr">
        <is>
          <t>-127K58.1</t>
        </is>
      </c>
    </row>
    <row r="1104">
      <c r="A1104">
        <v>1103</v>
      </c>
      <c r="B1104">
        <f>GS15</f>
        <v>0</v>
      </c>
      <c r="C1104" t="inlineStr">
        <is>
          <t>+LS2</t>
        </is>
      </c>
      <c r="D1104" t="inlineStr">
        <is>
          <t>-127K59.3</t>
        </is>
      </c>
      <c r="E1104" t="inlineStr">
        <is>
          <t>DIL_EM-10-G</t>
        </is>
      </c>
      <c r="F1104" t="inlineStr">
        <is>
          <t>#KALK!</t>
        </is>
      </c>
      <c r="G1104" t="inlineStr">
        <is>
          <t>LASTSCHUETZ</t>
        </is>
      </c>
      <c r="H1104" t="inlineStr">
        <is>
          <t>4kW 1S</t>
        </is>
      </c>
      <c r="I1104">
        <v>615</v>
      </c>
      <c r="J1104">
        <f>GS15/127.7</f>
        <v>0</v>
      </c>
      <c r="M1104" t="inlineStr">
        <is>
          <t>-127K59.3</t>
        </is>
      </c>
    </row>
    <row r="1105">
      <c r="A1105">
        <v>1104</v>
      </c>
      <c r="B1105">
        <f>GS01</f>
        <v>0</v>
      </c>
      <c r="C1105" t="inlineStr">
        <is>
          <t>+LS2</t>
        </is>
      </c>
      <c r="D1105" t="inlineStr">
        <is>
          <t>-127K87.3</t>
        </is>
      </c>
      <c r="E1105" t="inlineStr">
        <is>
          <t>DIL_EM-10-G</t>
        </is>
      </c>
      <c r="F1105" t="inlineStr">
        <is>
          <t>#KALK!</t>
        </is>
      </c>
      <c r="G1105" t="inlineStr">
        <is>
          <t>LASTSCHUETZ</t>
        </is>
      </c>
      <c r="H1105" t="inlineStr">
        <is>
          <t>4kW 1S</t>
        </is>
      </c>
      <c r="I1105">
        <v>289</v>
      </c>
      <c r="J1105">
        <f>GS01/127.7</f>
        <v>0</v>
      </c>
      <c r="M1105" t="inlineStr">
        <is>
          <t>-127K87.3</t>
        </is>
      </c>
    </row>
    <row r="1106">
      <c r="A1106">
        <v>1105</v>
      </c>
      <c r="B1106">
        <f>GS93</f>
        <v>0</v>
      </c>
      <c r="C1106" t="inlineStr">
        <is>
          <t>+LS01</t>
        </is>
      </c>
      <c r="D1106" t="inlineStr">
        <is>
          <t>-127Q152.6</t>
        </is>
      </c>
      <c r="E1106" t="inlineStr">
        <is>
          <t>DILM-9-10</t>
        </is>
      </c>
      <c r="F1106" t="inlineStr">
        <is>
          <t>#KALK!</t>
        </is>
      </c>
      <c r="G1106" t="inlineStr">
        <is>
          <t>LASTSCHUETZ</t>
        </is>
      </c>
      <c r="H1106" t="inlineStr">
        <is>
          <t>4kW 1S Federzugkl.</t>
        </is>
      </c>
      <c r="I1106">
        <v>696</v>
      </c>
      <c r="J1106">
        <f>GS93/127.5</f>
        <v>0</v>
      </c>
      <c r="M1106" t="inlineStr">
        <is>
          <t>-127Q152.6</t>
        </is>
      </c>
    </row>
    <row r="1107">
      <c r="A1107">
        <v>1106</v>
      </c>
      <c r="B1107">
        <f>GS90</f>
        <v>0</v>
      </c>
      <c r="C1107" t="inlineStr">
        <is>
          <t>+LS01</t>
        </is>
      </c>
      <c r="D1107" t="inlineStr">
        <is>
          <t>-127Q157.2</t>
        </is>
      </c>
      <c r="E1107" t="inlineStr">
        <is>
          <t>DILM-9-10</t>
        </is>
      </c>
      <c r="F1107" t="inlineStr">
        <is>
          <t>#KALK!</t>
        </is>
      </c>
      <c r="G1107" t="inlineStr">
        <is>
          <t>LASTSCHUETZ</t>
        </is>
      </c>
      <c r="H1107" t="inlineStr">
        <is>
          <t>4kW 1S Federzugkl.</t>
        </is>
      </c>
      <c r="I1107">
        <v>1110</v>
      </c>
      <c r="J1107">
        <f>GS90/127.5</f>
        <v>0</v>
      </c>
      <c r="M1107" t="inlineStr">
        <is>
          <t>-127Q157.2</t>
        </is>
      </c>
    </row>
    <row r="1108">
      <c r="A1108">
        <v>1107</v>
      </c>
      <c r="B1108">
        <f>GS16</f>
        <v>0</v>
      </c>
      <c r="C1108" t="inlineStr">
        <is>
          <t>+LS11</t>
        </is>
      </c>
      <c r="D1108" t="inlineStr">
        <is>
          <t>-1280K3524.5</t>
        </is>
      </c>
      <c r="E1108" t="inlineStr">
        <is>
          <t>DILM-9-10</t>
        </is>
      </c>
      <c r="F1108" t="inlineStr">
        <is>
          <t>#KALK!</t>
        </is>
      </c>
      <c r="G1108" t="inlineStr">
        <is>
          <t>LASTSCHUETZ</t>
        </is>
      </c>
      <c r="H1108" t="inlineStr">
        <is>
          <t>4kW 1S Federzugkl.</t>
        </is>
      </c>
      <c r="I1108">
        <v>1515</v>
      </c>
      <c r="J1108">
        <f>GS16/1280.7</f>
        <v>0</v>
      </c>
      <c r="M1108" t="inlineStr">
        <is>
          <t>-1280K3524.5</t>
        </is>
      </c>
    </row>
    <row r="1109">
      <c r="A1109">
        <v>1108</v>
      </c>
      <c r="B1109">
        <f>GS16</f>
        <v>0</v>
      </c>
      <c r="C1109" t="inlineStr">
        <is>
          <t>+LS11</t>
        </is>
      </c>
      <c r="D1109" t="inlineStr">
        <is>
          <t>-1281K3524.0</t>
        </is>
      </c>
      <c r="E1109" t="inlineStr">
        <is>
          <t>DILM-9-01</t>
        </is>
      </c>
      <c r="F1109" t="inlineStr">
        <is>
          <t>#KALK!</t>
        </is>
      </c>
      <c r="G1109" t="inlineStr">
        <is>
          <t>LASTSCHUETZ</t>
        </is>
      </c>
      <c r="H1109" t="inlineStr">
        <is>
          <t>4kW 1Oe Federzugkl.</t>
        </is>
      </c>
      <c r="I1109">
        <v>1516</v>
      </c>
      <c r="J1109">
        <f>GS16/1281.6</f>
        <v>0</v>
      </c>
      <c r="M1109" t="inlineStr">
        <is>
          <t>-1281K3524.0</t>
        </is>
      </c>
    </row>
    <row r="1110">
      <c r="A1110">
        <v>1109</v>
      </c>
      <c r="B1110">
        <f>GS16</f>
        <v>0</v>
      </c>
      <c r="C1110" t="inlineStr">
        <is>
          <t>+LS11</t>
        </is>
      </c>
      <c r="D1110" t="inlineStr">
        <is>
          <t>-1281K3524.1</t>
        </is>
      </c>
      <c r="E1110" t="inlineStr">
        <is>
          <t>DILM-9-01</t>
        </is>
      </c>
      <c r="F1110" t="inlineStr">
        <is>
          <t>#KALK!</t>
        </is>
      </c>
      <c r="G1110" t="inlineStr">
        <is>
          <t>LASTSCHUETZ</t>
        </is>
      </c>
      <c r="H1110" t="inlineStr">
        <is>
          <t>4kW 1Oe Federzugkl.</t>
        </is>
      </c>
      <c r="I1110">
        <v>1516</v>
      </c>
      <c r="J1110">
        <f>GS16/1281.6</f>
        <v>0</v>
      </c>
      <c r="M1110" t="inlineStr">
        <is>
          <t>-1281K3524.1</t>
        </is>
      </c>
    </row>
    <row r="1111">
      <c r="A1111">
        <v>1110</v>
      </c>
      <c r="B1111">
        <f>GS16</f>
        <v>0</v>
      </c>
      <c r="C1111" t="inlineStr">
        <is>
          <t>+LS11</t>
        </is>
      </c>
      <c r="D1111" t="inlineStr">
        <is>
          <t>-1284K1</t>
        </is>
      </c>
      <c r="E1111" t="inlineStr">
        <is>
          <t>DILM40(230V50HZ)</t>
        </is>
      </c>
      <c r="F1111" t="inlineStr">
        <is>
          <t>DILM150-XHIC22</t>
        </is>
      </c>
      <c r="G1111" t="inlineStr">
        <is>
          <t>LASTSCHUETZ</t>
        </is>
      </c>
      <c r="H1111" t="inlineStr">
        <is>
          <t>18,5kW Schraubkl.</t>
        </is>
      </c>
      <c r="I1111">
        <v>1519</v>
      </c>
      <c r="J1111">
        <f>GS16/1284.2</f>
        <v>0</v>
      </c>
      <c r="K1111" t="inlineStr">
        <is>
          <t>DILMC40</t>
        </is>
      </c>
      <c r="M1111" t="inlineStr">
        <is>
          <t>-1284K1</t>
        </is>
      </c>
    </row>
    <row r="1112">
      <c r="A1112">
        <v>1111</v>
      </c>
      <c r="B1112">
        <f>GS16</f>
        <v>0</v>
      </c>
      <c r="C1112" t="inlineStr">
        <is>
          <t>+LS11</t>
        </is>
      </c>
      <c r="D1112" t="inlineStr">
        <is>
          <t>-1284K1</t>
        </is>
      </c>
      <c r="E1112" t="inlineStr">
        <is>
          <t>DILM150-XHIC22</t>
        </is>
      </c>
      <c r="F1112" t="inlineStr">
        <is>
          <t>DILM150-XHIC22</t>
        </is>
      </c>
      <c r="G1112" t="inlineStr">
        <is>
          <t>HILFSKONTAKTBLOCK</t>
        </is>
      </c>
      <c r="H1112" t="inlineStr">
        <is>
          <t>2S 2OE ab DILMC40</t>
        </is>
      </c>
      <c r="I1112">
        <v>1519</v>
      </c>
      <c r="J1112">
        <f>GS16/1284.2</f>
        <v>0</v>
      </c>
      <c r="K1112" t="inlineStr">
        <is>
          <t>DILMC40</t>
        </is>
      </c>
      <c r="M1112" t="inlineStr">
        <is>
          <t>-1284K1</t>
        </is>
      </c>
    </row>
    <row r="1113">
      <c r="A1113">
        <v>1112</v>
      </c>
      <c r="B1113">
        <f>GS16</f>
        <v>0</v>
      </c>
      <c r="C1113" t="inlineStr">
        <is>
          <t>+LS11</t>
        </is>
      </c>
      <c r="D1113" t="inlineStr">
        <is>
          <t>-1285K3526.5</t>
        </is>
      </c>
      <c r="E1113" t="inlineStr">
        <is>
          <t>DILM-9-10</t>
        </is>
      </c>
      <c r="F1113" t="inlineStr">
        <is>
          <t>#KALK!</t>
        </is>
      </c>
      <c r="G1113" t="inlineStr">
        <is>
          <t>LASTSCHUETZ</t>
        </is>
      </c>
      <c r="H1113" t="inlineStr">
        <is>
          <t>4kW 1S Federzugkl.</t>
        </is>
      </c>
      <c r="I1113">
        <v>1520</v>
      </c>
      <c r="J1113">
        <f>GS16/1285.7</f>
        <v>0</v>
      </c>
      <c r="M1113" t="inlineStr">
        <is>
          <t>-1285K3526.5</t>
        </is>
      </c>
    </row>
    <row r="1114">
      <c r="A1114">
        <v>1113</v>
      </c>
      <c r="B1114">
        <f>GS51</f>
        <v>0</v>
      </c>
      <c r="C1114" t="inlineStr">
        <is>
          <t>+LS19</t>
        </is>
      </c>
      <c r="D1114" t="inlineStr">
        <is>
          <t>-1285Q1</t>
        </is>
      </c>
      <c r="E1114" t="inlineStr">
        <is>
          <t>DILA-XHI22</t>
        </is>
      </c>
      <c r="F1114" t="inlineStr">
        <is>
          <t>DILA-XHI22</t>
        </is>
      </c>
      <c r="G1114" t="inlineStr">
        <is>
          <t>HILFSKONTAKTBLOCK</t>
        </is>
      </c>
      <c r="H1114" t="inlineStr">
        <is>
          <t>2S 2OE Last+Hilfssch. Cage</t>
        </is>
      </c>
      <c r="I1114">
        <v>1414</v>
      </c>
      <c r="J1114">
        <f>GS51/1285.6</f>
        <v>0</v>
      </c>
      <c r="K1114" t="inlineStr">
        <is>
          <t>DIL MC25</t>
        </is>
      </c>
      <c r="M1114" t="inlineStr">
        <is>
          <t>-1285Q1</t>
        </is>
      </c>
    </row>
    <row r="1115">
      <c r="A1115">
        <v>1114</v>
      </c>
      <c r="B1115">
        <f>GS51</f>
        <v>0</v>
      </c>
      <c r="C1115" t="inlineStr">
        <is>
          <t>+LS19</t>
        </is>
      </c>
      <c r="D1115" t="inlineStr">
        <is>
          <t>-1285Q1</t>
        </is>
      </c>
      <c r="E1115" t="inlineStr">
        <is>
          <t>DILMC25-10(RDC24)</t>
        </is>
      </c>
      <c r="F1115" t="inlineStr">
        <is>
          <t>DILA-XHI22</t>
        </is>
      </c>
      <c r="G1115" t="inlineStr">
        <is>
          <t>LASTSCHUETZ</t>
        </is>
      </c>
      <c r="H1115" t="inlineStr">
        <is>
          <t>11kW 1S Federzugkl.</t>
        </is>
      </c>
      <c r="I1115">
        <v>1414</v>
      </c>
      <c r="J1115">
        <f>GS51/1285.6</f>
        <v>0</v>
      </c>
      <c r="K1115" t="inlineStr">
        <is>
          <t>DIL MC25</t>
        </is>
      </c>
      <c r="M1115" t="inlineStr">
        <is>
          <t>-1285Q1</t>
        </is>
      </c>
    </row>
    <row r="1116">
      <c r="A1116">
        <v>1115</v>
      </c>
      <c r="B1116">
        <f>GS16</f>
        <v>0</v>
      </c>
      <c r="C1116" t="inlineStr">
        <is>
          <t>+LS11</t>
        </is>
      </c>
      <c r="D1116" t="inlineStr">
        <is>
          <t>-1286K3527.5</t>
        </is>
      </c>
      <c r="E1116" t="inlineStr">
        <is>
          <t>DILM-9-10</t>
        </is>
      </c>
      <c r="F1116" t="inlineStr">
        <is>
          <t>#KALK!</t>
        </is>
      </c>
      <c r="G1116" t="inlineStr">
        <is>
          <t>LASTSCHUETZ</t>
        </is>
      </c>
      <c r="H1116" t="inlineStr">
        <is>
          <t>4kW 1S Federzugkl.</t>
        </is>
      </c>
      <c r="I1116">
        <v>1521</v>
      </c>
      <c r="J1116">
        <f>GS16/1286.7</f>
        <v>0</v>
      </c>
      <c r="M1116" t="inlineStr">
        <is>
          <t>-1286K3527.5</t>
        </is>
      </c>
    </row>
    <row r="1117">
      <c r="A1117">
        <v>1116</v>
      </c>
      <c r="B1117">
        <f>GS51</f>
        <v>0</v>
      </c>
      <c r="C1117" t="inlineStr">
        <is>
          <t>+LS19</t>
        </is>
      </c>
      <c r="D1117" t="inlineStr">
        <is>
          <t>-1287Q788.5</t>
        </is>
      </c>
      <c r="E1117" t="inlineStr">
        <is>
          <t>DILM-9-10</t>
        </is>
      </c>
      <c r="F1117" t="inlineStr">
        <is>
          <t>#KALK!</t>
        </is>
      </c>
      <c r="G1117" t="inlineStr">
        <is>
          <t>LASTSCHUETZ</t>
        </is>
      </c>
      <c r="H1117" t="inlineStr">
        <is>
          <t>4kW 1S Federzugkl.</t>
        </is>
      </c>
      <c r="I1117">
        <v>1417</v>
      </c>
      <c r="J1117">
        <f>GS51/1287.6</f>
        <v>0</v>
      </c>
      <c r="K1117" t="inlineStr">
        <is>
          <t>DIL MC9</t>
        </is>
      </c>
      <c r="M1117" t="inlineStr">
        <is>
          <t>-1287Q788.5</t>
        </is>
      </c>
    </row>
    <row r="1118">
      <c r="A1118">
        <v>1117</v>
      </c>
      <c r="B1118">
        <f>GS51</f>
        <v>0</v>
      </c>
      <c r="C1118" t="inlineStr">
        <is>
          <t>+LS19</t>
        </is>
      </c>
      <c r="D1118" t="inlineStr">
        <is>
          <t>-1288Q788.6</t>
        </is>
      </c>
      <c r="E1118" t="inlineStr">
        <is>
          <t>DILM-9-10</t>
        </is>
      </c>
      <c r="F1118" t="inlineStr">
        <is>
          <t>#KALK!</t>
        </is>
      </c>
      <c r="G1118" t="inlineStr">
        <is>
          <t>LASTSCHUETZ</t>
        </is>
      </c>
      <c r="H1118" t="inlineStr">
        <is>
          <t>4kW 1S Federzugkl.</t>
        </is>
      </c>
      <c r="I1118">
        <v>1418</v>
      </c>
      <c r="J1118">
        <f>GS51/1288.6</f>
        <v>0</v>
      </c>
      <c r="K1118" t="inlineStr">
        <is>
          <t>DIL MC9</t>
        </is>
      </c>
      <c r="M1118" t="inlineStr">
        <is>
          <t>-1288Q788.6</t>
        </is>
      </c>
    </row>
    <row r="1119">
      <c r="A1119">
        <v>1118</v>
      </c>
      <c r="B1119">
        <f>GS01</f>
        <v>0</v>
      </c>
      <c r="C1119" t="inlineStr">
        <is>
          <t>+LS2</t>
        </is>
      </c>
      <c r="D1119" t="inlineStr">
        <is>
          <t>-128K1</t>
        </is>
      </c>
      <c r="E1119" t="inlineStr">
        <is>
          <t>DIL_EM-10-G</t>
        </is>
      </c>
      <c r="F1119" t="inlineStr">
        <is>
          <t>#KALK!</t>
        </is>
      </c>
      <c r="G1119" t="inlineStr">
        <is>
          <t>LASTSCHUETZ</t>
        </is>
      </c>
      <c r="H1119" t="inlineStr">
        <is>
          <t>4kW 1S</t>
        </is>
      </c>
      <c r="I1119">
        <v>290</v>
      </c>
      <c r="J1119">
        <f>GS01/128.5</f>
        <v>0</v>
      </c>
      <c r="M1119" t="inlineStr">
        <is>
          <t>-128K1</t>
        </is>
      </c>
    </row>
    <row r="1120">
      <c r="A1120">
        <v>1119</v>
      </c>
      <c r="B1120">
        <f>GS02</f>
        <v>0</v>
      </c>
      <c r="C1120" t="inlineStr">
        <is>
          <t>+LS1</t>
        </is>
      </c>
      <c r="D1120" t="inlineStr">
        <is>
          <t>-128K17.4</t>
        </is>
      </c>
      <c r="E1120" t="inlineStr">
        <is>
          <t>DIL_EM-10-G</t>
        </is>
      </c>
      <c r="F1120" t="inlineStr">
        <is>
          <t>#KALK!</t>
        </is>
      </c>
      <c r="G1120" t="inlineStr">
        <is>
          <t>LASTSCHUETZ</t>
        </is>
      </c>
      <c r="H1120" t="inlineStr">
        <is>
          <t>4kW 1S</t>
        </is>
      </c>
      <c r="I1120">
        <v>526</v>
      </c>
      <c r="J1120">
        <f>GS02/128.6</f>
        <v>0</v>
      </c>
      <c r="M1120" t="inlineStr">
        <is>
          <t>-128K17.4</t>
        </is>
      </c>
    </row>
    <row r="1121">
      <c r="A1121">
        <v>1120</v>
      </c>
      <c r="B1121">
        <f>GS02</f>
        <v>0</v>
      </c>
      <c r="C1121" t="inlineStr">
        <is>
          <t>+LS1</t>
        </is>
      </c>
      <c r="D1121" t="inlineStr">
        <is>
          <t>-128K17.5</t>
        </is>
      </c>
      <c r="E1121" t="inlineStr">
        <is>
          <t>DIL_EM-10-G</t>
        </is>
      </c>
      <c r="F1121" t="inlineStr">
        <is>
          <t>#KALK!</t>
        </is>
      </c>
      <c r="G1121" t="inlineStr">
        <is>
          <t>LASTSCHUETZ</t>
        </is>
      </c>
      <c r="H1121" t="inlineStr">
        <is>
          <t>4kW 1S</t>
        </is>
      </c>
      <c r="I1121">
        <v>526</v>
      </c>
      <c r="J1121">
        <f>GS02/128.6</f>
        <v>0</v>
      </c>
      <c r="M1121" t="inlineStr">
        <is>
          <t>-128K17.5</t>
        </is>
      </c>
    </row>
    <row r="1122">
      <c r="A1122">
        <v>1121</v>
      </c>
      <c r="B1122">
        <f>GS34</f>
        <v>0</v>
      </c>
      <c r="C1122" t="inlineStr">
        <is>
          <t>+LS1</t>
        </is>
      </c>
      <c r="D1122" t="inlineStr">
        <is>
          <t>-128K17.6</t>
        </is>
      </c>
      <c r="E1122" t="inlineStr">
        <is>
          <t>DIL_EM-10-G</t>
        </is>
      </c>
      <c r="F1122" t="inlineStr">
        <is>
          <t>#KALK!</t>
        </is>
      </c>
      <c r="G1122" t="inlineStr">
        <is>
          <t>LASTSCHUETZ</t>
        </is>
      </c>
      <c r="H1122" t="inlineStr">
        <is>
          <t>4kW 1S</t>
        </is>
      </c>
      <c r="I1122">
        <v>252</v>
      </c>
      <c r="J1122">
        <f>GS34/128.6</f>
        <v>0</v>
      </c>
      <c r="M1122" t="inlineStr">
        <is>
          <t>-128K17.6</t>
        </is>
      </c>
    </row>
    <row r="1123">
      <c r="A1123">
        <v>1122</v>
      </c>
      <c r="B1123">
        <f>GS34</f>
        <v>0</v>
      </c>
      <c r="C1123" t="inlineStr">
        <is>
          <t>+LS1</t>
        </is>
      </c>
      <c r="D1123" t="inlineStr">
        <is>
          <t>-128K17.7</t>
        </is>
      </c>
      <c r="E1123" t="inlineStr">
        <is>
          <t>DIL_EM-10-G</t>
        </is>
      </c>
      <c r="F1123" t="inlineStr">
        <is>
          <t>#KALK!</t>
        </is>
      </c>
      <c r="G1123" t="inlineStr">
        <is>
          <t>LASTSCHUETZ</t>
        </is>
      </c>
      <c r="H1123" t="inlineStr">
        <is>
          <t>4kW 1S</t>
        </is>
      </c>
      <c r="I1123">
        <v>252</v>
      </c>
      <c r="J1123">
        <f>GS34/128.6</f>
        <v>0</v>
      </c>
      <c r="M1123" t="inlineStr">
        <is>
          <t>-128K17.7</t>
        </is>
      </c>
    </row>
    <row r="1124">
      <c r="A1124">
        <v>1123</v>
      </c>
      <c r="B1124">
        <f>GS31</f>
        <v>0</v>
      </c>
      <c r="C1124" t="inlineStr">
        <is>
          <t>+LS1</t>
        </is>
      </c>
      <c r="D1124" t="inlineStr">
        <is>
          <t>-128K20.6</t>
        </is>
      </c>
      <c r="E1124" t="inlineStr">
        <is>
          <t>DIL_EM-10-G</t>
        </is>
      </c>
      <c r="F1124" t="inlineStr">
        <is>
          <t>#KALK!</t>
        </is>
      </c>
      <c r="G1124" t="inlineStr">
        <is>
          <t>LASTSCHUETZ</t>
        </is>
      </c>
      <c r="H1124" t="inlineStr">
        <is>
          <t>4kW 1S</t>
        </is>
      </c>
      <c r="I1124">
        <v>412</v>
      </c>
      <c r="J1124">
        <f>GS31/128.6</f>
        <v>0</v>
      </c>
      <c r="M1124" t="inlineStr">
        <is>
          <t>-128K20.6</t>
        </is>
      </c>
    </row>
    <row r="1125">
      <c r="A1125">
        <v>1124</v>
      </c>
      <c r="B1125">
        <f>GS31</f>
        <v>0</v>
      </c>
      <c r="C1125" t="inlineStr">
        <is>
          <t>+LS1</t>
        </is>
      </c>
      <c r="D1125" t="inlineStr">
        <is>
          <t>-128K20.7</t>
        </is>
      </c>
      <c r="E1125" t="inlineStr">
        <is>
          <t>DIL_EM-10-G</t>
        </is>
      </c>
      <c r="F1125" t="inlineStr">
        <is>
          <t>#KALK!</t>
        </is>
      </c>
      <c r="G1125" t="inlineStr">
        <is>
          <t>LASTSCHUETZ</t>
        </is>
      </c>
      <c r="H1125" t="inlineStr">
        <is>
          <t>4kW 1S</t>
        </is>
      </c>
      <c r="I1125">
        <v>412</v>
      </c>
      <c r="J1125">
        <f>GS31/128.6</f>
        <v>0</v>
      </c>
      <c r="M1125" t="inlineStr">
        <is>
          <t>-128K20.7</t>
        </is>
      </c>
    </row>
    <row r="1126">
      <c r="A1126">
        <v>1125</v>
      </c>
      <c r="B1126">
        <f>GS26</f>
        <v>0</v>
      </c>
      <c r="C1126" t="inlineStr">
        <is>
          <t>+LS1</t>
        </is>
      </c>
      <c r="D1126" t="inlineStr">
        <is>
          <t>-128K3536.6</t>
        </is>
      </c>
      <c r="E1126" t="inlineStr">
        <is>
          <t>DILMC17-10(RDC24)</t>
        </is>
      </c>
      <c r="F1126" t="inlineStr">
        <is>
          <t>#KALK!</t>
        </is>
      </c>
      <c r="G1126" t="inlineStr">
        <is>
          <t>LASTSCHUETZ</t>
        </is>
      </c>
      <c r="H1126" t="inlineStr">
        <is>
          <t>7,5kW 1S Federzugkl.</t>
        </is>
      </c>
      <c r="I1126">
        <v>219</v>
      </c>
      <c r="J1126">
        <f>GS26/128.6</f>
        <v>0</v>
      </c>
      <c r="K1126" t="inlineStr">
        <is>
          <t>DIL MC17</t>
        </is>
      </c>
      <c r="M1126" t="inlineStr">
        <is>
          <t>-128K3536.6</t>
        </is>
      </c>
    </row>
    <row r="1127">
      <c r="A1127">
        <v>1126</v>
      </c>
      <c r="B1127">
        <f>GC03</f>
        <v>0</v>
      </c>
      <c r="C1127" t="inlineStr">
        <is>
          <t>+LS2</t>
        </is>
      </c>
      <c r="D1127" t="inlineStr">
        <is>
          <t>-128K48.0</t>
        </is>
      </c>
      <c r="E1127" t="inlineStr">
        <is>
          <t>DIL_EM-10-G</t>
        </is>
      </c>
      <c r="F1127" t="inlineStr">
        <is>
          <t>#KALK!</t>
        </is>
      </c>
      <c r="G1127" t="inlineStr">
        <is>
          <t>LASTSCHUETZ</t>
        </is>
      </c>
      <c r="H1127" t="inlineStr">
        <is>
          <t>4kW 1S</t>
        </is>
      </c>
      <c r="I1127">
        <v>3578</v>
      </c>
      <c r="J1127">
        <f>GC03/128.6</f>
        <v>0</v>
      </c>
      <c r="M1127" t="inlineStr">
        <is>
          <t>-128K48.0</t>
        </is>
      </c>
    </row>
    <row r="1128">
      <c r="A1128">
        <v>1127</v>
      </c>
      <c r="B1128">
        <f>GC03</f>
        <v>0</v>
      </c>
      <c r="C1128" t="inlineStr">
        <is>
          <t>+LS2</t>
        </is>
      </c>
      <c r="D1128" t="inlineStr">
        <is>
          <t>-128K48.1</t>
        </is>
      </c>
      <c r="E1128" t="inlineStr">
        <is>
          <t>DIL_EM-10-G</t>
        </is>
      </c>
      <c r="F1128" t="inlineStr">
        <is>
          <t>#KALK!</t>
        </is>
      </c>
      <c r="G1128" t="inlineStr">
        <is>
          <t>LASTSCHUETZ</t>
        </is>
      </c>
      <c r="H1128" t="inlineStr">
        <is>
          <t>4kW 1S</t>
        </is>
      </c>
      <c r="I1128">
        <v>3578</v>
      </c>
      <c r="J1128">
        <f>GC03/128.6</f>
        <v>0</v>
      </c>
      <c r="M1128" t="inlineStr">
        <is>
          <t>-128K48.1</t>
        </is>
      </c>
    </row>
    <row r="1129">
      <c r="A1129">
        <v>1128</v>
      </c>
      <c r="B1129">
        <f>GS25</f>
        <v>0</v>
      </c>
      <c r="C1129" t="inlineStr">
        <is>
          <t>+LS2</t>
        </is>
      </c>
      <c r="D1129" t="inlineStr">
        <is>
          <t>-128K58.2</t>
        </is>
      </c>
      <c r="E1129" t="inlineStr">
        <is>
          <t>DIL_EM-10-G</t>
        </is>
      </c>
      <c r="F1129" t="inlineStr">
        <is>
          <t>#KALK!</t>
        </is>
      </c>
      <c r="G1129" t="inlineStr">
        <is>
          <t>LASTSCHUETZ</t>
        </is>
      </c>
      <c r="H1129" t="inlineStr">
        <is>
          <t>4kW 1S</t>
        </is>
      </c>
      <c r="I1129">
        <v>249</v>
      </c>
      <c r="J1129">
        <f>GS25/128.6</f>
        <v>0</v>
      </c>
      <c r="M1129" t="inlineStr">
        <is>
          <t>-128K58.2</t>
        </is>
      </c>
    </row>
    <row r="1130">
      <c r="A1130">
        <v>1129</v>
      </c>
      <c r="B1130">
        <f>GS25</f>
        <v>0</v>
      </c>
      <c r="C1130" t="inlineStr">
        <is>
          <t>+LS2</t>
        </is>
      </c>
      <c r="D1130" t="inlineStr">
        <is>
          <t>-128K58.3</t>
        </is>
      </c>
      <c r="E1130" t="inlineStr">
        <is>
          <t>DIL_EM-10-G</t>
        </is>
      </c>
      <c r="F1130" t="inlineStr">
        <is>
          <t>#KALK!</t>
        </is>
      </c>
      <c r="G1130" t="inlineStr">
        <is>
          <t>LASTSCHUETZ</t>
        </is>
      </c>
      <c r="H1130" t="inlineStr">
        <is>
          <t>4kW 1S</t>
        </is>
      </c>
      <c r="I1130">
        <v>249</v>
      </c>
      <c r="J1130">
        <f>GS25/128.6</f>
        <v>0</v>
      </c>
      <c r="M1130" t="inlineStr">
        <is>
          <t>-128K58.3</t>
        </is>
      </c>
    </row>
    <row r="1131">
      <c r="A1131">
        <v>1130</v>
      </c>
      <c r="B1131">
        <f>GS15</f>
        <v>0</v>
      </c>
      <c r="C1131" t="inlineStr">
        <is>
          <t>+LS2</t>
        </is>
      </c>
      <c r="D1131" t="inlineStr">
        <is>
          <t>-128K61.3</t>
        </is>
      </c>
      <c r="E1131" t="inlineStr">
        <is>
          <t>DIL_EM-10-G</t>
        </is>
      </c>
      <c r="F1131" t="inlineStr">
        <is>
          <t>#KALK!</t>
        </is>
      </c>
      <c r="G1131" t="inlineStr">
        <is>
          <t>LASTSCHUETZ</t>
        </is>
      </c>
      <c r="H1131" t="inlineStr">
        <is>
          <t>4kW 1S</t>
        </is>
      </c>
      <c r="I1131">
        <v>616</v>
      </c>
      <c r="J1131">
        <f>GS15/128.7</f>
        <v>0</v>
      </c>
      <c r="M1131" t="inlineStr">
        <is>
          <t>-128K61.3</t>
        </is>
      </c>
    </row>
    <row r="1132">
      <c r="A1132">
        <v>1131</v>
      </c>
      <c r="B1132">
        <f>GS92</f>
        <v>0</v>
      </c>
      <c r="C1132" t="inlineStr">
        <is>
          <t>+LS01</t>
        </is>
      </c>
      <c r="D1132" t="inlineStr">
        <is>
          <t>-128Q152.7</t>
        </is>
      </c>
      <c r="E1132" t="inlineStr">
        <is>
          <t>DILM-9-10</t>
        </is>
      </c>
      <c r="F1132" t="inlineStr">
        <is>
          <t>#KALK!</t>
        </is>
      </c>
      <c r="G1132" t="inlineStr">
        <is>
          <t>LASTSCHUETZ</t>
        </is>
      </c>
      <c r="H1132" t="inlineStr">
        <is>
          <t>4kW 1S Federzugkl.</t>
        </is>
      </c>
      <c r="I1132">
        <v>272</v>
      </c>
      <c r="J1132">
        <f>GS92/128.5</f>
        <v>0</v>
      </c>
      <c r="M1132" t="inlineStr">
        <is>
          <t>-128Q152.7</t>
        </is>
      </c>
    </row>
    <row r="1133">
      <c r="A1133">
        <v>1132</v>
      </c>
      <c r="B1133">
        <f>GS93</f>
        <v>0</v>
      </c>
      <c r="C1133" t="inlineStr">
        <is>
          <t>+LS01</t>
        </is>
      </c>
      <c r="D1133" t="inlineStr">
        <is>
          <t>-128Q152.7</t>
        </is>
      </c>
      <c r="E1133" t="inlineStr">
        <is>
          <t>DILM-9-10</t>
        </is>
      </c>
      <c r="F1133" t="inlineStr">
        <is>
          <t>#KALK!</t>
        </is>
      </c>
      <c r="G1133" t="inlineStr">
        <is>
          <t>LASTSCHUETZ</t>
        </is>
      </c>
      <c r="H1133" t="inlineStr">
        <is>
          <t>4kW 1S Federzugkl.</t>
        </is>
      </c>
      <c r="I1133">
        <v>697</v>
      </c>
      <c r="J1133">
        <f>GS93/128.5</f>
        <v>0</v>
      </c>
      <c r="M1133" t="inlineStr">
        <is>
          <t>-128Q152.7</t>
        </is>
      </c>
    </row>
    <row r="1134">
      <c r="A1134">
        <v>1133</v>
      </c>
      <c r="B1134">
        <f>GS05</f>
        <v>0</v>
      </c>
      <c r="C1134" t="inlineStr">
        <is>
          <t>+LS21</t>
        </is>
      </c>
      <c r="D1134" t="inlineStr">
        <is>
          <t>-1290Q1</t>
        </is>
      </c>
      <c r="E1134" t="inlineStr">
        <is>
          <t>DILA-XHI22</t>
        </is>
      </c>
      <c r="F1134" t="inlineStr">
        <is>
          <t>DILA-XHI22</t>
        </is>
      </c>
      <c r="G1134" t="inlineStr">
        <is>
          <t>HILFSKONTAKTBLOCK</t>
        </is>
      </c>
      <c r="H1134" t="inlineStr">
        <is>
          <t>2S 2OE Last+Hilfssch. Cage</t>
        </is>
      </c>
      <c r="I1134">
        <v>2388</v>
      </c>
      <c r="J1134">
        <f>GS05/1290.6</f>
        <v>0</v>
      </c>
      <c r="K1134" t="inlineStr">
        <is>
          <t>DIL MC25</t>
        </is>
      </c>
      <c r="M1134" t="inlineStr">
        <is>
          <t>-1290Q1</t>
        </is>
      </c>
    </row>
    <row r="1135">
      <c r="A1135">
        <v>1134</v>
      </c>
      <c r="B1135">
        <f>GS05</f>
        <v>0</v>
      </c>
      <c r="C1135" t="inlineStr">
        <is>
          <t>+LS21</t>
        </is>
      </c>
      <c r="D1135" t="inlineStr">
        <is>
          <t>-1290Q1</t>
        </is>
      </c>
      <c r="E1135" t="inlineStr">
        <is>
          <t>DILMC25-10(RDC24)</t>
        </is>
      </c>
      <c r="F1135" t="inlineStr">
        <is>
          <t>DILA-XHI22</t>
        </is>
      </c>
      <c r="G1135" t="inlineStr">
        <is>
          <t>LASTSCHUETZ</t>
        </is>
      </c>
      <c r="H1135" t="inlineStr">
        <is>
          <t>11kW 1S Federzugkl.</t>
        </is>
      </c>
      <c r="I1135">
        <v>2388</v>
      </c>
      <c r="J1135">
        <f>GS05/1290.6</f>
        <v>0</v>
      </c>
      <c r="K1135" t="inlineStr">
        <is>
          <t>DIL MC25</t>
        </is>
      </c>
      <c r="M1135" t="inlineStr">
        <is>
          <t>-1290Q1</t>
        </is>
      </c>
    </row>
    <row r="1136">
      <c r="A1136">
        <v>1135</v>
      </c>
      <c r="B1136">
        <f>GS16</f>
        <v>0</v>
      </c>
      <c r="C1136" t="inlineStr">
        <is>
          <t>+LS11</t>
        </is>
      </c>
      <c r="D1136" t="inlineStr">
        <is>
          <t>-1291K1</t>
        </is>
      </c>
      <c r="E1136" t="inlineStr">
        <is>
          <t>DILM40(230V50HZ)</t>
        </is>
      </c>
      <c r="F1136" t="inlineStr">
        <is>
          <t>DILM150-XHIC22</t>
        </is>
      </c>
      <c r="G1136" t="inlineStr">
        <is>
          <t>LASTSCHUETZ</t>
        </is>
      </c>
      <c r="H1136" t="inlineStr">
        <is>
          <t>18,5kW Schraubkl.</t>
        </is>
      </c>
      <c r="I1136">
        <v>1526</v>
      </c>
      <c r="J1136">
        <f>GS16/1291.2</f>
        <v>0</v>
      </c>
      <c r="K1136" t="inlineStr">
        <is>
          <t>DILMC40</t>
        </is>
      </c>
      <c r="M1136" t="inlineStr">
        <is>
          <t>-1291K1</t>
        </is>
      </c>
    </row>
    <row r="1137">
      <c r="A1137">
        <v>1136</v>
      </c>
      <c r="B1137">
        <f>GS16</f>
        <v>0</v>
      </c>
      <c r="C1137" t="inlineStr">
        <is>
          <t>+LS11</t>
        </is>
      </c>
      <c r="D1137" t="inlineStr">
        <is>
          <t>-1291K1</t>
        </is>
      </c>
      <c r="E1137" t="inlineStr">
        <is>
          <t>DILM150-XHIC22</t>
        </is>
      </c>
      <c r="F1137" t="inlineStr">
        <is>
          <t>DILM150-XHIC22</t>
        </is>
      </c>
      <c r="G1137" t="inlineStr">
        <is>
          <t>HILFSKONTAKTBLOCK</t>
        </is>
      </c>
      <c r="H1137" t="inlineStr">
        <is>
          <t>2S 2OE ab DILMC40</t>
        </is>
      </c>
      <c r="I1137">
        <v>1526</v>
      </c>
      <c r="J1137">
        <f>GS16/1291.2</f>
        <v>0</v>
      </c>
      <c r="K1137" t="inlineStr">
        <is>
          <t>DILMC40</t>
        </is>
      </c>
      <c r="M1137" t="inlineStr">
        <is>
          <t>-1291K1</t>
        </is>
      </c>
    </row>
    <row r="1138">
      <c r="A1138">
        <v>1137</v>
      </c>
      <c r="B1138">
        <f>GS16</f>
        <v>0</v>
      </c>
      <c r="C1138" t="inlineStr">
        <is>
          <t>+LS11</t>
        </is>
      </c>
      <c r="D1138" t="inlineStr">
        <is>
          <t>-1292K3528.5</t>
        </is>
      </c>
      <c r="E1138" t="inlineStr">
        <is>
          <t>DILM-9-10</t>
        </is>
      </c>
      <c r="F1138" t="inlineStr">
        <is>
          <t>#KALK!</t>
        </is>
      </c>
      <c r="G1138" t="inlineStr">
        <is>
          <t>LASTSCHUETZ</t>
        </is>
      </c>
      <c r="H1138" t="inlineStr">
        <is>
          <t>4kW 1S Federzugkl.</t>
        </is>
      </c>
      <c r="I1138">
        <v>1527</v>
      </c>
      <c r="J1138">
        <f>GS16/1292.7</f>
        <v>0</v>
      </c>
      <c r="M1138" t="inlineStr">
        <is>
          <t>-1292K3528.5</t>
        </is>
      </c>
    </row>
    <row r="1139">
      <c r="A1139">
        <v>1138</v>
      </c>
      <c r="B1139">
        <f>GS16</f>
        <v>0</v>
      </c>
      <c r="C1139" t="inlineStr">
        <is>
          <t>+LS11</t>
        </is>
      </c>
      <c r="D1139" t="inlineStr">
        <is>
          <t>-1293K3529.5</t>
        </is>
      </c>
      <c r="E1139" t="inlineStr">
        <is>
          <t>DILM-9-10</t>
        </is>
      </c>
      <c r="F1139" t="inlineStr">
        <is>
          <t>#KALK!</t>
        </is>
      </c>
      <c r="G1139" t="inlineStr">
        <is>
          <t>LASTSCHUETZ</t>
        </is>
      </c>
      <c r="H1139" t="inlineStr">
        <is>
          <t>4kW 1S Federzugkl.</t>
        </is>
      </c>
      <c r="I1139">
        <v>1528</v>
      </c>
      <c r="J1139">
        <f>GS16/1293.7</f>
        <v>0</v>
      </c>
      <c r="M1139" t="inlineStr">
        <is>
          <t>-1293K3529.5</t>
        </is>
      </c>
    </row>
    <row r="1140">
      <c r="A1140">
        <v>1139</v>
      </c>
      <c r="B1140">
        <f>GS14</f>
        <v>0</v>
      </c>
      <c r="C1140" t="inlineStr">
        <is>
          <t>+LS2</t>
        </is>
      </c>
      <c r="D1140" t="inlineStr">
        <is>
          <t>-129K1</t>
        </is>
      </c>
      <c r="E1140" t="inlineStr">
        <is>
          <t>DIL_0AM</t>
        </is>
      </c>
      <c r="F1140" t="inlineStr">
        <is>
          <t>22_DIL-M</t>
        </is>
      </c>
      <c r="G1140" t="inlineStr">
        <is>
          <t>LASTSCHUETZ</t>
        </is>
      </c>
      <c r="H1140" t="inlineStr">
        <is>
          <t>11 kW</t>
        </is>
      </c>
      <c r="I1140">
        <v>255</v>
      </c>
      <c r="J1140">
        <f>GS14/129.2</f>
        <v>0</v>
      </c>
      <c r="K1140" t="inlineStr">
        <is>
          <t>DIL0AM</t>
        </is>
      </c>
      <c r="M1140" t="inlineStr">
        <is>
          <t>-129K1</t>
        </is>
      </c>
    </row>
    <row r="1141">
      <c r="A1141">
        <v>1140</v>
      </c>
      <c r="B1141">
        <f>GS14</f>
        <v>0</v>
      </c>
      <c r="C1141" t="inlineStr">
        <is>
          <t>+LS2</t>
        </is>
      </c>
      <c r="D1141" t="inlineStr">
        <is>
          <t>-129K1</t>
        </is>
      </c>
      <c r="E1141" t="inlineStr">
        <is>
          <t>22_DIL-M</t>
        </is>
      </c>
      <c r="F1141" t="inlineStr">
        <is>
          <t>22_DIL-M</t>
        </is>
      </c>
      <c r="G1141" t="inlineStr">
        <is>
          <t>HILFSKONTAKTBLOCK</t>
        </is>
      </c>
      <c r="H1141" t="inlineStr">
        <is>
          <t>2S 2OE Lastschuetz DIL M</t>
        </is>
      </c>
      <c r="I1141">
        <v>255</v>
      </c>
      <c r="J1141">
        <f>GS14/129.2</f>
        <v>0</v>
      </c>
      <c r="K1141" t="inlineStr">
        <is>
          <t>DIL0AM</t>
        </is>
      </c>
      <c r="M1141" t="inlineStr">
        <is>
          <t>-129K1</t>
        </is>
      </c>
    </row>
    <row r="1142">
      <c r="A1142">
        <v>1141</v>
      </c>
      <c r="B1142">
        <f>GS24</f>
        <v>0</v>
      </c>
      <c r="C1142" t="inlineStr">
        <is>
          <t>+LS2</t>
        </is>
      </c>
      <c r="D1142" t="inlineStr">
        <is>
          <t>-129K1</t>
        </is>
      </c>
      <c r="E1142" t="inlineStr">
        <is>
          <t>22_DIL-M</t>
        </is>
      </c>
      <c r="F1142" t="inlineStr">
        <is>
          <t>22_DIL-M</t>
        </is>
      </c>
      <c r="G1142" t="inlineStr">
        <is>
          <t>HILFSKONTAKTBLOCK</t>
        </is>
      </c>
      <c r="H1142" t="inlineStr">
        <is>
          <t>2S 2OE Lastschuetz DIL M</t>
        </is>
      </c>
      <c r="I1142">
        <v>950</v>
      </c>
      <c r="J1142">
        <f>GS24/129.2</f>
        <v>0</v>
      </c>
      <c r="K1142" t="inlineStr">
        <is>
          <t>DIL0AM</t>
        </is>
      </c>
      <c r="M1142" t="inlineStr">
        <is>
          <t>-129K1</t>
        </is>
      </c>
    </row>
    <row r="1143">
      <c r="A1143">
        <v>1142</v>
      </c>
      <c r="B1143">
        <f>GS24</f>
        <v>0</v>
      </c>
      <c r="C1143" t="inlineStr">
        <is>
          <t>+LS2</t>
        </is>
      </c>
      <c r="D1143" t="inlineStr">
        <is>
          <t>-129K1</t>
        </is>
      </c>
      <c r="E1143" t="inlineStr">
        <is>
          <t>DIL_0AM</t>
        </is>
      </c>
      <c r="F1143" t="inlineStr">
        <is>
          <t>22_DIL-M</t>
        </is>
      </c>
      <c r="G1143" t="inlineStr">
        <is>
          <t>LASTSCHUETZ</t>
        </is>
      </c>
      <c r="H1143" t="inlineStr">
        <is>
          <t>11 kW</t>
        </is>
      </c>
      <c r="I1143">
        <v>950</v>
      </c>
      <c r="J1143">
        <f>GS24/129.2</f>
        <v>0</v>
      </c>
      <c r="K1143" t="inlineStr">
        <is>
          <t>DIL0AM</t>
        </is>
      </c>
      <c r="M1143" t="inlineStr">
        <is>
          <t>-129K1</t>
        </is>
      </c>
    </row>
    <row r="1144">
      <c r="A1144">
        <v>1143</v>
      </c>
      <c r="B1144">
        <f>GS02</f>
        <v>0</v>
      </c>
      <c r="C1144" t="inlineStr">
        <is>
          <t>+LS1</t>
        </is>
      </c>
      <c r="D1144" t="inlineStr">
        <is>
          <t>-129K17.6</t>
        </is>
      </c>
      <c r="E1144" t="inlineStr">
        <is>
          <t>DIL_EM-10-G</t>
        </is>
      </c>
      <c r="F1144" t="inlineStr">
        <is>
          <t>#KALK!</t>
        </is>
      </c>
      <c r="G1144" t="inlineStr">
        <is>
          <t>LASTSCHUETZ</t>
        </is>
      </c>
      <c r="H1144" t="inlineStr">
        <is>
          <t>4kW 1S</t>
        </is>
      </c>
      <c r="I1144">
        <v>527</v>
      </c>
      <c r="J1144">
        <f>GS02/129.6</f>
        <v>0</v>
      </c>
      <c r="M1144" t="inlineStr">
        <is>
          <t>-129K17.6</t>
        </is>
      </c>
    </row>
    <row r="1145">
      <c r="A1145">
        <v>1144</v>
      </c>
      <c r="B1145">
        <f>GS02</f>
        <v>0</v>
      </c>
      <c r="C1145" t="inlineStr">
        <is>
          <t>+LS1</t>
        </is>
      </c>
      <c r="D1145" t="inlineStr">
        <is>
          <t>-129K17.7</t>
        </is>
      </c>
      <c r="E1145" t="inlineStr">
        <is>
          <t>DIL_EM-10-G</t>
        </is>
      </c>
      <c r="F1145" t="inlineStr">
        <is>
          <t>#KALK!</t>
        </is>
      </c>
      <c r="G1145" t="inlineStr">
        <is>
          <t>LASTSCHUETZ</t>
        </is>
      </c>
      <c r="H1145" t="inlineStr">
        <is>
          <t>4kW 1S</t>
        </is>
      </c>
      <c r="I1145">
        <v>527</v>
      </c>
      <c r="J1145">
        <f>GS02/129.6</f>
        <v>0</v>
      </c>
      <c r="M1145" t="inlineStr">
        <is>
          <t>-129K17.7</t>
        </is>
      </c>
    </row>
    <row r="1146">
      <c r="A1146">
        <v>1145</v>
      </c>
      <c r="B1146">
        <f>GS32</f>
        <v>0</v>
      </c>
      <c r="C1146" t="inlineStr">
        <is>
          <t>+LS2</t>
        </is>
      </c>
      <c r="D1146" t="inlineStr">
        <is>
          <t>-129K18.0</t>
        </is>
      </c>
      <c r="E1146" t="inlineStr">
        <is>
          <t>DIL_ER-22-G</t>
        </is>
      </c>
      <c r="F1146" t="inlineStr">
        <is>
          <t>#KALK!</t>
        </is>
      </c>
      <c r="G1146" t="inlineStr">
        <is>
          <t>HILFSSCHUETZ</t>
        </is>
      </c>
      <c r="H1146" t="inlineStr">
        <is>
          <t>2S 2OE</t>
        </is>
      </c>
      <c r="I1146">
        <v>939</v>
      </c>
      <c r="J1146">
        <f>GS32/129.5</f>
        <v>0</v>
      </c>
      <c r="M1146" t="inlineStr">
        <is>
          <t>-129K18.0</t>
        </is>
      </c>
    </row>
    <row r="1147">
      <c r="A1147">
        <v>1146</v>
      </c>
      <c r="B1147">
        <f>GS32</f>
        <v>0</v>
      </c>
      <c r="C1147" t="inlineStr">
        <is>
          <t>+LS2</t>
        </is>
      </c>
      <c r="D1147" t="inlineStr">
        <is>
          <t>-129K18.1</t>
        </is>
      </c>
      <c r="E1147" t="inlineStr">
        <is>
          <t>DIL_ER-22-G</t>
        </is>
      </c>
      <c r="F1147" t="inlineStr">
        <is>
          <t>#KALK!</t>
        </is>
      </c>
      <c r="G1147" t="inlineStr">
        <is>
          <t>HILFSSCHUETZ</t>
        </is>
      </c>
      <c r="H1147" t="inlineStr">
        <is>
          <t>2S 2OE</t>
        </is>
      </c>
      <c r="I1147">
        <v>939</v>
      </c>
      <c r="J1147">
        <f>GS32/129.6</f>
        <v>0</v>
      </c>
      <c r="M1147" t="inlineStr">
        <is>
          <t>-129K18.1</t>
        </is>
      </c>
    </row>
    <row r="1148">
      <c r="A1148">
        <v>1147</v>
      </c>
      <c r="B1148">
        <f>GS32</f>
        <v>0</v>
      </c>
      <c r="C1148" t="inlineStr">
        <is>
          <t>+LS2</t>
        </is>
      </c>
      <c r="D1148" t="inlineStr">
        <is>
          <t>-129K18.2</t>
        </is>
      </c>
      <c r="E1148" t="inlineStr">
        <is>
          <t>DIL_ER-22-G</t>
        </is>
      </c>
      <c r="F1148" t="inlineStr">
        <is>
          <t>#KALK!</t>
        </is>
      </c>
      <c r="G1148" t="inlineStr">
        <is>
          <t>HILFSSCHUETZ</t>
        </is>
      </c>
      <c r="H1148" t="inlineStr">
        <is>
          <t>2S 2OE</t>
        </is>
      </c>
      <c r="I1148">
        <v>939</v>
      </c>
      <c r="J1148">
        <f>GS32/129.7</f>
        <v>0</v>
      </c>
      <c r="M1148" t="inlineStr">
        <is>
          <t>-129K18.2</t>
        </is>
      </c>
    </row>
    <row r="1149">
      <c r="A1149">
        <v>1148</v>
      </c>
      <c r="B1149">
        <f>GS32</f>
        <v>0</v>
      </c>
      <c r="C1149" t="inlineStr">
        <is>
          <t>+LS2</t>
        </is>
      </c>
      <c r="D1149" t="inlineStr">
        <is>
          <t>-129K18.4</t>
        </is>
      </c>
      <c r="E1149" t="inlineStr">
        <is>
          <t>DIL_EM-10-G</t>
        </is>
      </c>
      <c r="F1149" t="inlineStr">
        <is>
          <t>#KALK!</t>
        </is>
      </c>
      <c r="G1149" t="inlineStr">
        <is>
          <t>LASTSCHUETZ</t>
        </is>
      </c>
      <c r="H1149" t="inlineStr">
        <is>
          <t>4kW 1S</t>
        </is>
      </c>
      <c r="I1149">
        <v>939</v>
      </c>
      <c r="J1149">
        <f>GS32/129.7</f>
        <v>0</v>
      </c>
      <c r="M1149" t="inlineStr">
        <is>
          <t>-129K18.4</t>
        </is>
      </c>
    </row>
    <row r="1150">
      <c r="A1150">
        <v>1149</v>
      </c>
      <c r="B1150">
        <f>GS11</f>
        <v>0</v>
      </c>
      <c r="C1150" t="inlineStr">
        <is>
          <t>+LS2</t>
        </is>
      </c>
      <c r="D1150" t="inlineStr">
        <is>
          <t>-129K30.1</t>
        </is>
      </c>
      <c r="E1150" t="inlineStr">
        <is>
          <t>DIL_EM-10-G</t>
        </is>
      </c>
      <c r="F1150" t="inlineStr">
        <is>
          <t>#KALK!</t>
        </is>
      </c>
      <c r="G1150" t="inlineStr">
        <is>
          <t>LASTSCHUETZ</t>
        </is>
      </c>
      <c r="H1150" t="inlineStr">
        <is>
          <t>4kW 1S</t>
        </is>
      </c>
      <c r="I1150">
        <v>240</v>
      </c>
      <c r="J1150">
        <f>GS11/129.6</f>
        <v>0</v>
      </c>
      <c r="M1150" t="inlineStr">
        <is>
          <t>-129K30.1</t>
        </is>
      </c>
    </row>
    <row r="1151">
      <c r="A1151">
        <v>1150</v>
      </c>
      <c r="B1151">
        <f>GS21</f>
        <v>0</v>
      </c>
      <c r="C1151" t="inlineStr">
        <is>
          <t>+LS2</t>
        </is>
      </c>
      <c r="D1151" t="inlineStr">
        <is>
          <t>-129K30.1</t>
        </is>
      </c>
      <c r="E1151" t="inlineStr">
        <is>
          <t>DIL_EM-10-G</t>
        </is>
      </c>
      <c r="F1151" t="inlineStr">
        <is>
          <t>#KALK!</t>
        </is>
      </c>
      <c r="G1151" t="inlineStr">
        <is>
          <t>LASTSCHUETZ</t>
        </is>
      </c>
      <c r="H1151" t="inlineStr">
        <is>
          <t>4kW 1S</t>
        </is>
      </c>
      <c r="I1151">
        <v>214</v>
      </c>
      <c r="J1151">
        <f>GS21/129.6</f>
        <v>0</v>
      </c>
      <c r="M1151" t="inlineStr">
        <is>
          <t>-129K30.1</t>
        </is>
      </c>
    </row>
    <row r="1152">
      <c r="A1152">
        <v>1151</v>
      </c>
      <c r="B1152">
        <f>GS11</f>
        <v>0</v>
      </c>
      <c r="C1152" t="inlineStr">
        <is>
          <t>+LS2</t>
        </is>
      </c>
      <c r="D1152" t="inlineStr">
        <is>
          <t>-129K31.0</t>
        </is>
      </c>
      <c r="E1152" t="inlineStr">
        <is>
          <t>DIL_EM-10-G</t>
        </is>
      </c>
      <c r="F1152" t="inlineStr">
        <is>
          <t>#KALK!</t>
        </is>
      </c>
      <c r="G1152" t="inlineStr">
        <is>
          <t>LASTSCHUETZ</t>
        </is>
      </c>
      <c r="H1152" t="inlineStr">
        <is>
          <t>4kW 1S</t>
        </is>
      </c>
      <c r="I1152">
        <v>240</v>
      </c>
      <c r="J1152">
        <f>GS11/129.6</f>
        <v>0</v>
      </c>
      <c r="M1152" t="inlineStr">
        <is>
          <t>-129K31.0</t>
        </is>
      </c>
    </row>
    <row r="1153">
      <c r="A1153">
        <v>1152</v>
      </c>
      <c r="B1153">
        <f>GS21</f>
        <v>0</v>
      </c>
      <c r="C1153" t="inlineStr">
        <is>
          <t>+LS2</t>
        </is>
      </c>
      <c r="D1153" t="inlineStr">
        <is>
          <t>-129K31.0</t>
        </is>
      </c>
      <c r="E1153" t="inlineStr">
        <is>
          <t>DIL_EM-10-G</t>
        </is>
      </c>
      <c r="F1153" t="inlineStr">
        <is>
          <t>#KALK!</t>
        </is>
      </c>
      <c r="G1153" t="inlineStr">
        <is>
          <t>LASTSCHUETZ</t>
        </is>
      </c>
      <c r="H1153" t="inlineStr">
        <is>
          <t>4kW 1S</t>
        </is>
      </c>
      <c r="I1153">
        <v>214</v>
      </c>
      <c r="J1153">
        <f>GS21/129.6</f>
        <v>0</v>
      </c>
      <c r="M1153" t="inlineStr">
        <is>
          <t>-129K31.0</t>
        </is>
      </c>
    </row>
    <row r="1154">
      <c r="A1154">
        <v>1153</v>
      </c>
      <c r="B1154">
        <f>GS26</f>
        <v>0</v>
      </c>
      <c r="C1154" t="inlineStr">
        <is>
          <t>+LS1</t>
        </is>
      </c>
      <c r="D1154" t="inlineStr">
        <is>
          <t>-129K3537.1</t>
        </is>
      </c>
      <c r="E1154" t="inlineStr">
        <is>
          <t>DILA-22</t>
        </is>
      </c>
      <c r="F1154" t="inlineStr">
        <is>
          <t>#KALK!</t>
        </is>
      </c>
      <c r="G1154" t="inlineStr">
        <is>
          <t>HILFSSCHUETZ</t>
        </is>
      </c>
      <c r="H1154" t="inlineStr">
        <is>
          <t>2S 2Oe Federzugkl.</t>
        </is>
      </c>
      <c r="I1154">
        <v>220</v>
      </c>
      <c r="J1154">
        <f>GS26/129.5</f>
        <v>0</v>
      </c>
      <c r="M1154" t="inlineStr">
        <is>
          <t>-129K3537.1</t>
        </is>
      </c>
    </row>
    <row r="1155">
      <c r="A1155">
        <v>1154</v>
      </c>
      <c r="B1155">
        <f>GC03</f>
        <v>0</v>
      </c>
      <c r="C1155" t="inlineStr">
        <is>
          <t>+LS2</t>
        </is>
      </c>
      <c r="D1155" t="inlineStr">
        <is>
          <t>-129K48.2</t>
        </is>
      </c>
      <c r="E1155" t="inlineStr">
        <is>
          <t>DIL_EM-10-G</t>
        </is>
      </c>
      <c r="F1155" t="inlineStr">
        <is>
          <t>#KALK!</t>
        </is>
      </c>
      <c r="G1155" t="inlineStr">
        <is>
          <t>LASTSCHUETZ</t>
        </is>
      </c>
      <c r="H1155" t="inlineStr">
        <is>
          <t>4kW 1S</t>
        </is>
      </c>
      <c r="I1155">
        <v>3579</v>
      </c>
      <c r="J1155">
        <f>GC03/129.6</f>
        <v>0</v>
      </c>
      <c r="M1155" t="inlineStr">
        <is>
          <t>-129K48.2</t>
        </is>
      </c>
    </row>
    <row r="1156">
      <c r="A1156">
        <v>1155</v>
      </c>
      <c r="B1156">
        <f>GC03</f>
        <v>0</v>
      </c>
      <c r="C1156" t="inlineStr">
        <is>
          <t>+LS2</t>
        </is>
      </c>
      <c r="D1156" t="inlineStr">
        <is>
          <t>-129K48.3</t>
        </is>
      </c>
      <c r="E1156" t="inlineStr">
        <is>
          <t>DIL_EM-10-G</t>
        </is>
      </c>
      <c r="F1156" t="inlineStr">
        <is>
          <t>#KALK!</t>
        </is>
      </c>
      <c r="G1156" t="inlineStr">
        <is>
          <t>LASTSCHUETZ</t>
        </is>
      </c>
      <c r="H1156" t="inlineStr">
        <is>
          <t>4kW 1S</t>
        </is>
      </c>
      <c r="I1156">
        <v>3579</v>
      </c>
      <c r="J1156">
        <f>GC03/129.6</f>
        <v>0</v>
      </c>
      <c r="M1156" t="inlineStr">
        <is>
          <t>-129K48.3</t>
        </is>
      </c>
    </row>
    <row r="1157">
      <c r="A1157">
        <v>1156</v>
      </c>
      <c r="B1157">
        <f>GS25</f>
        <v>0</v>
      </c>
      <c r="C1157" t="inlineStr">
        <is>
          <t>+LS2</t>
        </is>
      </c>
      <c r="D1157" t="inlineStr">
        <is>
          <t>-129K59.3</t>
        </is>
      </c>
      <c r="E1157" t="inlineStr">
        <is>
          <t>DIL_EM-10-G</t>
        </is>
      </c>
      <c r="F1157" t="inlineStr">
        <is>
          <t>#KALK!</t>
        </is>
      </c>
      <c r="G1157" t="inlineStr">
        <is>
          <t>LASTSCHUETZ</t>
        </is>
      </c>
      <c r="H1157" t="inlineStr">
        <is>
          <t>4kW 1S</t>
        </is>
      </c>
      <c r="I1157">
        <v>250</v>
      </c>
      <c r="J1157">
        <f>GS25/129.7</f>
        <v>0</v>
      </c>
      <c r="M1157" t="inlineStr">
        <is>
          <t>-129K59.3</t>
        </is>
      </c>
    </row>
    <row r="1158">
      <c r="A1158">
        <v>1157</v>
      </c>
      <c r="B1158">
        <f>GS93</f>
        <v>0</v>
      </c>
      <c r="C1158" t="inlineStr">
        <is>
          <t>+LS01</t>
        </is>
      </c>
      <c r="D1158" t="inlineStr">
        <is>
          <t>-129Q153.0</t>
        </is>
      </c>
      <c r="E1158" t="inlineStr">
        <is>
          <t>DILM-9-10</t>
        </is>
      </c>
      <c r="F1158" t="inlineStr">
        <is>
          <t>#KALK!</t>
        </is>
      </c>
      <c r="G1158" t="inlineStr">
        <is>
          <t>LASTSCHUETZ</t>
        </is>
      </c>
      <c r="H1158" t="inlineStr">
        <is>
          <t>4kW 1S Federzugkl.</t>
        </is>
      </c>
      <c r="I1158">
        <v>698</v>
      </c>
      <c r="J1158">
        <f>GS93/129.5</f>
        <v>0</v>
      </c>
      <c r="M1158" t="inlineStr">
        <is>
          <t>-129Q153.0</t>
        </is>
      </c>
    </row>
    <row r="1159">
      <c r="A1159">
        <v>1158</v>
      </c>
      <c r="B1159">
        <f>GS90</f>
        <v>0</v>
      </c>
      <c r="C1159" t="inlineStr">
        <is>
          <t>+LS01</t>
        </is>
      </c>
      <c r="D1159" t="inlineStr">
        <is>
          <t>-129Q157.4</t>
        </is>
      </c>
      <c r="E1159" t="inlineStr">
        <is>
          <t>DILM-9-10</t>
        </is>
      </c>
      <c r="F1159" t="inlineStr">
        <is>
          <t>#KALK!</t>
        </is>
      </c>
      <c r="G1159" t="inlineStr">
        <is>
          <t>LASTSCHUETZ</t>
        </is>
      </c>
      <c r="H1159" t="inlineStr">
        <is>
          <t>4kW 1S Federzugkl.</t>
        </is>
      </c>
      <c r="I1159">
        <v>1108</v>
      </c>
      <c r="J1159">
        <f>GS90/129.5</f>
        <v>0</v>
      </c>
      <c r="M1159" t="inlineStr">
        <is>
          <t>-129Q157.4</t>
        </is>
      </c>
    </row>
    <row r="1160">
      <c r="A1160">
        <v>1159</v>
      </c>
      <c r="B1160">
        <f>GS37</f>
        <v>0</v>
      </c>
      <c r="C1160" t="inlineStr">
        <is>
          <t>+LS01</t>
        </is>
      </c>
      <c r="D1160" t="inlineStr">
        <is>
          <t>-129Q413.1</t>
        </is>
      </c>
      <c r="E1160" t="inlineStr">
        <is>
          <t>DILMC12-10(24VDC)</t>
        </is>
      </c>
      <c r="F1160" t="inlineStr">
        <is>
          <t>#KALK!</t>
        </is>
      </c>
      <c r="G1160" t="inlineStr">
        <is>
          <t>LASTSCHUETZ</t>
        </is>
      </c>
      <c r="H1160" t="inlineStr">
        <is>
          <t>5,5kW 1S Federzugkl.</t>
        </is>
      </c>
      <c r="I1160">
        <v>342</v>
      </c>
      <c r="J1160">
        <f>GS37/129.5</f>
        <v>0</v>
      </c>
      <c r="K1160" t="inlineStr">
        <is>
          <t>DILMC12</t>
        </is>
      </c>
      <c r="M1160" t="inlineStr">
        <is>
          <t>-129Q413.1</t>
        </is>
      </c>
    </row>
    <row r="1161">
      <c r="A1161">
        <v>1160</v>
      </c>
      <c r="B1161">
        <f>EPM</f>
        <v>0</v>
      </c>
      <c r="C1161" t="inlineStr">
        <is>
          <t>+LS</t>
        </is>
      </c>
      <c r="D1161" t="inlineStr">
        <is>
          <t>-12K1</t>
        </is>
      </c>
      <c r="E1161" t="inlineStr">
        <is>
          <t>DIL_EM-10-G</t>
        </is>
      </c>
      <c r="F1161" t="inlineStr">
        <is>
          <t>22_DIL-E</t>
        </is>
      </c>
      <c r="G1161" t="inlineStr">
        <is>
          <t>LASTSCHUETZ</t>
        </is>
      </c>
      <c r="H1161" t="inlineStr">
        <is>
          <t>4kW 1S</t>
        </is>
      </c>
      <c r="I1161">
        <v>113</v>
      </c>
      <c r="J1161">
        <f>EPM/12.7</f>
        <v>0</v>
      </c>
      <c r="M1161" t="inlineStr">
        <is>
          <t>-12K1</t>
        </is>
      </c>
    </row>
    <row r="1162">
      <c r="A1162">
        <v>1161</v>
      </c>
      <c r="B1162">
        <f>EPM</f>
        <v>0</v>
      </c>
      <c r="C1162" t="inlineStr">
        <is>
          <t>+LS</t>
        </is>
      </c>
      <c r="D1162" t="inlineStr">
        <is>
          <t>-12K1</t>
        </is>
      </c>
      <c r="E1162" t="inlineStr">
        <is>
          <t>22_DIL-E</t>
        </is>
      </c>
      <c r="F1162" t="inlineStr">
        <is>
          <t>22_DIL-E</t>
        </is>
      </c>
      <c r="G1162" t="inlineStr">
        <is>
          <t>HILFSKONTAKTBLOCK</t>
        </is>
      </c>
      <c r="H1162" t="inlineStr">
        <is>
          <t>2S 2OE Last+Hilfsschuetz</t>
        </is>
      </c>
      <c r="I1162">
        <v>113</v>
      </c>
      <c r="J1162">
        <f>EPM/12.7</f>
        <v>0</v>
      </c>
      <c r="M1162" t="inlineStr">
        <is>
          <t>-12K1</t>
        </is>
      </c>
    </row>
    <row r="1163">
      <c r="A1163">
        <v>1162</v>
      </c>
      <c r="B1163">
        <f>GS53</f>
        <v>0</v>
      </c>
      <c r="C1163" t="inlineStr">
        <is>
          <t>+LS[p1]</t>
        </is>
      </c>
      <c r="D1163" t="inlineStr">
        <is>
          <t>-12Q[a+1].0</t>
        </is>
      </c>
      <c r="E1163" t="inlineStr">
        <is>
          <t>DILM-9-01</t>
        </is>
      </c>
      <c r="F1163" t="inlineStr">
        <is>
          <t>#KALK!</t>
        </is>
      </c>
      <c r="G1163" t="inlineStr">
        <is>
          <t>LASTSCHUETZ</t>
        </is>
      </c>
      <c r="H1163" t="inlineStr">
        <is>
          <t>4kW 1Oe Federzugkl.</t>
        </is>
      </c>
      <c r="I1163">
        <v>151</v>
      </c>
      <c r="J1163">
        <f>GS53/12.6</f>
        <v>0</v>
      </c>
      <c r="M1163" t="inlineStr">
        <is>
          <t>-12Q[a+1].0</t>
        </is>
      </c>
    </row>
    <row r="1164">
      <c r="A1164">
        <v>1163</v>
      </c>
      <c r="B1164">
        <f>GS9x</f>
        <v>0</v>
      </c>
      <c r="C1164" t="inlineStr">
        <is>
          <t>+QVW[h1]01</t>
        </is>
      </c>
      <c r="D1164" t="inlineStr">
        <is>
          <t>-12Q[a+1].1</t>
        </is>
      </c>
      <c r="E1164" t="inlineStr">
        <is>
          <t>DILM-9-10</t>
        </is>
      </c>
      <c r="F1164" t="inlineStr">
        <is>
          <t>#KALK!</t>
        </is>
      </c>
      <c r="G1164" t="inlineStr">
        <is>
          <t>LASTSCHUETZ</t>
        </is>
      </c>
      <c r="H1164" t="inlineStr">
        <is>
          <t>4kW 1S Federzugkl.</t>
        </is>
      </c>
      <c r="I1164">
        <v>198</v>
      </c>
      <c r="J1164">
        <f>GS9x/12.5</f>
        <v>0</v>
      </c>
      <c r="M1164" t="inlineStr">
        <is>
          <t>-12Q[a+1].1</t>
        </is>
      </c>
    </row>
    <row r="1165">
      <c r="A1165">
        <v>1164</v>
      </c>
      <c r="B1165">
        <f>GS51</f>
        <v>0</v>
      </c>
      <c r="C1165" t="inlineStr">
        <is>
          <t>+LS19</t>
        </is>
      </c>
      <c r="D1165" t="inlineStr">
        <is>
          <t>-1300Q1</t>
        </is>
      </c>
      <c r="E1165" t="inlineStr">
        <is>
          <t>DILA-XHI22</t>
        </is>
      </c>
      <c r="F1165" t="inlineStr">
        <is>
          <t>DILA-XHI22</t>
        </is>
      </c>
      <c r="G1165" t="inlineStr">
        <is>
          <t>HILFSKONTAKTBLOCK</t>
        </is>
      </c>
      <c r="H1165" t="inlineStr">
        <is>
          <t>2S 2OE Last+Hilfssch. Cage</t>
        </is>
      </c>
      <c r="I1165">
        <v>1429</v>
      </c>
      <c r="J1165">
        <f>GS51/1300.6</f>
        <v>0</v>
      </c>
      <c r="K1165" t="inlineStr">
        <is>
          <t>DIL MC25</t>
        </is>
      </c>
      <c r="M1165" t="inlineStr">
        <is>
          <t>-1300Q1</t>
        </is>
      </c>
    </row>
    <row r="1166">
      <c r="A1166">
        <v>1165</v>
      </c>
      <c r="B1166">
        <f>GS51</f>
        <v>0</v>
      </c>
      <c r="C1166" t="inlineStr">
        <is>
          <t>+LS19</t>
        </is>
      </c>
      <c r="D1166" t="inlineStr">
        <is>
          <t>-1300Q1</t>
        </is>
      </c>
      <c r="E1166" t="inlineStr">
        <is>
          <t>DILMC25-10(RDC24)</t>
        </is>
      </c>
      <c r="F1166" t="inlineStr">
        <is>
          <t>DILA-XHI22</t>
        </is>
      </c>
      <c r="G1166" t="inlineStr">
        <is>
          <t>LASTSCHUETZ</t>
        </is>
      </c>
      <c r="H1166" t="inlineStr">
        <is>
          <t>11kW 1S Federzugkl.</t>
        </is>
      </c>
      <c r="I1166">
        <v>1429</v>
      </c>
      <c r="J1166">
        <f>GS51/1300.6</f>
        <v>0</v>
      </c>
      <c r="K1166" t="inlineStr">
        <is>
          <t>DIL MC25</t>
        </is>
      </c>
      <c r="M1166" t="inlineStr">
        <is>
          <t>-1300Q1</t>
        </is>
      </c>
    </row>
    <row r="1167">
      <c r="A1167">
        <v>1166</v>
      </c>
      <c r="B1167">
        <f>GS55</f>
        <v>0</v>
      </c>
      <c r="C1167" t="inlineStr">
        <is>
          <t>+LS21</t>
        </is>
      </c>
      <c r="D1167" t="inlineStr">
        <is>
          <t>-1305Q1</t>
        </is>
      </c>
      <c r="E1167" t="inlineStr">
        <is>
          <t>DILA-XHI22</t>
        </is>
      </c>
      <c r="F1167" t="inlineStr">
        <is>
          <t>DILA-XHI22</t>
        </is>
      </c>
      <c r="G1167" t="inlineStr">
        <is>
          <t>HILFSKONTAKTBLOCK</t>
        </is>
      </c>
      <c r="H1167" t="inlineStr">
        <is>
          <t>2S 2OE Last+Hilfssch. Cage</t>
        </is>
      </c>
      <c r="I1167">
        <v>1529</v>
      </c>
      <c r="J1167">
        <f>GS55/1305.6</f>
        <v>0</v>
      </c>
      <c r="K1167" t="inlineStr">
        <is>
          <t>DIL MC25</t>
        </is>
      </c>
      <c r="M1167" t="inlineStr">
        <is>
          <t>-1305Q1</t>
        </is>
      </c>
    </row>
    <row r="1168">
      <c r="A1168">
        <v>1167</v>
      </c>
      <c r="B1168">
        <f>GS55</f>
        <v>0</v>
      </c>
      <c r="C1168" t="inlineStr">
        <is>
          <t>+LS21</t>
        </is>
      </c>
      <c r="D1168" t="inlineStr">
        <is>
          <t>-1305Q1</t>
        </is>
      </c>
      <c r="E1168" t="inlineStr">
        <is>
          <t>DILMC25-10(RDC24)</t>
        </is>
      </c>
      <c r="F1168" t="inlineStr">
        <is>
          <t>DILA-XHI22</t>
        </is>
      </c>
      <c r="G1168" t="inlineStr">
        <is>
          <t>LASTSCHUETZ</t>
        </is>
      </c>
      <c r="H1168" t="inlineStr">
        <is>
          <t>11kW 1S Federzugkl.</t>
        </is>
      </c>
      <c r="I1168">
        <v>1529</v>
      </c>
      <c r="J1168">
        <f>GS55/1305.6</f>
        <v>0</v>
      </c>
      <c r="K1168" t="inlineStr">
        <is>
          <t>DIL MC25</t>
        </is>
      </c>
      <c r="M1168" t="inlineStr">
        <is>
          <t>-1305Q1</t>
        </is>
      </c>
    </row>
    <row r="1169">
      <c r="A1169">
        <v>1168</v>
      </c>
      <c r="B1169">
        <f>GS55</f>
        <v>0</v>
      </c>
      <c r="C1169" t="inlineStr">
        <is>
          <t>+LS21</t>
        </is>
      </c>
      <c r="D1169" t="inlineStr">
        <is>
          <t>-1308Q720.2</t>
        </is>
      </c>
      <c r="E1169" t="inlineStr">
        <is>
          <t>DILA-XHI22</t>
        </is>
      </c>
      <c r="F1169" t="inlineStr">
        <is>
          <t>DILA-XHI22</t>
        </is>
      </c>
      <c r="G1169" t="inlineStr">
        <is>
          <t>HILFSKONTAKTBLOCK</t>
        </is>
      </c>
      <c r="H1169" t="inlineStr">
        <is>
          <t>2S 2OE Last+Hilfssch. Cage</t>
        </is>
      </c>
      <c r="I1169">
        <v>1532</v>
      </c>
      <c r="J1169">
        <f>GS55/1308.6</f>
        <v>0</v>
      </c>
      <c r="K1169" t="inlineStr">
        <is>
          <t>DIL MC9 HT2307</t>
        </is>
      </c>
      <c r="M1169" t="inlineStr">
        <is>
          <t>-1308Q720.2</t>
        </is>
      </c>
    </row>
    <row r="1170">
      <c r="A1170">
        <v>1169</v>
      </c>
      <c r="B1170">
        <f>GS55</f>
        <v>0</v>
      </c>
      <c r="C1170" t="inlineStr">
        <is>
          <t>+LS21</t>
        </is>
      </c>
      <c r="D1170" t="inlineStr">
        <is>
          <t>-1308Q720.2</t>
        </is>
      </c>
      <c r="E1170" t="inlineStr">
        <is>
          <t>DILM-9-10</t>
        </is>
      </c>
      <c r="F1170" t="inlineStr">
        <is>
          <t>DILA-XHI22</t>
        </is>
      </c>
      <c r="G1170" t="inlineStr">
        <is>
          <t>LASTSCHUETZ</t>
        </is>
      </c>
      <c r="H1170" t="inlineStr">
        <is>
          <t>4kW 1S Federzugkl.</t>
        </is>
      </c>
      <c r="I1170">
        <v>1532</v>
      </c>
      <c r="J1170">
        <f>GS55/1308.6</f>
        <v>0</v>
      </c>
      <c r="K1170" t="inlineStr">
        <is>
          <t>DIL MC9 HT2307</t>
        </is>
      </c>
      <c r="M1170" t="inlineStr">
        <is>
          <t>-1308Q720.2</t>
        </is>
      </c>
    </row>
    <row r="1171">
      <c r="A1171">
        <v>1170</v>
      </c>
      <c r="B1171">
        <f>GS55</f>
        <v>0</v>
      </c>
      <c r="C1171" t="inlineStr">
        <is>
          <t>+LS21</t>
        </is>
      </c>
      <c r="D1171" t="inlineStr">
        <is>
          <t>-1308Q720.4</t>
        </is>
      </c>
      <c r="E1171" t="inlineStr">
        <is>
          <t>DILA-XHI22</t>
        </is>
      </c>
      <c r="F1171" t="inlineStr">
        <is>
          <t>DILA-XHI22</t>
        </is>
      </c>
      <c r="G1171" t="inlineStr">
        <is>
          <t>HILFSKONTAKTBLOCK</t>
        </is>
      </c>
      <c r="H1171" t="inlineStr">
        <is>
          <t>2S 2OE Last+Hilfssch. Cage</t>
        </is>
      </c>
      <c r="I1171">
        <v>1532</v>
      </c>
      <c r="J1171">
        <f>GS55/1308.7</f>
        <v>0</v>
      </c>
      <c r="K1171" t="inlineStr">
        <is>
          <t>DIL MC9 HT2307</t>
        </is>
      </c>
      <c r="M1171" t="inlineStr">
        <is>
          <t>-1308Q720.4</t>
        </is>
      </c>
    </row>
    <row r="1172">
      <c r="A1172">
        <v>1171</v>
      </c>
      <c r="B1172">
        <f>GS55</f>
        <v>0</v>
      </c>
      <c r="C1172" t="inlineStr">
        <is>
          <t>+LS21</t>
        </is>
      </c>
      <c r="D1172" t="inlineStr">
        <is>
          <t>-1308Q720.4</t>
        </is>
      </c>
      <c r="E1172" t="inlineStr">
        <is>
          <t>DILM-9-10</t>
        </is>
      </c>
      <c r="F1172" t="inlineStr">
        <is>
          <t>DILA-XHI22</t>
        </is>
      </c>
      <c r="G1172" t="inlineStr">
        <is>
          <t>LASTSCHUETZ</t>
        </is>
      </c>
      <c r="H1172" t="inlineStr">
        <is>
          <t>4kW 1S Federzugkl.</t>
        </is>
      </c>
      <c r="I1172">
        <v>1532</v>
      </c>
      <c r="J1172">
        <f>GS55/1308.7</f>
        <v>0</v>
      </c>
      <c r="K1172" t="inlineStr">
        <is>
          <t>DIL MC9 HT2307</t>
        </is>
      </c>
      <c r="M1172" t="inlineStr">
        <is>
          <t>-1308Q720.4</t>
        </is>
      </c>
    </row>
    <row r="1173">
      <c r="A1173">
        <v>1172</v>
      </c>
      <c r="B1173">
        <f>GS7x</f>
        <v>0</v>
      </c>
      <c r="C1173" t="inlineStr">
        <is>
          <t>+LS[l1]</t>
        </is>
      </c>
      <c r="D1173" t="inlineStr">
        <is>
          <t>-130K[a+12].7</t>
        </is>
      </c>
      <c r="E1173" t="inlineStr">
        <is>
          <t>DILA-40</t>
        </is>
      </c>
      <c r="F1173" t="inlineStr">
        <is>
          <t>#KALK!</t>
        </is>
      </c>
      <c r="G1173" t="inlineStr">
        <is>
          <t>HILFSSCHUETZ</t>
        </is>
      </c>
      <c r="H1173" t="inlineStr">
        <is>
          <t>4S Federzugkl.</t>
        </is>
      </c>
      <c r="I1173">
        <v>368</v>
      </c>
      <c r="J1173">
        <f>GS7x/130.7</f>
        <v>0</v>
      </c>
      <c r="M1173" t="inlineStr">
        <is>
          <t>-130K[a+12].7</t>
        </is>
      </c>
    </row>
    <row r="1174">
      <c r="A1174">
        <v>1173</v>
      </c>
      <c r="B1174">
        <f>GS33</f>
        <v>0</v>
      </c>
      <c r="C1174" t="inlineStr">
        <is>
          <t>+LS2</t>
        </is>
      </c>
      <c r="D1174" t="inlineStr">
        <is>
          <t>-130K1</t>
        </is>
      </c>
      <c r="E1174" t="inlineStr">
        <is>
          <t>DIL_0AM</t>
        </is>
      </c>
      <c r="F1174" t="inlineStr">
        <is>
          <t>22_DIL-M</t>
        </is>
      </c>
      <c r="G1174" t="inlineStr">
        <is>
          <t>LASTSCHUETZ</t>
        </is>
      </c>
      <c r="H1174" t="inlineStr">
        <is>
          <t>11 kW</t>
        </is>
      </c>
      <c r="I1174">
        <v>562</v>
      </c>
      <c r="J1174">
        <f>GS33/130.2</f>
        <v>0</v>
      </c>
      <c r="K1174" t="inlineStr">
        <is>
          <t>DIL0AM</t>
        </is>
      </c>
      <c r="M1174" t="inlineStr">
        <is>
          <t>-130K1</t>
        </is>
      </c>
    </row>
    <row r="1175">
      <c r="A1175">
        <v>1174</v>
      </c>
      <c r="B1175">
        <f>GS33</f>
        <v>0</v>
      </c>
      <c r="C1175" t="inlineStr">
        <is>
          <t>+LS2</t>
        </is>
      </c>
      <c r="D1175" t="inlineStr">
        <is>
          <t>-130K1</t>
        </is>
      </c>
      <c r="E1175" t="inlineStr">
        <is>
          <t>22_DIL-M</t>
        </is>
      </c>
      <c r="F1175" t="inlineStr">
        <is>
          <t>22_DIL-M</t>
        </is>
      </c>
      <c r="G1175" t="inlineStr">
        <is>
          <t>HILFSKONTAKTBLOCK</t>
        </is>
      </c>
      <c r="H1175" t="inlineStr">
        <is>
          <t>2S 2OE Lastschuetz DIL M</t>
        </is>
      </c>
      <c r="I1175">
        <v>562</v>
      </c>
      <c r="J1175">
        <f>GS33/130.2</f>
        <v>0</v>
      </c>
      <c r="K1175" t="inlineStr">
        <is>
          <t>DIL0AM</t>
        </is>
      </c>
      <c r="M1175" t="inlineStr">
        <is>
          <t>-130K1</t>
        </is>
      </c>
    </row>
    <row r="1176">
      <c r="A1176">
        <v>1175</v>
      </c>
      <c r="B1176">
        <f>GS38</f>
        <v>0</v>
      </c>
      <c r="C1176" t="inlineStr">
        <is>
          <t>+LS01</t>
        </is>
      </c>
      <c r="D1176" t="inlineStr">
        <is>
          <t>-130K1</t>
        </is>
      </c>
      <c r="E1176" t="inlineStr">
        <is>
          <t>DILA-XHIC40</t>
        </is>
      </c>
      <c r="F1176" t="inlineStr">
        <is>
          <t>DILA-XHIC40</t>
        </is>
      </c>
      <c r="G1176" t="inlineStr">
        <is>
          <t>HILFSKONTAKTBLOCK</t>
        </is>
      </c>
      <c r="H1176" t="inlineStr">
        <is>
          <t>4S Last+Hilfssch. Cage</t>
        </is>
      </c>
      <c r="I1176">
        <v>275</v>
      </c>
      <c r="J1176">
        <f>GS38/130.5</f>
        <v>0</v>
      </c>
      <c r="M1176" t="inlineStr">
        <is>
          <t>-130K1</t>
        </is>
      </c>
    </row>
    <row r="1177">
      <c r="A1177">
        <v>1176</v>
      </c>
      <c r="B1177">
        <f>GS38</f>
        <v>0</v>
      </c>
      <c r="C1177" t="inlineStr">
        <is>
          <t>+LS01</t>
        </is>
      </c>
      <c r="D1177" t="inlineStr">
        <is>
          <t>-130K1</t>
        </is>
      </c>
      <c r="E1177" t="inlineStr">
        <is>
          <t>DILA-40</t>
        </is>
      </c>
      <c r="F1177" t="inlineStr">
        <is>
          <t>DILA-XHIC40</t>
        </is>
      </c>
      <c r="G1177" t="inlineStr">
        <is>
          <t>HILFSSCHUETZ</t>
        </is>
      </c>
      <c r="H1177" t="inlineStr">
        <is>
          <t>4S Federzugkl.</t>
        </is>
      </c>
      <c r="I1177">
        <v>275</v>
      </c>
      <c r="J1177">
        <f>GS38/130.5</f>
        <v>0</v>
      </c>
      <c r="M1177" t="inlineStr">
        <is>
          <t>-130K1</t>
        </is>
      </c>
    </row>
    <row r="1178">
      <c r="A1178">
        <v>1177</v>
      </c>
      <c r="B1178">
        <f>GS39</f>
        <v>0</v>
      </c>
      <c r="C1178" t="inlineStr">
        <is>
          <t>+LS01</t>
        </is>
      </c>
      <c r="D1178" t="inlineStr">
        <is>
          <t>-130K1</t>
        </is>
      </c>
      <c r="E1178" t="inlineStr">
        <is>
          <t>DILA-40</t>
        </is>
      </c>
      <c r="F1178" t="inlineStr">
        <is>
          <t>DILA-XHIC40</t>
        </is>
      </c>
      <c r="G1178" t="inlineStr">
        <is>
          <t>HILFSSCHUETZ</t>
        </is>
      </c>
      <c r="H1178" t="inlineStr">
        <is>
          <t>4S Federzugkl.</t>
        </is>
      </c>
      <c r="I1178">
        <v>313</v>
      </c>
      <c r="J1178">
        <f>GS39/130.5</f>
        <v>0</v>
      </c>
      <c r="M1178" t="inlineStr">
        <is>
          <t>-130K1</t>
        </is>
      </c>
    </row>
    <row r="1179">
      <c r="A1179">
        <v>1178</v>
      </c>
      <c r="B1179">
        <f>GS39</f>
        <v>0</v>
      </c>
      <c r="C1179" t="inlineStr">
        <is>
          <t>+LS01</t>
        </is>
      </c>
      <c r="D1179" t="inlineStr">
        <is>
          <t>-130K1</t>
        </is>
      </c>
      <c r="E1179" t="inlineStr">
        <is>
          <t>DILA-XHIC40</t>
        </is>
      </c>
      <c r="F1179" t="inlineStr">
        <is>
          <t>DILA-XHIC40</t>
        </is>
      </c>
      <c r="G1179" t="inlineStr">
        <is>
          <t>HILFSKONTAKTBLOCK</t>
        </is>
      </c>
      <c r="H1179" t="inlineStr">
        <is>
          <t>4S Last+Hilfssch. Cage</t>
        </is>
      </c>
      <c r="I1179">
        <v>313</v>
      </c>
      <c r="J1179">
        <f>GS39/130.5</f>
        <v>0</v>
      </c>
      <c r="M1179" t="inlineStr">
        <is>
          <t>-130K1</t>
        </is>
      </c>
    </row>
    <row r="1180">
      <c r="A1180">
        <v>1179</v>
      </c>
      <c r="B1180">
        <f>GS91</f>
        <v>0</v>
      </c>
      <c r="C1180" t="inlineStr">
        <is>
          <t>+LS01</t>
        </is>
      </c>
      <c r="D1180" t="inlineStr">
        <is>
          <t>-130K156.4</t>
        </is>
      </c>
      <c r="E1180" t="inlineStr">
        <is>
          <t>DILA-40</t>
        </is>
      </c>
      <c r="F1180" t="inlineStr">
        <is>
          <t>#KALK!</t>
        </is>
      </c>
      <c r="G1180" t="inlineStr">
        <is>
          <t>HILFSSCHUETZ</t>
        </is>
      </c>
      <c r="H1180" t="inlineStr">
        <is>
          <t>4S Federzugkl.</t>
        </is>
      </c>
      <c r="I1180">
        <v>273</v>
      </c>
      <c r="J1180">
        <f>GS91/130.7</f>
        <v>0</v>
      </c>
      <c r="M1180" t="inlineStr">
        <is>
          <t>-130K156.4</t>
        </is>
      </c>
    </row>
    <row r="1181">
      <c r="A1181">
        <v>1180</v>
      </c>
      <c r="B1181">
        <f>GS02</f>
        <v>0</v>
      </c>
      <c r="C1181" t="inlineStr">
        <is>
          <t>+LS1</t>
        </is>
      </c>
      <c r="D1181" t="inlineStr">
        <is>
          <t>-130K18.0</t>
        </is>
      </c>
      <c r="E1181" t="inlineStr">
        <is>
          <t>DIL_EM-10-G</t>
        </is>
      </c>
      <c r="F1181" t="inlineStr">
        <is>
          <t>#KALK!</t>
        </is>
      </c>
      <c r="G1181" t="inlineStr">
        <is>
          <t>LASTSCHUETZ</t>
        </is>
      </c>
      <c r="H1181" t="inlineStr">
        <is>
          <t>4kW 1S</t>
        </is>
      </c>
      <c r="I1181">
        <v>528</v>
      </c>
      <c r="J1181">
        <f>GS02/130.7</f>
        <v>0</v>
      </c>
      <c r="M1181" t="inlineStr">
        <is>
          <t>-130K18.0</t>
        </is>
      </c>
    </row>
    <row r="1182">
      <c r="A1182">
        <v>1181</v>
      </c>
      <c r="B1182">
        <f>GS11</f>
        <v>0</v>
      </c>
      <c r="C1182" t="inlineStr">
        <is>
          <t>+LS2</t>
        </is>
      </c>
      <c r="D1182" t="inlineStr">
        <is>
          <t>-130K30.2</t>
        </is>
      </c>
      <c r="E1182" t="inlineStr">
        <is>
          <t>DIL_EM-10-G</t>
        </is>
      </c>
      <c r="F1182" t="inlineStr">
        <is>
          <t>#KALK!</t>
        </is>
      </c>
      <c r="G1182" t="inlineStr">
        <is>
          <t>LASTSCHUETZ</t>
        </is>
      </c>
      <c r="H1182" t="inlineStr">
        <is>
          <t>4kW 1S</t>
        </is>
      </c>
      <c r="I1182">
        <v>241</v>
      </c>
      <c r="J1182">
        <f>GS11/130.6</f>
        <v>0</v>
      </c>
      <c r="M1182" t="inlineStr">
        <is>
          <t>-130K30.2</t>
        </is>
      </c>
    </row>
    <row r="1183">
      <c r="A1183">
        <v>1182</v>
      </c>
      <c r="B1183">
        <f>GS21</f>
        <v>0</v>
      </c>
      <c r="C1183" t="inlineStr">
        <is>
          <t>+LS2</t>
        </is>
      </c>
      <c r="D1183" t="inlineStr">
        <is>
          <t>-130K30.2</t>
        </is>
      </c>
      <c r="E1183" t="inlineStr">
        <is>
          <t>DIL_EM-10-G</t>
        </is>
      </c>
      <c r="F1183" t="inlineStr">
        <is>
          <t>#KALK!</t>
        </is>
      </c>
      <c r="G1183" t="inlineStr">
        <is>
          <t>LASTSCHUETZ</t>
        </is>
      </c>
      <c r="H1183" t="inlineStr">
        <is>
          <t>4kW 1S</t>
        </is>
      </c>
      <c r="I1183">
        <v>215</v>
      </c>
      <c r="J1183">
        <f>GS21/130.6</f>
        <v>0</v>
      </c>
      <c r="M1183" t="inlineStr">
        <is>
          <t>-130K30.2</t>
        </is>
      </c>
    </row>
    <row r="1184">
      <c r="A1184">
        <v>1183</v>
      </c>
      <c r="B1184">
        <f>GS11</f>
        <v>0</v>
      </c>
      <c r="C1184" t="inlineStr">
        <is>
          <t>+LS2</t>
        </is>
      </c>
      <c r="D1184" t="inlineStr">
        <is>
          <t>-130K31.1</t>
        </is>
      </c>
      <c r="E1184" t="inlineStr">
        <is>
          <t>DIL_EM-10-G</t>
        </is>
      </c>
      <c r="F1184" t="inlineStr">
        <is>
          <t>#KALK!</t>
        </is>
      </c>
      <c r="G1184" t="inlineStr">
        <is>
          <t>LASTSCHUETZ</t>
        </is>
      </c>
      <c r="H1184" t="inlineStr">
        <is>
          <t>4kW 1S</t>
        </is>
      </c>
      <c r="I1184">
        <v>241</v>
      </c>
      <c r="J1184">
        <f>GS11/130.6</f>
        <v>0</v>
      </c>
      <c r="M1184" t="inlineStr">
        <is>
          <t>-130K31.1</t>
        </is>
      </c>
    </row>
    <row r="1185">
      <c r="A1185">
        <v>1184</v>
      </c>
      <c r="B1185">
        <f>GS21</f>
        <v>0</v>
      </c>
      <c r="C1185" t="inlineStr">
        <is>
          <t>+LS2</t>
        </is>
      </c>
      <c r="D1185" t="inlineStr">
        <is>
          <t>-130K31.1</t>
        </is>
      </c>
      <c r="E1185" t="inlineStr">
        <is>
          <t>DIL_EM-10-G</t>
        </is>
      </c>
      <c r="F1185" t="inlineStr">
        <is>
          <t>#KALK!</t>
        </is>
      </c>
      <c r="G1185" t="inlineStr">
        <is>
          <t>LASTSCHUETZ</t>
        </is>
      </c>
      <c r="H1185" t="inlineStr">
        <is>
          <t>4kW 1S</t>
        </is>
      </c>
      <c r="I1185">
        <v>215</v>
      </c>
      <c r="J1185">
        <f>GS21/130.6</f>
        <v>0</v>
      </c>
      <c r="M1185" t="inlineStr">
        <is>
          <t>-130K31.1</t>
        </is>
      </c>
    </row>
    <row r="1186">
      <c r="A1186">
        <v>1185</v>
      </c>
      <c r="B1186">
        <f>GC03</f>
        <v>0</v>
      </c>
      <c r="C1186" t="inlineStr">
        <is>
          <t>+LS2</t>
        </is>
      </c>
      <c r="D1186" t="inlineStr">
        <is>
          <t>-130K48.7</t>
        </is>
      </c>
      <c r="E1186" t="inlineStr">
        <is>
          <t>DIL_EM-10-G</t>
        </is>
      </c>
      <c r="F1186" t="inlineStr">
        <is>
          <t>#KALK!</t>
        </is>
      </c>
      <c r="G1186" t="inlineStr">
        <is>
          <t>LASTSCHUETZ</t>
        </is>
      </c>
      <c r="H1186" t="inlineStr">
        <is>
          <t>4kW 1S</t>
        </is>
      </c>
      <c r="I1186">
        <v>3580</v>
      </c>
      <c r="J1186">
        <f>GC03/130.7</f>
        <v>0</v>
      </c>
      <c r="M1186" t="inlineStr">
        <is>
          <t>-130K48.7</t>
        </is>
      </c>
    </row>
    <row r="1187">
      <c r="A1187">
        <v>1186</v>
      </c>
      <c r="B1187">
        <f>GS25</f>
        <v>0</v>
      </c>
      <c r="C1187" t="inlineStr">
        <is>
          <t>+LS2</t>
        </is>
      </c>
      <c r="D1187" t="inlineStr">
        <is>
          <t>-130K59.4</t>
        </is>
      </c>
      <c r="E1187" t="inlineStr">
        <is>
          <t>DIL_EM-10-G</t>
        </is>
      </c>
      <c r="F1187" t="inlineStr">
        <is>
          <t>#KALK!</t>
        </is>
      </c>
      <c r="G1187" t="inlineStr">
        <is>
          <t>LASTSCHUETZ</t>
        </is>
      </c>
      <c r="H1187" t="inlineStr">
        <is>
          <t>4kW 1S</t>
        </is>
      </c>
      <c r="I1187">
        <v>251</v>
      </c>
      <c r="J1187">
        <f>GS25/130.6</f>
        <v>0</v>
      </c>
      <c r="M1187" t="inlineStr">
        <is>
          <t>-130K59.4</t>
        </is>
      </c>
    </row>
    <row r="1188">
      <c r="A1188">
        <v>1187</v>
      </c>
      <c r="B1188">
        <f>GS38</f>
        <v>0</v>
      </c>
      <c r="C1188" t="inlineStr">
        <is>
          <t>+LS01</t>
        </is>
      </c>
      <c r="D1188" t="inlineStr">
        <is>
          <t>-130K732.0</t>
        </is>
      </c>
      <c r="E1188" t="inlineStr">
        <is>
          <t>DILA-40</t>
        </is>
      </c>
      <c r="F1188" t="inlineStr">
        <is>
          <t>#KALK!</t>
        </is>
      </c>
      <c r="G1188" t="inlineStr">
        <is>
          <t>HILFSSCHUETZ</t>
        </is>
      </c>
      <c r="H1188" t="inlineStr">
        <is>
          <t>4S Federzugkl.</t>
        </is>
      </c>
      <c r="I1188">
        <v>275</v>
      </c>
      <c r="J1188">
        <f>GS38/130.6</f>
        <v>0</v>
      </c>
      <c r="M1188" t="inlineStr">
        <is>
          <t>-130K732.0</t>
        </is>
      </c>
    </row>
    <row r="1189">
      <c r="A1189">
        <v>1188</v>
      </c>
      <c r="B1189">
        <f>GS39</f>
        <v>0</v>
      </c>
      <c r="C1189" t="inlineStr">
        <is>
          <t>+LS01</t>
        </is>
      </c>
      <c r="D1189" t="inlineStr">
        <is>
          <t>-130K732.0</t>
        </is>
      </c>
      <c r="E1189" t="inlineStr">
        <is>
          <t>DILA-40</t>
        </is>
      </c>
      <c r="F1189" t="inlineStr">
        <is>
          <t>#KALK!</t>
        </is>
      </c>
      <c r="G1189" t="inlineStr">
        <is>
          <t>HILFSSCHUETZ</t>
        </is>
      </c>
      <c r="H1189" t="inlineStr">
        <is>
          <t>4S Federzugkl.</t>
        </is>
      </c>
      <c r="I1189">
        <v>313</v>
      </c>
      <c r="J1189">
        <f>GS39/130.6</f>
        <v>0</v>
      </c>
      <c r="M1189" t="inlineStr">
        <is>
          <t>-130K732.0</t>
        </is>
      </c>
    </row>
    <row r="1190">
      <c r="A1190">
        <v>1189</v>
      </c>
      <c r="B1190">
        <f>GS38</f>
        <v>0</v>
      </c>
      <c r="C1190" t="inlineStr">
        <is>
          <t>+LS01</t>
        </is>
      </c>
      <c r="D1190" t="inlineStr">
        <is>
          <t>-130Q1</t>
        </is>
      </c>
      <c r="E1190" t="inlineStr">
        <is>
          <t>DILA-XHI22</t>
        </is>
      </c>
      <c r="F1190" t="inlineStr">
        <is>
          <t>DILA-XHI22</t>
        </is>
      </c>
      <c r="G1190" t="inlineStr">
        <is>
          <t>HILFSKONTAKTBLOCK</t>
        </is>
      </c>
      <c r="H1190" t="inlineStr">
        <is>
          <t>2S 2OE Last+Hilfssch. Cage</t>
        </is>
      </c>
      <c r="I1190">
        <v>275</v>
      </c>
      <c r="J1190">
        <f>GS38/130.3</f>
        <v>0</v>
      </c>
      <c r="K1190" t="inlineStr">
        <is>
          <t>DIL MC25</t>
        </is>
      </c>
      <c r="M1190" t="inlineStr">
        <is>
          <t>-130Q1</t>
        </is>
      </c>
    </row>
    <row r="1191">
      <c r="A1191">
        <v>1190</v>
      </c>
      <c r="B1191">
        <f>GS38</f>
        <v>0</v>
      </c>
      <c r="C1191" t="inlineStr">
        <is>
          <t>+LS01</t>
        </is>
      </c>
      <c r="D1191" t="inlineStr">
        <is>
          <t>-130Q1</t>
        </is>
      </c>
      <c r="E1191" t="inlineStr">
        <is>
          <t>DILMC25-10(RDC24)</t>
        </is>
      </c>
      <c r="F1191" t="inlineStr">
        <is>
          <t>DILA-XHI22</t>
        </is>
      </c>
      <c r="G1191" t="inlineStr">
        <is>
          <t>LASTSCHUETZ</t>
        </is>
      </c>
      <c r="H1191" t="inlineStr">
        <is>
          <t>11kW 1S Federzugkl.</t>
        </is>
      </c>
      <c r="I1191">
        <v>275</v>
      </c>
      <c r="J1191">
        <f>GS38/130.3</f>
        <v>0</v>
      </c>
      <c r="K1191" t="inlineStr">
        <is>
          <t>DIL MC25</t>
        </is>
      </c>
      <c r="M1191" t="inlineStr">
        <is>
          <t>-130Q1</t>
        </is>
      </c>
    </row>
    <row r="1192">
      <c r="A1192">
        <v>1191</v>
      </c>
      <c r="B1192">
        <f>GS39</f>
        <v>0</v>
      </c>
      <c r="C1192" t="inlineStr">
        <is>
          <t>+LS01</t>
        </is>
      </c>
      <c r="D1192" t="inlineStr">
        <is>
          <t>-130Q1</t>
        </is>
      </c>
      <c r="E1192" t="inlineStr">
        <is>
          <t>DILMC25-10(RDC24)</t>
        </is>
      </c>
      <c r="F1192" t="inlineStr">
        <is>
          <t>DILA-XHI22</t>
        </is>
      </c>
      <c r="G1192" t="inlineStr">
        <is>
          <t>LASTSCHUETZ</t>
        </is>
      </c>
      <c r="H1192" t="inlineStr">
        <is>
          <t>11kW 1S Federzugkl.</t>
        </is>
      </c>
      <c r="I1192">
        <v>313</v>
      </c>
      <c r="J1192">
        <f>GS39/130.3</f>
        <v>0</v>
      </c>
      <c r="K1192" t="inlineStr">
        <is>
          <t>DIL MC25</t>
        </is>
      </c>
      <c r="M1192" t="inlineStr">
        <is>
          <t>-130Q1</t>
        </is>
      </c>
    </row>
    <row r="1193">
      <c r="A1193">
        <v>1192</v>
      </c>
      <c r="B1193">
        <f>GS39</f>
        <v>0</v>
      </c>
      <c r="C1193" t="inlineStr">
        <is>
          <t>+LS01</t>
        </is>
      </c>
      <c r="D1193" t="inlineStr">
        <is>
          <t>-130Q1</t>
        </is>
      </c>
      <c r="E1193" t="inlineStr">
        <is>
          <t>DILA-XHI22</t>
        </is>
      </c>
      <c r="F1193" t="inlineStr">
        <is>
          <t>DILA-XHI22</t>
        </is>
      </c>
      <c r="G1193" t="inlineStr">
        <is>
          <t>HILFSKONTAKTBLOCK</t>
        </is>
      </c>
      <c r="H1193" t="inlineStr">
        <is>
          <t>2S 2OE Last+Hilfssch. Cage</t>
        </is>
      </c>
      <c r="I1193">
        <v>313</v>
      </c>
      <c r="J1193">
        <f>GS39/130.3</f>
        <v>0</v>
      </c>
      <c r="K1193" t="inlineStr">
        <is>
          <t>DIL MC25</t>
        </is>
      </c>
      <c r="M1193" t="inlineStr">
        <is>
          <t>-130Q1</t>
        </is>
      </c>
    </row>
    <row r="1194">
      <c r="A1194">
        <v>1193</v>
      </c>
      <c r="B1194">
        <f>GS7x</f>
        <v>0</v>
      </c>
      <c r="C1194" t="inlineStr">
        <is>
          <t>+LS[l1]</t>
        </is>
      </c>
      <c r="D1194" t="inlineStr">
        <is>
          <t>-130Q1</t>
        </is>
      </c>
      <c r="E1194" t="inlineStr">
        <is>
          <t>DILA-XHI22</t>
        </is>
      </c>
      <c r="F1194" t="inlineStr">
        <is>
          <t>DILA-XHI22</t>
        </is>
      </c>
      <c r="G1194" t="inlineStr">
        <is>
          <t>HILFSKONTAKTBLOCK</t>
        </is>
      </c>
      <c r="H1194" t="inlineStr">
        <is>
          <t>2S 2OE Last+Hilfssch. Cage</t>
        </is>
      </c>
      <c r="I1194">
        <v>368</v>
      </c>
      <c r="J1194">
        <f>GS7x/130.4</f>
        <v>0</v>
      </c>
      <c r="M1194" t="inlineStr">
        <is>
          <t>-130Q1</t>
        </is>
      </c>
    </row>
    <row r="1195">
      <c r="A1195">
        <v>1194</v>
      </c>
      <c r="B1195">
        <f>GS7x</f>
        <v>0</v>
      </c>
      <c r="C1195" t="inlineStr">
        <is>
          <t>+LS[l1]</t>
        </is>
      </c>
      <c r="D1195" t="inlineStr">
        <is>
          <t>-130Q1</t>
        </is>
      </c>
      <c r="E1195" t="inlineStr">
        <is>
          <t>DILMC25-10(RDC24)</t>
        </is>
      </c>
      <c r="F1195" t="inlineStr">
        <is>
          <t>DILA-XHI22</t>
        </is>
      </c>
      <c r="G1195" t="inlineStr">
        <is>
          <t>LASTSCHUETZ</t>
        </is>
      </c>
      <c r="H1195" t="inlineStr">
        <is>
          <t>11kW 1S Federzugkl.</t>
        </is>
      </c>
      <c r="I1195">
        <v>368</v>
      </c>
      <c r="J1195">
        <f>GS7x/130.4</f>
        <v>0</v>
      </c>
      <c r="M1195" t="inlineStr">
        <is>
          <t>-130Q1</t>
        </is>
      </c>
    </row>
    <row r="1196">
      <c r="A1196">
        <v>1195</v>
      </c>
      <c r="B1196">
        <f>GS91</f>
        <v>0</v>
      </c>
      <c r="C1196" t="inlineStr">
        <is>
          <t>+LS01</t>
        </is>
      </c>
      <c r="D1196" t="inlineStr">
        <is>
          <t>-130Q1</t>
        </is>
      </c>
      <c r="E1196" t="inlineStr">
        <is>
          <t>DILA-XHI22</t>
        </is>
      </c>
      <c r="F1196" t="inlineStr">
        <is>
          <t>DILA-XHI22</t>
        </is>
      </c>
      <c r="G1196" t="inlineStr">
        <is>
          <t>HILFSKONTAKTBLOCK</t>
        </is>
      </c>
      <c r="H1196" t="inlineStr">
        <is>
          <t>2S 2OE Last+Hilfssch. Cage</t>
        </is>
      </c>
      <c r="I1196">
        <v>273</v>
      </c>
      <c r="J1196">
        <f>GS91/130.4</f>
        <v>0</v>
      </c>
      <c r="K1196" t="inlineStr">
        <is>
          <t>DIL MC25</t>
        </is>
      </c>
      <c r="M1196" t="inlineStr">
        <is>
          <t>-130Q1</t>
        </is>
      </c>
    </row>
    <row r="1197">
      <c r="A1197">
        <v>1196</v>
      </c>
      <c r="B1197">
        <f>GS91</f>
        <v>0</v>
      </c>
      <c r="C1197" t="inlineStr">
        <is>
          <t>+LS01</t>
        </is>
      </c>
      <c r="D1197" t="inlineStr">
        <is>
          <t>-130Q1</t>
        </is>
      </c>
      <c r="E1197" t="inlineStr">
        <is>
          <t>DILMC25-10(RDC24)</t>
        </is>
      </c>
      <c r="F1197" t="inlineStr">
        <is>
          <t>DILA-XHI22</t>
        </is>
      </c>
      <c r="G1197" t="inlineStr">
        <is>
          <t>LASTSCHUETZ</t>
        </is>
      </c>
      <c r="H1197" t="inlineStr">
        <is>
          <t>11kW 1S Federzugkl.</t>
        </is>
      </c>
      <c r="I1197">
        <v>273</v>
      </c>
      <c r="J1197">
        <f>GS91/130.4</f>
        <v>0</v>
      </c>
      <c r="K1197" t="inlineStr">
        <is>
          <t>DIL MC25</t>
        </is>
      </c>
      <c r="M1197" t="inlineStr">
        <is>
          <t>-130Q1</t>
        </is>
      </c>
    </row>
    <row r="1198">
      <c r="A1198">
        <v>1197</v>
      </c>
      <c r="B1198">
        <f>GS93</f>
        <v>0</v>
      </c>
      <c r="C1198" t="inlineStr">
        <is>
          <t>+LS01</t>
        </is>
      </c>
      <c r="D1198" t="inlineStr">
        <is>
          <t>-130Q153.1</t>
        </is>
      </c>
      <c r="E1198" t="inlineStr">
        <is>
          <t>DILM-9-10</t>
        </is>
      </c>
      <c r="F1198" t="inlineStr">
        <is>
          <t>#KALK!</t>
        </is>
      </c>
      <c r="G1198" t="inlineStr">
        <is>
          <t>LASTSCHUETZ</t>
        </is>
      </c>
      <c r="H1198" t="inlineStr">
        <is>
          <t>4kW 1S Federzugkl.</t>
        </is>
      </c>
      <c r="I1198">
        <v>699</v>
      </c>
      <c r="J1198">
        <f>GS93/130.5</f>
        <v>0</v>
      </c>
      <c r="M1198" t="inlineStr">
        <is>
          <t>-130Q153.1</t>
        </is>
      </c>
    </row>
    <row r="1199">
      <c r="A1199">
        <v>1198</v>
      </c>
      <c r="B1199">
        <f>GS90</f>
        <v>0</v>
      </c>
      <c r="C1199" t="inlineStr">
        <is>
          <t>+LS01</t>
        </is>
      </c>
      <c r="D1199" t="inlineStr">
        <is>
          <t>-130Q157.5</t>
        </is>
      </c>
      <c r="E1199" t="inlineStr">
        <is>
          <t>DILM-9-10</t>
        </is>
      </c>
      <c r="F1199" t="inlineStr">
        <is>
          <t>#KALK!</t>
        </is>
      </c>
      <c r="G1199" t="inlineStr">
        <is>
          <t>LASTSCHUETZ</t>
        </is>
      </c>
      <c r="H1199" t="inlineStr">
        <is>
          <t>4kW 1S Federzugkl.</t>
        </is>
      </c>
      <c r="I1199">
        <v>1107</v>
      </c>
      <c r="J1199">
        <f>GS90/130.5</f>
        <v>0</v>
      </c>
      <c r="M1199" t="inlineStr">
        <is>
          <t>-130Q157.5</t>
        </is>
      </c>
    </row>
    <row r="1200">
      <c r="A1200">
        <v>1199</v>
      </c>
      <c r="B1200">
        <f>GS16</f>
        <v>0</v>
      </c>
      <c r="C1200" t="inlineStr">
        <is>
          <t>+LS2</t>
        </is>
      </c>
      <c r="D1200" t="inlineStr">
        <is>
          <t>-131K1</t>
        </is>
      </c>
      <c r="E1200" t="inlineStr">
        <is>
          <t>22_DIL-M</t>
        </is>
      </c>
      <c r="F1200" t="inlineStr">
        <is>
          <t>22_DIL-M</t>
        </is>
      </c>
      <c r="G1200" t="inlineStr">
        <is>
          <t>HILFSKONTAKTBLOCK</t>
        </is>
      </c>
      <c r="H1200" t="inlineStr">
        <is>
          <t>2S 2OE Lastschuetz DIL M</t>
        </is>
      </c>
      <c r="I1200">
        <v>352</v>
      </c>
      <c r="J1200">
        <f>GS16/131.2</f>
        <v>0</v>
      </c>
      <c r="K1200" t="inlineStr">
        <is>
          <t>DIL0AM</t>
        </is>
      </c>
      <c r="M1200" t="inlineStr">
        <is>
          <t>-131K1</t>
        </is>
      </c>
    </row>
    <row r="1201">
      <c r="A1201">
        <v>1200</v>
      </c>
      <c r="B1201">
        <f>GS16</f>
        <v>0</v>
      </c>
      <c r="C1201" t="inlineStr">
        <is>
          <t>+LS2</t>
        </is>
      </c>
      <c r="D1201" t="inlineStr">
        <is>
          <t>-131K1</t>
        </is>
      </c>
      <c r="E1201" t="inlineStr">
        <is>
          <t>DIL_0AM</t>
        </is>
      </c>
      <c r="F1201" t="inlineStr">
        <is>
          <t>22_DIL-M</t>
        </is>
      </c>
      <c r="G1201" t="inlineStr">
        <is>
          <t>LASTSCHUETZ</t>
        </is>
      </c>
      <c r="H1201" t="inlineStr">
        <is>
          <t>11 kW</t>
        </is>
      </c>
      <c r="I1201">
        <v>352</v>
      </c>
      <c r="J1201">
        <f>GS16/131.2</f>
        <v>0</v>
      </c>
      <c r="K1201" t="inlineStr">
        <is>
          <t>DIL0AM</t>
        </is>
      </c>
      <c r="M1201" t="inlineStr">
        <is>
          <t>-131K1</t>
        </is>
      </c>
    </row>
    <row r="1202">
      <c r="A1202">
        <v>1201</v>
      </c>
      <c r="B1202">
        <f>GS02</f>
        <v>0</v>
      </c>
      <c r="C1202" t="inlineStr">
        <is>
          <t>+LS1</t>
        </is>
      </c>
      <c r="D1202" t="inlineStr">
        <is>
          <t>-131K18.4</t>
        </is>
      </c>
      <c r="E1202" t="inlineStr">
        <is>
          <t>DIL_EM-10-G</t>
        </is>
      </c>
      <c r="F1202" t="inlineStr">
        <is>
          <t>#KALK!</t>
        </is>
      </c>
      <c r="G1202" t="inlineStr">
        <is>
          <t>LASTSCHUETZ</t>
        </is>
      </c>
      <c r="H1202" t="inlineStr">
        <is>
          <t>4kW 1S</t>
        </is>
      </c>
      <c r="I1202">
        <v>529</v>
      </c>
      <c r="J1202">
        <f>GS02/131.6</f>
        <v>0</v>
      </c>
      <c r="M1202" t="inlineStr">
        <is>
          <t>-131K18.4</t>
        </is>
      </c>
    </row>
    <row r="1203">
      <c r="A1203">
        <v>1202</v>
      </c>
      <c r="B1203">
        <f>GS11</f>
        <v>0</v>
      </c>
      <c r="C1203" t="inlineStr">
        <is>
          <t>+LS2</t>
        </is>
      </c>
      <c r="D1203" t="inlineStr">
        <is>
          <t>-131K30.3</t>
        </is>
      </c>
      <c r="E1203" t="inlineStr">
        <is>
          <t>DIL_EM-10-G</t>
        </is>
      </c>
      <c r="F1203" t="inlineStr">
        <is>
          <t>#KALK!</t>
        </is>
      </c>
      <c r="G1203" t="inlineStr">
        <is>
          <t>LASTSCHUETZ</t>
        </is>
      </c>
      <c r="H1203" t="inlineStr">
        <is>
          <t>4kW 1S</t>
        </is>
      </c>
      <c r="I1203">
        <v>242</v>
      </c>
      <c r="J1203">
        <f>GS11/131.6</f>
        <v>0</v>
      </c>
      <c r="M1203" t="inlineStr">
        <is>
          <t>-131K30.3</t>
        </is>
      </c>
    </row>
    <row r="1204">
      <c r="A1204">
        <v>1203</v>
      </c>
      <c r="B1204">
        <f>GS21</f>
        <v>0</v>
      </c>
      <c r="C1204" t="inlineStr">
        <is>
          <t>+LS2</t>
        </is>
      </c>
      <c r="D1204" t="inlineStr">
        <is>
          <t>-131K30.3</t>
        </is>
      </c>
      <c r="E1204" t="inlineStr">
        <is>
          <t>DIL_EM-10-G</t>
        </is>
      </c>
      <c r="F1204" t="inlineStr">
        <is>
          <t>#KALK!</t>
        </is>
      </c>
      <c r="G1204" t="inlineStr">
        <is>
          <t>LASTSCHUETZ</t>
        </is>
      </c>
      <c r="H1204" t="inlineStr">
        <is>
          <t>4kW 1S</t>
        </is>
      </c>
      <c r="I1204">
        <v>216</v>
      </c>
      <c r="J1204">
        <f>GS21/131.6</f>
        <v>0</v>
      </c>
      <c r="M1204" t="inlineStr">
        <is>
          <t>-131K30.3</t>
        </is>
      </c>
    </row>
    <row r="1205">
      <c r="A1205">
        <v>1204</v>
      </c>
      <c r="B1205">
        <f>GS11</f>
        <v>0</v>
      </c>
      <c r="C1205" t="inlineStr">
        <is>
          <t>+LS2</t>
        </is>
      </c>
      <c r="D1205" t="inlineStr">
        <is>
          <t>-131K31.2</t>
        </is>
      </c>
      <c r="E1205" t="inlineStr">
        <is>
          <t>DIL_EM-10-G</t>
        </is>
      </c>
      <c r="F1205" t="inlineStr">
        <is>
          <t>#KALK!</t>
        </is>
      </c>
      <c r="G1205" t="inlineStr">
        <is>
          <t>LASTSCHUETZ</t>
        </is>
      </c>
      <c r="H1205" t="inlineStr">
        <is>
          <t>4kW 1S</t>
        </is>
      </c>
      <c r="I1205">
        <v>242</v>
      </c>
      <c r="J1205">
        <f>GS11/131.6</f>
        <v>0</v>
      </c>
      <c r="M1205" t="inlineStr">
        <is>
          <t>-131K31.2</t>
        </is>
      </c>
    </row>
    <row r="1206">
      <c r="A1206">
        <v>1205</v>
      </c>
      <c r="B1206">
        <f>GS21</f>
        <v>0</v>
      </c>
      <c r="C1206" t="inlineStr">
        <is>
          <t>+LS2</t>
        </is>
      </c>
      <c r="D1206" t="inlineStr">
        <is>
          <t>-131K31.2</t>
        </is>
      </c>
      <c r="E1206" t="inlineStr">
        <is>
          <t>DIL_EM-10-G</t>
        </is>
      </c>
      <c r="F1206" t="inlineStr">
        <is>
          <t>#KALK!</t>
        </is>
      </c>
      <c r="G1206" t="inlineStr">
        <is>
          <t>LASTSCHUETZ</t>
        </is>
      </c>
      <c r="H1206" t="inlineStr">
        <is>
          <t>4kW 1S</t>
        </is>
      </c>
      <c r="I1206">
        <v>216</v>
      </c>
      <c r="J1206">
        <f>GS21/131.6</f>
        <v>0</v>
      </c>
      <c r="M1206" t="inlineStr">
        <is>
          <t>-131K31.2</t>
        </is>
      </c>
    </row>
    <row r="1207">
      <c r="A1207">
        <v>1206</v>
      </c>
      <c r="B1207">
        <f>GC03</f>
        <v>0</v>
      </c>
      <c r="C1207" t="inlineStr">
        <is>
          <t>+LS2</t>
        </is>
      </c>
      <c r="D1207" t="inlineStr">
        <is>
          <t>-131K49.3</t>
        </is>
      </c>
      <c r="E1207" t="inlineStr">
        <is>
          <t>DIL_EM-10-G</t>
        </is>
      </c>
      <c r="F1207" t="inlineStr">
        <is>
          <t>#KALK!</t>
        </is>
      </c>
      <c r="G1207" t="inlineStr">
        <is>
          <t>LASTSCHUETZ</t>
        </is>
      </c>
      <c r="H1207" t="inlineStr">
        <is>
          <t>4kW 1S</t>
        </is>
      </c>
      <c r="I1207">
        <v>3581</v>
      </c>
      <c r="J1207">
        <f>GC03/131.7</f>
        <v>0</v>
      </c>
      <c r="M1207" t="inlineStr">
        <is>
          <t>-131K49.3</t>
        </is>
      </c>
    </row>
    <row r="1208">
      <c r="A1208">
        <v>1207</v>
      </c>
      <c r="B1208">
        <f>GS25</f>
        <v>0</v>
      </c>
      <c r="C1208" t="inlineStr">
        <is>
          <t>+LS2</t>
        </is>
      </c>
      <c r="D1208" t="inlineStr">
        <is>
          <t>-131K59.5</t>
        </is>
      </c>
      <c r="E1208" t="inlineStr">
        <is>
          <t>DIL_EM-10-G</t>
        </is>
      </c>
      <c r="F1208" t="inlineStr">
        <is>
          <t>#KALK!</t>
        </is>
      </c>
      <c r="G1208" t="inlineStr">
        <is>
          <t>LASTSCHUETZ</t>
        </is>
      </c>
      <c r="H1208" t="inlineStr">
        <is>
          <t>4kW 1S</t>
        </is>
      </c>
      <c r="I1208">
        <v>252</v>
      </c>
      <c r="J1208">
        <f>GS25/131.6</f>
        <v>0</v>
      </c>
      <c r="M1208" t="inlineStr">
        <is>
          <t>-131K59.5</t>
        </is>
      </c>
    </row>
    <row r="1209">
      <c r="A1209">
        <v>1208</v>
      </c>
      <c r="B1209">
        <f>GS25</f>
        <v>0</v>
      </c>
      <c r="C1209" t="inlineStr">
        <is>
          <t>+LS2</t>
        </is>
      </c>
      <c r="D1209" t="inlineStr">
        <is>
          <t>-131K60.0</t>
        </is>
      </c>
      <c r="E1209" t="inlineStr">
        <is>
          <t>DIL_EM-10-G</t>
        </is>
      </c>
      <c r="F1209" t="inlineStr">
        <is>
          <t>#KALK!</t>
        </is>
      </c>
      <c r="G1209" t="inlineStr">
        <is>
          <t>LASTSCHUETZ</t>
        </is>
      </c>
      <c r="H1209" t="inlineStr">
        <is>
          <t>4kW 1S</t>
        </is>
      </c>
      <c r="I1209">
        <v>252</v>
      </c>
      <c r="J1209">
        <f>GS25/131.6</f>
        <v>0</v>
      </c>
      <c r="M1209" t="inlineStr">
        <is>
          <t>-131K60.0</t>
        </is>
      </c>
    </row>
    <row r="1210">
      <c r="A1210">
        <v>1209</v>
      </c>
      <c r="B1210">
        <f>GS14</f>
        <v>0</v>
      </c>
      <c r="C1210" t="inlineStr">
        <is>
          <t>+LS2</t>
        </is>
      </c>
      <c r="D1210" t="inlineStr">
        <is>
          <t>-131K62.0</t>
        </is>
      </c>
      <c r="E1210" t="inlineStr">
        <is>
          <t>DIL_EM-10-G</t>
        </is>
      </c>
      <c r="F1210" t="inlineStr">
        <is>
          <t>#KALK!</t>
        </is>
      </c>
      <c r="G1210" t="inlineStr">
        <is>
          <t>LASTSCHUETZ</t>
        </is>
      </c>
      <c r="H1210" t="inlineStr">
        <is>
          <t>4kW 1S</t>
        </is>
      </c>
      <c r="I1210">
        <v>257</v>
      </c>
      <c r="J1210">
        <f>GS14/131.6</f>
        <v>0</v>
      </c>
      <c r="M1210" t="inlineStr">
        <is>
          <t>-131K62.0</t>
        </is>
      </c>
    </row>
    <row r="1211">
      <c r="A1211">
        <v>1210</v>
      </c>
      <c r="B1211">
        <f>GS24</f>
        <v>0</v>
      </c>
      <c r="C1211" t="inlineStr">
        <is>
          <t>+LS2</t>
        </is>
      </c>
      <c r="D1211" t="inlineStr">
        <is>
          <t>-131K62.0</t>
        </is>
      </c>
      <c r="E1211" t="inlineStr">
        <is>
          <t>DIL_EM-10-G</t>
        </is>
      </c>
      <c r="F1211" t="inlineStr">
        <is>
          <t>#KALK!</t>
        </is>
      </c>
      <c r="G1211" t="inlineStr">
        <is>
          <t>LASTSCHUETZ</t>
        </is>
      </c>
      <c r="H1211" t="inlineStr">
        <is>
          <t>4kW 1S</t>
        </is>
      </c>
      <c r="I1211">
        <v>948</v>
      </c>
      <c r="J1211">
        <f>GS24/131.6</f>
        <v>0</v>
      </c>
      <c r="M1211" t="inlineStr">
        <is>
          <t>-131K62.0</t>
        </is>
      </c>
    </row>
    <row r="1212">
      <c r="A1212">
        <v>1211</v>
      </c>
      <c r="B1212">
        <f>GS14</f>
        <v>0</v>
      </c>
      <c r="C1212" t="inlineStr">
        <is>
          <t>+LS2</t>
        </is>
      </c>
      <c r="D1212" t="inlineStr">
        <is>
          <t>-131K62.1</t>
        </is>
      </c>
      <c r="E1212" t="inlineStr">
        <is>
          <t>DIL_EM-10-G</t>
        </is>
      </c>
      <c r="F1212" t="inlineStr">
        <is>
          <t>#KALK!</t>
        </is>
      </c>
      <c r="G1212" t="inlineStr">
        <is>
          <t>LASTSCHUETZ</t>
        </is>
      </c>
      <c r="H1212" t="inlineStr">
        <is>
          <t>4kW 1S</t>
        </is>
      </c>
      <c r="I1212">
        <v>257</v>
      </c>
      <c r="J1212">
        <f>GS14/131.6</f>
        <v>0</v>
      </c>
      <c r="M1212" t="inlineStr">
        <is>
          <t>-131K62.1</t>
        </is>
      </c>
    </row>
    <row r="1213">
      <c r="A1213">
        <v>1212</v>
      </c>
      <c r="B1213">
        <f>GS24</f>
        <v>0</v>
      </c>
      <c r="C1213" t="inlineStr">
        <is>
          <t>+LS2</t>
        </is>
      </c>
      <c r="D1213" t="inlineStr">
        <is>
          <t>-131K62.1</t>
        </is>
      </c>
      <c r="E1213" t="inlineStr">
        <is>
          <t>DIL_EM-10-G</t>
        </is>
      </c>
      <c r="F1213" t="inlineStr">
        <is>
          <t>#KALK!</t>
        </is>
      </c>
      <c r="G1213" t="inlineStr">
        <is>
          <t>LASTSCHUETZ</t>
        </is>
      </c>
      <c r="H1213" t="inlineStr">
        <is>
          <t>4kW 1S</t>
        </is>
      </c>
      <c r="I1213">
        <v>948</v>
      </c>
      <c r="J1213">
        <f>GS24/131.6</f>
        <v>0</v>
      </c>
      <c r="M1213" t="inlineStr">
        <is>
          <t>-131K62.1</t>
        </is>
      </c>
    </row>
    <row r="1214">
      <c r="A1214">
        <v>1213</v>
      </c>
      <c r="B1214">
        <f>GS93</f>
        <v>0</v>
      </c>
      <c r="C1214" t="inlineStr">
        <is>
          <t>+LS01</t>
        </is>
      </c>
      <c r="D1214" t="inlineStr">
        <is>
          <t>-131Q153.2</t>
        </is>
      </c>
      <c r="E1214" t="inlineStr">
        <is>
          <t>DILM-9-10</t>
        </is>
      </c>
      <c r="F1214" t="inlineStr">
        <is>
          <t>#KALK!</t>
        </is>
      </c>
      <c r="G1214" t="inlineStr">
        <is>
          <t>LASTSCHUETZ</t>
        </is>
      </c>
      <c r="H1214" t="inlineStr">
        <is>
          <t>4kW 1S Federzugkl.</t>
        </is>
      </c>
      <c r="I1214">
        <v>700</v>
      </c>
      <c r="J1214">
        <f>GS93/131.5</f>
        <v>0</v>
      </c>
      <c r="M1214" t="inlineStr">
        <is>
          <t>-131Q153.2</t>
        </is>
      </c>
    </row>
    <row r="1215">
      <c r="A1215">
        <v>1214</v>
      </c>
      <c r="B1215">
        <f>GS91</f>
        <v>0</v>
      </c>
      <c r="C1215" t="inlineStr">
        <is>
          <t>+LS01</t>
        </is>
      </c>
      <c r="D1215" t="inlineStr">
        <is>
          <t>-131Q156.5</t>
        </is>
      </c>
      <c r="E1215" t="inlineStr">
        <is>
          <t>DILM-9-10</t>
        </is>
      </c>
      <c r="F1215" t="inlineStr">
        <is>
          <t>#KALK!</t>
        </is>
      </c>
      <c r="G1215" t="inlineStr">
        <is>
          <t>LASTSCHUETZ</t>
        </is>
      </c>
      <c r="H1215" t="inlineStr">
        <is>
          <t>4kW 1S Federzugkl.</t>
        </is>
      </c>
      <c r="I1215">
        <v>274</v>
      </c>
      <c r="J1215">
        <f>GS91/131.5</f>
        <v>0</v>
      </c>
      <c r="M1215" t="inlineStr">
        <is>
          <t>-131Q156.5</t>
        </is>
      </c>
    </row>
    <row r="1216">
      <c r="A1216">
        <v>1215</v>
      </c>
      <c r="B1216">
        <f>GS37</f>
        <v>0</v>
      </c>
      <c r="C1216" t="inlineStr">
        <is>
          <t>+LS01</t>
        </is>
      </c>
      <c r="D1216" t="inlineStr">
        <is>
          <t>-131Q413.2</t>
        </is>
      </c>
      <c r="E1216" t="inlineStr">
        <is>
          <t>DILM-9-10</t>
        </is>
      </c>
      <c r="F1216" t="inlineStr">
        <is>
          <t>#KALK!</t>
        </is>
      </c>
      <c r="G1216" t="inlineStr">
        <is>
          <t>LASTSCHUETZ</t>
        </is>
      </c>
      <c r="H1216" t="inlineStr">
        <is>
          <t>4kW 1S Federzugkl.</t>
        </is>
      </c>
      <c r="I1216">
        <v>310</v>
      </c>
      <c r="J1216">
        <f>GS37/131.5</f>
        <v>0</v>
      </c>
      <c r="M1216" t="inlineStr">
        <is>
          <t>-131Q413.2</t>
        </is>
      </c>
    </row>
    <row r="1217">
      <c r="A1217">
        <v>1216</v>
      </c>
      <c r="B1217">
        <f>GS55</f>
        <v>0</v>
      </c>
      <c r="C1217" t="inlineStr">
        <is>
          <t>+LS21</t>
        </is>
      </c>
      <c r="D1217" t="inlineStr">
        <is>
          <t>-1320Q1</t>
        </is>
      </c>
      <c r="E1217" t="inlineStr">
        <is>
          <t>DILA-XHI22</t>
        </is>
      </c>
      <c r="F1217" t="inlineStr">
        <is>
          <t>DILA-XHI22</t>
        </is>
      </c>
      <c r="G1217" t="inlineStr">
        <is>
          <t>HILFSKONTAKTBLOCK</t>
        </is>
      </c>
      <c r="H1217" t="inlineStr">
        <is>
          <t>2S 2OE Last+Hilfssch. Cage</t>
        </is>
      </c>
      <c r="I1217">
        <v>1544</v>
      </c>
      <c r="J1217">
        <f>GS55/1320.6</f>
        <v>0</v>
      </c>
      <c r="K1217" t="inlineStr">
        <is>
          <t>DIL MC25</t>
        </is>
      </c>
      <c r="M1217" t="inlineStr">
        <is>
          <t>-1320Q1</t>
        </is>
      </c>
    </row>
    <row r="1218">
      <c r="A1218">
        <v>1217</v>
      </c>
      <c r="B1218">
        <f>GS55</f>
        <v>0</v>
      </c>
      <c r="C1218" t="inlineStr">
        <is>
          <t>+LS21</t>
        </is>
      </c>
      <c r="D1218" t="inlineStr">
        <is>
          <t>-1320Q1</t>
        </is>
      </c>
      <c r="E1218" t="inlineStr">
        <is>
          <t>DILMC25-10(RDC24)</t>
        </is>
      </c>
      <c r="F1218" t="inlineStr">
        <is>
          <t>DILA-XHI22</t>
        </is>
      </c>
      <c r="G1218" t="inlineStr">
        <is>
          <t>LASTSCHUETZ</t>
        </is>
      </c>
      <c r="H1218" t="inlineStr">
        <is>
          <t>11kW 1S Federzugkl.</t>
        </is>
      </c>
      <c r="I1218">
        <v>1544</v>
      </c>
      <c r="J1218">
        <f>GS55/1320.6</f>
        <v>0</v>
      </c>
      <c r="K1218" t="inlineStr">
        <is>
          <t>DIL MC25</t>
        </is>
      </c>
      <c r="M1218" t="inlineStr">
        <is>
          <t>-1320Q1</t>
        </is>
      </c>
    </row>
    <row r="1219">
      <c r="A1219">
        <v>1218</v>
      </c>
      <c r="B1219">
        <f>GS05</f>
        <v>0</v>
      </c>
      <c r="C1219" t="inlineStr">
        <is>
          <t>+LS21</t>
        </is>
      </c>
      <c r="D1219" t="inlineStr">
        <is>
          <t>-1321K1</t>
        </is>
      </c>
      <c r="E1219" t="inlineStr">
        <is>
          <t>DILM-9-01</t>
        </is>
      </c>
      <c r="F1219" t="inlineStr">
        <is>
          <t>#KALK!</t>
        </is>
      </c>
      <c r="G1219" t="inlineStr">
        <is>
          <t>LASTSCHUETZ</t>
        </is>
      </c>
      <c r="H1219" t="inlineStr">
        <is>
          <t>4kW 1Oe Federzugkl.</t>
        </is>
      </c>
      <c r="I1219">
        <v>2380</v>
      </c>
      <c r="J1219">
        <f>GS05/1321.6</f>
        <v>0</v>
      </c>
      <c r="M1219" t="inlineStr">
        <is>
          <t>-1321K1</t>
        </is>
      </c>
    </row>
    <row r="1220">
      <c r="A1220">
        <v>1219</v>
      </c>
      <c r="B1220">
        <f>GS05</f>
        <v>0</v>
      </c>
      <c r="C1220" t="inlineStr">
        <is>
          <t>+LS21</t>
        </is>
      </c>
      <c r="D1220" t="inlineStr">
        <is>
          <t>-1321K2</t>
        </is>
      </c>
      <c r="E1220" t="inlineStr">
        <is>
          <t>DILM-9-01</t>
        </is>
      </c>
      <c r="F1220" t="inlineStr">
        <is>
          <t>#KALK!</t>
        </is>
      </c>
      <c r="G1220" t="inlineStr">
        <is>
          <t>LASTSCHUETZ</t>
        </is>
      </c>
      <c r="H1220" t="inlineStr">
        <is>
          <t>4kW 1Oe Federzugkl.</t>
        </is>
      </c>
      <c r="I1220">
        <v>2380</v>
      </c>
      <c r="J1220">
        <f>GS05/1321.7</f>
        <v>0</v>
      </c>
      <c r="M1220" t="inlineStr">
        <is>
          <t>-1321K2</t>
        </is>
      </c>
    </row>
    <row r="1221">
      <c r="A1221">
        <v>1220</v>
      </c>
      <c r="B1221">
        <f>GS55</f>
        <v>0</v>
      </c>
      <c r="C1221" t="inlineStr">
        <is>
          <t>+LS21</t>
        </is>
      </c>
      <c r="D1221" t="inlineStr">
        <is>
          <t>-1321Q723.1</t>
        </is>
      </c>
      <c r="E1221" t="inlineStr">
        <is>
          <t>DILA-XHI22</t>
        </is>
      </c>
      <c r="F1221" t="inlineStr">
        <is>
          <t>DILA-XHI22</t>
        </is>
      </c>
      <c r="G1221" t="inlineStr">
        <is>
          <t>HILFSKONTAKTBLOCK</t>
        </is>
      </c>
      <c r="H1221" t="inlineStr">
        <is>
          <t>2S 2OE Last+Hilfssch. Cage</t>
        </is>
      </c>
      <c r="I1221">
        <v>1545</v>
      </c>
      <c r="J1221">
        <f>GS55/1321.6</f>
        <v>0</v>
      </c>
      <c r="K1221" t="inlineStr">
        <is>
          <t>DIL MC9 HT2401</t>
        </is>
      </c>
      <c r="M1221" t="inlineStr">
        <is>
          <t>-1321Q723.1</t>
        </is>
      </c>
    </row>
    <row r="1222">
      <c r="A1222">
        <v>1221</v>
      </c>
      <c r="B1222">
        <f>GS55</f>
        <v>0</v>
      </c>
      <c r="C1222" t="inlineStr">
        <is>
          <t>+LS21</t>
        </is>
      </c>
      <c r="D1222" t="inlineStr">
        <is>
          <t>-1321Q723.1</t>
        </is>
      </c>
      <c r="E1222" t="inlineStr">
        <is>
          <t>DILM-9-10</t>
        </is>
      </c>
      <c r="F1222" t="inlineStr">
        <is>
          <t>DILA-XHI22</t>
        </is>
      </c>
      <c r="G1222" t="inlineStr">
        <is>
          <t>LASTSCHUETZ</t>
        </is>
      </c>
      <c r="H1222" t="inlineStr">
        <is>
          <t>4kW 1S Federzugkl.</t>
        </is>
      </c>
      <c r="I1222">
        <v>1545</v>
      </c>
      <c r="J1222">
        <f>GS55/1321.6</f>
        <v>0</v>
      </c>
      <c r="K1222" t="inlineStr">
        <is>
          <t>DIL MC9 HT2401</t>
        </is>
      </c>
      <c r="M1222" t="inlineStr">
        <is>
          <t>-1321Q723.1</t>
        </is>
      </c>
    </row>
    <row r="1223">
      <c r="A1223">
        <v>1222</v>
      </c>
      <c r="B1223">
        <f>GS55</f>
        <v>0</v>
      </c>
      <c r="C1223" t="inlineStr">
        <is>
          <t>+LS21</t>
        </is>
      </c>
      <c r="D1223" t="inlineStr">
        <is>
          <t>-1321Q723.2</t>
        </is>
      </c>
      <c r="E1223" t="inlineStr">
        <is>
          <t>DILA-XHI22</t>
        </is>
      </c>
      <c r="F1223" t="inlineStr">
        <is>
          <t>DILA-XHI22</t>
        </is>
      </c>
      <c r="G1223" t="inlineStr">
        <is>
          <t>HILFSKONTAKTBLOCK</t>
        </is>
      </c>
      <c r="H1223" t="inlineStr">
        <is>
          <t>2S 2OE Last+Hilfssch. Cage</t>
        </is>
      </c>
      <c r="I1223">
        <v>1545</v>
      </c>
      <c r="J1223">
        <f>GS55/1321.7</f>
        <v>0</v>
      </c>
      <c r="K1223" t="inlineStr">
        <is>
          <t>DIL MC9 HT2401</t>
        </is>
      </c>
      <c r="M1223" t="inlineStr">
        <is>
          <t>-1321Q723.2</t>
        </is>
      </c>
    </row>
    <row r="1224">
      <c r="A1224">
        <v>1223</v>
      </c>
      <c r="B1224">
        <f>GS55</f>
        <v>0</v>
      </c>
      <c r="C1224" t="inlineStr">
        <is>
          <t>+LS21</t>
        </is>
      </c>
      <c r="D1224" t="inlineStr">
        <is>
          <t>-1321Q723.2</t>
        </is>
      </c>
      <c r="E1224" t="inlineStr">
        <is>
          <t>DILM-9-10</t>
        </is>
      </c>
      <c r="F1224" t="inlineStr">
        <is>
          <t>DILA-XHI22</t>
        </is>
      </c>
      <c r="G1224" t="inlineStr">
        <is>
          <t>LASTSCHUETZ</t>
        </is>
      </c>
      <c r="H1224" t="inlineStr">
        <is>
          <t>4kW 1S Federzugkl.</t>
        </is>
      </c>
      <c r="I1224">
        <v>1545</v>
      </c>
      <c r="J1224">
        <f>GS55/1321.7</f>
        <v>0</v>
      </c>
      <c r="K1224" t="inlineStr">
        <is>
          <t>DIL MC9 HT2401</t>
        </is>
      </c>
      <c r="M1224" t="inlineStr">
        <is>
          <t>-1321Q723.2</t>
        </is>
      </c>
    </row>
    <row r="1225">
      <c r="A1225">
        <v>1224</v>
      </c>
      <c r="B1225">
        <f>GS05</f>
        <v>0</v>
      </c>
      <c r="C1225" t="inlineStr">
        <is>
          <t>+LS21</t>
        </is>
      </c>
      <c r="D1225" t="inlineStr">
        <is>
          <t>-1322K1</t>
        </is>
      </c>
      <c r="E1225" t="inlineStr">
        <is>
          <t>DILM-9-01</t>
        </is>
      </c>
      <c r="F1225" t="inlineStr">
        <is>
          <t>#KALK!</t>
        </is>
      </c>
      <c r="G1225" t="inlineStr">
        <is>
          <t>LASTSCHUETZ</t>
        </is>
      </c>
      <c r="H1225" t="inlineStr">
        <is>
          <t>4kW 1Oe Federzugkl.</t>
        </is>
      </c>
      <c r="I1225">
        <v>2381</v>
      </c>
      <c r="J1225">
        <f>GS05/1322.6</f>
        <v>0</v>
      </c>
      <c r="M1225" t="inlineStr">
        <is>
          <t>-1322K1</t>
        </is>
      </c>
    </row>
    <row r="1226">
      <c r="A1226">
        <v>1225</v>
      </c>
      <c r="B1226">
        <f>GS05</f>
        <v>0</v>
      </c>
      <c r="C1226" t="inlineStr">
        <is>
          <t>+LS21</t>
        </is>
      </c>
      <c r="D1226" t="inlineStr">
        <is>
          <t>-1322K2</t>
        </is>
      </c>
      <c r="E1226" t="inlineStr">
        <is>
          <t>DILM-9-01</t>
        </is>
      </c>
      <c r="F1226" t="inlineStr">
        <is>
          <t>#KALK!</t>
        </is>
      </c>
      <c r="G1226" t="inlineStr">
        <is>
          <t>LASTSCHUETZ</t>
        </is>
      </c>
      <c r="H1226" t="inlineStr">
        <is>
          <t>4kW 1Oe Federzugkl.</t>
        </is>
      </c>
      <c r="I1226">
        <v>2381</v>
      </c>
      <c r="J1226">
        <f>GS05/1322.7</f>
        <v>0</v>
      </c>
      <c r="M1226" t="inlineStr">
        <is>
          <t>-1322K2</t>
        </is>
      </c>
    </row>
    <row r="1227">
      <c r="A1227">
        <v>1226</v>
      </c>
      <c r="B1227">
        <f>GS32</f>
        <v>0</v>
      </c>
      <c r="C1227" t="inlineStr">
        <is>
          <t>+LS2</t>
        </is>
      </c>
      <c r="D1227" t="inlineStr">
        <is>
          <t>-132K1</t>
        </is>
      </c>
      <c r="E1227" t="inlineStr">
        <is>
          <t>DIL_EM-10-G</t>
        </is>
      </c>
      <c r="F1227" t="inlineStr">
        <is>
          <t>#KALK!</t>
        </is>
      </c>
      <c r="G1227" t="inlineStr">
        <is>
          <t>LASTSCHUETZ</t>
        </is>
      </c>
      <c r="H1227" t="inlineStr">
        <is>
          <t>4kW 1S</t>
        </is>
      </c>
      <c r="I1227">
        <v>940</v>
      </c>
      <c r="J1227">
        <f>GS32/132.5</f>
        <v>0</v>
      </c>
      <c r="M1227" t="inlineStr">
        <is>
          <t>-132K1</t>
        </is>
      </c>
    </row>
    <row r="1228">
      <c r="A1228">
        <v>1227</v>
      </c>
      <c r="B1228">
        <f>GS46</f>
        <v>0</v>
      </c>
      <c r="C1228" t="inlineStr">
        <is>
          <t>+LS01</t>
        </is>
      </c>
      <c r="D1228" t="inlineStr">
        <is>
          <t>-132K1</t>
        </is>
      </c>
      <c r="E1228" t="inlineStr">
        <is>
          <t>DILA-22</t>
        </is>
      </c>
      <c r="F1228" t="inlineStr">
        <is>
          <t>#KALK!</t>
        </is>
      </c>
      <c r="G1228" t="inlineStr">
        <is>
          <t>HILFSSCHUETZ</t>
        </is>
      </c>
      <c r="H1228" t="inlineStr">
        <is>
          <t>2S 2Oe Federzugkl.</t>
        </is>
      </c>
      <c r="I1228">
        <v>446</v>
      </c>
      <c r="J1228">
        <f>GS46/132.6</f>
        <v>0</v>
      </c>
      <c r="M1228" t="inlineStr">
        <is>
          <t>-132K1</t>
        </is>
      </c>
    </row>
    <row r="1229">
      <c r="A1229">
        <v>1228</v>
      </c>
      <c r="B1229">
        <f>GS47</f>
        <v>0</v>
      </c>
      <c r="C1229" t="inlineStr">
        <is>
          <t>+LS01</t>
        </is>
      </c>
      <c r="D1229" t="inlineStr">
        <is>
          <t>-132K1</t>
        </is>
      </c>
      <c r="E1229" t="inlineStr">
        <is>
          <t>DILA-22</t>
        </is>
      </c>
      <c r="F1229" t="inlineStr">
        <is>
          <t>#KALK!</t>
        </is>
      </c>
      <c r="G1229" t="inlineStr">
        <is>
          <t>HILFSSCHUETZ</t>
        </is>
      </c>
      <c r="H1229" t="inlineStr">
        <is>
          <t>2S 2Oe Federzugkl.</t>
        </is>
      </c>
      <c r="I1229">
        <v>446</v>
      </c>
      <c r="J1229">
        <f>GS47/132.6</f>
        <v>0</v>
      </c>
      <c r="M1229" t="inlineStr">
        <is>
          <t>-132K1</t>
        </is>
      </c>
    </row>
    <row r="1230">
      <c r="A1230">
        <v>1229</v>
      </c>
      <c r="B1230">
        <f>GS48</f>
        <v>0</v>
      </c>
      <c r="C1230" t="inlineStr">
        <is>
          <t>+LS01</t>
        </is>
      </c>
      <c r="D1230" t="inlineStr">
        <is>
          <t>-132K1</t>
        </is>
      </c>
      <c r="E1230" t="inlineStr">
        <is>
          <t>DILA-22</t>
        </is>
      </c>
      <c r="F1230" t="inlineStr">
        <is>
          <t>#KALK!</t>
        </is>
      </c>
      <c r="G1230" t="inlineStr">
        <is>
          <t>HILFSSCHUETZ</t>
        </is>
      </c>
      <c r="H1230" t="inlineStr">
        <is>
          <t>2S 2Oe Federzugkl.</t>
        </is>
      </c>
      <c r="I1230">
        <v>284</v>
      </c>
      <c r="J1230">
        <f>GS48/132.6</f>
        <v>0</v>
      </c>
      <c r="M1230" t="inlineStr">
        <is>
          <t>-132K1</t>
        </is>
      </c>
    </row>
    <row r="1231">
      <c r="A1231">
        <v>1230</v>
      </c>
      <c r="B1231">
        <f>GS49</f>
        <v>0</v>
      </c>
      <c r="C1231" t="inlineStr">
        <is>
          <t>+LS01</t>
        </is>
      </c>
      <c r="D1231" t="inlineStr">
        <is>
          <t>-132K1</t>
        </is>
      </c>
      <c r="E1231" t="inlineStr">
        <is>
          <t>DILA-22</t>
        </is>
      </c>
      <c r="F1231" t="inlineStr">
        <is>
          <t>#KALK!</t>
        </is>
      </c>
      <c r="G1231" t="inlineStr">
        <is>
          <t>HILFSSCHUETZ</t>
        </is>
      </c>
      <c r="H1231" t="inlineStr">
        <is>
          <t>2S 2Oe Federzugkl.</t>
        </is>
      </c>
      <c r="I1231">
        <v>283</v>
      </c>
      <c r="J1231">
        <f>GS49/132.6</f>
        <v>0</v>
      </c>
      <c r="M1231" t="inlineStr">
        <is>
          <t>-132K1</t>
        </is>
      </c>
    </row>
    <row r="1232">
      <c r="A1232">
        <v>1231</v>
      </c>
      <c r="B1232">
        <f>GS46</f>
        <v>0</v>
      </c>
      <c r="C1232" t="inlineStr">
        <is>
          <t>+LS01</t>
        </is>
      </c>
      <c r="D1232" t="inlineStr">
        <is>
          <t>-132K147.7</t>
        </is>
      </c>
      <c r="E1232" t="inlineStr">
        <is>
          <t>DILA-31</t>
        </is>
      </c>
      <c r="F1232" t="inlineStr">
        <is>
          <t>#KALK!</t>
        </is>
      </c>
      <c r="G1232" t="inlineStr">
        <is>
          <t>HILFSSCHUETZ</t>
        </is>
      </c>
      <c r="H1232" t="inlineStr">
        <is>
          <t>3S 1Oe Federzugkl.</t>
        </is>
      </c>
      <c r="I1232">
        <v>446</v>
      </c>
      <c r="J1232">
        <f>GS46/132.8</f>
        <v>0</v>
      </c>
      <c r="M1232" t="inlineStr">
        <is>
          <t>-132K147.7</t>
        </is>
      </c>
    </row>
    <row r="1233">
      <c r="A1233">
        <v>1232</v>
      </c>
      <c r="B1233">
        <f>GS47</f>
        <v>0</v>
      </c>
      <c r="C1233" t="inlineStr">
        <is>
          <t>+LS01</t>
        </is>
      </c>
      <c r="D1233" t="inlineStr">
        <is>
          <t>-132K147.7</t>
        </is>
      </c>
      <c r="E1233" t="inlineStr">
        <is>
          <t>DILA-31</t>
        </is>
      </c>
      <c r="F1233" t="inlineStr">
        <is>
          <t>#KALK!</t>
        </is>
      </c>
      <c r="G1233" t="inlineStr">
        <is>
          <t>HILFSSCHUETZ</t>
        </is>
      </c>
      <c r="H1233" t="inlineStr">
        <is>
          <t>3S 1Oe Federzugkl.</t>
        </is>
      </c>
      <c r="I1233">
        <v>446</v>
      </c>
      <c r="J1233">
        <f>GS47/132.8</f>
        <v>0</v>
      </c>
      <c r="M1233" t="inlineStr">
        <is>
          <t>-132K147.7</t>
        </is>
      </c>
    </row>
    <row r="1234">
      <c r="A1234">
        <v>1233</v>
      </c>
      <c r="B1234">
        <f>GS48</f>
        <v>0</v>
      </c>
      <c r="C1234" t="inlineStr">
        <is>
          <t>+LS01</t>
        </is>
      </c>
      <c r="D1234" t="inlineStr">
        <is>
          <t>-132K147.7</t>
        </is>
      </c>
      <c r="E1234" t="inlineStr">
        <is>
          <t>DILA-31</t>
        </is>
      </c>
      <c r="F1234" t="inlineStr">
        <is>
          <t>#KALK!</t>
        </is>
      </c>
      <c r="G1234" t="inlineStr">
        <is>
          <t>HILFSSCHUETZ</t>
        </is>
      </c>
      <c r="H1234" t="inlineStr">
        <is>
          <t>3S 1Oe Federzugkl.</t>
        </is>
      </c>
      <c r="I1234">
        <v>284</v>
      </c>
      <c r="J1234">
        <f>GS48/132.8</f>
        <v>0</v>
      </c>
      <c r="M1234" t="inlineStr">
        <is>
          <t>-132K147.7</t>
        </is>
      </c>
    </row>
    <row r="1235">
      <c r="A1235">
        <v>1234</v>
      </c>
      <c r="B1235">
        <f>GS49</f>
        <v>0</v>
      </c>
      <c r="C1235" t="inlineStr">
        <is>
          <t>+LS01</t>
        </is>
      </c>
      <c r="D1235" t="inlineStr">
        <is>
          <t>-132K147.7</t>
        </is>
      </c>
      <c r="E1235" t="inlineStr">
        <is>
          <t>DILA-31</t>
        </is>
      </c>
      <c r="F1235" t="inlineStr">
        <is>
          <t>#KALK!</t>
        </is>
      </c>
      <c r="G1235" t="inlineStr">
        <is>
          <t>HILFSSCHUETZ</t>
        </is>
      </c>
      <c r="H1235" t="inlineStr">
        <is>
          <t>3S 1Oe Federzugkl.</t>
        </is>
      </c>
      <c r="I1235">
        <v>283</v>
      </c>
      <c r="J1235">
        <f>GS49/132.8</f>
        <v>0</v>
      </c>
      <c r="M1235" t="inlineStr">
        <is>
          <t>-132K147.7</t>
        </is>
      </c>
    </row>
    <row r="1236">
      <c r="A1236">
        <v>1235</v>
      </c>
      <c r="B1236">
        <f>GS33</f>
        <v>0</v>
      </c>
      <c r="C1236" t="inlineStr">
        <is>
          <t>+LS2</t>
        </is>
      </c>
      <c r="D1236" t="inlineStr">
        <is>
          <t>-132K18.0</t>
        </is>
      </c>
      <c r="E1236" t="inlineStr">
        <is>
          <t>DIL_EM-10-G</t>
        </is>
      </c>
      <c r="F1236" t="inlineStr">
        <is>
          <t>#KALK!</t>
        </is>
      </c>
      <c r="G1236" t="inlineStr">
        <is>
          <t>LASTSCHUETZ</t>
        </is>
      </c>
      <c r="H1236" t="inlineStr">
        <is>
          <t>4kW 1S</t>
        </is>
      </c>
      <c r="I1236">
        <v>564</v>
      </c>
      <c r="J1236">
        <f>GS33/132.6</f>
        <v>0</v>
      </c>
      <c r="M1236" t="inlineStr">
        <is>
          <t>-132K18.0</t>
        </is>
      </c>
    </row>
    <row r="1237">
      <c r="A1237">
        <v>1236</v>
      </c>
      <c r="B1237">
        <f>GS33</f>
        <v>0</v>
      </c>
      <c r="C1237" t="inlineStr">
        <is>
          <t>+LS2</t>
        </is>
      </c>
      <c r="D1237" t="inlineStr">
        <is>
          <t>-132K18.1</t>
        </is>
      </c>
      <c r="E1237" t="inlineStr">
        <is>
          <t>DIL_EM-10-G</t>
        </is>
      </c>
      <c r="F1237" t="inlineStr">
        <is>
          <t>#KALK!</t>
        </is>
      </c>
      <c r="G1237" t="inlineStr">
        <is>
          <t>LASTSCHUETZ</t>
        </is>
      </c>
      <c r="H1237" t="inlineStr">
        <is>
          <t>4kW 1S</t>
        </is>
      </c>
      <c r="I1237">
        <v>564</v>
      </c>
      <c r="J1237">
        <f>GS33/132.6</f>
        <v>0</v>
      </c>
      <c r="M1237" t="inlineStr">
        <is>
          <t>-132K18.1</t>
        </is>
      </c>
    </row>
    <row r="1238">
      <c r="A1238">
        <v>1237</v>
      </c>
      <c r="B1238">
        <f>GS02</f>
        <v>0</v>
      </c>
      <c r="C1238" t="inlineStr">
        <is>
          <t>+LS1</t>
        </is>
      </c>
      <c r="D1238" t="inlineStr">
        <is>
          <t>-132K19.1</t>
        </is>
      </c>
      <c r="E1238" t="inlineStr">
        <is>
          <t>DIL_EM-10-G</t>
        </is>
      </c>
      <c r="F1238" t="inlineStr">
        <is>
          <t>#KALK!</t>
        </is>
      </c>
      <c r="G1238" t="inlineStr">
        <is>
          <t>LASTSCHUETZ</t>
        </is>
      </c>
      <c r="H1238" t="inlineStr">
        <is>
          <t>4kW 1S</t>
        </is>
      </c>
      <c r="I1238">
        <v>530</v>
      </c>
      <c r="J1238">
        <f>GS02/132.7</f>
        <v>0</v>
      </c>
      <c r="M1238" t="inlineStr">
        <is>
          <t>-132K19.1</t>
        </is>
      </c>
    </row>
    <row r="1239">
      <c r="A1239">
        <v>1238</v>
      </c>
      <c r="B1239">
        <f>GS16</f>
        <v>0</v>
      </c>
      <c r="C1239" t="inlineStr">
        <is>
          <t>+LS2</t>
        </is>
      </c>
      <c r="D1239" t="inlineStr">
        <is>
          <t>-132K24.0</t>
        </is>
      </c>
      <c r="E1239" t="inlineStr">
        <is>
          <t>DIL_EM-01-G</t>
        </is>
      </c>
      <c r="F1239" t="inlineStr">
        <is>
          <t>#KALK!</t>
        </is>
      </c>
      <c r="G1239" t="inlineStr">
        <is>
          <t>LASTSCHUETZ</t>
        </is>
      </c>
      <c r="H1239" t="inlineStr">
        <is>
          <t>4kW 1OE</t>
        </is>
      </c>
      <c r="I1239">
        <v>353</v>
      </c>
      <c r="J1239">
        <f>GS16/132.6</f>
        <v>0</v>
      </c>
      <c r="M1239" t="inlineStr">
        <is>
          <t>-132K24.0</t>
        </is>
      </c>
    </row>
    <row r="1240">
      <c r="A1240">
        <v>1239</v>
      </c>
      <c r="B1240">
        <f>GS16</f>
        <v>0</v>
      </c>
      <c r="C1240" t="inlineStr">
        <is>
          <t>+LS2</t>
        </is>
      </c>
      <c r="D1240" t="inlineStr">
        <is>
          <t>-132K24.1</t>
        </is>
      </c>
      <c r="E1240" t="inlineStr">
        <is>
          <t>DIL_EM-01-G</t>
        </is>
      </c>
      <c r="F1240" t="inlineStr">
        <is>
          <t>#KALK!</t>
        </is>
      </c>
      <c r="G1240" t="inlineStr">
        <is>
          <t>LASTSCHUETZ</t>
        </is>
      </c>
      <c r="H1240" t="inlineStr">
        <is>
          <t>4kW 1OE</t>
        </is>
      </c>
      <c r="I1240">
        <v>353</v>
      </c>
      <c r="J1240">
        <f>GS16/132.6</f>
        <v>0</v>
      </c>
      <c r="M1240" t="inlineStr">
        <is>
          <t>-132K24.1</t>
        </is>
      </c>
    </row>
    <row r="1241">
      <c r="A1241">
        <v>1240</v>
      </c>
      <c r="B1241">
        <f>GS16</f>
        <v>0</v>
      </c>
      <c r="C1241" t="inlineStr">
        <is>
          <t>+LS2</t>
        </is>
      </c>
      <c r="D1241" t="inlineStr">
        <is>
          <t>-132K24.2</t>
        </is>
      </c>
      <c r="E1241" t="inlineStr">
        <is>
          <t>DIL_EM-10-G</t>
        </is>
      </c>
      <c r="F1241" t="inlineStr">
        <is>
          <t>#KALK!</t>
        </is>
      </c>
      <c r="G1241" t="inlineStr">
        <is>
          <t>LASTSCHUETZ</t>
        </is>
      </c>
      <c r="H1241" t="inlineStr">
        <is>
          <t>4kW 1S</t>
        </is>
      </c>
      <c r="I1241">
        <v>353</v>
      </c>
      <c r="J1241">
        <f>GS16/132.7</f>
        <v>0</v>
      </c>
      <c r="M1241" t="inlineStr">
        <is>
          <t>-132K24.2</t>
        </is>
      </c>
    </row>
    <row r="1242">
      <c r="A1242">
        <v>1241</v>
      </c>
      <c r="B1242">
        <f>GS11</f>
        <v>0</v>
      </c>
      <c r="C1242" t="inlineStr">
        <is>
          <t>+LS2</t>
        </is>
      </c>
      <c r="D1242" t="inlineStr">
        <is>
          <t>-132K32.7</t>
        </is>
      </c>
      <c r="E1242" t="inlineStr">
        <is>
          <t>DIL_EM-10-G</t>
        </is>
      </c>
      <c r="F1242" t="inlineStr">
        <is>
          <t>#KALK!</t>
        </is>
      </c>
      <c r="G1242" t="inlineStr">
        <is>
          <t>LASTSCHUETZ</t>
        </is>
      </c>
      <c r="H1242" t="inlineStr">
        <is>
          <t>4kW 1S</t>
        </is>
      </c>
      <c r="I1242">
        <v>243</v>
      </c>
      <c r="J1242">
        <f>GS11/132.7</f>
        <v>0</v>
      </c>
      <c r="M1242" t="inlineStr">
        <is>
          <t>-132K32.7</t>
        </is>
      </c>
    </row>
    <row r="1243">
      <c r="A1243">
        <v>1242</v>
      </c>
      <c r="B1243">
        <f>GS21</f>
        <v>0</v>
      </c>
      <c r="C1243" t="inlineStr">
        <is>
          <t>+LS2</t>
        </is>
      </c>
      <c r="D1243" t="inlineStr">
        <is>
          <t>-132K32.7</t>
        </is>
      </c>
      <c r="E1243" t="inlineStr">
        <is>
          <t>DIL_EM-10-G</t>
        </is>
      </c>
      <c r="F1243" t="inlineStr">
        <is>
          <t>#KALK!</t>
        </is>
      </c>
      <c r="G1243" t="inlineStr">
        <is>
          <t>LASTSCHUETZ</t>
        </is>
      </c>
      <c r="H1243" t="inlineStr">
        <is>
          <t>4kW 1S</t>
        </is>
      </c>
      <c r="I1243">
        <v>217</v>
      </c>
      <c r="J1243">
        <f>GS21/132.7</f>
        <v>0</v>
      </c>
      <c r="M1243" t="inlineStr">
        <is>
          <t>-132K32.7</t>
        </is>
      </c>
    </row>
    <row r="1244">
      <c r="A1244">
        <v>1243</v>
      </c>
      <c r="B1244">
        <f>GC03</f>
        <v>0</v>
      </c>
      <c r="C1244" t="inlineStr">
        <is>
          <t>+LS2</t>
        </is>
      </c>
      <c r="D1244" t="inlineStr">
        <is>
          <t>-132K49.4</t>
        </is>
      </c>
      <c r="E1244" t="inlineStr">
        <is>
          <t>DIL_EM-10-G</t>
        </is>
      </c>
      <c r="F1244" t="inlineStr">
        <is>
          <t>#KALK!</t>
        </is>
      </c>
      <c r="G1244" t="inlineStr">
        <is>
          <t>LASTSCHUETZ</t>
        </is>
      </c>
      <c r="H1244" t="inlineStr">
        <is>
          <t>4kW 1S</t>
        </is>
      </c>
      <c r="I1244">
        <v>2683</v>
      </c>
      <c r="J1244">
        <f>GC03/132.6</f>
        <v>0</v>
      </c>
      <c r="M1244" t="inlineStr">
        <is>
          <t>-132K49.4</t>
        </is>
      </c>
    </row>
    <row r="1245">
      <c r="A1245">
        <v>1244</v>
      </c>
      <c r="B1245">
        <f>GS25</f>
        <v>0</v>
      </c>
      <c r="C1245" t="inlineStr">
        <is>
          <t>+LS2</t>
        </is>
      </c>
      <c r="D1245" t="inlineStr">
        <is>
          <t>-132K60.1</t>
        </is>
      </c>
      <c r="E1245" t="inlineStr">
        <is>
          <t>DIL_EM-10-G</t>
        </is>
      </c>
      <c r="F1245" t="inlineStr">
        <is>
          <t>#KALK!</t>
        </is>
      </c>
      <c r="G1245" t="inlineStr">
        <is>
          <t>LASTSCHUETZ</t>
        </is>
      </c>
      <c r="H1245" t="inlineStr">
        <is>
          <t>4kW 1S</t>
        </is>
      </c>
      <c r="I1245">
        <v>253</v>
      </c>
      <c r="J1245">
        <f>GS25/132.6</f>
        <v>0</v>
      </c>
      <c r="M1245" t="inlineStr">
        <is>
          <t>-132K60.1</t>
        </is>
      </c>
    </row>
    <row r="1246">
      <c r="A1246">
        <v>1245</v>
      </c>
      <c r="B1246">
        <f>GS25</f>
        <v>0</v>
      </c>
      <c r="C1246" t="inlineStr">
        <is>
          <t>+LS2</t>
        </is>
      </c>
      <c r="D1246" t="inlineStr">
        <is>
          <t>-132K60.2</t>
        </is>
      </c>
      <c r="E1246" t="inlineStr">
        <is>
          <t>DIL_EM-10-G</t>
        </is>
      </c>
      <c r="F1246" t="inlineStr">
        <is>
          <t>#KALK!</t>
        </is>
      </c>
      <c r="G1246" t="inlineStr">
        <is>
          <t>LASTSCHUETZ</t>
        </is>
      </c>
      <c r="H1246" t="inlineStr">
        <is>
          <t>4kW 1S</t>
        </is>
      </c>
      <c r="I1246">
        <v>253</v>
      </c>
      <c r="J1246">
        <f>GS25/132.6</f>
        <v>0</v>
      </c>
      <c r="M1246" t="inlineStr">
        <is>
          <t>-132K60.2</t>
        </is>
      </c>
    </row>
    <row r="1247">
      <c r="A1247">
        <v>1246</v>
      </c>
      <c r="B1247">
        <f>GS14</f>
        <v>0</v>
      </c>
      <c r="C1247" t="inlineStr">
        <is>
          <t>+LS2</t>
        </is>
      </c>
      <c r="D1247" t="inlineStr">
        <is>
          <t>-132K62.2</t>
        </is>
      </c>
      <c r="E1247" t="inlineStr">
        <is>
          <t>DIL_EM-10-G</t>
        </is>
      </c>
      <c r="F1247" t="inlineStr">
        <is>
          <t>#KALK!</t>
        </is>
      </c>
      <c r="G1247" t="inlineStr">
        <is>
          <t>LASTSCHUETZ</t>
        </is>
      </c>
      <c r="H1247" t="inlineStr">
        <is>
          <t>4kW 1S</t>
        </is>
      </c>
      <c r="I1247">
        <v>258</v>
      </c>
      <c r="J1247">
        <f>GS14/132.6</f>
        <v>0</v>
      </c>
      <c r="M1247" t="inlineStr">
        <is>
          <t>-132K62.2</t>
        </is>
      </c>
    </row>
    <row r="1248">
      <c r="A1248">
        <v>1247</v>
      </c>
      <c r="B1248">
        <f>GS24</f>
        <v>0</v>
      </c>
      <c r="C1248" t="inlineStr">
        <is>
          <t>+LS2</t>
        </is>
      </c>
      <c r="D1248" t="inlineStr">
        <is>
          <t>-132K62.2</t>
        </is>
      </c>
      <c r="E1248" t="inlineStr">
        <is>
          <t>DIL_EM-10-G</t>
        </is>
      </c>
      <c r="F1248" t="inlineStr">
        <is>
          <t>#KALK!</t>
        </is>
      </c>
      <c r="G1248" t="inlineStr">
        <is>
          <t>LASTSCHUETZ</t>
        </is>
      </c>
      <c r="H1248" t="inlineStr">
        <is>
          <t>4kW 1S</t>
        </is>
      </c>
      <c r="I1248">
        <v>947</v>
      </c>
      <c r="J1248">
        <f>GS24/132.6</f>
        <v>0</v>
      </c>
      <c r="M1248" t="inlineStr">
        <is>
          <t>-132K62.2</t>
        </is>
      </c>
    </row>
    <row r="1249">
      <c r="A1249">
        <v>1248</v>
      </c>
      <c r="B1249">
        <f>GS14</f>
        <v>0</v>
      </c>
      <c r="C1249" t="inlineStr">
        <is>
          <t>+LS2</t>
        </is>
      </c>
      <c r="D1249" t="inlineStr">
        <is>
          <t>-132K62.3</t>
        </is>
      </c>
      <c r="E1249" t="inlineStr">
        <is>
          <t>DIL_EM-10-G</t>
        </is>
      </c>
      <c r="F1249" t="inlineStr">
        <is>
          <t>#KALK!</t>
        </is>
      </c>
      <c r="G1249" t="inlineStr">
        <is>
          <t>LASTSCHUETZ</t>
        </is>
      </c>
      <c r="H1249" t="inlineStr">
        <is>
          <t>4kW 1S</t>
        </is>
      </c>
      <c r="I1249">
        <v>258</v>
      </c>
      <c r="J1249">
        <f>GS14/132.6</f>
        <v>0</v>
      </c>
      <c r="M1249" t="inlineStr">
        <is>
          <t>-132K62.3</t>
        </is>
      </c>
    </row>
    <row r="1250">
      <c r="A1250">
        <v>1249</v>
      </c>
      <c r="B1250">
        <f>GS24</f>
        <v>0</v>
      </c>
      <c r="C1250" t="inlineStr">
        <is>
          <t>+LS2</t>
        </is>
      </c>
      <c r="D1250" t="inlineStr">
        <is>
          <t>-132K62.3</t>
        </is>
      </c>
      <c r="E1250" t="inlineStr">
        <is>
          <t>DIL_EM-10-G</t>
        </is>
      </c>
      <c r="F1250" t="inlineStr">
        <is>
          <t>#KALK!</t>
        </is>
      </c>
      <c r="G1250" t="inlineStr">
        <is>
          <t>LASTSCHUETZ</t>
        </is>
      </c>
      <c r="H1250" t="inlineStr">
        <is>
          <t>4kW 1S</t>
        </is>
      </c>
      <c r="I1250">
        <v>947</v>
      </c>
      <c r="J1250">
        <f>GS24/132.6</f>
        <v>0</v>
      </c>
      <c r="M1250" t="inlineStr">
        <is>
          <t>-132K62.3</t>
        </is>
      </c>
    </row>
    <row r="1251">
      <c r="A1251">
        <v>1250</v>
      </c>
      <c r="B1251">
        <f>GS7x</f>
        <v>0</v>
      </c>
      <c r="C1251" t="inlineStr">
        <is>
          <t>+LS[l1]</t>
        </is>
      </c>
      <c r="D1251" t="inlineStr">
        <is>
          <t>-132Q[a+12].0</t>
        </is>
      </c>
      <c r="E1251" t="inlineStr">
        <is>
          <t>DILA-XHI04</t>
        </is>
      </c>
      <c r="F1251" t="inlineStr">
        <is>
          <t>DILA-XHI04</t>
        </is>
      </c>
      <c r="G1251" t="inlineStr">
        <is>
          <t>HILFSKONTAKTBLOCK</t>
        </is>
      </c>
      <c r="H1251" t="inlineStr">
        <is>
          <t>4OE Last+Hilfssch. Cage</t>
        </is>
      </c>
      <c r="I1251">
        <v>370</v>
      </c>
      <c r="J1251">
        <f>GS7x/132.6</f>
        <v>0</v>
      </c>
      <c r="M1251" t="inlineStr">
        <is>
          <t>-132Q[a+12].0</t>
        </is>
      </c>
    </row>
    <row r="1252">
      <c r="A1252">
        <v>1251</v>
      </c>
      <c r="B1252">
        <f>GS7x</f>
        <v>0</v>
      </c>
      <c r="C1252" t="inlineStr">
        <is>
          <t>+LS[l1]</t>
        </is>
      </c>
      <c r="D1252" t="inlineStr">
        <is>
          <t>-132Q[a+12].0</t>
        </is>
      </c>
      <c r="E1252" t="inlineStr">
        <is>
          <t>DILM-9-10</t>
        </is>
      </c>
      <c r="F1252" t="inlineStr">
        <is>
          <t>DILA-XHI04</t>
        </is>
      </c>
      <c r="G1252" t="inlineStr">
        <is>
          <t>LASTSCHUETZ</t>
        </is>
      </c>
      <c r="H1252" t="inlineStr">
        <is>
          <t>4kW 1S Federzugkl.</t>
        </is>
      </c>
      <c r="I1252">
        <v>370</v>
      </c>
      <c r="J1252">
        <f>GS7x/132.6</f>
        <v>0</v>
      </c>
      <c r="M1252" t="inlineStr">
        <is>
          <t>-132Q[a+12].0</t>
        </is>
      </c>
    </row>
    <row r="1253">
      <c r="A1253">
        <v>1252</v>
      </c>
      <c r="B1253">
        <f>GS7x</f>
        <v>0</v>
      </c>
      <c r="C1253" t="inlineStr">
        <is>
          <t>+LS[l1]</t>
        </is>
      </c>
      <c r="D1253" t="inlineStr">
        <is>
          <t>-132Q[a+12].1</t>
        </is>
      </c>
      <c r="E1253" t="inlineStr">
        <is>
          <t>DILM-9-10</t>
        </is>
      </c>
      <c r="F1253" t="inlineStr">
        <is>
          <t>DILA-XHI04</t>
        </is>
      </c>
      <c r="G1253" t="inlineStr">
        <is>
          <t>LASTSCHUETZ</t>
        </is>
      </c>
      <c r="H1253" t="inlineStr">
        <is>
          <t>4kW 1S Federzugkl.</t>
        </is>
      </c>
      <c r="I1253">
        <v>370</v>
      </c>
      <c r="J1253">
        <f>GS7x/132.7</f>
        <v>0</v>
      </c>
      <c r="M1253" t="inlineStr">
        <is>
          <t>-132Q[a+12].1</t>
        </is>
      </c>
    </row>
    <row r="1254">
      <c r="A1254">
        <v>1253</v>
      </c>
      <c r="B1254">
        <f>GS7x</f>
        <v>0</v>
      </c>
      <c r="C1254" t="inlineStr">
        <is>
          <t>+LS[l1]</t>
        </is>
      </c>
      <c r="D1254" t="inlineStr">
        <is>
          <t>-132Q[a+12].1</t>
        </is>
      </c>
      <c r="E1254" t="inlineStr">
        <is>
          <t>DILA-XHI04</t>
        </is>
      </c>
      <c r="F1254" t="inlineStr">
        <is>
          <t>DILA-XHI04</t>
        </is>
      </c>
      <c r="G1254" t="inlineStr">
        <is>
          <t>HILFSKONTAKTBLOCK</t>
        </is>
      </c>
      <c r="H1254" t="inlineStr">
        <is>
          <t>4OE Last+Hilfssch. Cage</t>
        </is>
      </c>
      <c r="I1254">
        <v>370</v>
      </c>
      <c r="J1254">
        <f>GS7x/132.7</f>
        <v>0</v>
      </c>
      <c r="M1254" t="inlineStr">
        <is>
          <t>-132Q[a+12].1</t>
        </is>
      </c>
    </row>
    <row r="1255">
      <c r="A1255">
        <v>1254</v>
      </c>
      <c r="B1255">
        <f>GS7x</f>
        <v>0</v>
      </c>
      <c r="C1255" t="inlineStr">
        <is>
          <t>+LS[l1]</t>
        </is>
      </c>
      <c r="D1255" t="inlineStr">
        <is>
          <t>-132Q[a+12].2</t>
        </is>
      </c>
      <c r="E1255" t="inlineStr">
        <is>
          <t>DILM-9-10</t>
        </is>
      </c>
      <c r="F1255" t="inlineStr">
        <is>
          <t>DILA-XHI04</t>
        </is>
      </c>
      <c r="G1255" t="inlineStr">
        <is>
          <t>LASTSCHUETZ</t>
        </is>
      </c>
      <c r="H1255" t="inlineStr">
        <is>
          <t>4kW 1S Federzugkl.</t>
        </is>
      </c>
      <c r="I1255">
        <v>370</v>
      </c>
      <c r="J1255">
        <f>GS7x/132.8</f>
        <v>0</v>
      </c>
      <c r="M1255" t="inlineStr">
        <is>
          <t>-132Q[a+12].2</t>
        </is>
      </c>
    </row>
    <row r="1256">
      <c r="A1256">
        <v>1255</v>
      </c>
      <c r="B1256">
        <f>GS7x</f>
        <v>0</v>
      </c>
      <c r="C1256" t="inlineStr">
        <is>
          <t>+LS[l1]</t>
        </is>
      </c>
      <c r="D1256" t="inlineStr">
        <is>
          <t>-132Q[a+12].2</t>
        </is>
      </c>
      <c r="E1256" t="inlineStr">
        <is>
          <t>DILA-XHI04</t>
        </is>
      </c>
      <c r="F1256" t="inlineStr">
        <is>
          <t>DILA-XHI04</t>
        </is>
      </c>
      <c r="G1256" t="inlineStr">
        <is>
          <t>HILFSKONTAKTBLOCK</t>
        </is>
      </c>
      <c r="H1256" t="inlineStr">
        <is>
          <t>4OE Last+Hilfssch. Cage</t>
        </is>
      </c>
      <c r="I1256">
        <v>370</v>
      </c>
      <c r="J1256">
        <f>GS7x/132.8</f>
        <v>0</v>
      </c>
      <c r="M1256" t="inlineStr">
        <is>
          <t>-132Q[a+12].2</t>
        </is>
      </c>
    </row>
    <row r="1257">
      <c r="A1257">
        <v>1256</v>
      </c>
      <c r="B1257">
        <f>GS93</f>
        <v>0</v>
      </c>
      <c r="C1257" t="inlineStr">
        <is>
          <t>+LS01</t>
        </is>
      </c>
      <c r="D1257" t="inlineStr">
        <is>
          <t>-132Q153.3</t>
        </is>
      </c>
      <c r="E1257" t="inlineStr">
        <is>
          <t>DILM-9-10</t>
        </is>
      </c>
      <c r="F1257" t="inlineStr">
        <is>
          <t>#KALK!</t>
        </is>
      </c>
      <c r="G1257" t="inlineStr">
        <is>
          <t>LASTSCHUETZ</t>
        </is>
      </c>
      <c r="H1257" t="inlineStr">
        <is>
          <t>4kW 1S Federzugkl.</t>
        </is>
      </c>
      <c r="I1257">
        <v>701</v>
      </c>
      <c r="J1257">
        <f>GS93/132.5</f>
        <v>0</v>
      </c>
      <c r="M1257" t="inlineStr">
        <is>
          <t>-132Q153.3</t>
        </is>
      </c>
    </row>
    <row r="1258">
      <c r="A1258">
        <v>1257</v>
      </c>
      <c r="B1258">
        <f>GS05</f>
        <v>0</v>
      </c>
      <c r="C1258" t="inlineStr">
        <is>
          <t>+LS22</t>
        </is>
      </c>
      <c r="D1258" t="inlineStr">
        <is>
          <t>-1335Q1</t>
        </is>
      </c>
      <c r="E1258" t="inlineStr">
        <is>
          <t>DILA-XHI22</t>
        </is>
      </c>
      <c r="F1258" t="inlineStr">
        <is>
          <t>DILA-XHI22</t>
        </is>
      </c>
      <c r="G1258" t="inlineStr">
        <is>
          <t>HILFSKONTAKTBLOCK</t>
        </is>
      </c>
      <c r="H1258" t="inlineStr">
        <is>
          <t>2S 2OE Last+Hilfssch. Cage</t>
        </is>
      </c>
      <c r="I1258">
        <v>2583</v>
      </c>
      <c r="J1258">
        <f>GS05/1335.6</f>
        <v>0</v>
      </c>
      <c r="K1258" t="inlineStr">
        <is>
          <t>DIL MC25</t>
        </is>
      </c>
      <c r="M1258" t="inlineStr">
        <is>
          <t>-1335Q1</t>
        </is>
      </c>
    </row>
    <row r="1259">
      <c r="A1259">
        <v>1258</v>
      </c>
      <c r="B1259">
        <f>GS05</f>
        <v>0</v>
      </c>
      <c r="C1259" t="inlineStr">
        <is>
          <t>+LS22</t>
        </is>
      </c>
      <c r="D1259" t="inlineStr">
        <is>
          <t>-1335Q1</t>
        </is>
      </c>
      <c r="E1259" t="inlineStr">
        <is>
          <t>DILMC25-10(RDC24)</t>
        </is>
      </c>
      <c r="F1259" t="inlineStr">
        <is>
          <t>DILA-XHI22</t>
        </is>
      </c>
      <c r="G1259" t="inlineStr">
        <is>
          <t>LASTSCHUETZ</t>
        </is>
      </c>
      <c r="H1259" t="inlineStr">
        <is>
          <t>11kW 1S Federzugkl.</t>
        </is>
      </c>
      <c r="I1259">
        <v>2583</v>
      </c>
      <c r="J1259">
        <f>GS05/1335.6</f>
        <v>0</v>
      </c>
      <c r="K1259" t="inlineStr">
        <is>
          <t>DIL MC25</t>
        </is>
      </c>
      <c r="M1259" t="inlineStr">
        <is>
          <t>-1335Q1</t>
        </is>
      </c>
    </row>
    <row r="1260">
      <c r="A1260">
        <v>1259</v>
      </c>
      <c r="B1260">
        <f>GS33</f>
        <v>0</v>
      </c>
      <c r="C1260" t="inlineStr">
        <is>
          <t>+LS2</t>
        </is>
      </c>
      <c r="D1260" t="inlineStr">
        <is>
          <t>-133K18.2</t>
        </is>
      </c>
      <c r="E1260" t="inlineStr">
        <is>
          <t>DIL_EM-10-G</t>
        </is>
      </c>
      <c r="F1260" t="inlineStr">
        <is>
          <t>#KALK!</t>
        </is>
      </c>
      <c r="G1260" t="inlineStr">
        <is>
          <t>LASTSCHUETZ</t>
        </is>
      </c>
      <c r="H1260" t="inlineStr">
        <is>
          <t>4kW 1S</t>
        </is>
      </c>
      <c r="I1260">
        <v>565</v>
      </c>
      <c r="J1260">
        <f>GS33/133.6</f>
        <v>0</v>
      </c>
      <c r="M1260" t="inlineStr">
        <is>
          <t>-133K18.2</t>
        </is>
      </c>
    </row>
    <row r="1261">
      <c r="A1261">
        <v>1260</v>
      </c>
      <c r="B1261">
        <f>GS33</f>
        <v>0</v>
      </c>
      <c r="C1261" t="inlineStr">
        <is>
          <t>+LS2</t>
        </is>
      </c>
      <c r="D1261" t="inlineStr">
        <is>
          <t>-133K18.3</t>
        </is>
      </c>
      <c r="E1261" t="inlineStr">
        <is>
          <t>DIL_EM-10-G</t>
        </is>
      </c>
      <c r="F1261" t="inlineStr">
        <is>
          <t>#KALK!</t>
        </is>
      </c>
      <c r="G1261" t="inlineStr">
        <is>
          <t>LASTSCHUETZ</t>
        </is>
      </c>
      <c r="H1261" t="inlineStr">
        <is>
          <t>4kW 1S</t>
        </is>
      </c>
      <c r="I1261">
        <v>565</v>
      </c>
      <c r="J1261">
        <f>GS33/133.6</f>
        <v>0</v>
      </c>
      <c r="M1261" t="inlineStr">
        <is>
          <t>-133K18.3</t>
        </is>
      </c>
    </row>
    <row r="1262">
      <c r="A1262">
        <v>1261</v>
      </c>
      <c r="B1262">
        <f>GS02</f>
        <v>0</v>
      </c>
      <c r="C1262" t="inlineStr">
        <is>
          <t>+LS1</t>
        </is>
      </c>
      <c r="D1262" t="inlineStr">
        <is>
          <t>-133K19.2</t>
        </is>
      </c>
      <c r="E1262" t="inlineStr">
        <is>
          <t>DIL_EM-10-G</t>
        </is>
      </c>
      <c r="F1262" t="inlineStr">
        <is>
          <t>#KALK!</t>
        </is>
      </c>
      <c r="G1262" t="inlineStr">
        <is>
          <t>LASTSCHUETZ</t>
        </is>
      </c>
      <c r="H1262" t="inlineStr">
        <is>
          <t>4kW 1S</t>
        </is>
      </c>
      <c r="I1262">
        <v>531</v>
      </c>
      <c r="J1262">
        <f>GS02/133.6</f>
        <v>0</v>
      </c>
      <c r="M1262" t="inlineStr">
        <is>
          <t>-133K19.2</t>
        </is>
      </c>
    </row>
    <row r="1263">
      <c r="A1263">
        <v>1262</v>
      </c>
      <c r="B1263">
        <f>GS02</f>
        <v>0</v>
      </c>
      <c r="C1263" t="inlineStr">
        <is>
          <t>+LS1</t>
        </is>
      </c>
      <c r="D1263" t="inlineStr">
        <is>
          <t>-133K19.3</t>
        </is>
      </c>
      <c r="E1263" t="inlineStr">
        <is>
          <t>DIL_EM-10-G</t>
        </is>
      </c>
      <c r="F1263" t="inlineStr">
        <is>
          <t>#KALK!</t>
        </is>
      </c>
      <c r="G1263" t="inlineStr">
        <is>
          <t>LASTSCHUETZ</t>
        </is>
      </c>
      <c r="H1263" t="inlineStr">
        <is>
          <t>4kW 1S</t>
        </is>
      </c>
      <c r="I1263">
        <v>531</v>
      </c>
      <c r="J1263">
        <f>GS02/133.6</f>
        <v>0</v>
      </c>
      <c r="M1263" t="inlineStr">
        <is>
          <t>-133K19.3</t>
        </is>
      </c>
    </row>
    <row r="1264">
      <c r="A1264">
        <v>1263</v>
      </c>
      <c r="B1264">
        <f>GS16</f>
        <v>0</v>
      </c>
      <c r="C1264" t="inlineStr">
        <is>
          <t>+LS2</t>
        </is>
      </c>
      <c r="D1264" t="inlineStr">
        <is>
          <t>-133K24.3</t>
        </is>
      </c>
      <c r="E1264" t="inlineStr">
        <is>
          <t>DIL_EM-01-G</t>
        </is>
      </c>
      <c r="F1264" t="inlineStr">
        <is>
          <t>#KALK!</t>
        </is>
      </c>
      <c r="G1264" t="inlineStr">
        <is>
          <t>LASTSCHUETZ</t>
        </is>
      </c>
      <c r="H1264" t="inlineStr">
        <is>
          <t>4kW 1OE</t>
        </is>
      </c>
      <c r="I1264">
        <v>354</v>
      </c>
      <c r="J1264">
        <f>GS16/133.6</f>
        <v>0</v>
      </c>
      <c r="M1264" t="inlineStr">
        <is>
          <t>-133K24.3</t>
        </is>
      </c>
    </row>
    <row r="1265">
      <c r="A1265">
        <v>1264</v>
      </c>
      <c r="B1265">
        <f>GS16</f>
        <v>0</v>
      </c>
      <c r="C1265" t="inlineStr">
        <is>
          <t>+LS2</t>
        </is>
      </c>
      <c r="D1265" t="inlineStr">
        <is>
          <t>-133K24.4</t>
        </is>
      </c>
      <c r="E1265" t="inlineStr">
        <is>
          <t>DIL_EM-01-G</t>
        </is>
      </c>
      <c r="F1265" t="inlineStr">
        <is>
          <t>#KALK!</t>
        </is>
      </c>
      <c r="G1265" t="inlineStr">
        <is>
          <t>LASTSCHUETZ</t>
        </is>
      </c>
      <c r="H1265" t="inlineStr">
        <is>
          <t>4kW 1OE</t>
        </is>
      </c>
      <c r="I1265">
        <v>354</v>
      </c>
      <c r="J1265">
        <f>GS16/133.6</f>
        <v>0</v>
      </c>
      <c r="M1265" t="inlineStr">
        <is>
          <t>-133K24.4</t>
        </is>
      </c>
    </row>
    <row r="1266">
      <c r="A1266">
        <v>1265</v>
      </c>
      <c r="B1266">
        <f>GS16</f>
        <v>0</v>
      </c>
      <c r="C1266" t="inlineStr">
        <is>
          <t>+LS2</t>
        </is>
      </c>
      <c r="D1266" t="inlineStr">
        <is>
          <t>-133K24.5</t>
        </is>
      </c>
      <c r="E1266" t="inlineStr">
        <is>
          <t>DIL_EM-10-G</t>
        </is>
      </c>
      <c r="F1266" t="inlineStr">
        <is>
          <t>#KALK!</t>
        </is>
      </c>
      <c r="G1266" t="inlineStr">
        <is>
          <t>LASTSCHUETZ</t>
        </is>
      </c>
      <c r="H1266" t="inlineStr">
        <is>
          <t>4kW 1S</t>
        </is>
      </c>
      <c r="I1266">
        <v>354</v>
      </c>
      <c r="J1266">
        <f>GS16/133.7</f>
        <v>0</v>
      </c>
      <c r="M1266" t="inlineStr">
        <is>
          <t>-133K24.5</t>
        </is>
      </c>
    </row>
    <row r="1267">
      <c r="A1267">
        <v>1266</v>
      </c>
      <c r="B1267">
        <f>GS11</f>
        <v>0</v>
      </c>
      <c r="C1267" t="inlineStr">
        <is>
          <t>+LS2</t>
        </is>
      </c>
      <c r="D1267" t="inlineStr">
        <is>
          <t>-133K33.3</t>
        </is>
      </c>
      <c r="E1267" t="inlineStr">
        <is>
          <t>DIL_EM-10-G</t>
        </is>
      </c>
      <c r="F1267" t="inlineStr">
        <is>
          <t>#KALK!</t>
        </is>
      </c>
      <c r="G1267" t="inlineStr">
        <is>
          <t>LASTSCHUETZ</t>
        </is>
      </c>
      <c r="H1267" t="inlineStr">
        <is>
          <t>4kW 1S</t>
        </is>
      </c>
      <c r="I1267">
        <v>244</v>
      </c>
      <c r="J1267">
        <f>GS11/133.7</f>
        <v>0</v>
      </c>
      <c r="M1267" t="inlineStr">
        <is>
          <t>-133K33.3</t>
        </is>
      </c>
    </row>
    <row r="1268">
      <c r="A1268">
        <v>1267</v>
      </c>
      <c r="B1268">
        <f>GS21</f>
        <v>0</v>
      </c>
      <c r="C1268" t="inlineStr">
        <is>
          <t>+LS2</t>
        </is>
      </c>
      <c r="D1268" t="inlineStr">
        <is>
          <t>-133K33.3</t>
        </is>
      </c>
      <c r="E1268" t="inlineStr">
        <is>
          <t>DIL_EM-10-G</t>
        </is>
      </c>
      <c r="F1268" t="inlineStr">
        <is>
          <t>#KALK!</t>
        </is>
      </c>
      <c r="G1268" t="inlineStr">
        <is>
          <t>LASTSCHUETZ</t>
        </is>
      </c>
      <c r="H1268" t="inlineStr">
        <is>
          <t>4kW 1S</t>
        </is>
      </c>
      <c r="I1268">
        <v>218</v>
      </c>
      <c r="J1268">
        <f>GS21/133.7</f>
        <v>0</v>
      </c>
      <c r="M1268" t="inlineStr">
        <is>
          <t>-133K33.3</t>
        </is>
      </c>
    </row>
    <row r="1269">
      <c r="A1269">
        <v>1268</v>
      </c>
      <c r="B1269">
        <f>GS26</f>
        <v>0</v>
      </c>
      <c r="C1269" t="inlineStr">
        <is>
          <t>+LS1</t>
        </is>
      </c>
      <c r="D1269" t="inlineStr">
        <is>
          <t>-133K3537.5</t>
        </is>
      </c>
      <c r="E1269" t="inlineStr">
        <is>
          <t>DILM-9-10</t>
        </is>
      </c>
      <c r="F1269" t="inlineStr">
        <is>
          <t>#KALK!</t>
        </is>
      </c>
      <c r="G1269" t="inlineStr">
        <is>
          <t>LASTSCHUETZ</t>
        </is>
      </c>
      <c r="H1269" t="inlineStr">
        <is>
          <t>4kW 1S Federzugkl.</t>
        </is>
      </c>
      <c r="I1269">
        <v>683</v>
      </c>
      <c r="J1269">
        <f>GS26/133.7</f>
        <v>0</v>
      </c>
      <c r="M1269" t="inlineStr">
        <is>
          <t>-133K3537.5</t>
        </is>
      </c>
    </row>
    <row r="1270">
      <c r="A1270">
        <v>1269</v>
      </c>
      <c r="B1270">
        <f>GC03</f>
        <v>0</v>
      </c>
      <c r="C1270" t="inlineStr">
        <is>
          <t>+LS2</t>
        </is>
      </c>
      <c r="D1270" t="inlineStr">
        <is>
          <t>-133K49.5</t>
        </is>
      </c>
      <c r="E1270" t="inlineStr">
        <is>
          <t>DIL_EM-10-G</t>
        </is>
      </c>
      <c r="F1270" t="inlineStr">
        <is>
          <t>#KALK!</t>
        </is>
      </c>
      <c r="G1270" t="inlineStr">
        <is>
          <t>LASTSCHUETZ</t>
        </is>
      </c>
      <c r="H1270" t="inlineStr">
        <is>
          <t>4kW 1S</t>
        </is>
      </c>
      <c r="I1270">
        <v>538</v>
      </c>
      <c r="J1270">
        <f>GC03/133.6</f>
        <v>0</v>
      </c>
      <c r="M1270" t="inlineStr">
        <is>
          <t>-133K49.5</t>
        </is>
      </c>
    </row>
    <row r="1271">
      <c r="A1271">
        <v>1270</v>
      </c>
      <c r="B1271">
        <f>GC03</f>
        <v>0</v>
      </c>
      <c r="C1271" t="inlineStr">
        <is>
          <t>+LS2</t>
        </is>
      </c>
      <c r="D1271" t="inlineStr">
        <is>
          <t>-133K49.6</t>
        </is>
      </c>
      <c r="E1271" t="inlineStr">
        <is>
          <t>DIL_EM-10-G</t>
        </is>
      </c>
      <c r="F1271" t="inlineStr">
        <is>
          <t>#KALK!</t>
        </is>
      </c>
      <c r="G1271" t="inlineStr">
        <is>
          <t>LASTSCHUETZ</t>
        </is>
      </c>
      <c r="H1271" t="inlineStr">
        <is>
          <t>4kW 1S</t>
        </is>
      </c>
      <c r="I1271">
        <v>538</v>
      </c>
      <c r="J1271">
        <f>GC03/133.6</f>
        <v>0</v>
      </c>
      <c r="M1271" t="inlineStr">
        <is>
          <t>-133K49.6</t>
        </is>
      </c>
    </row>
    <row r="1272">
      <c r="A1272">
        <v>1271</v>
      </c>
      <c r="B1272">
        <f>GS25</f>
        <v>0</v>
      </c>
      <c r="C1272" t="inlineStr">
        <is>
          <t>+LS2</t>
        </is>
      </c>
      <c r="D1272" t="inlineStr">
        <is>
          <t>-133K60.3</t>
        </is>
      </c>
      <c r="E1272" t="inlineStr">
        <is>
          <t>DIL_EM-10-G</t>
        </is>
      </c>
      <c r="F1272" t="inlineStr">
        <is>
          <t>#KALK!</t>
        </is>
      </c>
      <c r="G1272" t="inlineStr">
        <is>
          <t>LASTSCHUETZ</t>
        </is>
      </c>
      <c r="H1272" t="inlineStr">
        <is>
          <t>4kW 1S</t>
        </is>
      </c>
      <c r="I1272">
        <v>254</v>
      </c>
      <c r="J1272">
        <f>GS25/133.6</f>
        <v>0</v>
      </c>
      <c r="M1272" t="inlineStr">
        <is>
          <t>-133K60.3</t>
        </is>
      </c>
    </row>
    <row r="1273">
      <c r="A1273">
        <v>1272</v>
      </c>
      <c r="B1273">
        <f>GS25</f>
        <v>0</v>
      </c>
      <c r="C1273" t="inlineStr">
        <is>
          <t>+LS2</t>
        </is>
      </c>
      <c r="D1273" t="inlineStr">
        <is>
          <t>-133K60.6</t>
        </is>
      </c>
      <c r="E1273" t="inlineStr">
        <is>
          <t>DIL_EM-10-G</t>
        </is>
      </c>
      <c r="F1273" t="inlineStr">
        <is>
          <t>#KALK!</t>
        </is>
      </c>
      <c r="G1273" t="inlineStr">
        <is>
          <t>LASTSCHUETZ</t>
        </is>
      </c>
      <c r="H1273" t="inlineStr">
        <is>
          <t>4kW 1S</t>
        </is>
      </c>
      <c r="I1273">
        <v>254</v>
      </c>
      <c r="J1273">
        <f>GS25/133.6</f>
        <v>0</v>
      </c>
      <c r="M1273" t="inlineStr">
        <is>
          <t>-133K60.6</t>
        </is>
      </c>
    </row>
    <row r="1274">
      <c r="A1274">
        <v>1273</v>
      </c>
      <c r="B1274">
        <f>GS14</f>
        <v>0</v>
      </c>
      <c r="C1274" t="inlineStr">
        <is>
          <t>+LS2</t>
        </is>
      </c>
      <c r="D1274" t="inlineStr">
        <is>
          <t>-133K63.3</t>
        </is>
      </c>
      <c r="E1274" t="inlineStr">
        <is>
          <t>DIL_EM-10-G</t>
        </is>
      </c>
      <c r="F1274" t="inlineStr">
        <is>
          <t>#KALK!</t>
        </is>
      </c>
      <c r="G1274" t="inlineStr">
        <is>
          <t>LASTSCHUETZ</t>
        </is>
      </c>
      <c r="H1274" t="inlineStr">
        <is>
          <t>4kW 1S</t>
        </is>
      </c>
      <c r="I1274">
        <v>259</v>
      </c>
      <c r="J1274">
        <f>GS14/133.7</f>
        <v>0</v>
      </c>
      <c r="M1274" t="inlineStr">
        <is>
          <t>-133K63.3</t>
        </is>
      </c>
    </row>
    <row r="1275">
      <c r="A1275">
        <v>1274</v>
      </c>
      <c r="B1275">
        <f>GS24</f>
        <v>0</v>
      </c>
      <c r="C1275" t="inlineStr">
        <is>
          <t>+LS2</t>
        </is>
      </c>
      <c r="D1275" t="inlineStr">
        <is>
          <t>-133K63.3</t>
        </is>
      </c>
      <c r="E1275" t="inlineStr">
        <is>
          <t>DIL_EM-10-G</t>
        </is>
      </c>
      <c r="F1275" t="inlineStr">
        <is>
          <t>#KALK!</t>
        </is>
      </c>
      <c r="G1275" t="inlineStr">
        <is>
          <t>LASTSCHUETZ</t>
        </is>
      </c>
      <c r="H1275" t="inlineStr">
        <is>
          <t>4kW 1S</t>
        </is>
      </c>
      <c r="I1275">
        <v>946</v>
      </c>
      <c r="J1275">
        <f>GS24/133.7</f>
        <v>0</v>
      </c>
      <c r="M1275" t="inlineStr">
        <is>
          <t>-133K63.3</t>
        </is>
      </c>
    </row>
    <row r="1276">
      <c r="A1276">
        <v>1275</v>
      </c>
      <c r="B1276">
        <f>GS7x</f>
        <v>0</v>
      </c>
      <c r="C1276" t="inlineStr">
        <is>
          <t>+LS[l1]</t>
        </is>
      </c>
      <c r="D1276" t="inlineStr">
        <is>
          <t>-133Q[a+13].4</t>
        </is>
      </c>
      <c r="E1276" t="inlineStr">
        <is>
          <t>DILM-9-10</t>
        </is>
      </c>
      <c r="F1276" t="inlineStr">
        <is>
          <t>#KALK!</t>
        </is>
      </c>
      <c r="G1276" t="inlineStr">
        <is>
          <t>LASTSCHUETZ</t>
        </is>
      </c>
      <c r="H1276" t="inlineStr">
        <is>
          <t>4kW 1S Federzugkl.</t>
        </is>
      </c>
      <c r="I1276">
        <v>371</v>
      </c>
      <c r="J1276">
        <f>GS7x/133.6</f>
        <v>0</v>
      </c>
      <c r="M1276" t="inlineStr">
        <is>
          <t>-133Q[a+13].4</t>
        </is>
      </c>
    </row>
    <row r="1277">
      <c r="A1277">
        <v>1276</v>
      </c>
      <c r="B1277">
        <f>GS46</f>
        <v>0</v>
      </c>
      <c r="C1277" t="inlineStr">
        <is>
          <t>+LS01</t>
        </is>
      </c>
      <c r="D1277" t="inlineStr">
        <is>
          <t>-133Q145.7</t>
        </is>
      </c>
      <c r="E1277" t="inlineStr">
        <is>
          <t>DILM-9-10</t>
        </is>
      </c>
      <c r="F1277" t="inlineStr">
        <is>
          <t>#KALK!</t>
        </is>
      </c>
      <c r="G1277" t="inlineStr">
        <is>
          <t>LASTSCHUETZ</t>
        </is>
      </c>
      <c r="H1277" t="inlineStr">
        <is>
          <t>4kW 1S Federzugkl.</t>
        </is>
      </c>
      <c r="I1277">
        <v>447</v>
      </c>
      <c r="J1277">
        <f>GS46/133.6</f>
        <v>0</v>
      </c>
      <c r="M1277" t="inlineStr">
        <is>
          <t>-133Q145.7</t>
        </is>
      </c>
    </row>
    <row r="1278">
      <c r="A1278">
        <v>1277</v>
      </c>
      <c r="B1278">
        <f>GS47</f>
        <v>0</v>
      </c>
      <c r="C1278" t="inlineStr">
        <is>
          <t>+LS01</t>
        </is>
      </c>
      <c r="D1278" t="inlineStr">
        <is>
          <t>-133Q145.7</t>
        </is>
      </c>
      <c r="E1278" t="inlineStr">
        <is>
          <t>DILM-9-10</t>
        </is>
      </c>
      <c r="F1278" t="inlineStr">
        <is>
          <t>#KALK!</t>
        </is>
      </c>
      <c r="G1278" t="inlineStr">
        <is>
          <t>LASTSCHUETZ</t>
        </is>
      </c>
      <c r="H1278" t="inlineStr">
        <is>
          <t>4kW 1S Federzugkl.</t>
        </is>
      </c>
      <c r="I1278">
        <v>447</v>
      </c>
      <c r="J1278">
        <f>GS47/133.6</f>
        <v>0</v>
      </c>
      <c r="M1278" t="inlineStr">
        <is>
          <t>-133Q145.7</t>
        </is>
      </c>
    </row>
    <row r="1279">
      <c r="A1279">
        <v>1278</v>
      </c>
      <c r="B1279">
        <f>GS48</f>
        <v>0</v>
      </c>
      <c r="C1279" t="inlineStr">
        <is>
          <t>+LS01</t>
        </is>
      </c>
      <c r="D1279" t="inlineStr">
        <is>
          <t>-133Q145.7</t>
        </is>
      </c>
      <c r="E1279" t="inlineStr">
        <is>
          <t>DILM-9-10</t>
        </is>
      </c>
      <c r="F1279" t="inlineStr">
        <is>
          <t>#KALK!</t>
        </is>
      </c>
      <c r="G1279" t="inlineStr">
        <is>
          <t>LASTSCHUETZ</t>
        </is>
      </c>
      <c r="H1279" t="inlineStr">
        <is>
          <t>4kW 1S Federzugkl.</t>
        </is>
      </c>
      <c r="I1279">
        <v>285</v>
      </c>
      <c r="J1279">
        <f>GS48/133.6</f>
        <v>0</v>
      </c>
      <c r="M1279" t="inlineStr">
        <is>
          <t>-133Q145.7</t>
        </is>
      </c>
    </row>
    <row r="1280">
      <c r="A1280">
        <v>1279</v>
      </c>
      <c r="B1280">
        <f>GS49</f>
        <v>0</v>
      </c>
      <c r="C1280" t="inlineStr">
        <is>
          <t>+LS01</t>
        </is>
      </c>
      <c r="D1280" t="inlineStr">
        <is>
          <t>-133Q145.7</t>
        </is>
      </c>
      <c r="E1280" t="inlineStr">
        <is>
          <t>DILM-9-10</t>
        </is>
      </c>
      <c r="F1280" t="inlineStr">
        <is>
          <t>#KALK!</t>
        </is>
      </c>
      <c r="G1280" t="inlineStr">
        <is>
          <t>LASTSCHUETZ</t>
        </is>
      </c>
      <c r="H1280" t="inlineStr">
        <is>
          <t>4kW 1S Federzugkl.</t>
        </is>
      </c>
      <c r="I1280">
        <v>284</v>
      </c>
      <c r="J1280">
        <f>GS49/133.6</f>
        <v>0</v>
      </c>
      <c r="M1280" t="inlineStr">
        <is>
          <t>-133Q145.7</t>
        </is>
      </c>
    </row>
    <row r="1281">
      <c r="A1281">
        <v>1280</v>
      </c>
      <c r="B1281">
        <f>GS93</f>
        <v>0</v>
      </c>
      <c r="C1281" t="inlineStr">
        <is>
          <t>+LS01</t>
        </is>
      </c>
      <c r="D1281" t="inlineStr">
        <is>
          <t>-133Q153.4</t>
        </is>
      </c>
      <c r="E1281" t="inlineStr">
        <is>
          <t>DILM-9-10</t>
        </is>
      </c>
      <c r="F1281" t="inlineStr">
        <is>
          <t>#KALK!</t>
        </is>
      </c>
      <c r="G1281" t="inlineStr">
        <is>
          <t>LASTSCHUETZ</t>
        </is>
      </c>
      <c r="H1281" t="inlineStr">
        <is>
          <t>4kW 1S Federzugkl.</t>
        </is>
      </c>
      <c r="I1281">
        <v>702</v>
      </c>
      <c r="J1281">
        <f>GS93/133.5</f>
        <v>0</v>
      </c>
      <c r="M1281" t="inlineStr">
        <is>
          <t>-133Q153.4</t>
        </is>
      </c>
    </row>
    <row r="1282">
      <c r="A1282">
        <v>1281</v>
      </c>
      <c r="B1282">
        <f>GS33</f>
        <v>0</v>
      </c>
      <c r="C1282" t="inlineStr">
        <is>
          <t>+LS2</t>
        </is>
      </c>
      <c r="D1282" t="inlineStr">
        <is>
          <t>-134K18.4</t>
        </is>
      </c>
      <c r="E1282" t="inlineStr">
        <is>
          <t>DIL_EM-10-G</t>
        </is>
      </c>
      <c r="F1282" t="inlineStr">
        <is>
          <t>#KALK!</t>
        </is>
      </c>
      <c r="G1282" t="inlineStr">
        <is>
          <t>LASTSCHUETZ</t>
        </is>
      </c>
      <c r="H1282" t="inlineStr">
        <is>
          <t>4kW 1S</t>
        </is>
      </c>
      <c r="I1282">
        <v>566</v>
      </c>
      <c r="J1282">
        <f>GS33/134.6</f>
        <v>0</v>
      </c>
      <c r="M1282" t="inlineStr">
        <is>
          <t>-134K18.4</t>
        </is>
      </c>
    </row>
    <row r="1283">
      <c r="A1283">
        <v>1282</v>
      </c>
      <c r="B1283">
        <f>GS32</f>
        <v>0</v>
      </c>
      <c r="C1283" t="inlineStr">
        <is>
          <t>+LS2</t>
        </is>
      </c>
      <c r="D1283" t="inlineStr">
        <is>
          <t>-134K19.5</t>
        </is>
      </c>
      <c r="E1283" t="inlineStr">
        <is>
          <t>DIL_EM-10-G</t>
        </is>
      </c>
      <c r="F1283" t="inlineStr">
        <is>
          <t>#KALK!</t>
        </is>
      </c>
      <c r="G1283" t="inlineStr">
        <is>
          <t>LASTSCHUETZ</t>
        </is>
      </c>
      <c r="H1283" t="inlineStr">
        <is>
          <t>4kW 1S</t>
        </is>
      </c>
      <c r="I1283">
        <v>943</v>
      </c>
      <c r="J1283">
        <f>GS32/134.7</f>
        <v>0</v>
      </c>
      <c r="M1283" t="inlineStr">
        <is>
          <t>-134K19.5</t>
        </is>
      </c>
    </row>
    <row r="1284">
      <c r="A1284">
        <v>1283</v>
      </c>
      <c r="B1284">
        <f>GS16</f>
        <v>0</v>
      </c>
      <c r="C1284" t="inlineStr">
        <is>
          <t>+LS2</t>
        </is>
      </c>
      <c r="D1284" t="inlineStr">
        <is>
          <t>-134K24.6</t>
        </is>
      </c>
      <c r="E1284" t="inlineStr">
        <is>
          <t>DIL_EM-01-G</t>
        </is>
      </c>
      <c r="F1284" t="inlineStr">
        <is>
          <t>#KALK!</t>
        </is>
      </c>
      <c r="G1284" t="inlineStr">
        <is>
          <t>LASTSCHUETZ</t>
        </is>
      </c>
      <c r="H1284" t="inlineStr">
        <is>
          <t>4kW 1OE</t>
        </is>
      </c>
      <c r="I1284">
        <v>355</v>
      </c>
      <c r="J1284">
        <f>GS16/134.6</f>
        <v>0</v>
      </c>
      <c r="M1284" t="inlineStr">
        <is>
          <t>-134K24.6</t>
        </is>
      </c>
    </row>
    <row r="1285">
      <c r="A1285">
        <v>1284</v>
      </c>
      <c r="B1285">
        <f>GS16</f>
        <v>0</v>
      </c>
      <c r="C1285" t="inlineStr">
        <is>
          <t>+LS2</t>
        </is>
      </c>
      <c r="D1285" t="inlineStr">
        <is>
          <t>-134K25.0</t>
        </is>
      </c>
      <c r="E1285" t="inlineStr">
        <is>
          <t>DIL_EM-10-G</t>
        </is>
      </c>
      <c r="F1285" t="inlineStr">
        <is>
          <t>#KALK!</t>
        </is>
      </c>
      <c r="G1285" t="inlineStr">
        <is>
          <t>LASTSCHUETZ</t>
        </is>
      </c>
      <c r="H1285" t="inlineStr">
        <is>
          <t>4kW 1S</t>
        </is>
      </c>
      <c r="I1285">
        <v>355</v>
      </c>
      <c r="J1285">
        <f>GS16/134.7</f>
        <v>0</v>
      </c>
      <c r="M1285" t="inlineStr">
        <is>
          <t>-134K25.0</t>
        </is>
      </c>
    </row>
    <row r="1286">
      <c r="A1286">
        <v>1285</v>
      </c>
      <c r="B1286">
        <f>GS26</f>
        <v>0</v>
      </c>
      <c r="C1286" t="inlineStr">
        <is>
          <t>+LS1</t>
        </is>
      </c>
      <c r="D1286" t="inlineStr">
        <is>
          <t>-134K3538.1</t>
        </is>
      </c>
      <c r="E1286" t="inlineStr">
        <is>
          <t>DILM-9-10</t>
        </is>
      </c>
      <c r="F1286" t="inlineStr">
        <is>
          <t>#KALK!</t>
        </is>
      </c>
      <c r="G1286" t="inlineStr">
        <is>
          <t>LASTSCHUETZ</t>
        </is>
      </c>
      <c r="H1286" t="inlineStr">
        <is>
          <t>4kW 1S Federzugkl.</t>
        </is>
      </c>
      <c r="I1286">
        <v>532</v>
      </c>
      <c r="J1286">
        <f>GS26/134.7</f>
        <v>0</v>
      </c>
      <c r="M1286" t="inlineStr">
        <is>
          <t>-134K3538.1</t>
        </is>
      </c>
    </row>
    <row r="1287">
      <c r="A1287">
        <v>1286</v>
      </c>
      <c r="B1287">
        <f>GC03</f>
        <v>0</v>
      </c>
      <c r="C1287" t="inlineStr">
        <is>
          <t>+LS2</t>
        </is>
      </c>
      <c r="D1287" t="inlineStr">
        <is>
          <t>-134K49.7</t>
        </is>
      </c>
      <c r="E1287" t="inlineStr">
        <is>
          <t>DIL_EM-10-G</t>
        </is>
      </c>
      <c r="F1287" t="inlineStr">
        <is>
          <t>#KALK!</t>
        </is>
      </c>
      <c r="G1287" t="inlineStr">
        <is>
          <t>LASTSCHUETZ</t>
        </is>
      </c>
      <c r="H1287" t="inlineStr">
        <is>
          <t>4kW 1S</t>
        </is>
      </c>
      <c r="I1287">
        <v>560</v>
      </c>
      <c r="J1287">
        <f>GC03/134.6</f>
        <v>0</v>
      </c>
      <c r="M1287" t="inlineStr">
        <is>
          <t>-134K49.7</t>
        </is>
      </c>
    </row>
    <row r="1288">
      <c r="A1288">
        <v>1287</v>
      </c>
      <c r="B1288">
        <f>GS33</f>
        <v>0</v>
      </c>
      <c r="C1288" t="inlineStr">
        <is>
          <t>+LS2</t>
        </is>
      </c>
      <c r="D1288" t="inlineStr">
        <is>
          <t>-134K52.0</t>
        </is>
      </c>
      <c r="E1288" t="inlineStr">
        <is>
          <t>DIL_EM-10-G</t>
        </is>
      </c>
      <c r="F1288" t="inlineStr">
        <is>
          <t>#KALK!</t>
        </is>
      </c>
      <c r="G1288" t="inlineStr">
        <is>
          <t>LASTSCHUETZ</t>
        </is>
      </c>
      <c r="H1288" t="inlineStr">
        <is>
          <t>4kW 1S</t>
        </is>
      </c>
      <c r="I1288">
        <v>566</v>
      </c>
      <c r="J1288">
        <f>GS33/134.6</f>
        <v>0</v>
      </c>
      <c r="M1288" t="inlineStr">
        <is>
          <t>-134K52.0</t>
        </is>
      </c>
    </row>
    <row r="1289">
      <c r="A1289">
        <v>1288</v>
      </c>
      <c r="B1289">
        <f>GS25</f>
        <v>0</v>
      </c>
      <c r="C1289" t="inlineStr">
        <is>
          <t>+LS2</t>
        </is>
      </c>
      <c r="D1289" t="inlineStr">
        <is>
          <t>-134K60.7</t>
        </is>
      </c>
      <c r="E1289" t="inlineStr">
        <is>
          <t>DIL_EM-10-G</t>
        </is>
      </c>
      <c r="F1289" t="inlineStr">
        <is>
          <t>#KALK!</t>
        </is>
      </c>
      <c r="G1289" t="inlineStr">
        <is>
          <t>LASTSCHUETZ</t>
        </is>
      </c>
      <c r="H1289" t="inlineStr">
        <is>
          <t>4kW 1S</t>
        </is>
      </c>
      <c r="I1289">
        <v>255</v>
      </c>
      <c r="J1289">
        <f>GS25/134.6</f>
        <v>0</v>
      </c>
      <c r="M1289" t="inlineStr">
        <is>
          <t>-134K60.7</t>
        </is>
      </c>
    </row>
    <row r="1290">
      <c r="A1290">
        <v>1289</v>
      </c>
      <c r="B1290">
        <f>GS14</f>
        <v>0</v>
      </c>
      <c r="C1290" t="inlineStr">
        <is>
          <t>+LS2</t>
        </is>
      </c>
      <c r="D1290" t="inlineStr">
        <is>
          <t>-134K63.4</t>
        </is>
      </c>
      <c r="E1290" t="inlineStr">
        <is>
          <t>DIL_EM-10-G</t>
        </is>
      </c>
      <c r="F1290" t="inlineStr">
        <is>
          <t>#KALK!</t>
        </is>
      </c>
      <c r="G1290" t="inlineStr">
        <is>
          <t>LASTSCHUETZ</t>
        </is>
      </c>
      <c r="H1290" t="inlineStr">
        <is>
          <t>4kW 1S</t>
        </is>
      </c>
      <c r="I1290">
        <v>260</v>
      </c>
      <c r="J1290">
        <f>GS14/134.6</f>
        <v>0</v>
      </c>
      <c r="M1290" t="inlineStr">
        <is>
          <t>-134K63.4</t>
        </is>
      </c>
    </row>
    <row r="1291">
      <c r="A1291">
        <v>1290</v>
      </c>
      <c r="B1291">
        <f>GS24</f>
        <v>0</v>
      </c>
      <c r="C1291" t="inlineStr">
        <is>
          <t>+LS2</t>
        </is>
      </c>
      <c r="D1291" t="inlineStr">
        <is>
          <t>-134K63.4</t>
        </is>
      </c>
      <c r="E1291" t="inlineStr">
        <is>
          <t>DIL_EM-10-G</t>
        </is>
      </c>
      <c r="F1291" t="inlineStr">
        <is>
          <t>#KALK!</t>
        </is>
      </c>
      <c r="G1291" t="inlineStr">
        <is>
          <t>LASTSCHUETZ</t>
        </is>
      </c>
      <c r="H1291" t="inlineStr">
        <is>
          <t>4kW 1S</t>
        </is>
      </c>
      <c r="I1291">
        <v>945</v>
      </c>
      <c r="J1291">
        <f>GS24/134.6</f>
        <v>0</v>
      </c>
      <c r="M1291" t="inlineStr">
        <is>
          <t>-134K63.4</t>
        </is>
      </c>
    </row>
    <row r="1292">
      <c r="A1292">
        <v>1291</v>
      </c>
      <c r="B1292">
        <f>GS46</f>
        <v>0</v>
      </c>
      <c r="C1292" t="inlineStr">
        <is>
          <t>+LS01</t>
        </is>
      </c>
      <c r="D1292" t="inlineStr">
        <is>
          <t>-134Q146.0</t>
        </is>
      </c>
      <c r="E1292" t="inlineStr">
        <is>
          <t>DILM-9-10</t>
        </is>
      </c>
      <c r="F1292" t="inlineStr">
        <is>
          <t>#KALK!</t>
        </is>
      </c>
      <c r="G1292" t="inlineStr">
        <is>
          <t>LASTSCHUETZ</t>
        </is>
      </c>
      <c r="H1292" t="inlineStr">
        <is>
          <t>4kW 1S Federzugkl.</t>
        </is>
      </c>
      <c r="I1292">
        <v>448</v>
      </c>
      <c r="J1292">
        <f>GS46/134.6</f>
        <v>0</v>
      </c>
      <c r="M1292" t="inlineStr">
        <is>
          <t>-134Q146.0</t>
        </is>
      </c>
    </row>
    <row r="1293">
      <c r="A1293">
        <v>1292</v>
      </c>
      <c r="B1293">
        <f>GS47</f>
        <v>0</v>
      </c>
      <c r="C1293" t="inlineStr">
        <is>
          <t>+LS01</t>
        </is>
      </c>
      <c r="D1293" t="inlineStr">
        <is>
          <t>-134Q146.0</t>
        </is>
      </c>
      <c r="E1293" t="inlineStr">
        <is>
          <t>DILM-9-10</t>
        </is>
      </c>
      <c r="F1293" t="inlineStr">
        <is>
          <t>#KALK!</t>
        </is>
      </c>
      <c r="G1293" t="inlineStr">
        <is>
          <t>LASTSCHUETZ</t>
        </is>
      </c>
      <c r="H1293" t="inlineStr">
        <is>
          <t>4kW 1S Federzugkl.</t>
        </is>
      </c>
      <c r="I1293">
        <v>448</v>
      </c>
      <c r="J1293">
        <f>GS47/134.6</f>
        <v>0</v>
      </c>
      <c r="M1293" t="inlineStr">
        <is>
          <t>-134Q146.0</t>
        </is>
      </c>
    </row>
    <row r="1294">
      <c r="A1294">
        <v>1293</v>
      </c>
      <c r="B1294">
        <f>GS48</f>
        <v>0</v>
      </c>
      <c r="C1294" t="inlineStr">
        <is>
          <t>+LS01</t>
        </is>
      </c>
      <c r="D1294" t="inlineStr">
        <is>
          <t>-134Q146.0</t>
        </is>
      </c>
      <c r="E1294" t="inlineStr">
        <is>
          <t>DILM-9-10</t>
        </is>
      </c>
      <c r="F1294" t="inlineStr">
        <is>
          <t>#KALK!</t>
        </is>
      </c>
      <c r="G1294" t="inlineStr">
        <is>
          <t>LASTSCHUETZ</t>
        </is>
      </c>
      <c r="H1294" t="inlineStr">
        <is>
          <t>4kW 1S Federzugkl.</t>
        </is>
      </c>
      <c r="I1294">
        <v>286</v>
      </c>
      <c r="J1294">
        <f>GS48/134.6</f>
        <v>0</v>
      </c>
      <c r="M1294" t="inlineStr">
        <is>
          <t>-134Q146.0</t>
        </is>
      </c>
    </row>
    <row r="1295">
      <c r="A1295">
        <v>1294</v>
      </c>
      <c r="B1295">
        <f>GS49</f>
        <v>0</v>
      </c>
      <c r="C1295" t="inlineStr">
        <is>
          <t>+LS01</t>
        </is>
      </c>
      <c r="D1295" t="inlineStr">
        <is>
          <t>-134Q146.0</t>
        </is>
      </c>
      <c r="E1295" t="inlineStr">
        <is>
          <t>DILM-9-10</t>
        </is>
      </c>
      <c r="F1295" t="inlineStr">
        <is>
          <t>#KALK!</t>
        </is>
      </c>
      <c r="G1295" t="inlineStr">
        <is>
          <t>LASTSCHUETZ</t>
        </is>
      </c>
      <c r="H1295" t="inlineStr">
        <is>
          <t>4kW 1S Federzugkl.</t>
        </is>
      </c>
      <c r="I1295">
        <v>285</v>
      </c>
      <c r="J1295">
        <f>GS49/134.6</f>
        <v>0</v>
      </c>
      <c r="M1295" t="inlineStr">
        <is>
          <t>-134Q146.0</t>
        </is>
      </c>
    </row>
    <row r="1296">
      <c r="A1296">
        <v>1295</v>
      </c>
      <c r="B1296">
        <f>GS91</f>
        <v>0</v>
      </c>
      <c r="C1296" t="inlineStr">
        <is>
          <t>+LS01</t>
        </is>
      </c>
      <c r="D1296" t="inlineStr">
        <is>
          <t>-134Q157.0</t>
        </is>
      </c>
      <c r="E1296" t="inlineStr">
        <is>
          <t>DILM-9-10</t>
        </is>
      </c>
      <c r="F1296" t="inlineStr">
        <is>
          <t>#KALK!</t>
        </is>
      </c>
      <c r="G1296" t="inlineStr">
        <is>
          <t>LASTSCHUETZ</t>
        </is>
      </c>
      <c r="H1296" t="inlineStr">
        <is>
          <t>4kW 1S Federzugkl.</t>
        </is>
      </c>
      <c r="I1296">
        <v>277</v>
      </c>
      <c r="J1296">
        <f>GS91/134.5</f>
        <v>0</v>
      </c>
      <c r="M1296" t="inlineStr">
        <is>
          <t>-134Q157.0</t>
        </is>
      </c>
    </row>
    <row r="1297">
      <c r="A1297">
        <v>1296</v>
      </c>
      <c r="B1297">
        <f>GS37</f>
        <v>0</v>
      </c>
      <c r="C1297" t="inlineStr">
        <is>
          <t>+LS01</t>
        </is>
      </c>
      <c r="D1297" t="inlineStr">
        <is>
          <t>-134Q413.5</t>
        </is>
      </c>
      <c r="E1297" t="inlineStr">
        <is>
          <t>DILM-9-10</t>
        </is>
      </c>
      <c r="F1297" t="inlineStr">
        <is>
          <t>#KALK!</t>
        </is>
      </c>
      <c r="G1297" t="inlineStr">
        <is>
          <t>LASTSCHUETZ</t>
        </is>
      </c>
      <c r="H1297" t="inlineStr">
        <is>
          <t>4kW 1S Federzugkl.</t>
        </is>
      </c>
      <c r="I1297">
        <v>307</v>
      </c>
      <c r="J1297">
        <f>GS37/134.5</f>
        <v>0</v>
      </c>
      <c r="M1297" t="inlineStr">
        <is>
          <t>-134Q413.5</t>
        </is>
      </c>
    </row>
    <row r="1298">
      <c r="A1298">
        <v>1297</v>
      </c>
      <c r="B1298">
        <f>GS05</f>
        <v>0</v>
      </c>
      <c r="C1298" t="inlineStr">
        <is>
          <t>+LS22</t>
        </is>
      </c>
      <c r="D1298" t="inlineStr">
        <is>
          <t>-1350Q1</t>
        </is>
      </c>
      <c r="E1298" t="inlineStr">
        <is>
          <t>DILA-XHI22</t>
        </is>
      </c>
      <c r="F1298" t="inlineStr">
        <is>
          <t>DILA-XHI22</t>
        </is>
      </c>
      <c r="G1298" t="inlineStr">
        <is>
          <t>HILFSKONTAKTBLOCK</t>
        </is>
      </c>
      <c r="H1298" t="inlineStr">
        <is>
          <t>2S 2OE Last+Hilfssch. Cage</t>
        </is>
      </c>
      <c r="I1298">
        <v>2204</v>
      </c>
      <c r="J1298">
        <f>GS05/1350.6</f>
        <v>0</v>
      </c>
      <c r="K1298" t="inlineStr">
        <is>
          <t>DIL MC25</t>
        </is>
      </c>
      <c r="M1298" t="inlineStr">
        <is>
          <t>-1350Q1</t>
        </is>
      </c>
    </row>
    <row r="1299">
      <c r="A1299">
        <v>1298</v>
      </c>
      <c r="B1299">
        <f>GS05</f>
        <v>0</v>
      </c>
      <c r="C1299" t="inlineStr">
        <is>
          <t>+LS22</t>
        </is>
      </c>
      <c r="D1299" t="inlineStr">
        <is>
          <t>-1350Q1</t>
        </is>
      </c>
      <c r="E1299" t="inlineStr">
        <is>
          <t>DILMC25-10(RDC24)</t>
        </is>
      </c>
      <c r="F1299" t="inlineStr">
        <is>
          <t>DILA-XHI22</t>
        </is>
      </c>
      <c r="G1299" t="inlineStr">
        <is>
          <t>LASTSCHUETZ</t>
        </is>
      </c>
      <c r="H1299" t="inlineStr">
        <is>
          <t>11kW 1S Federzugkl.</t>
        </is>
      </c>
      <c r="I1299">
        <v>2204</v>
      </c>
      <c r="J1299">
        <f>GS05/1350.6</f>
        <v>0</v>
      </c>
      <c r="K1299" t="inlineStr">
        <is>
          <t>DIL MC25</t>
        </is>
      </c>
      <c r="M1299" t="inlineStr">
        <is>
          <t>-1350Q1</t>
        </is>
      </c>
    </row>
    <row r="1300">
      <c r="A1300">
        <v>1299</v>
      </c>
      <c r="B1300">
        <f>GS51</f>
        <v>0</v>
      </c>
      <c r="C1300" t="inlineStr">
        <is>
          <t>+LS20</t>
        </is>
      </c>
      <c r="D1300" t="inlineStr">
        <is>
          <t>-1355Q1</t>
        </is>
      </c>
      <c r="E1300" t="inlineStr">
        <is>
          <t>DILA-XHI22</t>
        </is>
      </c>
      <c r="F1300" t="inlineStr">
        <is>
          <t>DILA-XHI22</t>
        </is>
      </c>
      <c r="G1300" t="inlineStr">
        <is>
          <t>HILFSKONTAKTBLOCK</t>
        </is>
      </c>
      <c r="H1300" t="inlineStr">
        <is>
          <t>2S 2OE Last+Hilfssch. Cage</t>
        </is>
      </c>
      <c r="I1300">
        <v>1475</v>
      </c>
      <c r="J1300">
        <f>GS51/1355.6</f>
        <v>0</v>
      </c>
      <c r="K1300" t="inlineStr">
        <is>
          <t>DIL MC25</t>
        </is>
      </c>
      <c r="M1300" t="inlineStr">
        <is>
          <t>-1355Q1</t>
        </is>
      </c>
    </row>
    <row r="1301">
      <c r="A1301">
        <v>1300</v>
      </c>
      <c r="B1301">
        <f>GS51</f>
        <v>0</v>
      </c>
      <c r="C1301" t="inlineStr">
        <is>
          <t>+LS20</t>
        </is>
      </c>
      <c r="D1301" t="inlineStr">
        <is>
          <t>-1355Q1</t>
        </is>
      </c>
      <c r="E1301" t="inlineStr">
        <is>
          <t>DILMC25-10(RDC24)</t>
        </is>
      </c>
      <c r="F1301" t="inlineStr">
        <is>
          <t>DILA-XHI22</t>
        </is>
      </c>
      <c r="G1301" t="inlineStr">
        <is>
          <t>LASTSCHUETZ</t>
        </is>
      </c>
      <c r="H1301" t="inlineStr">
        <is>
          <t>11kW 1S Federzugkl.</t>
        </is>
      </c>
      <c r="I1301">
        <v>1475</v>
      </c>
      <c r="J1301">
        <f>GS51/1355.6</f>
        <v>0</v>
      </c>
      <c r="K1301" t="inlineStr">
        <is>
          <t>DIL MC25</t>
        </is>
      </c>
      <c r="M1301" t="inlineStr">
        <is>
          <t>-1355Q1</t>
        </is>
      </c>
    </row>
    <row r="1302">
      <c r="A1302">
        <v>1301</v>
      </c>
      <c r="B1302">
        <f>GS51</f>
        <v>0</v>
      </c>
      <c r="C1302" t="inlineStr">
        <is>
          <t>+LS20</t>
        </is>
      </c>
      <c r="D1302" t="inlineStr">
        <is>
          <t>-1359Q810.0</t>
        </is>
      </c>
      <c r="E1302" t="inlineStr">
        <is>
          <t>DILM-9-10</t>
        </is>
      </c>
      <c r="F1302" t="inlineStr">
        <is>
          <t>DILA-XHI22</t>
        </is>
      </c>
      <c r="G1302" t="inlineStr">
        <is>
          <t>LASTSCHUETZ</t>
        </is>
      </c>
      <c r="H1302" t="inlineStr">
        <is>
          <t>4kW 1S Federzugkl.</t>
        </is>
      </c>
      <c r="I1302">
        <v>1481</v>
      </c>
      <c r="J1302">
        <f>GS51/1359.6</f>
        <v>0</v>
      </c>
      <c r="K1302" t="inlineStr">
        <is>
          <t>DIL MC9</t>
        </is>
      </c>
      <c r="M1302" t="inlineStr">
        <is>
          <t>-1359Q810.0</t>
        </is>
      </c>
    </row>
    <row r="1303">
      <c r="A1303">
        <v>1302</v>
      </c>
      <c r="B1303">
        <f>GS51</f>
        <v>0</v>
      </c>
      <c r="C1303" t="inlineStr">
        <is>
          <t>+LS20</t>
        </is>
      </c>
      <c r="D1303" t="inlineStr">
        <is>
          <t>-1359Q810.0</t>
        </is>
      </c>
      <c r="E1303" t="inlineStr">
        <is>
          <t>DILA-XHI22</t>
        </is>
      </c>
      <c r="F1303" t="inlineStr">
        <is>
          <t>DILA-XHI22</t>
        </is>
      </c>
      <c r="G1303" t="inlineStr">
        <is>
          <t>HILFSKONTAKTBLOCK</t>
        </is>
      </c>
      <c r="H1303" t="inlineStr">
        <is>
          <t>2S 2OE Last+Hilfssch. Cage</t>
        </is>
      </c>
      <c r="I1303">
        <v>1481</v>
      </c>
      <c r="J1303">
        <f>GS51/1359.6</f>
        <v>0</v>
      </c>
      <c r="K1303" t="inlineStr">
        <is>
          <t>DIL MC9</t>
        </is>
      </c>
      <c r="M1303" t="inlineStr">
        <is>
          <t>-1359Q810.0</t>
        </is>
      </c>
    </row>
    <row r="1304">
      <c r="A1304">
        <v>1303</v>
      </c>
      <c r="B1304">
        <f>GS51</f>
        <v>0</v>
      </c>
      <c r="C1304" t="inlineStr">
        <is>
          <t>+LS20</t>
        </is>
      </c>
      <c r="D1304" t="inlineStr">
        <is>
          <t>-1359Q810.1</t>
        </is>
      </c>
      <c r="E1304" t="inlineStr">
        <is>
          <t>DILM-9-10</t>
        </is>
      </c>
      <c r="F1304" t="inlineStr">
        <is>
          <t>DILA-XHI22</t>
        </is>
      </c>
      <c r="G1304" t="inlineStr">
        <is>
          <t>LASTSCHUETZ</t>
        </is>
      </c>
      <c r="H1304" t="inlineStr">
        <is>
          <t>4kW 1S Federzugkl.</t>
        </is>
      </c>
      <c r="I1304">
        <v>1481</v>
      </c>
      <c r="J1304">
        <f>GS51/1359.7</f>
        <v>0</v>
      </c>
      <c r="K1304" t="inlineStr">
        <is>
          <t>DIL MC9</t>
        </is>
      </c>
      <c r="M1304" t="inlineStr">
        <is>
          <t>-1359Q810.1</t>
        </is>
      </c>
    </row>
    <row r="1305">
      <c r="A1305">
        <v>1304</v>
      </c>
      <c r="B1305">
        <f>GS51</f>
        <v>0</v>
      </c>
      <c r="C1305" t="inlineStr">
        <is>
          <t>+LS20</t>
        </is>
      </c>
      <c r="D1305" t="inlineStr">
        <is>
          <t>-1359Q810.1</t>
        </is>
      </c>
      <c r="E1305" t="inlineStr">
        <is>
          <t>DILA-XHI22</t>
        </is>
      </c>
      <c r="F1305" t="inlineStr">
        <is>
          <t>DILA-XHI22</t>
        </is>
      </c>
      <c r="G1305" t="inlineStr">
        <is>
          <t>HILFSKONTAKTBLOCK</t>
        </is>
      </c>
      <c r="H1305" t="inlineStr">
        <is>
          <t>2S 2OE Last+Hilfssch. Cage</t>
        </is>
      </c>
      <c r="I1305">
        <v>1481</v>
      </c>
      <c r="J1305">
        <f>GS51/1359.7</f>
        <v>0</v>
      </c>
      <c r="K1305" t="inlineStr">
        <is>
          <t>DIL MC9</t>
        </is>
      </c>
      <c r="M1305" t="inlineStr">
        <is>
          <t>-1359Q810.1</t>
        </is>
      </c>
    </row>
    <row r="1306">
      <c r="A1306">
        <v>1305</v>
      </c>
      <c r="B1306">
        <f>GS04</f>
        <v>0</v>
      </c>
      <c r="C1306" t="inlineStr">
        <is>
          <t>+LS2</t>
        </is>
      </c>
      <c r="D1306" t="inlineStr">
        <is>
          <t>-135K1</t>
        </is>
      </c>
      <c r="E1306" t="inlineStr">
        <is>
          <t>DIL_0AM</t>
        </is>
      </c>
      <c r="F1306" t="inlineStr">
        <is>
          <t>22_DIL-M</t>
        </is>
      </c>
      <c r="G1306" t="inlineStr">
        <is>
          <t>LASTSCHUETZ</t>
        </is>
      </c>
      <c r="H1306" t="inlineStr">
        <is>
          <t>11 kW</t>
        </is>
      </c>
      <c r="I1306">
        <v>385</v>
      </c>
      <c r="J1306">
        <f>GS04/135.2</f>
        <v>0</v>
      </c>
      <c r="K1306" t="inlineStr">
        <is>
          <t>DIL0AM</t>
        </is>
      </c>
      <c r="M1306" t="inlineStr">
        <is>
          <t>-135K1</t>
        </is>
      </c>
    </row>
    <row r="1307">
      <c r="A1307">
        <v>1306</v>
      </c>
      <c r="B1307">
        <f>GS04</f>
        <v>0</v>
      </c>
      <c r="C1307" t="inlineStr">
        <is>
          <t>+LS2</t>
        </is>
      </c>
      <c r="D1307" t="inlineStr">
        <is>
          <t>-135K1</t>
        </is>
      </c>
      <c r="E1307" t="inlineStr">
        <is>
          <t>22_DIL-M</t>
        </is>
      </c>
      <c r="F1307" t="inlineStr">
        <is>
          <t>22_DIL-M</t>
        </is>
      </c>
      <c r="G1307" t="inlineStr">
        <is>
          <t>HILFSKONTAKTBLOCK</t>
        </is>
      </c>
      <c r="H1307" t="inlineStr">
        <is>
          <t>2S 2OE Lastschuetz DIL M</t>
        </is>
      </c>
      <c r="I1307">
        <v>385</v>
      </c>
      <c r="J1307">
        <f>GS04/135.2</f>
        <v>0</v>
      </c>
      <c r="K1307" t="inlineStr">
        <is>
          <t>DIL0AM</t>
        </is>
      </c>
      <c r="M1307" t="inlineStr">
        <is>
          <t>-135K1</t>
        </is>
      </c>
    </row>
    <row r="1308">
      <c r="A1308">
        <v>1307</v>
      </c>
      <c r="B1308">
        <f>GS15</f>
        <v>0</v>
      </c>
      <c r="C1308" t="inlineStr">
        <is>
          <t>+LS2</t>
        </is>
      </c>
      <c r="D1308" t="inlineStr">
        <is>
          <t>-135K1</t>
        </is>
      </c>
      <c r="E1308" t="inlineStr">
        <is>
          <t>22_DIL-M</t>
        </is>
      </c>
      <c r="F1308" t="inlineStr">
        <is>
          <t>22_DIL-M</t>
        </is>
      </c>
      <c r="G1308" t="inlineStr">
        <is>
          <t>HILFSKONTAKTBLOCK</t>
        </is>
      </c>
      <c r="H1308" t="inlineStr">
        <is>
          <t>2S 2OE Lastschuetz DIL M</t>
        </is>
      </c>
      <c r="I1308">
        <v>623</v>
      </c>
      <c r="J1308">
        <f>GS15/135.2</f>
        <v>0</v>
      </c>
      <c r="K1308" t="inlineStr">
        <is>
          <t>DIL0AM</t>
        </is>
      </c>
      <c r="M1308" t="inlineStr">
        <is>
          <t>-135K1</t>
        </is>
      </c>
    </row>
    <row r="1309">
      <c r="A1309">
        <v>1308</v>
      </c>
      <c r="B1309">
        <f>GS15</f>
        <v>0</v>
      </c>
      <c r="C1309" t="inlineStr">
        <is>
          <t>+LS2</t>
        </is>
      </c>
      <c r="D1309" t="inlineStr">
        <is>
          <t>-135K1</t>
        </is>
      </c>
      <c r="E1309" t="inlineStr">
        <is>
          <t>DIL_0AM</t>
        </is>
      </c>
      <c r="F1309" t="inlineStr">
        <is>
          <t>22_DIL-M</t>
        </is>
      </c>
      <c r="G1309" t="inlineStr">
        <is>
          <t>LASTSCHUETZ</t>
        </is>
      </c>
      <c r="H1309" t="inlineStr">
        <is>
          <t>11 kW</t>
        </is>
      </c>
      <c r="I1309">
        <v>623</v>
      </c>
      <c r="J1309">
        <f>GS15/135.2</f>
        <v>0</v>
      </c>
      <c r="K1309" t="inlineStr">
        <is>
          <t>DIL0AM</t>
        </is>
      </c>
      <c r="M1309" t="inlineStr">
        <is>
          <t>-135K1</t>
        </is>
      </c>
    </row>
    <row r="1310">
      <c r="A1310">
        <v>1309</v>
      </c>
      <c r="B1310">
        <f>GS20</f>
        <v>0</v>
      </c>
      <c r="C1310" t="inlineStr">
        <is>
          <t>+LS01</t>
        </is>
      </c>
      <c r="D1310" t="inlineStr">
        <is>
          <t>-135K106.4</t>
        </is>
      </c>
      <c r="E1310" t="inlineStr">
        <is>
          <t>DILA-40</t>
        </is>
      </c>
      <c r="F1310" t="inlineStr">
        <is>
          <t>#KALK!</t>
        </is>
      </c>
      <c r="G1310" t="inlineStr">
        <is>
          <t>HILFSSCHUETZ</t>
        </is>
      </c>
      <c r="H1310" t="inlineStr">
        <is>
          <t>4S Federzugkl.</t>
        </is>
      </c>
      <c r="I1310">
        <v>1940</v>
      </c>
      <c r="J1310">
        <f>GS20/135.7</f>
        <v>0</v>
      </c>
      <c r="M1310" t="inlineStr">
        <is>
          <t>-135K106.4</t>
        </is>
      </c>
    </row>
    <row r="1311">
      <c r="A1311">
        <v>1310</v>
      </c>
      <c r="B1311">
        <f>GS36</f>
        <v>0</v>
      </c>
      <c r="C1311" t="inlineStr">
        <is>
          <t>+LS02</t>
        </is>
      </c>
      <c r="D1311" t="inlineStr">
        <is>
          <t>-135K130.6</t>
        </is>
      </c>
      <c r="E1311" t="inlineStr">
        <is>
          <t>DILA-40</t>
        </is>
      </c>
      <c r="F1311" t="inlineStr">
        <is>
          <t>#KALK!</t>
        </is>
      </c>
      <c r="G1311" t="inlineStr">
        <is>
          <t>HILFSSCHUETZ</t>
        </is>
      </c>
      <c r="H1311" t="inlineStr">
        <is>
          <t>4S Federzugkl.</t>
        </is>
      </c>
      <c r="I1311">
        <v>308</v>
      </c>
      <c r="J1311">
        <f>GS36/135.7</f>
        <v>0</v>
      </c>
      <c r="M1311" t="inlineStr">
        <is>
          <t>-135K130.6</t>
        </is>
      </c>
    </row>
    <row r="1312">
      <c r="A1312">
        <v>1311</v>
      </c>
      <c r="B1312">
        <f>GS92</f>
        <v>0</v>
      </c>
      <c r="C1312" t="inlineStr">
        <is>
          <t>+LS01</t>
        </is>
      </c>
      <c r="D1312" t="inlineStr">
        <is>
          <t>-135K154.4</t>
        </is>
      </c>
      <c r="E1312" t="inlineStr">
        <is>
          <t>DILA-40</t>
        </is>
      </c>
      <c r="F1312" t="inlineStr">
        <is>
          <t>#KALK!</t>
        </is>
      </c>
      <c r="G1312" t="inlineStr">
        <is>
          <t>HILFSSCHUETZ</t>
        </is>
      </c>
      <c r="H1312" t="inlineStr">
        <is>
          <t>4S Federzugkl.</t>
        </is>
      </c>
      <c r="I1312">
        <v>281</v>
      </c>
      <c r="J1312">
        <f>GS92/135.7</f>
        <v>0</v>
      </c>
      <c r="M1312" t="inlineStr">
        <is>
          <t>-135K154.4</t>
        </is>
      </c>
    </row>
    <row r="1313">
      <c r="A1313">
        <v>1312</v>
      </c>
      <c r="B1313">
        <f>GS33</f>
        <v>0</v>
      </c>
      <c r="C1313" t="inlineStr">
        <is>
          <t>+LS2</t>
        </is>
      </c>
      <c r="D1313" t="inlineStr">
        <is>
          <t>-135K18.5</t>
        </is>
      </c>
      <c r="E1313" t="inlineStr">
        <is>
          <t>DIL_EM-10-G</t>
        </is>
      </c>
      <c r="F1313" t="inlineStr">
        <is>
          <t>#KALK!</t>
        </is>
      </c>
      <c r="G1313" t="inlineStr">
        <is>
          <t>LASTSCHUETZ</t>
        </is>
      </c>
      <c r="H1313" t="inlineStr">
        <is>
          <t>4kW 1S</t>
        </is>
      </c>
      <c r="I1313">
        <v>567</v>
      </c>
      <c r="J1313">
        <f>GS33/135.6</f>
        <v>0</v>
      </c>
      <c r="M1313" t="inlineStr">
        <is>
          <t>-135K18.5</t>
        </is>
      </c>
    </row>
    <row r="1314">
      <c r="A1314">
        <v>1313</v>
      </c>
      <c r="B1314">
        <f>GS32</f>
        <v>0</v>
      </c>
      <c r="C1314" t="inlineStr">
        <is>
          <t>+LS2</t>
        </is>
      </c>
      <c r="D1314" t="inlineStr">
        <is>
          <t>-135K20.3</t>
        </is>
      </c>
      <c r="E1314" t="inlineStr">
        <is>
          <t>DIL_EM-10-G</t>
        </is>
      </c>
      <c r="F1314" t="inlineStr">
        <is>
          <t>#KALK!</t>
        </is>
      </c>
      <c r="G1314" t="inlineStr">
        <is>
          <t>LASTSCHUETZ</t>
        </is>
      </c>
      <c r="H1314" t="inlineStr">
        <is>
          <t>4kW 1S</t>
        </is>
      </c>
      <c r="I1314">
        <v>958</v>
      </c>
      <c r="J1314">
        <f>GS32/135.7</f>
        <v>0</v>
      </c>
      <c r="M1314" t="inlineStr">
        <is>
          <t>-135K20.3</t>
        </is>
      </c>
    </row>
    <row r="1315">
      <c r="A1315">
        <v>1314</v>
      </c>
      <c r="B1315">
        <f>GS11</f>
        <v>0</v>
      </c>
      <c r="C1315" t="inlineStr">
        <is>
          <t>+LS2</t>
        </is>
      </c>
      <c r="D1315" t="inlineStr">
        <is>
          <t>-135K33.7</t>
        </is>
      </c>
      <c r="E1315" t="inlineStr">
        <is>
          <t>DIL_EM-10-G</t>
        </is>
      </c>
      <c r="F1315" t="inlineStr">
        <is>
          <t>#KALK!</t>
        </is>
      </c>
      <c r="G1315" t="inlineStr">
        <is>
          <t>LASTSCHUETZ</t>
        </is>
      </c>
      <c r="H1315" t="inlineStr">
        <is>
          <t>4kW 1S</t>
        </is>
      </c>
      <c r="I1315">
        <v>246</v>
      </c>
      <c r="J1315">
        <f>GS11/135.7</f>
        <v>0</v>
      </c>
      <c r="M1315" t="inlineStr">
        <is>
          <t>-135K33.7</t>
        </is>
      </c>
    </row>
    <row r="1316">
      <c r="A1316">
        <v>1315</v>
      </c>
      <c r="B1316">
        <f>GS21</f>
        <v>0</v>
      </c>
      <c r="C1316" t="inlineStr">
        <is>
          <t>+LS2</t>
        </is>
      </c>
      <c r="D1316" t="inlineStr">
        <is>
          <t>-135K33.7</t>
        </is>
      </c>
      <c r="E1316" t="inlineStr">
        <is>
          <t>DIL_EM-10-G</t>
        </is>
      </c>
      <c r="F1316" t="inlineStr">
        <is>
          <t>#KALK!</t>
        </is>
      </c>
      <c r="G1316" t="inlineStr">
        <is>
          <t>LASTSCHUETZ</t>
        </is>
      </c>
      <c r="H1316" t="inlineStr">
        <is>
          <t>4kW 1S</t>
        </is>
      </c>
      <c r="I1316">
        <v>220</v>
      </c>
      <c r="J1316">
        <f>GS21/135.7</f>
        <v>0</v>
      </c>
      <c r="M1316" t="inlineStr">
        <is>
          <t>-135K33.7</t>
        </is>
      </c>
    </row>
    <row r="1317">
      <c r="A1317">
        <v>1316</v>
      </c>
      <c r="B1317">
        <f>GS26</f>
        <v>0</v>
      </c>
      <c r="C1317" t="inlineStr">
        <is>
          <t>+LS1</t>
        </is>
      </c>
      <c r="D1317" t="inlineStr">
        <is>
          <t>-135K3538.2</t>
        </is>
      </c>
      <c r="E1317" t="inlineStr">
        <is>
          <t>DILM-9-10</t>
        </is>
      </c>
      <c r="F1317" t="inlineStr">
        <is>
          <t>#KALK!</t>
        </is>
      </c>
      <c r="G1317" t="inlineStr">
        <is>
          <t>LASTSCHUETZ</t>
        </is>
      </c>
      <c r="H1317" t="inlineStr">
        <is>
          <t>4kW 1S Federzugkl.</t>
        </is>
      </c>
      <c r="I1317">
        <v>533</v>
      </c>
      <c r="J1317">
        <f>GS26/135.6</f>
        <v>0</v>
      </c>
      <c r="M1317" t="inlineStr">
        <is>
          <t>-135K3538.2</t>
        </is>
      </c>
    </row>
    <row r="1318">
      <c r="A1318">
        <v>1317</v>
      </c>
      <c r="B1318">
        <f>GC03</f>
        <v>0</v>
      </c>
      <c r="C1318" t="inlineStr">
        <is>
          <t>+LS2</t>
        </is>
      </c>
      <c r="D1318" t="inlineStr">
        <is>
          <t>-135K50.3</t>
        </is>
      </c>
      <c r="E1318" t="inlineStr">
        <is>
          <t>DIL_EM-10-G</t>
        </is>
      </c>
      <c r="F1318" t="inlineStr">
        <is>
          <t>#KALK!</t>
        </is>
      </c>
      <c r="G1318" t="inlineStr">
        <is>
          <t>LASTSCHUETZ</t>
        </is>
      </c>
      <c r="H1318" t="inlineStr">
        <is>
          <t>4kW 1S</t>
        </is>
      </c>
      <c r="I1318">
        <v>561</v>
      </c>
      <c r="J1318">
        <f>GC03/135.7</f>
        <v>0</v>
      </c>
      <c r="M1318" t="inlineStr">
        <is>
          <t>-135K50.3</t>
        </is>
      </c>
    </row>
    <row r="1319">
      <c r="A1319">
        <v>1318</v>
      </c>
      <c r="B1319">
        <f>GS33</f>
        <v>0</v>
      </c>
      <c r="C1319" t="inlineStr">
        <is>
          <t>+LS2</t>
        </is>
      </c>
      <c r="D1319" t="inlineStr">
        <is>
          <t>-135K52.1</t>
        </is>
      </c>
      <c r="E1319" t="inlineStr">
        <is>
          <t>DIL_EM-10-G</t>
        </is>
      </c>
      <c r="F1319" t="inlineStr">
        <is>
          <t>#KALK!</t>
        </is>
      </c>
      <c r="G1319" t="inlineStr">
        <is>
          <t>LASTSCHUETZ</t>
        </is>
      </c>
      <c r="H1319" t="inlineStr">
        <is>
          <t>4kW 1S</t>
        </is>
      </c>
      <c r="I1319">
        <v>567</v>
      </c>
      <c r="J1319">
        <f>GS33/135.6</f>
        <v>0</v>
      </c>
      <c r="M1319" t="inlineStr">
        <is>
          <t>-135K52.1</t>
        </is>
      </c>
    </row>
    <row r="1320">
      <c r="A1320">
        <v>1319</v>
      </c>
      <c r="B1320">
        <f>GS25</f>
        <v>0</v>
      </c>
      <c r="C1320" t="inlineStr">
        <is>
          <t>+LS2</t>
        </is>
      </c>
      <c r="D1320" t="inlineStr">
        <is>
          <t>-135K61.3</t>
        </is>
      </c>
      <c r="E1320" t="inlineStr">
        <is>
          <t>DIL_EM-10-G</t>
        </is>
      </c>
      <c r="F1320" t="inlineStr">
        <is>
          <t>#KALK!</t>
        </is>
      </c>
      <c r="G1320" t="inlineStr">
        <is>
          <t>LASTSCHUETZ</t>
        </is>
      </c>
      <c r="H1320" t="inlineStr">
        <is>
          <t>4kW 1S</t>
        </is>
      </c>
      <c r="I1320">
        <v>256</v>
      </c>
      <c r="J1320">
        <f>GS25/135.7</f>
        <v>0</v>
      </c>
      <c r="M1320" t="inlineStr">
        <is>
          <t>-135K61.3</t>
        </is>
      </c>
    </row>
    <row r="1321">
      <c r="A1321">
        <v>1320</v>
      </c>
      <c r="B1321">
        <f>GS14</f>
        <v>0</v>
      </c>
      <c r="C1321" t="inlineStr">
        <is>
          <t>+LS2</t>
        </is>
      </c>
      <c r="D1321" t="inlineStr">
        <is>
          <t>-135K63.5</t>
        </is>
      </c>
      <c r="E1321" t="inlineStr">
        <is>
          <t>DIL_EM-10-G</t>
        </is>
      </c>
      <c r="F1321" t="inlineStr">
        <is>
          <t>#KALK!</t>
        </is>
      </c>
      <c r="G1321" t="inlineStr">
        <is>
          <t>LASTSCHUETZ</t>
        </is>
      </c>
      <c r="H1321" t="inlineStr">
        <is>
          <t>4kW 1S</t>
        </is>
      </c>
      <c r="I1321">
        <v>261</v>
      </c>
      <c r="J1321">
        <f>GS14/135.6</f>
        <v>0</v>
      </c>
      <c r="M1321" t="inlineStr">
        <is>
          <t>-135K63.5</t>
        </is>
      </c>
    </row>
    <row r="1322">
      <c r="A1322">
        <v>1321</v>
      </c>
      <c r="B1322">
        <f>GS24</f>
        <v>0</v>
      </c>
      <c r="C1322" t="inlineStr">
        <is>
          <t>+LS2</t>
        </is>
      </c>
      <c r="D1322" t="inlineStr">
        <is>
          <t>-135K63.5</t>
        </is>
      </c>
      <c r="E1322" t="inlineStr">
        <is>
          <t>DIL_EM-10-G</t>
        </is>
      </c>
      <c r="F1322" t="inlineStr">
        <is>
          <t>#KALK!</t>
        </is>
      </c>
      <c r="G1322" t="inlineStr">
        <is>
          <t>LASTSCHUETZ</t>
        </is>
      </c>
      <c r="H1322" t="inlineStr">
        <is>
          <t>4kW 1S</t>
        </is>
      </c>
      <c r="I1322">
        <v>944</v>
      </c>
      <c r="J1322">
        <f>GS24/135.6</f>
        <v>0</v>
      </c>
      <c r="M1322" t="inlineStr">
        <is>
          <t>-135K63.5</t>
        </is>
      </c>
    </row>
    <row r="1323">
      <c r="A1323">
        <v>1322</v>
      </c>
      <c r="B1323">
        <f>GS14</f>
        <v>0</v>
      </c>
      <c r="C1323" t="inlineStr">
        <is>
          <t>+LS2</t>
        </is>
      </c>
      <c r="D1323" t="inlineStr">
        <is>
          <t>-135K64.0</t>
        </is>
      </c>
      <c r="E1323" t="inlineStr">
        <is>
          <t>DIL_EM-10-G</t>
        </is>
      </c>
      <c r="F1323" t="inlineStr">
        <is>
          <t>#KALK!</t>
        </is>
      </c>
      <c r="G1323" t="inlineStr">
        <is>
          <t>LASTSCHUETZ</t>
        </is>
      </c>
      <c r="H1323" t="inlineStr">
        <is>
          <t>4kW 1S</t>
        </is>
      </c>
      <c r="I1323">
        <v>261</v>
      </c>
      <c r="J1323">
        <f>GS14/135.6</f>
        <v>0</v>
      </c>
      <c r="M1323" t="inlineStr">
        <is>
          <t>-135K64.0</t>
        </is>
      </c>
    </row>
    <row r="1324">
      <c r="A1324">
        <v>1323</v>
      </c>
      <c r="B1324">
        <f>GS24</f>
        <v>0</v>
      </c>
      <c r="C1324" t="inlineStr">
        <is>
          <t>+LS2</t>
        </is>
      </c>
      <c r="D1324" t="inlineStr">
        <is>
          <t>-135K64.0</t>
        </is>
      </c>
      <c r="E1324" t="inlineStr">
        <is>
          <t>DIL_EM-10-G</t>
        </is>
      </c>
      <c r="F1324" t="inlineStr">
        <is>
          <t>#KALK!</t>
        </is>
      </c>
      <c r="G1324" t="inlineStr">
        <is>
          <t>LASTSCHUETZ</t>
        </is>
      </c>
      <c r="H1324" t="inlineStr">
        <is>
          <t>4kW 1S</t>
        </is>
      </c>
      <c r="I1324">
        <v>944</v>
      </c>
      <c r="J1324">
        <f>GS24/135.6</f>
        <v>0</v>
      </c>
      <c r="M1324" t="inlineStr">
        <is>
          <t>-135K64.0</t>
        </is>
      </c>
    </row>
    <row r="1325">
      <c r="A1325">
        <v>1324</v>
      </c>
      <c r="B1325">
        <f>GS7x</f>
        <v>0</v>
      </c>
      <c r="C1325" t="inlineStr">
        <is>
          <t>+LS[l1]</t>
        </is>
      </c>
      <c r="D1325" t="inlineStr">
        <is>
          <t>-135Q[a+13].5</t>
        </is>
      </c>
      <c r="E1325" t="inlineStr">
        <is>
          <t>DILM-9-10</t>
        </is>
      </c>
      <c r="F1325" t="inlineStr">
        <is>
          <t>#KALK!</t>
        </is>
      </c>
      <c r="G1325" t="inlineStr">
        <is>
          <t>LASTSCHUETZ</t>
        </is>
      </c>
      <c r="H1325" t="inlineStr">
        <is>
          <t>4kW 1S Federzugkl.</t>
        </is>
      </c>
      <c r="I1325">
        <v>373</v>
      </c>
      <c r="J1325">
        <f>GS7x/135.6</f>
        <v>0</v>
      </c>
      <c r="M1325" t="inlineStr">
        <is>
          <t>-135Q[a+13].5</t>
        </is>
      </c>
    </row>
    <row r="1326">
      <c r="A1326">
        <v>1325</v>
      </c>
      <c r="B1326">
        <f>GS20</f>
        <v>0</v>
      </c>
      <c r="C1326" t="inlineStr">
        <is>
          <t>+LS01</t>
        </is>
      </c>
      <c r="D1326" t="inlineStr">
        <is>
          <t>-135Q1</t>
        </is>
      </c>
      <c r="E1326" t="inlineStr">
        <is>
          <t>DILA-XHI22</t>
        </is>
      </c>
      <c r="F1326" t="inlineStr">
        <is>
          <t>DILA-XHI22</t>
        </is>
      </c>
      <c r="G1326" t="inlineStr">
        <is>
          <t>HILFSKONTAKTBLOCK</t>
        </is>
      </c>
      <c r="H1326" t="inlineStr">
        <is>
          <t>2S 2OE Last+Hilfssch. Cage</t>
        </is>
      </c>
      <c r="I1326">
        <v>1940</v>
      </c>
      <c r="J1326">
        <f>GS20/135.4</f>
        <v>0</v>
      </c>
      <c r="K1326" t="inlineStr">
        <is>
          <t>DIL MC25</t>
        </is>
      </c>
      <c r="M1326" t="inlineStr">
        <is>
          <t>-135Q1</t>
        </is>
      </c>
    </row>
    <row r="1327">
      <c r="A1327">
        <v>1326</v>
      </c>
      <c r="B1327">
        <f>GS20</f>
        <v>0</v>
      </c>
      <c r="C1327" t="inlineStr">
        <is>
          <t>+LS01</t>
        </is>
      </c>
      <c r="D1327" t="inlineStr">
        <is>
          <t>-135Q1</t>
        </is>
      </c>
      <c r="E1327" t="inlineStr">
        <is>
          <t>DILMC25-10(RDC24)</t>
        </is>
      </c>
      <c r="F1327" t="inlineStr">
        <is>
          <t>DILA-XHI22</t>
        </is>
      </c>
      <c r="G1327" t="inlineStr">
        <is>
          <t>LASTSCHUETZ</t>
        </is>
      </c>
      <c r="H1327" t="inlineStr">
        <is>
          <t>11kW 1S Federzugkl.</t>
        </is>
      </c>
      <c r="I1327">
        <v>1940</v>
      </c>
      <c r="J1327">
        <f>GS20/135.4</f>
        <v>0</v>
      </c>
      <c r="K1327" t="inlineStr">
        <is>
          <t>DIL MC25</t>
        </is>
      </c>
      <c r="M1327" t="inlineStr">
        <is>
          <t>-135Q1</t>
        </is>
      </c>
    </row>
    <row r="1328">
      <c r="A1328">
        <v>1327</v>
      </c>
      <c r="B1328">
        <f>GS36</f>
        <v>0</v>
      </c>
      <c r="C1328" t="inlineStr">
        <is>
          <t>+LS02</t>
        </is>
      </c>
      <c r="D1328" t="inlineStr">
        <is>
          <t>-135Q1</t>
        </is>
      </c>
      <c r="E1328" t="inlineStr">
        <is>
          <t>DILMC40(RDC24)</t>
        </is>
      </c>
      <c r="F1328" t="inlineStr">
        <is>
          <t>DILM150-XHIC22</t>
        </is>
      </c>
      <c r="G1328" t="inlineStr">
        <is>
          <t>LASTSCHUETZ</t>
        </is>
      </c>
      <c r="H1328" t="inlineStr">
        <is>
          <t>18,5kW Federzugkl.</t>
        </is>
      </c>
      <c r="I1328">
        <v>308</v>
      </c>
      <c r="J1328">
        <f>GS36/135.4</f>
        <v>0</v>
      </c>
      <c r="K1328" t="inlineStr">
        <is>
          <t>DIL MC 40</t>
        </is>
      </c>
      <c r="L1328" t="inlineStr">
        <is>
          <t>SF_0301</t>
        </is>
      </c>
      <c r="M1328" t="inlineStr">
        <is>
          <t>SF_0301
-135Q1</t>
        </is>
      </c>
      <c r="N1328" t="inlineStr">
        <is>
          <t>P</t>
        </is>
      </c>
    </row>
    <row r="1329">
      <c r="A1329">
        <v>1328</v>
      </c>
      <c r="B1329">
        <f>GS36</f>
        <v>0</v>
      </c>
      <c r="C1329" t="inlineStr">
        <is>
          <t>+LS02</t>
        </is>
      </c>
      <c r="D1329" t="inlineStr">
        <is>
          <t>-135Q1</t>
        </is>
      </c>
      <c r="E1329" t="inlineStr">
        <is>
          <t>DILM150-XHIC22</t>
        </is>
      </c>
      <c r="F1329" t="inlineStr">
        <is>
          <t>DILM150-XHIC22</t>
        </is>
      </c>
      <c r="G1329" t="inlineStr">
        <is>
          <t>HILFSKONTAKTBLOCK</t>
        </is>
      </c>
      <c r="H1329" t="inlineStr">
        <is>
          <t>2S 2OE ab DILMC40</t>
        </is>
      </c>
      <c r="I1329">
        <v>308</v>
      </c>
      <c r="J1329">
        <f>GS36/135.4</f>
        <v>0</v>
      </c>
      <c r="K1329" t="inlineStr">
        <is>
          <t>DIL MC 40</t>
        </is>
      </c>
      <c r="L1329" t="inlineStr">
        <is>
          <t>SF_0301</t>
        </is>
      </c>
      <c r="M1329" t="inlineStr">
        <is>
          <t>SF_0301
-135Q1</t>
        </is>
      </c>
      <c r="N1329" t="inlineStr">
        <is>
          <t>P</t>
        </is>
      </c>
    </row>
    <row r="1330">
      <c r="A1330">
        <v>1329</v>
      </c>
      <c r="B1330">
        <f>GS92</f>
        <v>0</v>
      </c>
      <c r="C1330" t="inlineStr">
        <is>
          <t>+LS01</t>
        </is>
      </c>
      <c r="D1330" t="inlineStr">
        <is>
          <t>-135Q1</t>
        </is>
      </c>
      <c r="E1330" t="inlineStr">
        <is>
          <t>DILA-XHI22</t>
        </is>
      </c>
      <c r="F1330" t="inlineStr">
        <is>
          <t>DILA-XHI22</t>
        </is>
      </c>
      <c r="G1330" t="inlineStr">
        <is>
          <t>HILFSKONTAKTBLOCK</t>
        </is>
      </c>
      <c r="H1330" t="inlineStr">
        <is>
          <t>2S 2OE Last+Hilfssch. Cage</t>
        </is>
      </c>
      <c r="I1330">
        <v>281</v>
      </c>
      <c r="J1330">
        <f>GS92/135.4</f>
        <v>0</v>
      </c>
      <c r="K1330" t="inlineStr">
        <is>
          <t>DIL MC25</t>
        </is>
      </c>
      <c r="M1330" t="inlineStr">
        <is>
          <t>-135Q1</t>
        </is>
      </c>
    </row>
    <row r="1331">
      <c r="A1331">
        <v>1330</v>
      </c>
      <c r="B1331">
        <f>GS92</f>
        <v>0</v>
      </c>
      <c r="C1331" t="inlineStr">
        <is>
          <t>+LS01</t>
        </is>
      </c>
      <c r="D1331" t="inlineStr">
        <is>
          <t>-135Q1</t>
        </is>
      </c>
      <c r="E1331" t="inlineStr">
        <is>
          <t>DILMC25-10(RDC24)</t>
        </is>
      </c>
      <c r="F1331" t="inlineStr">
        <is>
          <t>DILA-XHI22</t>
        </is>
      </c>
      <c r="G1331" t="inlineStr">
        <is>
          <t>LASTSCHUETZ</t>
        </is>
      </c>
      <c r="H1331" t="inlineStr">
        <is>
          <t>11kW 1S Federzugkl.</t>
        </is>
      </c>
      <c r="I1331">
        <v>281</v>
      </c>
      <c r="J1331">
        <f>GS92/135.4</f>
        <v>0</v>
      </c>
      <c r="K1331" t="inlineStr">
        <is>
          <t>DIL MC25</t>
        </is>
      </c>
      <c r="M1331" t="inlineStr">
        <is>
          <t>-135Q1</t>
        </is>
      </c>
    </row>
    <row r="1332">
      <c r="A1332">
        <v>1331</v>
      </c>
      <c r="B1332">
        <f>GS46</f>
        <v>0</v>
      </c>
      <c r="C1332" t="inlineStr">
        <is>
          <t>+LS01</t>
        </is>
      </c>
      <c r="D1332" t="inlineStr">
        <is>
          <t>-135Q146.1</t>
        </is>
      </c>
      <c r="E1332" t="inlineStr">
        <is>
          <t>DILM-9-10</t>
        </is>
      </c>
      <c r="F1332" t="inlineStr">
        <is>
          <t>#KALK!</t>
        </is>
      </c>
      <c r="G1332" t="inlineStr">
        <is>
          <t>LASTSCHUETZ</t>
        </is>
      </c>
      <c r="H1332" t="inlineStr">
        <is>
          <t>4kW 1S Federzugkl.</t>
        </is>
      </c>
      <c r="I1332">
        <v>449</v>
      </c>
      <c r="J1332">
        <f>GS46/135.6</f>
        <v>0</v>
      </c>
      <c r="M1332" t="inlineStr">
        <is>
          <t>-135Q146.1</t>
        </is>
      </c>
    </row>
    <row r="1333">
      <c r="A1333">
        <v>1332</v>
      </c>
      <c r="B1333">
        <f>GS47</f>
        <v>0</v>
      </c>
      <c r="C1333" t="inlineStr">
        <is>
          <t>+LS01</t>
        </is>
      </c>
      <c r="D1333" t="inlineStr">
        <is>
          <t>-135Q146.1</t>
        </is>
      </c>
      <c r="E1333" t="inlineStr">
        <is>
          <t>DILM-9-10</t>
        </is>
      </c>
      <c r="F1333" t="inlineStr">
        <is>
          <t>#KALK!</t>
        </is>
      </c>
      <c r="G1333" t="inlineStr">
        <is>
          <t>LASTSCHUETZ</t>
        </is>
      </c>
      <c r="H1333" t="inlineStr">
        <is>
          <t>4kW 1S Federzugkl.</t>
        </is>
      </c>
      <c r="I1333">
        <v>449</v>
      </c>
      <c r="J1333">
        <f>GS47/135.6</f>
        <v>0</v>
      </c>
      <c r="M1333" t="inlineStr">
        <is>
          <t>-135Q146.1</t>
        </is>
      </c>
    </row>
    <row r="1334">
      <c r="A1334">
        <v>1333</v>
      </c>
      <c r="B1334">
        <f>GS48</f>
        <v>0</v>
      </c>
      <c r="C1334" t="inlineStr">
        <is>
          <t>+LS01</t>
        </is>
      </c>
      <c r="D1334" t="inlineStr">
        <is>
          <t>-135Q146.1</t>
        </is>
      </c>
      <c r="E1334" t="inlineStr">
        <is>
          <t>DILM-9-10</t>
        </is>
      </c>
      <c r="F1334" t="inlineStr">
        <is>
          <t>#KALK!</t>
        </is>
      </c>
      <c r="G1334" t="inlineStr">
        <is>
          <t>LASTSCHUETZ</t>
        </is>
      </c>
      <c r="H1334" t="inlineStr">
        <is>
          <t>4kW 1S Federzugkl.</t>
        </is>
      </c>
      <c r="I1334">
        <v>287</v>
      </c>
      <c r="J1334">
        <f>GS48/135.6</f>
        <v>0</v>
      </c>
      <c r="M1334" t="inlineStr">
        <is>
          <t>-135Q146.1</t>
        </is>
      </c>
    </row>
    <row r="1335">
      <c r="A1335">
        <v>1334</v>
      </c>
      <c r="B1335">
        <f>GS49</f>
        <v>0</v>
      </c>
      <c r="C1335" t="inlineStr">
        <is>
          <t>+LS01</t>
        </is>
      </c>
      <c r="D1335" t="inlineStr">
        <is>
          <t>-135Q146.1</t>
        </is>
      </c>
      <c r="E1335" t="inlineStr">
        <is>
          <t>DILM-9-10</t>
        </is>
      </c>
      <c r="F1335" t="inlineStr">
        <is>
          <t>#KALK!</t>
        </is>
      </c>
      <c r="G1335" t="inlineStr">
        <is>
          <t>LASTSCHUETZ</t>
        </is>
      </c>
      <c r="H1335" t="inlineStr">
        <is>
          <t>4kW 1S Federzugkl.</t>
        </is>
      </c>
      <c r="I1335">
        <v>286</v>
      </c>
      <c r="J1335">
        <f>GS49/135.6</f>
        <v>0</v>
      </c>
      <c r="M1335" t="inlineStr">
        <is>
          <t>-135Q146.1</t>
        </is>
      </c>
    </row>
    <row r="1336">
      <c r="A1336">
        <v>1335</v>
      </c>
      <c r="B1336">
        <f>GS93</f>
        <v>0</v>
      </c>
      <c r="C1336" t="inlineStr">
        <is>
          <t>+LS01</t>
        </is>
      </c>
      <c r="D1336" t="inlineStr">
        <is>
          <t>-135Q153.6</t>
        </is>
      </c>
      <c r="E1336" t="inlineStr">
        <is>
          <t>DILM-9-10</t>
        </is>
      </c>
      <c r="F1336" t="inlineStr">
        <is>
          <t>#KALK!</t>
        </is>
      </c>
      <c r="G1336" t="inlineStr">
        <is>
          <t>LASTSCHUETZ</t>
        </is>
      </c>
      <c r="H1336" t="inlineStr">
        <is>
          <t>4kW 1S Federzugkl.</t>
        </is>
      </c>
      <c r="I1336">
        <v>704</v>
      </c>
      <c r="J1336">
        <f>GS93/135.5</f>
        <v>0</v>
      </c>
      <c r="M1336" t="inlineStr">
        <is>
          <t>-135Q153.6</t>
        </is>
      </c>
    </row>
    <row r="1337">
      <c r="A1337">
        <v>1336</v>
      </c>
      <c r="B1337">
        <f>GS91</f>
        <v>0</v>
      </c>
      <c r="C1337" t="inlineStr">
        <is>
          <t>+LS01</t>
        </is>
      </c>
      <c r="D1337" t="inlineStr">
        <is>
          <t>-135Q157.1</t>
        </is>
      </c>
      <c r="E1337" t="inlineStr">
        <is>
          <t>DILM-9-10</t>
        </is>
      </c>
      <c r="F1337" t="inlineStr">
        <is>
          <t>#KALK!</t>
        </is>
      </c>
      <c r="G1337" t="inlineStr">
        <is>
          <t>LASTSCHUETZ</t>
        </is>
      </c>
      <c r="H1337" t="inlineStr">
        <is>
          <t>4kW 1S Federzugkl.</t>
        </is>
      </c>
      <c r="I1337">
        <v>278</v>
      </c>
      <c r="J1337">
        <f>GS91/135.5</f>
        <v>0</v>
      </c>
      <c r="M1337" t="inlineStr">
        <is>
          <t>-135Q157.1</t>
        </is>
      </c>
    </row>
    <row r="1338">
      <c r="A1338">
        <v>1337</v>
      </c>
      <c r="B1338">
        <f>GS37</f>
        <v>0</v>
      </c>
      <c r="C1338" t="inlineStr">
        <is>
          <t>+LS01</t>
        </is>
      </c>
      <c r="D1338" t="inlineStr">
        <is>
          <t>-135Q413.6</t>
        </is>
      </c>
      <c r="E1338" t="inlineStr">
        <is>
          <t>DILMC12-10(24VDC)</t>
        </is>
      </c>
      <c r="F1338" t="inlineStr">
        <is>
          <t>#KALK!</t>
        </is>
      </c>
      <c r="G1338" t="inlineStr">
        <is>
          <t>LASTSCHUETZ</t>
        </is>
      </c>
      <c r="H1338" t="inlineStr">
        <is>
          <t>5,5kW 1S Federzugkl.</t>
        </is>
      </c>
      <c r="I1338">
        <v>142</v>
      </c>
      <c r="J1338">
        <f>GS37/135.5</f>
        <v>0</v>
      </c>
      <c r="K1338" t="inlineStr">
        <is>
          <t>DILMC12</t>
        </is>
      </c>
      <c r="M1338" t="inlineStr">
        <is>
          <t>-135Q413.6</t>
        </is>
      </c>
    </row>
    <row r="1339">
      <c r="A1339">
        <v>1338</v>
      </c>
      <c r="B1339">
        <f>GS51</f>
        <v>0</v>
      </c>
      <c r="C1339" t="inlineStr">
        <is>
          <t>+LS20</t>
        </is>
      </c>
      <c r="D1339" t="inlineStr">
        <is>
          <t>-1361Q796.4</t>
        </is>
      </c>
      <c r="E1339" t="inlineStr">
        <is>
          <t>DILM-9-10</t>
        </is>
      </c>
      <c r="F1339" t="inlineStr">
        <is>
          <t>#KALK!</t>
        </is>
      </c>
      <c r="G1339" t="inlineStr">
        <is>
          <t>LASTSCHUETZ</t>
        </is>
      </c>
      <c r="H1339" t="inlineStr">
        <is>
          <t>4kW 1S Federzugkl.</t>
        </is>
      </c>
      <c r="I1339">
        <v>1482</v>
      </c>
      <c r="J1339">
        <f>GS51/1361.6</f>
        <v>0</v>
      </c>
      <c r="K1339" t="inlineStr">
        <is>
          <t>DIL MC9</t>
        </is>
      </c>
      <c r="M1339" t="inlineStr">
        <is>
          <t>-1361Q796.4</t>
        </is>
      </c>
    </row>
    <row r="1340">
      <c r="A1340">
        <v>1339</v>
      </c>
      <c r="B1340">
        <f>GS51</f>
        <v>0</v>
      </c>
      <c r="C1340" t="inlineStr">
        <is>
          <t>+LS20</t>
        </is>
      </c>
      <c r="D1340" t="inlineStr">
        <is>
          <t>-1365K794.5</t>
        </is>
      </c>
      <c r="E1340" t="inlineStr">
        <is>
          <t>DILA-22</t>
        </is>
      </c>
      <c r="F1340" t="inlineStr">
        <is>
          <t>#KALK!</t>
        </is>
      </c>
      <c r="G1340" t="inlineStr">
        <is>
          <t>HILFSSCHUETZ</t>
        </is>
      </c>
      <c r="H1340" t="inlineStr">
        <is>
          <t>2S 2Oe Federzugkl.</t>
        </is>
      </c>
      <c r="I1340">
        <v>1485</v>
      </c>
      <c r="J1340">
        <f>GS51/1365.5</f>
        <v>0</v>
      </c>
      <c r="M1340" t="inlineStr">
        <is>
          <t>-1365K794.5</t>
        </is>
      </c>
    </row>
    <row r="1341">
      <c r="A1341">
        <v>1340</v>
      </c>
      <c r="B1341">
        <f>GS51</f>
        <v>0</v>
      </c>
      <c r="C1341" t="inlineStr">
        <is>
          <t>+LS20</t>
        </is>
      </c>
      <c r="D1341" t="inlineStr">
        <is>
          <t>-1365Q1</t>
        </is>
      </c>
      <c r="E1341" t="inlineStr">
        <is>
          <t>DILMC12-10(24VDC)</t>
        </is>
      </c>
      <c r="F1341" t="inlineStr">
        <is>
          <t>DILA-XHIC40</t>
        </is>
      </c>
      <c r="G1341" t="inlineStr">
        <is>
          <t>LASTSCHUETZ</t>
        </is>
      </c>
      <c r="H1341" t="inlineStr">
        <is>
          <t>5,5kW 1S Federzugkl.</t>
        </is>
      </c>
      <c r="I1341">
        <v>1485</v>
      </c>
      <c r="J1341">
        <f>GS51/1365.4</f>
        <v>0</v>
      </c>
      <c r="K1341" t="inlineStr">
        <is>
          <t>DIL MC12</t>
        </is>
      </c>
      <c r="M1341" t="inlineStr">
        <is>
          <t>-1365Q1</t>
        </is>
      </c>
    </row>
    <row r="1342">
      <c r="A1342">
        <v>1341</v>
      </c>
      <c r="B1342">
        <f>GS51</f>
        <v>0</v>
      </c>
      <c r="C1342" t="inlineStr">
        <is>
          <t>+LS20</t>
        </is>
      </c>
      <c r="D1342" t="inlineStr">
        <is>
          <t>-1365Q1</t>
        </is>
      </c>
      <c r="E1342" t="inlineStr">
        <is>
          <t>DILA-XHIC40</t>
        </is>
      </c>
      <c r="F1342" t="inlineStr">
        <is>
          <t>DILA-XHIC40</t>
        </is>
      </c>
      <c r="G1342" t="inlineStr">
        <is>
          <t>HILFSKONTAKTBLOCK</t>
        </is>
      </c>
      <c r="H1342" t="inlineStr">
        <is>
          <t>4S Last+Hilfssch. Cage</t>
        </is>
      </c>
      <c r="I1342">
        <v>1485</v>
      </c>
      <c r="J1342">
        <f>GS51/1365.4</f>
        <v>0</v>
      </c>
      <c r="K1342" t="inlineStr">
        <is>
          <t>DIL MC12</t>
        </is>
      </c>
      <c r="M1342" t="inlineStr">
        <is>
          <t>-1365Q1</t>
        </is>
      </c>
    </row>
    <row r="1343">
      <c r="A1343">
        <v>1342</v>
      </c>
      <c r="B1343">
        <f>GS55</f>
        <v>0</v>
      </c>
      <c r="C1343" t="inlineStr">
        <is>
          <t>+LS22</t>
        </is>
      </c>
      <c r="D1343" t="inlineStr">
        <is>
          <t>-1365Q1</t>
        </is>
      </c>
      <c r="E1343" t="inlineStr">
        <is>
          <t>DILA-XHI22</t>
        </is>
      </c>
      <c r="F1343" t="inlineStr">
        <is>
          <t>DILA-XHI22</t>
        </is>
      </c>
      <c r="G1343" t="inlineStr">
        <is>
          <t>HILFSKONTAKTBLOCK</t>
        </is>
      </c>
      <c r="H1343" t="inlineStr">
        <is>
          <t>2S 2OE Last+Hilfssch. Cage</t>
        </is>
      </c>
      <c r="I1343">
        <v>1586</v>
      </c>
      <c r="J1343">
        <f>GS55/1365.6</f>
        <v>0</v>
      </c>
      <c r="K1343" t="inlineStr">
        <is>
          <t>DIL MC25</t>
        </is>
      </c>
      <c r="M1343" t="inlineStr">
        <is>
          <t>-1365Q1</t>
        </is>
      </c>
    </row>
    <row r="1344">
      <c r="A1344">
        <v>1343</v>
      </c>
      <c r="B1344">
        <f>GS55</f>
        <v>0</v>
      </c>
      <c r="C1344" t="inlineStr">
        <is>
          <t>+LS22</t>
        </is>
      </c>
      <c r="D1344" t="inlineStr">
        <is>
          <t>-1365Q1</t>
        </is>
      </c>
      <c r="E1344" t="inlineStr">
        <is>
          <t>DILMC25-10(RDC24)</t>
        </is>
      </c>
      <c r="F1344" t="inlineStr">
        <is>
          <t>DILA-XHI22</t>
        </is>
      </c>
      <c r="G1344" t="inlineStr">
        <is>
          <t>LASTSCHUETZ</t>
        </is>
      </c>
      <c r="H1344" t="inlineStr">
        <is>
          <t>11kW 1S Federzugkl.</t>
        </is>
      </c>
      <c r="I1344">
        <v>1586</v>
      </c>
      <c r="J1344">
        <f>GS55/1365.6</f>
        <v>0</v>
      </c>
      <c r="K1344" t="inlineStr">
        <is>
          <t>DIL MC25</t>
        </is>
      </c>
      <c r="M1344" t="inlineStr">
        <is>
          <t>-1365Q1</t>
        </is>
      </c>
    </row>
    <row r="1345">
      <c r="A1345">
        <v>1344</v>
      </c>
      <c r="B1345">
        <f>GS55</f>
        <v>0</v>
      </c>
      <c r="C1345" t="inlineStr">
        <is>
          <t>+LS22</t>
        </is>
      </c>
      <c r="D1345" t="inlineStr">
        <is>
          <t>-1368Q728.2</t>
        </is>
      </c>
      <c r="E1345" t="inlineStr">
        <is>
          <t>DILA-XHI22</t>
        </is>
      </c>
      <c r="F1345" t="inlineStr">
        <is>
          <t>DILA-XHI22</t>
        </is>
      </c>
      <c r="G1345" t="inlineStr">
        <is>
          <t>HILFSKONTAKTBLOCK</t>
        </is>
      </c>
      <c r="H1345" t="inlineStr">
        <is>
          <t>2S 2OE Last+Hilfssch. Cage</t>
        </is>
      </c>
      <c r="I1345">
        <v>1589</v>
      </c>
      <c r="J1345">
        <f>GS55/1368.6</f>
        <v>0</v>
      </c>
      <c r="K1345" t="inlineStr">
        <is>
          <t>DIL MC9 HT2507</t>
        </is>
      </c>
      <c r="M1345" t="inlineStr">
        <is>
          <t>-1368Q728.2</t>
        </is>
      </c>
    </row>
    <row r="1346">
      <c r="A1346">
        <v>1345</v>
      </c>
      <c r="B1346">
        <f>GS55</f>
        <v>0</v>
      </c>
      <c r="C1346" t="inlineStr">
        <is>
          <t>+LS22</t>
        </is>
      </c>
      <c r="D1346" t="inlineStr">
        <is>
          <t>-1368Q728.2</t>
        </is>
      </c>
      <c r="E1346" t="inlineStr">
        <is>
          <t>DILM-9-10</t>
        </is>
      </c>
      <c r="F1346" t="inlineStr">
        <is>
          <t>DILA-XHI22</t>
        </is>
      </c>
      <c r="G1346" t="inlineStr">
        <is>
          <t>LASTSCHUETZ</t>
        </is>
      </c>
      <c r="H1346" t="inlineStr">
        <is>
          <t>4kW 1S Federzugkl.</t>
        </is>
      </c>
      <c r="I1346">
        <v>1589</v>
      </c>
      <c r="J1346">
        <f>GS55/1368.6</f>
        <v>0</v>
      </c>
      <c r="K1346" t="inlineStr">
        <is>
          <t>DIL MC9 HT2507</t>
        </is>
      </c>
      <c r="M1346" t="inlineStr">
        <is>
          <t>-1368Q728.2</t>
        </is>
      </c>
    </row>
    <row r="1347">
      <c r="A1347">
        <v>1346</v>
      </c>
      <c r="B1347">
        <f>GS55</f>
        <v>0</v>
      </c>
      <c r="C1347" t="inlineStr">
        <is>
          <t>+LS22</t>
        </is>
      </c>
      <c r="D1347" t="inlineStr">
        <is>
          <t>-1368Q728.4</t>
        </is>
      </c>
      <c r="E1347" t="inlineStr">
        <is>
          <t>DILA-XHI22</t>
        </is>
      </c>
      <c r="F1347" t="inlineStr">
        <is>
          <t>DILA-XHI22</t>
        </is>
      </c>
      <c r="G1347" t="inlineStr">
        <is>
          <t>HILFSKONTAKTBLOCK</t>
        </is>
      </c>
      <c r="H1347" t="inlineStr">
        <is>
          <t>2S 2OE Last+Hilfssch. Cage</t>
        </is>
      </c>
      <c r="I1347">
        <v>1589</v>
      </c>
      <c r="J1347">
        <f>GS55/1368.7</f>
        <v>0</v>
      </c>
      <c r="K1347" t="inlineStr">
        <is>
          <t>DIL MC9 HT2507</t>
        </is>
      </c>
      <c r="M1347" t="inlineStr">
        <is>
          <t>-1368Q728.4</t>
        </is>
      </c>
    </row>
    <row r="1348">
      <c r="A1348">
        <v>1347</v>
      </c>
      <c r="B1348">
        <f>GS55</f>
        <v>0</v>
      </c>
      <c r="C1348" t="inlineStr">
        <is>
          <t>+LS22</t>
        </is>
      </c>
      <c r="D1348" t="inlineStr">
        <is>
          <t>-1368Q728.4</t>
        </is>
      </c>
      <c r="E1348" t="inlineStr">
        <is>
          <t>DILM-9-10</t>
        </is>
      </c>
      <c r="F1348" t="inlineStr">
        <is>
          <t>DILA-XHI22</t>
        </is>
      </c>
      <c r="G1348" t="inlineStr">
        <is>
          <t>LASTSCHUETZ</t>
        </is>
      </c>
      <c r="H1348" t="inlineStr">
        <is>
          <t>4kW 1S Federzugkl.</t>
        </is>
      </c>
      <c r="I1348">
        <v>1589</v>
      </c>
      <c r="J1348">
        <f>GS55/1368.7</f>
        <v>0</v>
      </c>
      <c r="K1348" t="inlineStr">
        <is>
          <t>DIL MC9 HT2507</t>
        </is>
      </c>
      <c r="M1348" t="inlineStr">
        <is>
          <t>-1368Q728.4</t>
        </is>
      </c>
    </row>
    <row r="1349">
      <c r="A1349">
        <v>1348</v>
      </c>
      <c r="B1349">
        <f>GC22</f>
        <v>0</v>
      </c>
      <c r="C1349" t="inlineStr">
        <is>
          <t>+LS1</t>
        </is>
      </c>
      <c r="D1349" t="inlineStr">
        <is>
          <t>-136K1</t>
        </is>
      </c>
      <c r="E1349" t="inlineStr">
        <is>
          <t>DIL_2AM</t>
        </is>
      </c>
      <c r="F1349" t="inlineStr">
        <is>
          <t>22_DIL-M</t>
        </is>
      </c>
      <c r="G1349" t="inlineStr">
        <is>
          <t>LASTSCHUETZ</t>
        </is>
      </c>
      <c r="H1349" t="inlineStr">
        <is>
          <t>30 kW</t>
        </is>
      </c>
      <c r="I1349">
        <v>4003</v>
      </c>
      <c r="J1349">
        <f>GC22/136.2</f>
        <v>0</v>
      </c>
      <c r="K1349" t="inlineStr">
        <is>
          <t>DIL2AM</t>
        </is>
      </c>
      <c r="M1349" t="inlineStr">
        <is>
          <t>-136K1</t>
        </is>
      </c>
    </row>
    <row r="1350">
      <c r="A1350">
        <v>1349</v>
      </c>
      <c r="B1350">
        <f>GC22</f>
        <v>0</v>
      </c>
      <c r="C1350" t="inlineStr">
        <is>
          <t>+LS1</t>
        </is>
      </c>
      <c r="D1350" t="inlineStr">
        <is>
          <t>-136K1</t>
        </is>
      </c>
      <c r="E1350" t="inlineStr">
        <is>
          <t>22_DIL-M</t>
        </is>
      </c>
      <c r="F1350" t="inlineStr">
        <is>
          <t>22_DIL-M</t>
        </is>
      </c>
      <c r="G1350" t="inlineStr">
        <is>
          <t>HILFSKONTAKTBLOCK</t>
        </is>
      </c>
      <c r="H1350" t="inlineStr">
        <is>
          <t>2S 2OE Lastschuetz DIL M</t>
        </is>
      </c>
      <c r="I1350">
        <v>4003</v>
      </c>
      <c r="J1350">
        <f>GC22/136.2</f>
        <v>0</v>
      </c>
      <c r="K1350" t="inlineStr">
        <is>
          <t>DIL2AM</t>
        </is>
      </c>
      <c r="M1350" t="inlineStr">
        <is>
          <t>-136K1</t>
        </is>
      </c>
    </row>
    <row r="1351">
      <c r="A1351">
        <v>1350</v>
      </c>
      <c r="B1351">
        <f>GS12</f>
        <v>0</v>
      </c>
      <c r="C1351" t="inlineStr">
        <is>
          <t>+LS1</t>
        </is>
      </c>
      <c r="D1351" t="inlineStr">
        <is>
          <t>-136K1</t>
        </is>
      </c>
      <c r="E1351" t="inlineStr">
        <is>
          <t>DIL_2AM</t>
        </is>
      </c>
      <c r="F1351" t="inlineStr">
        <is>
          <t>22_DIL-M</t>
        </is>
      </c>
      <c r="G1351" t="inlineStr">
        <is>
          <t>LASTSCHUETZ</t>
        </is>
      </c>
      <c r="H1351" t="inlineStr">
        <is>
          <t>30 kW</t>
        </is>
      </c>
      <c r="I1351">
        <v>268</v>
      </c>
      <c r="J1351">
        <f>GS12/136.2</f>
        <v>0</v>
      </c>
      <c r="K1351" t="inlineStr">
        <is>
          <t>DIL2AM</t>
        </is>
      </c>
      <c r="M1351" t="inlineStr">
        <is>
          <t>-136K1</t>
        </is>
      </c>
    </row>
    <row r="1352">
      <c r="A1352">
        <v>1351</v>
      </c>
      <c r="B1352">
        <f>GS12</f>
        <v>0</v>
      </c>
      <c r="C1352" t="inlineStr">
        <is>
          <t>+LS1</t>
        </is>
      </c>
      <c r="D1352" t="inlineStr">
        <is>
          <t>-136K1</t>
        </is>
      </c>
      <c r="E1352" t="inlineStr">
        <is>
          <t>22_DIL-M</t>
        </is>
      </c>
      <c r="F1352" t="inlineStr">
        <is>
          <t>22_DIL-M</t>
        </is>
      </c>
      <c r="G1352" t="inlineStr">
        <is>
          <t>HILFSKONTAKTBLOCK</t>
        </is>
      </c>
      <c r="H1352" t="inlineStr">
        <is>
          <t>2S 2OE Lastschuetz DIL M</t>
        </is>
      </c>
      <c r="I1352">
        <v>268</v>
      </c>
      <c r="J1352">
        <f>GS12/136.2</f>
        <v>0</v>
      </c>
      <c r="K1352" t="inlineStr">
        <is>
          <t>DIL2AM</t>
        </is>
      </c>
      <c r="M1352" t="inlineStr">
        <is>
          <t>-136K1</t>
        </is>
      </c>
    </row>
    <row r="1353">
      <c r="A1353">
        <v>1352</v>
      </c>
      <c r="B1353">
        <f>GS33</f>
        <v>0</v>
      </c>
      <c r="C1353" t="inlineStr">
        <is>
          <t>+LS2</t>
        </is>
      </c>
      <c r="D1353" t="inlineStr">
        <is>
          <t>-136K18.6</t>
        </is>
      </c>
      <c r="E1353" t="inlineStr">
        <is>
          <t>DIL_EM-10-G</t>
        </is>
      </c>
      <c r="F1353" t="inlineStr">
        <is>
          <t>#KALK!</t>
        </is>
      </c>
      <c r="G1353" t="inlineStr">
        <is>
          <t>LASTSCHUETZ</t>
        </is>
      </c>
      <c r="H1353" t="inlineStr">
        <is>
          <t>4kW 1S</t>
        </is>
      </c>
      <c r="I1353">
        <v>568</v>
      </c>
      <c r="J1353">
        <f>GS33/136.6</f>
        <v>0</v>
      </c>
      <c r="M1353" t="inlineStr">
        <is>
          <t>-136K18.6</t>
        </is>
      </c>
    </row>
    <row r="1354">
      <c r="A1354">
        <v>1353</v>
      </c>
      <c r="B1354">
        <f>GS11</f>
        <v>0</v>
      </c>
      <c r="C1354" t="inlineStr">
        <is>
          <t>+LS2</t>
        </is>
      </c>
      <c r="D1354" t="inlineStr">
        <is>
          <t>-136K34.3</t>
        </is>
      </c>
      <c r="E1354" t="inlineStr">
        <is>
          <t>DIL_EM-10-G</t>
        </is>
      </c>
      <c r="F1354" t="inlineStr">
        <is>
          <t>#KALK!</t>
        </is>
      </c>
      <c r="G1354" t="inlineStr">
        <is>
          <t>LASTSCHUETZ</t>
        </is>
      </c>
      <c r="H1354" t="inlineStr">
        <is>
          <t>4kW 1S</t>
        </is>
      </c>
      <c r="I1354">
        <v>247</v>
      </c>
      <c r="J1354">
        <f>GS11/136.7</f>
        <v>0</v>
      </c>
      <c r="M1354" t="inlineStr">
        <is>
          <t>-136K34.3</t>
        </is>
      </c>
    </row>
    <row r="1355">
      <c r="A1355">
        <v>1354</v>
      </c>
      <c r="B1355">
        <f>GS21</f>
        <v>0</v>
      </c>
      <c r="C1355" t="inlineStr">
        <is>
          <t>+LS2</t>
        </is>
      </c>
      <c r="D1355" t="inlineStr">
        <is>
          <t>-136K34.3</t>
        </is>
      </c>
      <c r="E1355" t="inlineStr">
        <is>
          <t>DIL_EM-10-G</t>
        </is>
      </c>
      <c r="F1355" t="inlineStr">
        <is>
          <t>#KALK!</t>
        </is>
      </c>
      <c r="G1355" t="inlineStr">
        <is>
          <t>LASTSCHUETZ</t>
        </is>
      </c>
      <c r="H1355" t="inlineStr">
        <is>
          <t>4kW 1S</t>
        </is>
      </c>
      <c r="I1355">
        <v>221</v>
      </c>
      <c r="J1355">
        <f>GS21/136.7</f>
        <v>0</v>
      </c>
      <c r="M1355" t="inlineStr">
        <is>
          <t>-136K34.3</t>
        </is>
      </c>
    </row>
    <row r="1356">
      <c r="A1356">
        <v>1355</v>
      </c>
      <c r="B1356">
        <f>GS26</f>
        <v>0</v>
      </c>
      <c r="C1356" t="inlineStr">
        <is>
          <t>+LS1</t>
        </is>
      </c>
      <c r="D1356" t="inlineStr">
        <is>
          <t>-136K3538.6</t>
        </is>
      </c>
      <c r="E1356" t="inlineStr">
        <is>
          <t>DILM-9-10</t>
        </is>
      </c>
      <c r="F1356" t="inlineStr">
        <is>
          <t>#KALK!</t>
        </is>
      </c>
      <c r="G1356" t="inlineStr">
        <is>
          <t>LASTSCHUETZ</t>
        </is>
      </c>
      <c r="H1356" t="inlineStr">
        <is>
          <t>4kW 1S Federzugkl.</t>
        </is>
      </c>
      <c r="I1356">
        <v>594</v>
      </c>
      <c r="J1356">
        <f>GS26/136.7</f>
        <v>0</v>
      </c>
      <c r="M1356" t="inlineStr">
        <is>
          <t>-136K3538.6</t>
        </is>
      </c>
    </row>
    <row r="1357">
      <c r="A1357">
        <v>1356</v>
      </c>
      <c r="B1357">
        <f>GC03</f>
        <v>0</v>
      </c>
      <c r="C1357" t="inlineStr">
        <is>
          <t>+LS2</t>
        </is>
      </c>
      <c r="D1357" t="inlineStr">
        <is>
          <t>-136K50.7</t>
        </is>
      </c>
      <c r="E1357" t="inlineStr">
        <is>
          <t>DIL_EM-10-G</t>
        </is>
      </c>
      <c r="F1357" t="inlineStr">
        <is>
          <t>#KALK!</t>
        </is>
      </c>
      <c r="G1357" t="inlineStr">
        <is>
          <t>LASTSCHUETZ</t>
        </is>
      </c>
      <c r="H1357" t="inlineStr">
        <is>
          <t>4kW 1S</t>
        </is>
      </c>
      <c r="I1357">
        <v>562</v>
      </c>
      <c r="J1357">
        <f>GC03/136.7</f>
        <v>0</v>
      </c>
      <c r="M1357" t="inlineStr">
        <is>
          <t>-136K50.7</t>
        </is>
      </c>
    </row>
    <row r="1358">
      <c r="A1358">
        <v>1357</v>
      </c>
      <c r="B1358">
        <f>GS33</f>
        <v>0</v>
      </c>
      <c r="C1358" t="inlineStr">
        <is>
          <t>+LS2</t>
        </is>
      </c>
      <c r="D1358" t="inlineStr">
        <is>
          <t>-136K52.2</t>
        </is>
      </c>
      <c r="E1358" t="inlineStr">
        <is>
          <t>DIL_EM-10-G</t>
        </is>
      </c>
      <c r="F1358" t="inlineStr">
        <is>
          <t>#KALK!</t>
        </is>
      </c>
      <c r="G1358" t="inlineStr">
        <is>
          <t>LASTSCHUETZ</t>
        </is>
      </c>
      <c r="H1358" t="inlineStr">
        <is>
          <t>4kW 1S</t>
        </is>
      </c>
      <c r="I1358">
        <v>568</v>
      </c>
      <c r="J1358">
        <f>GS33/136.6</f>
        <v>0</v>
      </c>
      <c r="M1358" t="inlineStr">
        <is>
          <t>-136K52.2</t>
        </is>
      </c>
    </row>
    <row r="1359">
      <c r="A1359">
        <v>1358</v>
      </c>
      <c r="B1359">
        <f>GS25</f>
        <v>0</v>
      </c>
      <c r="C1359" t="inlineStr">
        <is>
          <t>+LS2</t>
        </is>
      </c>
      <c r="D1359" t="inlineStr">
        <is>
          <t>-136K61.4</t>
        </is>
      </c>
      <c r="E1359" t="inlineStr">
        <is>
          <t>DIL_EM-10-G</t>
        </is>
      </c>
      <c r="F1359" t="inlineStr">
        <is>
          <t>#KALK!</t>
        </is>
      </c>
      <c r="G1359" t="inlineStr">
        <is>
          <t>LASTSCHUETZ</t>
        </is>
      </c>
      <c r="H1359" t="inlineStr">
        <is>
          <t>4kW 1S</t>
        </is>
      </c>
      <c r="I1359">
        <v>257</v>
      </c>
      <c r="J1359">
        <f>GS25/136.6</f>
        <v>0</v>
      </c>
      <c r="M1359" t="inlineStr">
        <is>
          <t>-136K61.4</t>
        </is>
      </c>
    </row>
    <row r="1360">
      <c r="A1360">
        <v>1359</v>
      </c>
      <c r="B1360">
        <f>GS25</f>
        <v>0</v>
      </c>
      <c r="C1360" t="inlineStr">
        <is>
          <t>+LS2</t>
        </is>
      </c>
      <c r="D1360" t="inlineStr">
        <is>
          <t>-136K61.5</t>
        </is>
      </c>
      <c r="E1360" t="inlineStr">
        <is>
          <t>DIL_EM-10-G</t>
        </is>
      </c>
      <c r="F1360" t="inlineStr">
        <is>
          <t>#KALK!</t>
        </is>
      </c>
      <c r="G1360" t="inlineStr">
        <is>
          <t>LASTSCHUETZ</t>
        </is>
      </c>
      <c r="H1360" t="inlineStr">
        <is>
          <t>4kW 1S</t>
        </is>
      </c>
      <c r="I1360">
        <v>257</v>
      </c>
      <c r="J1360">
        <f>GS25/136.6</f>
        <v>0</v>
      </c>
      <c r="M1360" t="inlineStr">
        <is>
          <t>-136K61.5</t>
        </is>
      </c>
    </row>
    <row r="1361">
      <c r="A1361">
        <v>1360</v>
      </c>
      <c r="B1361">
        <f>GS14</f>
        <v>0</v>
      </c>
      <c r="C1361" t="inlineStr">
        <is>
          <t>+LS2</t>
        </is>
      </c>
      <c r="D1361" t="inlineStr">
        <is>
          <t>-136K64.1</t>
        </is>
      </c>
      <c r="E1361" t="inlineStr">
        <is>
          <t>DIL_EM-10-G</t>
        </is>
      </c>
      <c r="F1361" t="inlineStr">
        <is>
          <t>#KALK!</t>
        </is>
      </c>
      <c r="G1361" t="inlineStr">
        <is>
          <t>LASTSCHUETZ</t>
        </is>
      </c>
      <c r="H1361" t="inlineStr">
        <is>
          <t>4kW 1S</t>
        </is>
      </c>
      <c r="I1361">
        <v>262</v>
      </c>
      <c r="J1361">
        <f>GS14/136.6</f>
        <v>0</v>
      </c>
      <c r="M1361" t="inlineStr">
        <is>
          <t>-136K64.1</t>
        </is>
      </c>
    </row>
    <row r="1362">
      <c r="A1362">
        <v>1361</v>
      </c>
      <c r="B1362">
        <f>GS24</f>
        <v>0</v>
      </c>
      <c r="C1362" t="inlineStr">
        <is>
          <t>+LS2</t>
        </is>
      </c>
      <c r="D1362" t="inlineStr">
        <is>
          <t>-136K64.1</t>
        </is>
      </c>
      <c r="E1362" t="inlineStr">
        <is>
          <t>DIL_EM-10-G</t>
        </is>
      </c>
      <c r="F1362" t="inlineStr">
        <is>
          <t>#KALK!</t>
        </is>
      </c>
      <c r="G1362" t="inlineStr">
        <is>
          <t>LASTSCHUETZ</t>
        </is>
      </c>
      <c r="H1362" t="inlineStr">
        <is>
          <t>4kW 1S</t>
        </is>
      </c>
      <c r="I1362">
        <v>943</v>
      </c>
      <c r="J1362">
        <f>GS24/136.6</f>
        <v>0</v>
      </c>
      <c r="M1362" t="inlineStr">
        <is>
          <t>-136K64.1</t>
        </is>
      </c>
    </row>
    <row r="1363">
      <c r="A1363">
        <v>1362</v>
      </c>
      <c r="B1363">
        <f>GS14</f>
        <v>0</v>
      </c>
      <c r="C1363" t="inlineStr">
        <is>
          <t>+LS2</t>
        </is>
      </c>
      <c r="D1363" t="inlineStr">
        <is>
          <t>-136K64.2</t>
        </is>
      </c>
      <c r="E1363" t="inlineStr">
        <is>
          <t>DIL_EM-10-G</t>
        </is>
      </c>
      <c r="F1363" t="inlineStr">
        <is>
          <t>#KALK!</t>
        </is>
      </c>
      <c r="G1363" t="inlineStr">
        <is>
          <t>LASTSCHUETZ</t>
        </is>
      </c>
      <c r="H1363" t="inlineStr">
        <is>
          <t>4kW 1S</t>
        </is>
      </c>
      <c r="I1363">
        <v>262</v>
      </c>
      <c r="J1363">
        <f>GS14/136.6</f>
        <v>0</v>
      </c>
      <c r="M1363" t="inlineStr">
        <is>
          <t>-136K64.2</t>
        </is>
      </c>
    </row>
    <row r="1364">
      <c r="A1364">
        <v>1363</v>
      </c>
      <c r="B1364">
        <f>GS24</f>
        <v>0</v>
      </c>
      <c r="C1364" t="inlineStr">
        <is>
          <t>+LS2</t>
        </is>
      </c>
      <c r="D1364" t="inlineStr">
        <is>
          <t>-136K64.2</t>
        </is>
      </c>
      <c r="E1364" t="inlineStr">
        <is>
          <t>DIL_EM-10-G</t>
        </is>
      </c>
      <c r="F1364" t="inlineStr">
        <is>
          <t>#KALK!</t>
        </is>
      </c>
      <c r="G1364" t="inlineStr">
        <is>
          <t>LASTSCHUETZ</t>
        </is>
      </c>
      <c r="H1364" t="inlineStr">
        <is>
          <t>4kW 1S</t>
        </is>
      </c>
      <c r="I1364">
        <v>943</v>
      </c>
      <c r="J1364">
        <f>GS24/136.6</f>
        <v>0</v>
      </c>
      <c r="M1364" t="inlineStr">
        <is>
          <t>-136K64.2</t>
        </is>
      </c>
    </row>
    <row r="1365">
      <c r="A1365">
        <v>1364</v>
      </c>
      <c r="B1365">
        <f>GS7x</f>
        <v>0</v>
      </c>
      <c r="C1365" t="inlineStr">
        <is>
          <t>+LS[l1]</t>
        </is>
      </c>
      <c r="D1365" t="inlineStr">
        <is>
          <t>-136Q[a+13].6</t>
        </is>
      </c>
      <c r="E1365" t="inlineStr">
        <is>
          <t>DILM-9-10</t>
        </is>
      </c>
      <c r="F1365" t="inlineStr">
        <is>
          <t>#KALK!</t>
        </is>
      </c>
      <c r="G1365" t="inlineStr">
        <is>
          <t>LASTSCHUETZ</t>
        </is>
      </c>
      <c r="H1365" t="inlineStr">
        <is>
          <t>4kW 1S Federzugkl.</t>
        </is>
      </c>
      <c r="I1365">
        <v>374</v>
      </c>
      <c r="J1365">
        <f>GS7x/136.6</f>
        <v>0</v>
      </c>
      <c r="M1365" t="inlineStr">
        <is>
          <t>-136Q[a+13].6</t>
        </is>
      </c>
    </row>
    <row r="1366">
      <c r="A1366">
        <v>1365</v>
      </c>
      <c r="B1366">
        <f>GS46</f>
        <v>0</v>
      </c>
      <c r="C1366" t="inlineStr">
        <is>
          <t>+LS01</t>
        </is>
      </c>
      <c r="D1366" t="inlineStr">
        <is>
          <t>-136Q146.2</t>
        </is>
      </c>
      <c r="E1366" t="inlineStr">
        <is>
          <t>DILM-9-01</t>
        </is>
      </c>
      <c r="F1366" t="inlineStr">
        <is>
          <t>DILA-XHI22</t>
        </is>
      </c>
      <c r="G1366" t="inlineStr">
        <is>
          <t>LASTSCHUETZ</t>
        </is>
      </c>
      <c r="H1366" t="inlineStr">
        <is>
          <t>4kW 1Oe Federzugkl.</t>
        </is>
      </c>
      <c r="I1366">
        <v>450</v>
      </c>
      <c r="J1366">
        <f>GS46/136.5</f>
        <v>0</v>
      </c>
      <c r="M1366" t="inlineStr">
        <is>
          <t>-136Q146.2</t>
        </is>
      </c>
    </row>
    <row r="1367">
      <c r="A1367">
        <v>1366</v>
      </c>
      <c r="B1367">
        <f>GS46</f>
        <v>0</v>
      </c>
      <c r="C1367" t="inlineStr">
        <is>
          <t>+LS01</t>
        </is>
      </c>
      <c r="D1367" t="inlineStr">
        <is>
          <t>-136Q146.2</t>
        </is>
      </c>
      <c r="E1367" t="inlineStr">
        <is>
          <t>DILA-XHI22</t>
        </is>
      </c>
      <c r="F1367" t="inlineStr">
        <is>
          <t>DILA-XHI22</t>
        </is>
      </c>
      <c r="G1367" t="inlineStr">
        <is>
          <t>HILFSKONTAKTBLOCK</t>
        </is>
      </c>
      <c r="H1367" t="inlineStr">
        <is>
          <t>2S 2OE Last+Hilfssch. Cage</t>
        </is>
      </c>
      <c r="I1367">
        <v>450</v>
      </c>
      <c r="J1367">
        <f>GS46/136.5</f>
        <v>0</v>
      </c>
      <c r="M1367" t="inlineStr">
        <is>
          <t>-136Q146.2</t>
        </is>
      </c>
    </row>
    <row r="1368">
      <c r="A1368">
        <v>1367</v>
      </c>
      <c r="B1368">
        <f>GS47</f>
        <v>0</v>
      </c>
      <c r="C1368" t="inlineStr">
        <is>
          <t>+LS01</t>
        </is>
      </c>
      <c r="D1368" t="inlineStr">
        <is>
          <t>-136Q146.2</t>
        </is>
      </c>
      <c r="E1368" t="inlineStr">
        <is>
          <t>DILM-9-01</t>
        </is>
      </c>
      <c r="F1368" t="inlineStr">
        <is>
          <t>DILA-XHI22</t>
        </is>
      </c>
      <c r="G1368" t="inlineStr">
        <is>
          <t>LASTSCHUETZ</t>
        </is>
      </c>
      <c r="H1368" t="inlineStr">
        <is>
          <t>4kW 1Oe Federzugkl.</t>
        </is>
      </c>
      <c r="I1368">
        <v>450</v>
      </c>
      <c r="J1368">
        <f>GS47/136.5</f>
        <v>0</v>
      </c>
      <c r="M1368" t="inlineStr">
        <is>
          <t>-136Q146.2</t>
        </is>
      </c>
    </row>
    <row r="1369">
      <c r="A1369">
        <v>1368</v>
      </c>
      <c r="B1369">
        <f>GS47</f>
        <v>0</v>
      </c>
      <c r="C1369" t="inlineStr">
        <is>
          <t>+LS01</t>
        </is>
      </c>
      <c r="D1369" t="inlineStr">
        <is>
          <t>-136Q146.2</t>
        </is>
      </c>
      <c r="E1369" t="inlineStr">
        <is>
          <t>DILA-XHI22</t>
        </is>
      </c>
      <c r="F1369" t="inlineStr">
        <is>
          <t>DILA-XHI22</t>
        </is>
      </c>
      <c r="G1369" t="inlineStr">
        <is>
          <t>HILFSKONTAKTBLOCK</t>
        </is>
      </c>
      <c r="H1369" t="inlineStr">
        <is>
          <t>2S 2OE Last+Hilfssch. Cage</t>
        </is>
      </c>
      <c r="I1369">
        <v>450</v>
      </c>
      <c r="J1369">
        <f>GS47/136.5</f>
        <v>0</v>
      </c>
      <c r="M1369" t="inlineStr">
        <is>
          <t>-136Q146.2</t>
        </is>
      </c>
    </row>
    <row r="1370">
      <c r="A1370">
        <v>1369</v>
      </c>
      <c r="B1370">
        <f>GS48</f>
        <v>0</v>
      </c>
      <c r="C1370" t="inlineStr">
        <is>
          <t>+LS01</t>
        </is>
      </c>
      <c r="D1370" t="inlineStr">
        <is>
          <t>-136Q146.2</t>
        </is>
      </c>
      <c r="E1370" t="inlineStr">
        <is>
          <t>DILA-XHI22</t>
        </is>
      </c>
      <c r="F1370" t="inlineStr">
        <is>
          <t>DILA-XHI22</t>
        </is>
      </c>
      <c r="G1370" t="inlineStr">
        <is>
          <t>HILFSKONTAKTBLOCK</t>
        </is>
      </c>
      <c r="H1370" t="inlineStr">
        <is>
          <t>2S 2OE Last+Hilfssch. Cage</t>
        </is>
      </c>
      <c r="I1370">
        <v>288</v>
      </c>
      <c r="J1370">
        <f>GS48/136.5</f>
        <v>0</v>
      </c>
      <c r="M1370" t="inlineStr">
        <is>
          <t>-136Q146.2</t>
        </is>
      </c>
    </row>
    <row r="1371">
      <c r="A1371">
        <v>1370</v>
      </c>
      <c r="B1371">
        <f>GS48</f>
        <v>0</v>
      </c>
      <c r="C1371" t="inlineStr">
        <is>
          <t>+LS01</t>
        </is>
      </c>
      <c r="D1371" t="inlineStr">
        <is>
          <t>-136Q146.2</t>
        </is>
      </c>
      <c r="E1371" t="inlineStr">
        <is>
          <t>DILM-9-01</t>
        </is>
      </c>
      <c r="F1371" t="inlineStr">
        <is>
          <t>DILA-XHI22</t>
        </is>
      </c>
      <c r="G1371" t="inlineStr">
        <is>
          <t>LASTSCHUETZ</t>
        </is>
      </c>
      <c r="H1371" t="inlineStr">
        <is>
          <t>4kW 1Oe Federzugkl.</t>
        </is>
      </c>
      <c r="I1371">
        <v>288</v>
      </c>
      <c r="J1371">
        <f>GS48/136.5</f>
        <v>0</v>
      </c>
      <c r="M1371" t="inlineStr">
        <is>
          <t>-136Q146.2</t>
        </is>
      </c>
    </row>
    <row r="1372">
      <c r="A1372">
        <v>1371</v>
      </c>
      <c r="B1372">
        <f>GS49</f>
        <v>0</v>
      </c>
      <c r="C1372" t="inlineStr">
        <is>
          <t>+LS01</t>
        </is>
      </c>
      <c r="D1372" t="inlineStr">
        <is>
          <t>-136Q146.2</t>
        </is>
      </c>
      <c r="E1372" t="inlineStr">
        <is>
          <t>DILM-9-01</t>
        </is>
      </c>
      <c r="F1372" t="inlineStr">
        <is>
          <t>DILA-XHI22</t>
        </is>
      </c>
      <c r="G1372" t="inlineStr">
        <is>
          <t>LASTSCHUETZ</t>
        </is>
      </c>
      <c r="H1372" t="inlineStr">
        <is>
          <t>4kW 1Oe Federzugkl.</t>
        </is>
      </c>
      <c r="I1372">
        <v>287</v>
      </c>
      <c r="J1372">
        <f>GS49/136.5</f>
        <v>0</v>
      </c>
      <c r="M1372" t="inlineStr">
        <is>
          <t>-136Q146.2</t>
        </is>
      </c>
    </row>
    <row r="1373">
      <c r="A1373">
        <v>1372</v>
      </c>
      <c r="B1373">
        <f>GS49</f>
        <v>0</v>
      </c>
      <c r="C1373" t="inlineStr">
        <is>
          <t>+LS01</t>
        </is>
      </c>
      <c r="D1373" t="inlineStr">
        <is>
          <t>-136Q146.2</t>
        </is>
      </c>
      <c r="E1373" t="inlineStr">
        <is>
          <t>DILA-XHI22</t>
        </is>
      </c>
      <c r="F1373" t="inlineStr">
        <is>
          <t>DILA-XHI22</t>
        </is>
      </c>
      <c r="G1373" t="inlineStr">
        <is>
          <t>HILFSKONTAKTBLOCK</t>
        </is>
      </c>
      <c r="H1373" t="inlineStr">
        <is>
          <t>2S 2OE Last+Hilfssch. Cage</t>
        </is>
      </c>
      <c r="I1373">
        <v>287</v>
      </c>
      <c r="J1373">
        <f>GS49/136.5</f>
        <v>0</v>
      </c>
      <c r="M1373" t="inlineStr">
        <is>
          <t>-136Q146.2</t>
        </is>
      </c>
    </row>
    <row r="1374">
      <c r="A1374">
        <v>1373</v>
      </c>
      <c r="B1374">
        <f>GS46</f>
        <v>0</v>
      </c>
      <c r="C1374" t="inlineStr">
        <is>
          <t>+LS01</t>
        </is>
      </c>
      <c r="D1374" t="inlineStr">
        <is>
          <t>-136Q146.3</t>
        </is>
      </c>
      <c r="E1374" t="inlineStr">
        <is>
          <t>DILM-9-01</t>
        </is>
      </c>
      <c r="F1374" t="inlineStr">
        <is>
          <t>DILA-XHI22</t>
        </is>
      </c>
      <c r="G1374" t="inlineStr">
        <is>
          <t>LASTSCHUETZ</t>
        </is>
      </c>
      <c r="H1374" t="inlineStr">
        <is>
          <t>4kW 1Oe Federzugkl.</t>
        </is>
      </c>
      <c r="I1374">
        <v>450</v>
      </c>
      <c r="J1374">
        <f>GS46/136.6</f>
        <v>0</v>
      </c>
      <c r="M1374" t="inlineStr">
        <is>
          <t>-136Q146.3</t>
        </is>
      </c>
    </row>
    <row r="1375">
      <c r="A1375">
        <v>1374</v>
      </c>
      <c r="B1375">
        <f>GS46</f>
        <v>0</v>
      </c>
      <c r="C1375" t="inlineStr">
        <is>
          <t>+LS01</t>
        </is>
      </c>
      <c r="D1375" t="inlineStr">
        <is>
          <t>-136Q146.3</t>
        </is>
      </c>
      <c r="E1375" t="inlineStr">
        <is>
          <t>DILA-XHI22</t>
        </is>
      </c>
      <c r="F1375" t="inlineStr">
        <is>
          <t>DILA-XHI22</t>
        </is>
      </c>
      <c r="G1375" t="inlineStr">
        <is>
          <t>HILFSKONTAKTBLOCK</t>
        </is>
      </c>
      <c r="H1375" t="inlineStr">
        <is>
          <t>2S 2OE Last+Hilfssch. Cage</t>
        </is>
      </c>
      <c r="I1375">
        <v>450</v>
      </c>
      <c r="J1375">
        <f>GS46/136.6</f>
        <v>0</v>
      </c>
      <c r="M1375" t="inlineStr">
        <is>
          <t>-136Q146.3</t>
        </is>
      </c>
    </row>
    <row r="1376">
      <c r="A1376">
        <v>1375</v>
      </c>
      <c r="B1376">
        <f>GS47</f>
        <v>0</v>
      </c>
      <c r="C1376" t="inlineStr">
        <is>
          <t>+LS01</t>
        </is>
      </c>
      <c r="D1376" t="inlineStr">
        <is>
          <t>-136Q146.3</t>
        </is>
      </c>
      <c r="E1376" t="inlineStr">
        <is>
          <t>DILM-9-01</t>
        </is>
      </c>
      <c r="F1376" t="inlineStr">
        <is>
          <t>DILA-XHI22</t>
        </is>
      </c>
      <c r="G1376" t="inlineStr">
        <is>
          <t>LASTSCHUETZ</t>
        </is>
      </c>
      <c r="H1376" t="inlineStr">
        <is>
          <t>4kW 1Oe Federzugkl.</t>
        </is>
      </c>
      <c r="I1376">
        <v>450</v>
      </c>
      <c r="J1376">
        <f>GS47/136.6</f>
        <v>0</v>
      </c>
      <c r="M1376" t="inlineStr">
        <is>
          <t>-136Q146.3</t>
        </is>
      </c>
    </row>
    <row r="1377">
      <c r="A1377">
        <v>1376</v>
      </c>
      <c r="B1377">
        <f>GS47</f>
        <v>0</v>
      </c>
      <c r="C1377" t="inlineStr">
        <is>
          <t>+LS01</t>
        </is>
      </c>
      <c r="D1377" t="inlineStr">
        <is>
          <t>-136Q146.3</t>
        </is>
      </c>
      <c r="E1377" t="inlineStr">
        <is>
          <t>DILA-XHI22</t>
        </is>
      </c>
      <c r="F1377" t="inlineStr">
        <is>
          <t>DILA-XHI22</t>
        </is>
      </c>
      <c r="G1377" t="inlineStr">
        <is>
          <t>HILFSKONTAKTBLOCK</t>
        </is>
      </c>
      <c r="H1377" t="inlineStr">
        <is>
          <t>2S 2OE Last+Hilfssch. Cage</t>
        </is>
      </c>
      <c r="I1377">
        <v>450</v>
      </c>
      <c r="J1377">
        <f>GS47/136.6</f>
        <v>0</v>
      </c>
      <c r="M1377" t="inlineStr">
        <is>
          <t>-136Q146.3</t>
        </is>
      </c>
    </row>
    <row r="1378">
      <c r="A1378">
        <v>1377</v>
      </c>
      <c r="B1378">
        <f>GS48</f>
        <v>0</v>
      </c>
      <c r="C1378" t="inlineStr">
        <is>
          <t>+LS01</t>
        </is>
      </c>
      <c r="D1378" t="inlineStr">
        <is>
          <t>-136Q146.3</t>
        </is>
      </c>
      <c r="E1378" t="inlineStr">
        <is>
          <t>DILA-XHI22</t>
        </is>
      </c>
      <c r="F1378" t="inlineStr">
        <is>
          <t>DILA-XHI22</t>
        </is>
      </c>
      <c r="G1378" t="inlineStr">
        <is>
          <t>HILFSKONTAKTBLOCK</t>
        </is>
      </c>
      <c r="H1378" t="inlineStr">
        <is>
          <t>2S 2OE Last+Hilfssch. Cage</t>
        </is>
      </c>
      <c r="I1378">
        <v>288</v>
      </c>
      <c r="J1378">
        <f>GS48/136.6</f>
        <v>0</v>
      </c>
      <c r="M1378" t="inlineStr">
        <is>
          <t>-136Q146.3</t>
        </is>
      </c>
    </row>
    <row r="1379">
      <c r="A1379">
        <v>1378</v>
      </c>
      <c r="B1379">
        <f>GS48</f>
        <v>0</v>
      </c>
      <c r="C1379" t="inlineStr">
        <is>
          <t>+LS01</t>
        </is>
      </c>
      <c r="D1379" t="inlineStr">
        <is>
          <t>-136Q146.3</t>
        </is>
      </c>
      <c r="E1379" t="inlineStr">
        <is>
          <t>DILM-9-01</t>
        </is>
      </c>
      <c r="F1379" t="inlineStr">
        <is>
          <t>DILA-XHI22</t>
        </is>
      </c>
      <c r="G1379" t="inlineStr">
        <is>
          <t>LASTSCHUETZ</t>
        </is>
      </c>
      <c r="H1379" t="inlineStr">
        <is>
          <t>4kW 1Oe Federzugkl.</t>
        </is>
      </c>
      <c r="I1379">
        <v>288</v>
      </c>
      <c r="J1379">
        <f>GS48/136.6</f>
        <v>0</v>
      </c>
      <c r="M1379" t="inlineStr">
        <is>
          <t>-136Q146.3</t>
        </is>
      </c>
    </row>
    <row r="1380">
      <c r="A1380">
        <v>1379</v>
      </c>
      <c r="B1380">
        <f>GS49</f>
        <v>0</v>
      </c>
      <c r="C1380" t="inlineStr">
        <is>
          <t>+LS01</t>
        </is>
      </c>
      <c r="D1380" t="inlineStr">
        <is>
          <t>-136Q146.3</t>
        </is>
      </c>
      <c r="E1380" t="inlineStr">
        <is>
          <t>DILM-9-01</t>
        </is>
      </c>
      <c r="F1380" t="inlineStr">
        <is>
          <t>DILA-XHI22</t>
        </is>
      </c>
      <c r="G1380" t="inlineStr">
        <is>
          <t>LASTSCHUETZ</t>
        </is>
      </c>
      <c r="H1380" t="inlineStr">
        <is>
          <t>4kW 1Oe Federzugkl.</t>
        </is>
      </c>
      <c r="I1380">
        <v>287</v>
      </c>
      <c r="J1380">
        <f>GS49/136.6</f>
        <v>0</v>
      </c>
      <c r="M1380" t="inlineStr">
        <is>
          <t>-136Q146.3</t>
        </is>
      </c>
    </row>
    <row r="1381">
      <c r="A1381">
        <v>1380</v>
      </c>
      <c r="B1381">
        <f>GS49</f>
        <v>0</v>
      </c>
      <c r="C1381" t="inlineStr">
        <is>
          <t>+LS01</t>
        </is>
      </c>
      <c r="D1381" t="inlineStr">
        <is>
          <t>-136Q146.3</t>
        </is>
      </c>
      <c r="E1381" t="inlineStr">
        <is>
          <t>DILA-XHI22</t>
        </is>
      </c>
      <c r="F1381" t="inlineStr">
        <is>
          <t>DILA-XHI22</t>
        </is>
      </c>
      <c r="G1381" t="inlineStr">
        <is>
          <t>HILFSKONTAKTBLOCK</t>
        </is>
      </c>
      <c r="H1381" t="inlineStr">
        <is>
          <t>2S 2OE Last+Hilfssch. Cage</t>
        </is>
      </c>
      <c r="I1381">
        <v>287</v>
      </c>
      <c r="J1381">
        <f>GS49/136.6</f>
        <v>0</v>
      </c>
      <c r="M1381" t="inlineStr">
        <is>
          <t>-136Q146.3</t>
        </is>
      </c>
    </row>
    <row r="1382">
      <c r="A1382">
        <v>1381</v>
      </c>
      <c r="B1382">
        <f>GS92</f>
        <v>0</v>
      </c>
      <c r="C1382" t="inlineStr">
        <is>
          <t>+LS01</t>
        </is>
      </c>
      <c r="D1382" t="inlineStr">
        <is>
          <t>-136Q154.5</t>
        </is>
      </c>
      <c r="E1382" t="inlineStr">
        <is>
          <t>DILM-9-10</t>
        </is>
      </c>
      <c r="F1382" t="inlineStr">
        <is>
          <t>#KALK!</t>
        </is>
      </c>
      <c r="G1382" t="inlineStr">
        <is>
          <t>LASTSCHUETZ</t>
        </is>
      </c>
      <c r="H1382" t="inlineStr">
        <is>
          <t>4kW 1S Federzugkl.</t>
        </is>
      </c>
      <c r="I1382">
        <v>282</v>
      </c>
      <c r="J1382">
        <f>GS92/136.5</f>
        <v>0</v>
      </c>
      <c r="M1382" t="inlineStr">
        <is>
          <t>-136Q154.5</t>
        </is>
      </c>
    </row>
    <row r="1383">
      <c r="A1383">
        <v>1382</v>
      </c>
      <c r="B1383">
        <f>GS91</f>
        <v>0</v>
      </c>
      <c r="C1383" t="inlineStr">
        <is>
          <t>+LS01</t>
        </is>
      </c>
      <c r="D1383" t="inlineStr">
        <is>
          <t>-136Q157.2</t>
        </is>
      </c>
      <c r="E1383" t="inlineStr">
        <is>
          <t>DILM-9-10</t>
        </is>
      </c>
      <c r="F1383" t="inlineStr">
        <is>
          <t>#KALK!</t>
        </is>
      </c>
      <c r="G1383" t="inlineStr">
        <is>
          <t>LASTSCHUETZ</t>
        </is>
      </c>
      <c r="H1383" t="inlineStr">
        <is>
          <t>4kW 1S Federzugkl.</t>
        </is>
      </c>
      <c r="I1383">
        <v>279</v>
      </c>
      <c r="J1383">
        <f>GS91/136.5</f>
        <v>0</v>
      </c>
      <c r="M1383" t="inlineStr">
        <is>
          <t>-136Q157.2</t>
        </is>
      </c>
    </row>
    <row r="1384">
      <c r="A1384">
        <v>1383</v>
      </c>
      <c r="B1384">
        <f>GS21</f>
        <v>0</v>
      </c>
      <c r="C1384" t="inlineStr">
        <is>
          <t>+LS2</t>
        </is>
      </c>
      <c r="D1384" t="inlineStr">
        <is>
          <t>-137.1K100.3</t>
        </is>
      </c>
      <c r="E1384" t="inlineStr">
        <is>
          <t>DILM-9-10</t>
        </is>
      </c>
      <c r="F1384" t="inlineStr">
        <is>
          <t>#KALK!</t>
        </is>
      </c>
      <c r="G1384" t="inlineStr">
        <is>
          <t>LASTSCHUETZ</t>
        </is>
      </c>
      <c r="H1384" t="inlineStr">
        <is>
          <t>4kW 1S Federzugkl.</t>
        </is>
      </c>
      <c r="I1384">
        <v>1157</v>
      </c>
      <c r="J1384">
        <f>GS21/137.1.7</f>
        <v>0</v>
      </c>
      <c r="M1384" t="inlineStr">
        <is>
          <t>-137.1K100.3</t>
        </is>
      </c>
    </row>
    <row r="1385">
      <c r="A1385">
        <v>1384</v>
      </c>
      <c r="B1385">
        <f>GS51</f>
        <v>0</v>
      </c>
      <c r="C1385" t="inlineStr">
        <is>
          <t>+LS20</t>
        </is>
      </c>
      <c r="D1385" t="inlineStr">
        <is>
          <t>-1370Q1</t>
        </is>
      </c>
      <c r="E1385" t="inlineStr">
        <is>
          <t>DILA-XHI22</t>
        </is>
      </c>
      <c r="F1385" t="inlineStr">
        <is>
          <t>DILA-XHI22</t>
        </is>
      </c>
      <c r="G1385" t="inlineStr">
        <is>
          <t>HILFSKONTAKTBLOCK</t>
        </is>
      </c>
      <c r="H1385" t="inlineStr">
        <is>
          <t>2S 2OE Last+Hilfssch. Cage</t>
        </is>
      </c>
      <c r="I1385">
        <v>1492</v>
      </c>
      <c r="J1385">
        <f>GS51/1370.6</f>
        <v>0</v>
      </c>
      <c r="K1385" t="inlineStr">
        <is>
          <t>DIL MC25</t>
        </is>
      </c>
      <c r="M1385" t="inlineStr">
        <is>
          <t>-1370Q1</t>
        </is>
      </c>
    </row>
    <row r="1386">
      <c r="A1386">
        <v>1385</v>
      </c>
      <c r="B1386">
        <f>GS51</f>
        <v>0</v>
      </c>
      <c r="C1386" t="inlineStr">
        <is>
          <t>+LS20</t>
        </is>
      </c>
      <c r="D1386" t="inlineStr">
        <is>
          <t>-1370Q1</t>
        </is>
      </c>
      <c r="E1386" t="inlineStr">
        <is>
          <t>DILMC25-10(RDC24)</t>
        </is>
      </c>
      <c r="F1386" t="inlineStr">
        <is>
          <t>DILA-XHI22</t>
        </is>
      </c>
      <c r="G1386" t="inlineStr">
        <is>
          <t>LASTSCHUETZ</t>
        </is>
      </c>
      <c r="H1386" t="inlineStr">
        <is>
          <t>11kW 1S Federzugkl.</t>
        </is>
      </c>
      <c r="I1386">
        <v>1492</v>
      </c>
      <c r="J1386">
        <f>GS51/1370.6</f>
        <v>0</v>
      </c>
      <c r="K1386" t="inlineStr">
        <is>
          <t>DIL MC25</t>
        </is>
      </c>
      <c r="M1386" t="inlineStr">
        <is>
          <t>-1370Q1</t>
        </is>
      </c>
    </row>
    <row r="1387">
      <c r="A1387">
        <v>1386</v>
      </c>
      <c r="B1387">
        <f>GS51</f>
        <v>0</v>
      </c>
      <c r="C1387" t="inlineStr">
        <is>
          <t>+LS20</t>
        </is>
      </c>
      <c r="D1387" t="inlineStr">
        <is>
          <t>-1375.1Q798.6</t>
        </is>
      </c>
      <c r="E1387" t="inlineStr">
        <is>
          <t>DILM-9-10</t>
        </is>
      </c>
      <c r="F1387" t="inlineStr">
        <is>
          <t>#KALK!</t>
        </is>
      </c>
      <c r="G1387" t="inlineStr">
        <is>
          <t>LASTSCHUETZ</t>
        </is>
      </c>
      <c r="H1387" t="inlineStr">
        <is>
          <t>4kW 1S Federzugkl.</t>
        </is>
      </c>
      <c r="I1387">
        <v>2175</v>
      </c>
      <c r="J1387">
        <f>GS51/1375.1.6</f>
        <v>0</v>
      </c>
      <c r="K1387" t="inlineStr">
        <is>
          <t>DIL MC9</t>
        </is>
      </c>
      <c r="M1387" t="inlineStr">
        <is>
          <t>-1375.1Q798.6</t>
        </is>
      </c>
    </row>
    <row r="1388">
      <c r="A1388">
        <v>1387</v>
      </c>
      <c r="B1388">
        <f>GS51</f>
        <v>0</v>
      </c>
      <c r="C1388" t="inlineStr">
        <is>
          <t>+LS20</t>
        </is>
      </c>
      <c r="D1388" t="inlineStr">
        <is>
          <t>-1375.3K801.6</t>
        </is>
      </c>
      <c r="E1388" t="inlineStr">
        <is>
          <t>DILA-40</t>
        </is>
      </c>
      <c r="F1388" t="inlineStr">
        <is>
          <t>#KALK!</t>
        </is>
      </c>
      <c r="G1388" t="inlineStr">
        <is>
          <t>HILFSSCHUETZ</t>
        </is>
      </c>
      <c r="H1388" t="inlineStr">
        <is>
          <t>4S Federzugkl.</t>
        </is>
      </c>
      <c r="I1388">
        <v>2179</v>
      </c>
      <c r="J1388">
        <f>GS51/1375.3.8</f>
        <v>0</v>
      </c>
      <c r="M1388" t="inlineStr">
        <is>
          <t>-1375.3K801.6</t>
        </is>
      </c>
    </row>
    <row r="1389">
      <c r="A1389">
        <v>1388</v>
      </c>
      <c r="B1389">
        <f>GS51</f>
        <v>0</v>
      </c>
      <c r="C1389" t="inlineStr">
        <is>
          <t>+LS20</t>
        </is>
      </c>
      <c r="D1389" t="inlineStr">
        <is>
          <t>-1375.3Q1.1</t>
        </is>
      </c>
      <c r="E1389" t="inlineStr">
        <is>
          <t>DILA-XHI22</t>
        </is>
      </c>
      <c r="F1389" t="inlineStr">
        <is>
          <t>DILA-XHI22</t>
        </is>
      </c>
      <c r="G1389" t="inlineStr">
        <is>
          <t>HILFSKONTAKTBLOCK</t>
        </is>
      </c>
      <c r="H1389" t="inlineStr">
        <is>
          <t>2S 2OE Last+Hilfssch. Cage</t>
        </is>
      </c>
      <c r="I1389">
        <v>2179</v>
      </c>
      <c r="J1389">
        <f>GS51/1375.3.7</f>
        <v>0</v>
      </c>
      <c r="K1389" t="inlineStr">
        <is>
          <t>DIL MC25</t>
        </is>
      </c>
      <c r="M1389" t="inlineStr">
        <is>
          <t>-1375.3Q1.1</t>
        </is>
      </c>
    </row>
    <row r="1390">
      <c r="A1390">
        <v>1389</v>
      </c>
      <c r="B1390">
        <f>GS51</f>
        <v>0</v>
      </c>
      <c r="C1390" t="inlineStr">
        <is>
          <t>+LS20</t>
        </is>
      </c>
      <c r="D1390" t="inlineStr">
        <is>
          <t>-1375.3Q1.1</t>
        </is>
      </c>
      <c r="E1390" t="inlineStr">
        <is>
          <t>DILMC25-10(RDC24)</t>
        </is>
      </c>
      <c r="F1390" t="inlineStr">
        <is>
          <t>DILA-XHI22</t>
        </is>
      </c>
      <c r="G1390" t="inlineStr">
        <is>
          <t>LASTSCHUETZ</t>
        </is>
      </c>
      <c r="H1390" t="inlineStr">
        <is>
          <t>11kW 1S Federzugkl.</t>
        </is>
      </c>
      <c r="I1390">
        <v>2179</v>
      </c>
      <c r="J1390">
        <f>GS51/1375.3.7</f>
        <v>0</v>
      </c>
      <c r="K1390" t="inlineStr">
        <is>
          <t>DIL MC25</t>
        </is>
      </c>
      <c r="M1390" t="inlineStr">
        <is>
          <t>-1375.3Q1.1</t>
        </is>
      </c>
    </row>
    <row r="1391">
      <c r="A1391">
        <v>1390</v>
      </c>
      <c r="B1391">
        <f>GS13</f>
        <v>0</v>
      </c>
      <c r="C1391" t="inlineStr">
        <is>
          <t>+LS2</t>
        </is>
      </c>
      <c r="D1391" t="inlineStr">
        <is>
          <t>-13754.0</t>
        </is>
      </c>
      <c r="E1391" t="inlineStr">
        <is>
          <t>DIL_EM-10-G</t>
        </is>
      </c>
      <c r="F1391" t="inlineStr">
        <is>
          <t>#KALK!</t>
        </is>
      </c>
      <c r="G1391" t="inlineStr">
        <is>
          <t>LASTSCHUETZ</t>
        </is>
      </c>
      <c r="H1391" t="inlineStr">
        <is>
          <t>4kW 1S</t>
        </is>
      </c>
      <c r="I1391">
        <v>376</v>
      </c>
      <c r="J1391">
        <f>GS13/137.6</f>
        <v>0</v>
      </c>
      <c r="M1391" t="inlineStr">
        <is>
          <t>-13754.0</t>
        </is>
      </c>
    </row>
    <row r="1392">
      <c r="A1392">
        <v>1391</v>
      </c>
      <c r="B1392">
        <f>GS13</f>
        <v>0</v>
      </c>
      <c r="C1392" t="inlineStr">
        <is>
          <t>+LS2</t>
        </is>
      </c>
      <c r="D1392" t="inlineStr">
        <is>
          <t>-13754.1</t>
        </is>
      </c>
      <c r="E1392" t="inlineStr">
        <is>
          <t>DIL_EM-10-G</t>
        </is>
      </c>
      <c r="F1392" t="inlineStr">
        <is>
          <t>#KALK!</t>
        </is>
      </c>
      <c r="G1392" t="inlineStr">
        <is>
          <t>LASTSCHUETZ</t>
        </is>
      </c>
      <c r="H1392" t="inlineStr">
        <is>
          <t>4kW 1S</t>
        </is>
      </c>
      <c r="I1392">
        <v>376</v>
      </c>
      <c r="J1392">
        <f>GS13/137.6</f>
        <v>0</v>
      </c>
      <c r="M1392" t="inlineStr">
        <is>
          <t>-13754.1</t>
        </is>
      </c>
    </row>
    <row r="1393">
      <c r="A1393">
        <v>1392</v>
      </c>
      <c r="B1393">
        <f>GS32</f>
        <v>0</v>
      </c>
      <c r="C1393" t="inlineStr">
        <is>
          <t>+LS2</t>
        </is>
      </c>
      <c r="D1393" t="inlineStr">
        <is>
          <t>-137K21.3</t>
        </is>
      </c>
      <c r="E1393" t="inlineStr">
        <is>
          <t>DIL_EM-10-G</t>
        </is>
      </c>
      <c r="F1393" t="inlineStr">
        <is>
          <t>#KALK!</t>
        </is>
      </c>
      <c r="G1393" t="inlineStr">
        <is>
          <t>LASTSCHUETZ</t>
        </is>
      </c>
      <c r="H1393" t="inlineStr">
        <is>
          <t>4kW 1S</t>
        </is>
      </c>
      <c r="I1393">
        <v>946</v>
      </c>
      <c r="J1393">
        <f>GS32/137.7</f>
        <v>0</v>
      </c>
      <c r="M1393" t="inlineStr">
        <is>
          <t>-137K21.3</t>
        </is>
      </c>
    </row>
    <row r="1394">
      <c r="A1394">
        <v>1393</v>
      </c>
      <c r="B1394">
        <f>GS26</f>
        <v>0</v>
      </c>
      <c r="C1394" t="inlineStr">
        <is>
          <t>+LS1</t>
        </is>
      </c>
      <c r="D1394" t="inlineStr">
        <is>
          <t>-137K3539.0</t>
        </is>
      </c>
      <c r="E1394" t="inlineStr">
        <is>
          <t>DILM-9-10</t>
        </is>
      </c>
      <c r="F1394" t="inlineStr">
        <is>
          <t>#KALK!</t>
        </is>
      </c>
      <c r="G1394" t="inlineStr">
        <is>
          <t>LASTSCHUETZ</t>
        </is>
      </c>
      <c r="H1394" t="inlineStr">
        <is>
          <t>4kW 1S Federzugkl.</t>
        </is>
      </c>
      <c r="I1394">
        <v>537</v>
      </c>
      <c r="J1394">
        <f>GS26/137.8</f>
        <v>0</v>
      </c>
      <c r="M1394" t="inlineStr">
        <is>
          <t>-137K3539.0</t>
        </is>
      </c>
    </row>
    <row r="1395">
      <c r="A1395">
        <v>1394</v>
      </c>
      <c r="B1395">
        <f>GC03</f>
        <v>0</v>
      </c>
      <c r="C1395" t="inlineStr">
        <is>
          <t>+LS2</t>
        </is>
      </c>
      <c r="D1395" t="inlineStr">
        <is>
          <t>-137K51.0</t>
        </is>
      </c>
      <c r="E1395" t="inlineStr">
        <is>
          <t>DIL_EM-10-G</t>
        </is>
      </c>
      <c r="F1395" t="inlineStr">
        <is>
          <t>#KALK!</t>
        </is>
      </c>
      <c r="G1395" t="inlineStr">
        <is>
          <t>LASTSCHUETZ</t>
        </is>
      </c>
      <c r="H1395" t="inlineStr">
        <is>
          <t>4kW 1S</t>
        </is>
      </c>
      <c r="I1395">
        <v>563</v>
      </c>
      <c r="J1395">
        <f>GC03/137.6</f>
        <v>0</v>
      </c>
      <c r="M1395" t="inlineStr">
        <is>
          <t>-137K51.0</t>
        </is>
      </c>
    </row>
    <row r="1396">
      <c r="A1396">
        <v>1395</v>
      </c>
      <c r="B1396">
        <f>GC03</f>
        <v>0</v>
      </c>
      <c r="C1396" t="inlineStr">
        <is>
          <t>+LS2</t>
        </is>
      </c>
      <c r="D1396" t="inlineStr">
        <is>
          <t>-137K51.1</t>
        </is>
      </c>
      <c r="E1396" t="inlineStr">
        <is>
          <t>DIL_EM-10-G</t>
        </is>
      </c>
      <c r="F1396" t="inlineStr">
        <is>
          <t>#KALK!</t>
        </is>
      </c>
      <c r="G1396" t="inlineStr">
        <is>
          <t>LASTSCHUETZ</t>
        </is>
      </c>
      <c r="H1396" t="inlineStr">
        <is>
          <t>4kW 1S</t>
        </is>
      </c>
      <c r="I1396">
        <v>563</v>
      </c>
      <c r="J1396">
        <f>GC03/137.6</f>
        <v>0</v>
      </c>
      <c r="M1396" t="inlineStr">
        <is>
          <t>-137K51.1</t>
        </is>
      </c>
    </row>
    <row r="1397">
      <c r="A1397">
        <v>1396</v>
      </c>
      <c r="B1397">
        <f>GS23</f>
        <v>0</v>
      </c>
      <c r="C1397" t="inlineStr">
        <is>
          <t>+LS2</t>
        </is>
      </c>
      <c r="D1397" t="inlineStr">
        <is>
          <t>-137K54.0</t>
        </is>
      </c>
      <c r="E1397" t="inlineStr">
        <is>
          <t>DIL_EM-10-G</t>
        </is>
      </c>
      <c r="F1397" t="inlineStr">
        <is>
          <t>#KALK!</t>
        </is>
      </c>
      <c r="G1397" t="inlineStr">
        <is>
          <t>LASTSCHUETZ</t>
        </is>
      </c>
      <c r="H1397" t="inlineStr">
        <is>
          <t>4kW 1S</t>
        </is>
      </c>
      <c r="I1397">
        <v>436</v>
      </c>
      <c r="J1397">
        <f>GS23/137.6</f>
        <v>0</v>
      </c>
      <c r="M1397" t="inlineStr">
        <is>
          <t>-137K54.0</t>
        </is>
      </c>
    </row>
    <row r="1398">
      <c r="A1398">
        <v>1397</v>
      </c>
      <c r="B1398">
        <f>GS23</f>
        <v>0</v>
      </c>
      <c r="C1398" t="inlineStr">
        <is>
          <t>+LS2</t>
        </is>
      </c>
      <c r="D1398" t="inlineStr">
        <is>
          <t>-137K54.1</t>
        </is>
      </c>
      <c r="E1398" t="inlineStr">
        <is>
          <t>DIL_EM-10-G</t>
        </is>
      </c>
      <c r="F1398" t="inlineStr">
        <is>
          <t>#KALK!</t>
        </is>
      </c>
      <c r="G1398" t="inlineStr">
        <is>
          <t>LASTSCHUETZ</t>
        </is>
      </c>
      <c r="H1398" t="inlineStr">
        <is>
          <t>4kW 1S</t>
        </is>
      </c>
      <c r="I1398">
        <v>436</v>
      </c>
      <c r="J1398">
        <f>GS23/137.6</f>
        <v>0</v>
      </c>
      <c r="M1398" t="inlineStr">
        <is>
          <t>-137K54.1</t>
        </is>
      </c>
    </row>
    <row r="1399">
      <c r="A1399">
        <v>1398</v>
      </c>
      <c r="B1399">
        <f>GS25</f>
        <v>0</v>
      </c>
      <c r="C1399" t="inlineStr">
        <is>
          <t>+LS2</t>
        </is>
      </c>
      <c r="D1399" t="inlineStr">
        <is>
          <t>-137K61.6</t>
        </is>
      </c>
      <c r="E1399" t="inlineStr">
        <is>
          <t>DIL_EM-10-G</t>
        </is>
      </c>
      <c r="F1399" t="inlineStr">
        <is>
          <t>#KALK!</t>
        </is>
      </c>
      <c r="G1399" t="inlineStr">
        <is>
          <t>LASTSCHUETZ</t>
        </is>
      </c>
      <c r="H1399" t="inlineStr">
        <is>
          <t>4kW 1S</t>
        </is>
      </c>
      <c r="I1399">
        <v>258</v>
      </c>
      <c r="J1399">
        <f>GS25/137.6</f>
        <v>0</v>
      </c>
      <c r="M1399" t="inlineStr">
        <is>
          <t>-137K61.6</t>
        </is>
      </c>
    </row>
    <row r="1400">
      <c r="A1400">
        <v>1399</v>
      </c>
      <c r="B1400">
        <f>GS25</f>
        <v>0</v>
      </c>
      <c r="C1400" t="inlineStr">
        <is>
          <t>+LS2</t>
        </is>
      </c>
      <c r="D1400" t="inlineStr">
        <is>
          <t>-137K61.7</t>
        </is>
      </c>
      <c r="E1400" t="inlineStr">
        <is>
          <t>DIL_EM-10-G</t>
        </is>
      </c>
      <c r="F1400" t="inlineStr">
        <is>
          <t>#KALK!</t>
        </is>
      </c>
      <c r="G1400" t="inlineStr">
        <is>
          <t>LASTSCHUETZ</t>
        </is>
      </c>
      <c r="H1400" t="inlineStr">
        <is>
          <t>4kW 1S</t>
        </is>
      </c>
      <c r="I1400">
        <v>258</v>
      </c>
      <c r="J1400">
        <f>GS25/137.6</f>
        <v>0</v>
      </c>
      <c r="M1400" t="inlineStr">
        <is>
          <t>-137K61.7</t>
        </is>
      </c>
    </row>
    <row r="1401">
      <c r="A1401">
        <v>1400</v>
      </c>
      <c r="B1401">
        <f>GS15</f>
        <v>0</v>
      </c>
      <c r="C1401" t="inlineStr">
        <is>
          <t>+LS2</t>
        </is>
      </c>
      <c r="D1401" t="inlineStr">
        <is>
          <t>-137K62.0</t>
        </is>
      </c>
      <c r="E1401" t="inlineStr">
        <is>
          <t>DIL_EM-10-G</t>
        </is>
      </c>
      <c r="F1401" t="inlineStr">
        <is>
          <t>#KALK!</t>
        </is>
      </c>
      <c r="G1401" t="inlineStr">
        <is>
          <t>LASTSCHUETZ</t>
        </is>
      </c>
      <c r="H1401" t="inlineStr">
        <is>
          <t>4kW 1S</t>
        </is>
      </c>
      <c r="I1401">
        <v>625</v>
      </c>
      <c r="J1401">
        <f>GS15/137.6</f>
        <v>0</v>
      </c>
      <c r="M1401" t="inlineStr">
        <is>
          <t>-137K62.0</t>
        </is>
      </c>
    </row>
    <row r="1402">
      <c r="A1402">
        <v>1401</v>
      </c>
      <c r="B1402">
        <f>GS15</f>
        <v>0</v>
      </c>
      <c r="C1402" t="inlineStr">
        <is>
          <t>+LS2</t>
        </is>
      </c>
      <c r="D1402" t="inlineStr">
        <is>
          <t>-137K62.1</t>
        </is>
      </c>
      <c r="E1402" t="inlineStr">
        <is>
          <t>DIL_EM-10-G</t>
        </is>
      </c>
      <c r="F1402" t="inlineStr">
        <is>
          <t>#KALK!</t>
        </is>
      </c>
      <c r="G1402" t="inlineStr">
        <is>
          <t>LASTSCHUETZ</t>
        </is>
      </c>
      <c r="H1402" t="inlineStr">
        <is>
          <t>4kW 1S</t>
        </is>
      </c>
      <c r="I1402">
        <v>625</v>
      </c>
      <c r="J1402">
        <f>GS15/137.6</f>
        <v>0</v>
      </c>
      <c r="M1402" t="inlineStr">
        <is>
          <t>-137K62.1</t>
        </is>
      </c>
    </row>
    <row r="1403">
      <c r="A1403">
        <v>1402</v>
      </c>
      <c r="B1403">
        <f>GS14</f>
        <v>0</v>
      </c>
      <c r="C1403" t="inlineStr">
        <is>
          <t>+LS2</t>
        </is>
      </c>
      <c r="D1403" t="inlineStr">
        <is>
          <t>-137K64.3</t>
        </is>
      </c>
      <c r="E1403" t="inlineStr">
        <is>
          <t>DIL_EM-10-G</t>
        </is>
      </c>
      <c r="F1403" t="inlineStr">
        <is>
          <t>#KALK!</t>
        </is>
      </c>
      <c r="G1403" t="inlineStr">
        <is>
          <t>LASTSCHUETZ</t>
        </is>
      </c>
      <c r="H1403" t="inlineStr">
        <is>
          <t>4kW 1S</t>
        </is>
      </c>
      <c r="I1403">
        <v>263</v>
      </c>
      <c r="J1403">
        <f>GS14/137.6</f>
        <v>0</v>
      </c>
      <c r="M1403" t="inlineStr">
        <is>
          <t>-137K64.3</t>
        </is>
      </c>
    </row>
    <row r="1404">
      <c r="A1404">
        <v>1403</v>
      </c>
      <c r="B1404">
        <f>GS24</f>
        <v>0</v>
      </c>
      <c r="C1404" t="inlineStr">
        <is>
          <t>+LS2</t>
        </is>
      </c>
      <c r="D1404" t="inlineStr">
        <is>
          <t>-137K64.3</t>
        </is>
      </c>
      <c r="E1404" t="inlineStr">
        <is>
          <t>DIL_EM-10-G</t>
        </is>
      </c>
      <c r="F1404" t="inlineStr">
        <is>
          <t>#KALK!</t>
        </is>
      </c>
      <c r="G1404" t="inlineStr">
        <is>
          <t>LASTSCHUETZ</t>
        </is>
      </c>
      <c r="H1404" t="inlineStr">
        <is>
          <t>4kW 1S</t>
        </is>
      </c>
      <c r="I1404">
        <v>942</v>
      </c>
      <c r="J1404">
        <f>GS24/137.6</f>
        <v>0</v>
      </c>
      <c r="M1404" t="inlineStr">
        <is>
          <t>-137K64.3</t>
        </is>
      </c>
    </row>
    <row r="1405">
      <c r="A1405">
        <v>1404</v>
      </c>
      <c r="B1405">
        <f>GS14</f>
        <v>0</v>
      </c>
      <c r="C1405" t="inlineStr">
        <is>
          <t>+LS2</t>
        </is>
      </c>
      <c r="D1405" t="inlineStr">
        <is>
          <t>-137K64.6</t>
        </is>
      </c>
      <c r="E1405" t="inlineStr">
        <is>
          <t>DIL_EM-10-G</t>
        </is>
      </c>
      <c r="F1405" t="inlineStr">
        <is>
          <t>#KALK!</t>
        </is>
      </c>
      <c r="G1405" t="inlineStr">
        <is>
          <t>LASTSCHUETZ</t>
        </is>
      </c>
      <c r="H1405" t="inlineStr">
        <is>
          <t>4kW 1S</t>
        </is>
      </c>
      <c r="I1405">
        <v>263</v>
      </c>
      <c r="J1405">
        <f>GS14/137.6</f>
        <v>0</v>
      </c>
      <c r="M1405" t="inlineStr">
        <is>
          <t>-137K64.6</t>
        </is>
      </c>
    </row>
    <row r="1406">
      <c r="A1406">
        <v>1405</v>
      </c>
      <c r="B1406">
        <f>GS24</f>
        <v>0</v>
      </c>
      <c r="C1406" t="inlineStr">
        <is>
          <t>+LS2</t>
        </is>
      </c>
      <c r="D1406" t="inlineStr">
        <is>
          <t>-137K64.6</t>
        </is>
      </c>
      <c r="E1406" t="inlineStr">
        <is>
          <t>DIL_EM-10-G</t>
        </is>
      </c>
      <c r="F1406" t="inlineStr">
        <is>
          <t>#KALK!</t>
        </is>
      </c>
      <c r="G1406" t="inlineStr">
        <is>
          <t>LASTSCHUETZ</t>
        </is>
      </c>
      <c r="H1406" t="inlineStr">
        <is>
          <t>4kW 1S</t>
        </is>
      </c>
      <c r="I1406">
        <v>942</v>
      </c>
      <c r="J1406">
        <f>GS24/137.6</f>
        <v>0</v>
      </c>
      <c r="M1406" t="inlineStr">
        <is>
          <t>-137K64.6</t>
        </is>
      </c>
    </row>
    <row r="1407">
      <c r="A1407">
        <v>1406</v>
      </c>
      <c r="B1407">
        <f>GS79</f>
        <v>0</v>
      </c>
      <c r="C1407" t="inlineStr">
        <is>
          <t>+LS[l2]</t>
        </is>
      </c>
      <c r="D1407" t="inlineStr">
        <is>
          <t>-137Q1</t>
        </is>
      </c>
      <c r="E1407" t="inlineStr">
        <is>
          <t>DILM-9-10</t>
        </is>
      </c>
      <c r="F1407" t="inlineStr">
        <is>
          <t>#KALK!</t>
        </is>
      </c>
      <c r="G1407" t="inlineStr">
        <is>
          <t>LASTSCHUETZ</t>
        </is>
      </c>
      <c r="H1407" t="inlineStr">
        <is>
          <t>4kW 1S Federzugkl.</t>
        </is>
      </c>
      <c r="I1407">
        <v>229</v>
      </c>
      <c r="J1407">
        <f>GS79/137.6</f>
        <v>0</v>
      </c>
      <c r="M1407" t="inlineStr">
        <is>
          <t>-137Q1</t>
        </is>
      </c>
    </row>
    <row r="1408">
      <c r="A1408">
        <v>1407</v>
      </c>
      <c r="B1408">
        <f>GS79</f>
        <v>0</v>
      </c>
      <c r="C1408" t="inlineStr">
        <is>
          <t>+LS[l2]</t>
        </is>
      </c>
      <c r="D1408" t="inlineStr">
        <is>
          <t>-137Q1</t>
        </is>
      </c>
      <c r="E1408" t="inlineStr">
        <is>
          <t>DILM-9-10</t>
        </is>
      </c>
      <c r="F1408" t="inlineStr">
        <is>
          <t>#KALK!</t>
        </is>
      </c>
      <c r="G1408" t="inlineStr">
        <is>
          <t>LASTSCHUETZ</t>
        </is>
      </c>
      <c r="H1408" t="inlineStr">
        <is>
          <t>4kW 1S Federzugkl.</t>
        </is>
      </c>
      <c r="I1408">
        <v>178</v>
      </c>
      <c r="J1408">
        <f>GS79/137.6</f>
        <v>0</v>
      </c>
      <c r="M1408" t="inlineStr">
        <is>
          <t>-137Q1</t>
        </is>
      </c>
    </row>
    <row r="1409">
      <c r="A1409">
        <v>1408</v>
      </c>
      <c r="B1409">
        <f>GS91</f>
        <v>0</v>
      </c>
      <c r="C1409" t="inlineStr">
        <is>
          <t>+LS01</t>
        </is>
      </c>
      <c r="D1409" t="inlineStr">
        <is>
          <t>-137Q157.3</t>
        </is>
      </c>
      <c r="E1409" t="inlineStr">
        <is>
          <t>DILM-9-10</t>
        </is>
      </c>
      <c r="F1409" t="inlineStr">
        <is>
          <t>#KALK!</t>
        </is>
      </c>
      <c r="G1409" t="inlineStr">
        <is>
          <t>LASTSCHUETZ</t>
        </is>
      </c>
      <c r="H1409" t="inlineStr">
        <is>
          <t>4kW 1S Federzugkl.</t>
        </is>
      </c>
      <c r="I1409">
        <v>280</v>
      </c>
      <c r="J1409">
        <f>GS91/137.5</f>
        <v>0</v>
      </c>
      <c r="M1409" t="inlineStr">
        <is>
          <t>-137Q157.3</t>
        </is>
      </c>
    </row>
    <row r="1410">
      <c r="A1410">
        <v>1409</v>
      </c>
      <c r="B1410">
        <f>GS79</f>
        <v>0</v>
      </c>
      <c r="C1410" t="inlineStr">
        <is>
          <t>+LS[l2]</t>
        </is>
      </c>
      <c r="D1410" t="inlineStr">
        <is>
          <t>-137Q2</t>
        </is>
      </c>
      <c r="E1410" t="inlineStr">
        <is>
          <t>DILM-9-10</t>
        </is>
      </c>
      <c r="F1410" t="inlineStr">
        <is>
          <t>#KALK!</t>
        </is>
      </c>
      <c r="G1410" t="inlineStr">
        <is>
          <t>LASTSCHUETZ</t>
        </is>
      </c>
      <c r="H1410" t="inlineStr">
        <is>
          <t>4kW 1S Federzugkl.</t>
        </is>
      </c>
      <c r="I1410">
        <v>229</v>
      </c>
      <c r="J1410">
        <f>GS79/137.7</f>
        <v>0</v>
      </c>
      <c r="M1410" t="inlineStr">
        <is>
          <t>-137Q2</t>
        </is>
      </c>
    </row>
    <row r="1411">
      <c r="A1411">
        <v>1410</v>
      </c>
      <c r="B1411">
        <f>GS79</f>
        <v>0</v>
      </c>
      <c r="C1411" t="inlineStr">
        <is>
          <t>+LS[l2]</t>
        </is>
      </c>
      <c r="D1411" t="inlineStr">
        <is>
          <t>-137Q2</t>
        </is>
      </c>
      <c r="E1411" t="inlineStr">
        <is>
          <t>DILM-9-10</t>
        </is>
      </c>
      <c r="F1411" t="inlineStr">
        <is>
          <t>#KALK!</t>
        </is>
      </c>
      <c r="G1411" t="inlineStr">
        <is>
          <t>LASTSCHUETZ</t>
        </is>
      </c>
      <c r="H1411" t="inlineStr">
        <is>
          <t>4kW 1S Federzugkl.</t>
        </is>
      </c>
      <c r="I1411">
        <v>178</v>
      </c>
      <c r="J1411">
        <f>GS79/137.7</f>
        <v>0</v>
      </c>
      <c r="M1411" t="inlineStr">
        <is>
          <t>-137Q2</t>
        </is>
      </c>
    </row>
    <row r="1412">
      <c r="A1412">
        <v>1411</v>
      </c>
      <c r="B1412">
        <f>GS79</f>
        <v>0</v>
      </c>
      <c r="C1412" t="inlineStr">
        <is>
          <t>+LS[l2]</t>
        </is>
      </c>
      <c r="D1412" t="inlineStr">
        <is>
          <t>-137Q3</t>
        </is>
      </c>
      <c r="E1412" t="inlineStr">
        <is>
          <t>DILM-9-10</t>
        </is>
      </c>
      <c r="F1412" t="inlineStr">
        <is>
          <t>#KALK!</t>
        </is>
      </c>
      <c r="G1412" t="inlineStr">
        <is>
          <t>LASTSCHUETZ</t>
        </is>
      </c>
      <c r="H1412" t="inlineStr">
        <is>
          <t>4kW 1S Federzugkl.</t>
        </is>
      </c>
      <c r="I1412">
        <v>229</v>
      </c>
      <c r="J1412">
        <f>GS79/137.8</f>
        <v>0</v>
      </c>
      <c r="M1412" t="inlineStr">
        <is>
          <t>-137Q3</t>
        </is>
      </c>
    </row>
    <row r="1413">
      <c r="A1413">
        <v>1412</v>
      </c>
      <c r="B1413">
        <f>GS79</f>
        <v>0</v>
      </c>
      <c r="C1413" t="inlineStr">
        <is>
          <t>+LS[l2]</t>
        </is>
      </c>
      <c r="D1413" t="inlineStr">
        <is>
          <t>-137Q3</t>
        </is>
      </c>
      <c r="E1413" t="inlineStr">
        <is>
          <t>DILM-9-10</t>
        </is>
      </c>
      <c r="F1413" t="inlineStr">
        <is>
          <t>#KALK!</t>
        </is>
      </c>
      <c r="G1413" t="inlineStr">
        <is>
          <t>LASTSCHUETZ</t>
        </is>
      </c>
      <c r="H1413" t="inlineStr">
        <is>
          <t>4kW 1S Federzugkl.</t>
        </is>
      </c>
      <c r="I1413">
        <v>178</v>
      </c>
      <c r="J1413">
        <f>GS79/137.8</f>
        <v>0</v>
      </c>
      <c r="M1413" t="inlineStr">
        <is>
          <t>-137Q3</t>
        </is>
      </c>
    </row>
    <row r="1414">
      <c r="A1414">
        <v>1413</v>
      </c>
      <c r="B1414">
        <f>GS11</f>
        <v>0</v>
      </c>
      <c r="C1414" t="inlineStr">
        <is>
          <t>+LS2</t>
        </is>
      </c>
      <c r="D1414" t="inlineStr">
        <is>
          <t>-138.1K35.3</t>
        </is>
      </c>
      <c r="E1414" t="inlineStr">
        <is>
          <t>DIL_EM-10-G</t>
        </is>
      </c>
      <c r="F1414" t="inlineStr">
        <is>
          <t>#KALK!</t>
        </is>
      </c>
      <c r="G1414" t="inlineStr">
        <is>
          <t>LASTSCHUETZ</t>
        </is>
      </c>
      <c r="H1414" t="inlineStr">
        <is>
          <t>4kW 1S</t>
        </is>
      </c>
      <c r="I1414">
        <v>1077</v>
      </c>
      <c r="J1414">
        <f>GS11/138.1.7</f>
        <v>0</v>
      </c>
      <c r="M1414" t="inlineStr">
        <is>
          <t>-138.1K35.3</t>
        </is>
      </c>
    </row>
    <row r="1415">
      <c r="A1415">
        <v>1414</v>
      </c>
      <c r="B1415">
        <f>GS21</f>
        <v>0</v>
      </c>
      <c r="C1415" t="inlineStr">
        <is>
          <t>+LS2</t>
        </is>
      </c>
      <c r="D1415" t="inlineStr">
        <is>
          <t>-138.1K35.3</t>
        </is>
      </c>
      <c r="E1415" t="inlineStr">
        <is>
          <t>DILM-9-10</t>
        </is>
      </c>
      <c r="F1415" t="inlineStr">
        <is>
          <t>#KALK!</t>
        </is>
      </c>
      <c r="G1415" t="inlineStr">
        <is>
          <t>LASTSCHUETZ</t>
        </is>
      </c>
      <c r="H1415" t="inlineStr">
        <is>
          <t>4kW 1S Federzugkl.</t>
        </is>
      </c>
      <c r="I1415">
        <v>1147</v>
      </c>
      <c r="J1415">
        <f>GS21/138.1.7</f>
        <v>0</v>
      </c>
      <c r="M1415" t="inlineStr">
        <is>
          <t>-138.1K35.3</t>
        </is>
      </c>
    </row>
    <row r="1416">
      <c r="A1416">
        <v>1415</v>
      </c>
      <c r="B1416">
        <f>GS11</f>
        <v>0</v>
      </c>
      <c r="C1416" t="inlineStr">
        <is>
          <t>+LS2</t>
        </is>
      </c>
      <c r="D1416" t="inlineStr">
        <is>
          <t>-138.2K30.0</t>
        </is>
      </c>
      <c r="E1416" t="inlineStr">
        <is>
          <t>DILM-9-10</t>
        </is>
      </c>
      <c r="F1416" t="inlineStr">
        <is>
          <t>#KALK!</t>
        </is>
      </c>
      <c r="G1416" t="inlineStr">
        <is>
          <t>LASTSCHUETZ</t>
        </is>
      </c>
      <c r="H1416" t="inlineStr">
        <is>
          <t>4kW 1S Federzugkl.</t>
        </is>
      </c>
      <c r="I1416">
        <v>1076</v>
      </c>
      <c r="J1416">
        <f>GS11/138.2.6</f>
        <v>0</v>
      </c>
      <c r="M1416" t="inlineStr">
        <is>
          <t>-138.2K30.0</t>
        </is>
      </c>
    </row>
    <row r="1417">
      <c r="A1417">
        <v>1416</v>
      </c>
      <c r="B1417">
        <f>GS21</f>
        <v>0</v>
      </c>
      <c r="C1417" t="inlineStr">
        <is>
          <t>+LS2</t>
        </is>
      </c>
      <c r="D1417" t="inlineStr">
        <is>
          <t>-138.2K30.0</t>
        </is>
      </c>
      <c r="E1417" t="inlineStr">
        <is>
          <t>DILM-9-10</t>
        </is>
      </c>
      <c r="F1417" t="inlineStr">
        <is>
          <t>#KALK!</t>
        </is>
      </c>
      <c r="G1417" t="inlineStr">
        <is>
          <t>LASTSCHUETZ</t>
        </is>
      </c>
      <c r="H1417" t="inlineStr">
        <is>
          <t>4kW 1S Federzugkl.</t>
        </is>
      </c>
      <c r="I1417">
        <v>1151</v>
      </c>
      <c r="J1417">
        <f>GS21/138.2.6</f>
        <v>0</v>
      </c>
      <c r="M1417" t="inlineStr">
        <is>
          <t>-138.2K30.0</t>
        </is>
      </c>
    </row>
    <row r="1418">
      <c r="A1418">
        <v>1417</v>
      </c>
      <c r="B1418">
        <f>GS11</f>
        <v>0</v>
      </c>
      <c r="C1418" t="inlineStr">
        <is>
          <t>+LS2</t>
        </is>
      </c>
      <c r="D1418" t="inlineStr">
        <is>
          <t>-138.3K35.3</t>
        </is>
      </c>
      <c r="E1418" t="inlineStr">
        <is>
          <t>DIL_EM-10-G</t>
        </is>
      </c>
      <c r="F1418" t="inlineStr">
        <is>
          <t>#KALK!</t>
        </is>
      </c>
      <c r="G1418" t="inlineStr">
        <is>
          <t>LASTSCHUETZ</t>
        </is>
      </c>
      <c r="H1418" t="inlineStr">
        <is>
          <t>4kW 1S</t>
        </is>
      </c>
      <c r="I1418">
        <v>1075</v>
      </c>
      <c r="J1418">
        <f>GS11/138.3.7</f>
        <v>0</v>
      </c>
      <c r="M1418" t="inlineStr">
        <is>
          <t>-138.3K35.3</t>
        </is>
      </c>
    </row>
    <row r="1419">
      <c r="A1419">
        <v>1418</v>
      </c>
      <c r="B1419">
        <f>GS21</f>
        <v>0</v>
      </c>
      <c r="C1419" t="inlineStr">
        <is>
          <t>+LS2</t>
        </is>
      </c>
      <c r="D1419" t="inlineStr">
        <is>
          <t>-138.3K35.3</t>
        </is>
      </c>
      <c r="E1419" t="inlineStr">
        <is>
          <t>DILM-9-10</t>
        </is>
      </c>
      <c r="F1419" t="inlineStr">
        <is>
          <t>#KALK!</t>
        </is>
      </c>
      <c r="G1419" t="inlineStr">
        <is>
          <t>LASTSCHUETZ</t>
        </is>
      </c>
      <c r="H1419" t="inlineStr">
        <is>
          <t>4kW 1S Federzugkl.</t>
        </is>
      </c>
      <c r="I1419">
        <v>1146</v>
      </c>
      <c r="J1419">
        <f>GS21/138.3.7</f>
        <v>0</v>
      </c>
      <c r="M1419" t="inlineStr">
        <is>
          <t>-138.3K35.3</t>
        </is>
      </c>
    </row>
    <row r="1420">
      <c r="A1420">
        <v>1419</v>
      </c>
      <c r="B1420">
        <f>GS11</f>
        <v>0</v>
      </c>
      <c r="C1420" t="inlineStr">
        <is>
          <t>+LS2</t>
        </is>
      </c>
      <c r="D1420" t="inlineStr">
        <is>
          <t>-138.4K31.3</t>
        </is>
      </c>
      <c r="E1420" t="inlineStr">
        <is>
          <t>DILM-9-10</t>
        </is>
      </c>
      <c r="F1420" t="inlineStr">
        <is>
          <t>#KALK!</t>
        </is>
      </c>
      <c r="G1420" t="inlineStr">
        <is>
          <t>LASTSCHUETZ</t>
        </is>
      </c>
      <c r="H1420" t="inlineStr">
        <is>
          <t>4kW 1S Federzugkl.</t>
        </is>
      </c>
      <c r="I1420">
        <v>1069</v>
      </c>
      <c r="J1420">
        <f>GS11/138.4.6</f>
        <v>0</v>
      </c>
      <c r="M1420" t="inlineStr">
        <is>
          <t>-138.4K31.3</t>
        </is>
      </c>
    </row>
    <row r="1421">
      <c r="A1421">
        <v>1420</v>
      </c>
      <c r="B1421">
        <f>GS21</f>
        <v>0</v>
      </c>
      <c r="C1421" t="inlineStr">
        <is>
          <t>+LS2</t>
        </is>
      </c>
      <c r="D1421" t="inlineStr">
        <is>
          <t>-138.4K31.3</t>
        </is>
      </c>
      <c r="E1421" t="inlineStr">
        <is>
          <t>DILM-9-10</t>
        </is>
      </c>
      <c r="F1421" t="inlineStr">
        <is>
          <t>#KALK!</t>
        </is>
      </c>
      <c r="G1421" t="inlineStr">
        <is>
          <t>LASTSCHUETZ</t>
        </is>
      </c>
      <c r="H1421" t="inlineStr">
        <is>
          <t>4kW 1S Federzugkl.</t>
        </is>
      </c>
      <c r="I1421">
        <v>1152</v>
      </c>
      <c r="J1421">
        <f>GS21/138.4.6</f>
        <v>0</v>
      </c>
      <c r="M1421" t="inlineStr">
        <is>
          <t>-138.4K31.3</t>
        </is>
      </c>
    </row>
    <row r="1422">
      <c r="A1422">
        <v>1421</v>
      </c>
      <c r="B1422">
        <f>GS11</f>
        <v>0</v>
      </c>
      <c r="C1422" t="inlineStr">
        <is>
          <t>+LS2</t>
        </is>
      </c>
      <c r="D1422" t="inlineStr">
        <is>
          <t>-138.4K31.4</t>
        </is>
      </c>
      <c r="E1422" t="inlineStr">
        <is>
          <t>DILM-9-10</t>
        </is>
      </c>
      <c r="F1422" t="inlineStr">
        <is>
          <t>#KALK!</t>
        </is>
      </c>
      <c r="G1422" t="inlineStr">
        <is>
          <t>LASTSCHUETZ</t>
        </is>
      </c>
      <c r="H1422" t="inlineStr">
        <is>
          <t>4kW 1S Federzugkl.</t>
        </is>
      </c>
      <c r="I1422">
        <v>1069</v>
      </c>
      <c r="J1422">
        <f>GS11/138.4.6</f>
        <v>0</v>
      </c>
      <c r="M1422" t="inlineStr">
        <is>
          <t>-138.4K31.4</t>
        </is>
      </c>
    </row>
    <row r="1423">
      <c r="A1423">
        <v>1422</v>
      </c>
      <c r="B1423">
        <f>GS21</f>
        <v>0</v>
      </c>
      <c r="C1423" t="inlineStr">
        <is>
          <t>+LS2</t>
        </is>
      </c>
      <c r="D1423" t="inlineStr">
        <is>
          <t>-138.4K31.4</t>
        </is>
      </c>
      <c r="E1423" t="inlineStr">
        <is>
          <t>DILM-9-10</t>
        </is>
      </c>
      <c r="F1423" t="inlineStr">
        <is>
          <t>#KALK!</t>
        </is>
      </c>
      <c r="G1423" t="inlineStr">
        <is>
          <t>LASTSCHUETZ</t>
        </is>
      </c>
      <c r="H1423" t="inlineStr">
        <is>
          <t>4kW 1S Federzugkl.</t>
        </is>
      </c>
      <c r="I1423">
        <v>1152</v>
      </c>
      <c r="J1423">
        <f>GS21/138.4.6</f>
        <v>0</v>
      </c>
      <c r="M1423" t="inlineStr">
        <is>
          <t>-138.4K31.4</t>
        </is>
      </c>
    </row>
    <row r="1424">
      <c r="A1424">
        <v>1423</v>
      </c>
      <c r="B1424">
        <f>GS11</f>
        <v>0</v>
      </c>
      <c r="C1424" t="inlineStr">
        <is>
          <t>+LS2</t>
        </is>
      </c>
      <c r="D1424" t="inlineStr">
        <is>
          <t>-138.5K30.5</t>
        </is>
      </c>
      <c r="E1424" t="inlineStr">
        <is>
          <t>DILM-9-10</t>
        </is>
      </c>
      <c r="F1424" t="inlineStr">
        <is>
          <t>#KALK!</t>
        </is>
      </c>
      <c r="G1424" t="inlineStr">
        <is>
          <t>LASTSCHUETZ</t>
        </is>
      </c>
      <c r="H1424" t="inlineStr">
        <is>
          <t>4kW 1S Federzugkl.</t>
        </is>
      </c>
      <c r="I1424">
        <v>1074</v>
      </c>
      <c r="J1424">
        <f>GS11/138.5.6</f>
        <v>0</v>
      </c>
      <c r="M1424" t="inlineStr">
        <is>
          <t>-138.5K30.5</t>
        </is>
      </c>
    </row>
    <row r="1425">
      <c r="A1425">
        <v>1424</v>
      </c>
      <c r="B1425">
        <f>GS21</f>
        <v>0</v>
      </c>
      <c r="C1425" t="inlineStr">
        <is>
          <t>+LS2</t>
        </is>
      </c>
      <c r="D1425" t="inlineStr">
        <is>
          <t>-138.5K30.5</t>
        </is>
      </c>
      <c r="E1425" t="inlineStr">
        <is>
          <t>DILM-9-10</t>
        </is>
      </c>
      <c r="F1425" t="inlineStr">
        <is>
          <t>#KALK!</t>
        </is>
      </c>
      <c r="G1425" t="inlineStr">
        <is>
          <t>LASTSCHUETZ</t>
        </is>
      </c>
      <c r="H1425" t="inlineStr">
        <is>
          <t>4kW 1S Federzugkl.</t>
        </is>
      </c>
      <c r="I1425">
        <v>1153</v>
      </c>
      <c r="J1425">
        <f>GS21/138.5.6</f>
        <v>0</v>
      </c>
      <c r="M1425" t="inlineStr">
        <is>
          <t>-138.5K30.5</t>
        </is>
      </c>
    </row>
    <row r="1426">
      <c r="A1426">
        <v>1425</v>
      </c>
      <c r="B1426">
        <f>GS11</f>
        <v>0</v>
      </c>
      <c r="C1426" t="inlineStr">
        <is>
          <t>+LS2</t>
        </is>
      </c>
      <c r="D1426" t="inlineStr">
        <is>
          <t>-138.6K31.5</t>
        </is>
      </c>
      <c r="E1426" t="inlineStr">
        <is>
          <t>DILM-9-10</t>
        </is>
      </c>
      <c r="F1426" t="inlineStr">
        <is>
          <t>#KALK!</t>
        </is>
      </c>
      <c r="G1426" t="inlineStr">
        <is>
          <t>LASTSCHUETZ</t>
        </is>
      </c>
      <c r="H1426" t="inlineStr">
        <is>
          <t>4kW 1S Federzugkl.</t>
        </is>
      </c>
      <c r="I1426">
        <v>1073</v>
      </c>
      <c r="J1426">
        <f>GS11/138.6.6</f>
        <v>0</v>
      </c>
      <c r="M1426" t="inlineStr">
        <is>
          <t>-138.6K31.5</t>
        </is>
      </c>
    </row>
    <row r="1427">
      <c r="A1427">
        <v>1426</v>
      </c>
      <c r="B1427">
        <f>GS21</f>
        <v>0</v>
      </c>
      <c r="C1427" t="inlineStr">
        <is>
          <t>+LS2</t>
        </is>
      </c>
      <c r="D1427" t="inlineStr">
        <is>
          <t>-138.6K31.5</t>
        </is>
      </c>
      <c r="E1427" t="inlineStr">
        <is>
          <t>DILM-9-10</t>
        </is>
      </c>
      <c r="F1427" t="inlineStr">
        <is>
          <t>#KALK!</t>
        </is>
      </c>
      <c r="G1427" t="inlineStr">
        <is>
          <t>LASTSCHUETZ</t>
        </is>
      </c>
      <c r="H1427" t="inlineStr">
        <is>
          <t>4kW 1S Federzugkl.</t>
        </is>
      </c>
      <c r="I1427">
        <v>1154</v>
      </c>
      <c r="J1427">
        <f>GS21/138.6.6</f>
        <v>0</v>
      </c>
      <c r="M1427" t="inlineStr">
        <is>
          <t>-138.6K31.5</t>
        </is>
      </c>
    </row>
    <row r="1428">
      <c r="A1428">
        <v>1427</v>
      </c>
      <c r="B1428">
        <f>GS11</f>
        <v>0</v>
      </c>
      <c r="C1428" t="inlineStr">
        <is>
          <t>+LS2</t>
        </is>
      </c>
      <c r="D1428" t="inlineStr">
        <is>
          <t>-138.6K31.6</t>
        </is>
      </c>
      <c r="E1428" t="inlineStr">
        <is>
          <t>DILM-9-10</t>
        </is>
      </c>
      <c r="F1428" t="inlineStr">
        <is>
          <t>#KALK!</t>
        </is>
      </c>
      <c r="G1428" t="inlineStr">
        <is>
          <t>LASTSCHUETZ</t>
        </is>
      </c>
      <c r="H1428" t="inlineStr">
        <is>
          <t>4kW 1S Federzugkl.</t>
        </is>
      </c>
      <c r="I1428">
        <v>1073</v>
      </c>
      <c r="J1428">
        <f>GS11/138.6.6</f>
        <v>0</v>
      </c>
      <c r="M1428" t="inlineStr">
        <is>
          <t>-138.6K31.6</t>
        </is>
      </c>
    </row>
    <row r="1429">
      <c r="A1429">
        <v>1428</v>
      </c>
      <c r="B1429">
        <f>GS21</f>
        <v>0</v>
      </c>
      <c r="C1429" t="inlineStr">
        <is>
          <t>+LS2</t>
        </is>
      </c>
      <c r="D1429" t="inlineStr">
        <is>
          <t>-138.6K31.6</t>
        </is>
      </c>
      <c r="E1429" t="inlineStr">
        <is>
          <t>DILM-9-10</t>
        </is>
      </c>
      <c r="F1429" t="inlineStr">
        <is>
          <t>#KALK!</t>
        </is>
      </c>
      <c r="G1429" t="inlineStr">
        <is>
          <t>LASTSCHUETZ</t>
        </is>
      </c>
      <c r="H1429" t="inlineStr">
        <is>
          <t>4kW 1S Federzugkl.</t>
        </is>
      </c>
      <c r="I1429">
        <v>1154</v>
      </c>
      <c r="J1429">
        <f>GS21/138.6.6</f>
        <v>0</v>
      </c>
      <c r="M1429" t="inlineStr">
        <is>
          <t>-138.6K31.6</t>
        </is>
      </c>
    </row>
    <row r="1430">
      <c r="A1430">
        <v>1429</v>
      </c>
      <c r="B1430">
        <f>GS11</f>
        <v>0</v>
      </c>
      <c r="C1430" t="inlineStr">
        <is>
          <t>+LS2</t>
        </is>
      </c>
      <c r="D1430" t="inlineStr">
        <is>
          <t>-138.7K30.7</t>
        </is>
      </c>
      <c r="E1430" t="inlineStr">
        <is>
          <t>DILM-9-10</t>
        </is>
      </c>
      <c r="F1430" t="inlineStr">
        <is>
          <t>#KALK!</t>
        </is>
      </c>
      <c r="G1430" t="inlineStr">
        <is>
          <t>LASTSCHUETZ</t>
        </is>
      </c>
      <c r="H1430" t="inlineStr">
        <is>
          <t>4kW 1S Federzugkl.</t>
        </is>
      </c>
      <c r="I1430">
        <v>1078</v>
      </c>
      <c r="J1430">
        <f>GS11/138.7.6</f>
        <v>0</v>
      </c>
      <c r="M1430" t="inlineStr">
        <is>
          <t>-138.7K30.7</t>
        </is>
      </c>
    </row>
    <row r="1431">
      <c r="A1431">
        <v>1430</v>
      </c>
      <c r="B1431">
        <f>GS21</f>
        <v>0</v>
      </c>
      <c r="C1431" t="inlineStr">
        <is>
          <t>+LS2</t>
        </is>
      </c>
      <c r="D1431" t="inlineStr">
        <is>
          <t>-138.7K30.7</t>
        </is>
      </c>
      <c r="E1431" t="inlineStr">
        <is>
          <t>DILM-9-10</t>
        </is>
      </c>
      <c r="F1431" t="inlineStr">
        <is>
          <t>#KALK!</t>
        </is>
      </c>
      <c r="G1431" t="inlineStr">
        <is>
          <t>LASTSCHUETZ</t>
        </is>
      </c>
      <c r="H1431" t="inlineStr">
        <is>
          <t>4kW 1S Federzugkl.</t>
        </is>
      </c>
      <c r="I1431">
        <v>1155</v>
      </c>
      <c r="J1431">
        <f>GS21/138.7.6</f>
        <v>0</v>
      </c>
      <c r="M1431" t="inlineStr">
        <is>
          <t>-138.7K30.7</t>
        </is>
      </c>
    </row>
    <row r="1432">
      <c r="A1432">
        <v>1431</v>
      </c>
      <c r="B1432">
        <f>GS11</f>
        <v>0</v>
      </c>
      <c r="C1432" t="inlineStr">
        <is>
          <t>+LS2</t>
        </is>
      </c>
      <c r="D1432" t="inlineStr">
        <is>
          <t>-138.7K31.7</t>
        </is>
      </c>
      <c r="E1432" t="inlineStr">
        <is>
          <t>DILM-9-10</t>
        </is>
      </c>
      <c r="F1432" t="inlineStr">
        <is>
          <t>#KALK!</t>
        </is>
      </c>
      <c r="G1432" t="inlineStr">
        <is>
          <t>LASTSCHUETZ</t>
        </is>
      </c>
      <c r="H1432" t="inlineStr">
        <is>
          <t>4kW 1S Federzugkl.</t>
        </is>
      </c>
      <c r="I1432">
        <v>1078</v>
      </c>
      <c r="J1432">
        <f>GS11/138.7.6</f>
        <v>0</v>
      </c>
      <c r="M1432" t="inlineStr">
        <is>
          <t>-138.7K31.7</t>
        </is>
      </c>
    </row>
    <row r="1433">
      <c r="A1433">
        <v>1432</v>
      </c>
      <c r="B1433">
        <f>GS21</f>
        <v>0</v>
      </c>
      <c r="C1433" t="inlineStr">
        <is>
          <t>+LS2</t>
        </is>
      </c>
      <c r="D1433" t="inlineStr">
        <is>
          <t>-138.7K31.7</t>
        </is>
      </c>
      <c r="E1433" t="inlineStr">
        <is>
          <t>DILM-9-10</t>
        </is>
      </c>
      <c r="F1433" t="inlineStr">
        <is>
          <t>#KALK!</t>
        </is>
      </c>
      <c r="G1433" t="inlineStr">
        <is>
          <t>LASTSCHUETZ</t>
        </is>
      </c>
      <c r="H1433" t="inlineStr">
        <is>
          <t>4kW 1S Federzugkl.</t>
        </is>
      </c>
      <c r="I1433">
        <v>1155</v>
      </c>
      <c r="J1433">
        <f>GS21/138.7.6</f>
        <v>0</v>
      </c>
      <c r="M1433" t="inlineStr">
        <is>
          <t>-138.7K31.7</t>
        </is>
      </c>
    </row>
    <row r="1434">
      <c r="A1434">
        <v>1433</v>
      </c>
      <c r="B1434">
        <f>GS11</f>
        <v>0</v>
      </c>
      <c r="C1434" t="inlineStr">
        <is>
          <t>+LS2</t>
        </is>
      </c>
      <c r="D1434" t="inlineStr">
        <is>
          <t>-138.8K29.6</t>
        </is>
      </c>
      <c r="E1434" t="inlineStr">
        <is>
          <t>DILM-9-10</t>
        </is>
      </c>
      <c r="F1434" t="inlineStr">
        <is>
          <t>#KALK!</t>
        </is>
      </c>
      <c r="G1434" t="inlineStr">
        <is>
          <t>LASTSCHUETZ</t>
        </is>
      </c>
      <c r="H1434" t="inlineStr">
        <is>
          <t>4kW 1S Federzugkl.</t>
        </is>
      </c>
      <c r="I1434">
        <v>1079</v>
      </c>
      <c r="J1434">
        <f>GS11/138.8.6</f>
        <v>0</v>
      </c>
      <c r="M1434" t="inlineStr">
        <is>
          <t>-138.8K29.6</t>
        </is>
      </c>
    </row>
    <row r="1435">
      <c r="A1435">
        <v>1434</v>
      </c>
      <c r="B1435">
        <f>GS11</f>
        <v>0</v>
      </c>
      <c r="C1435" t="inlineStr">
        <is>
          <t>+LS2</t>
        </is>
      </c>
      <c r="D1435" t="inlineStr">
        <is>
          <t>-138.8K29.7</t>
        </is>
      </c>
      <c r="E1435" t="inlineStr">
        <is>
          <t>DILM-9-10</t>
        </is>
      </c>
      <c r="F1435" t="inlineStr">
        <is>
          <t>#KALK!</t>
        </is>
      </c>
      <c r="G1435" t="inlineStr">
        <is>
          <t>LASTSCHUETZ</t>
        </is>
      </c>
      <c r="H1435" t="inlineStr">
        <is>
          <t>4kW 1S Federzugkl.</t>
        </is>
      </c>
      <c r="I1435">
        <v>1079</v>
      </c>
      <c r="J1435">
        <f>GS11/138.8.6</f>
        <v>0</v>
      </c>
      <c r="M1435" t="inlineStr">
        <is>
          <t>-138.8K29.7</t>
        </is>
      </c>
    </row>
    <row r="1436">
      <c r="A1436">
        <v>1435</v>
      </c>
      <c r="B1436">
        <f>GS21</f>
        <v>0</v>
      </c>
      <c r="C1436" t="inlineStr">
        <is>
          <t>+LS2</t>
        </is>
      </c>
      <c r="D1436" t="inlineStr">
        <is>
          <t>-138.8K34.6</t>
        </is>
      </c>
      <c r="E1436" t="inlineStr">
        <is>
          <t>DILM-9-10</t>
        </is>
      </c>
      <c r="F1436" t="inlineStr">
        <is>
          <t>#KALK!</t>
        </is>
      </c>
      <c r="G1436" t="inlineStr">
        <is>
          <t>LASTSCHUETZ</t>
        </is>
      </c>
      <c r="H1436" t="inlineStr">
        <is>
          <t>4kW 1S Federzugkl.</t>
        </is>
      </c>
      <c r="I1436">
        <v>1156</v>
      </c>
      <c r="J1436">
        <f>GS21/138.8.6</f>
        <v>0</v>
      </c>
      <c r="M1436" t="inlineStr">
        <is>
          <t>-138.8K34.6</t>
        </is>
      </c>
    </row>
    <row r="1437">
      <c r="A1437">
        <v>1436</v>
      </c>
      <c r="B1437">
        <f>GS21</f>
        <v>0</v>
      </c>
      <c r="C1437" t="inlineStr">
        <is>
          <t>+LS2</t>
        </is>
      </c>
      <c r="D1437" t="inlineStr">
        <is>
          <t>-138.8K34.7</t>
        </is>
      </c>
      <c r="E1437" t="inlineStr">
        <is>
          <t>DILM-9-10</t>
        </is>
      </c>
      <c r="F1437" t="inlineStr">
        <is>
          <t>#KALK!</t>
        </is>
      </c>
      <c r="G1437" t="inlineStr">
        <is>
          <t>LASTSCHUETZ</t>
        </is>
      </c>
      <c r="H1437" t="inlineStr">
        <is>
          <t>4kW 1S Federzugkl.</t>
        </is>
      </c>
      <c r="I1437">
        <v>1156</v>
      </c>
      <c r="J1437">
        <f>GS21/138.8.6</f>
        <v>0</v>
      </c>
      <c r="M1437" t="inlineStr">
        <is>
          <t>-138.8K34.7</t>
        </is>
      </c>
    </row>
    <row r="1438">
      <c r="A1438">
        <v>1437</v>
      </c>
      <c r="B1438">
        <f>GS51</f>
        <v>0</v>
      </c>
      <c r="C1438" t="inlineStr">
        <is>
          <t>+LS20</t>
        </is>
      </c>
      <c r="D1438" t="inlineStr">
        <is>
          <t>-1380Q1</t>
        </is>
      </c>
      <c r="E1438" t="inlineStr">
        <is>
          <t>DILA-XHI22</t>
        </is>
      </c>
      <c r="F1438" t="inlineStr">
        <is>
          <t>DILA-XHI22</t>
        </is>
      </c>
      <c r="G1438" t="inlineStr">
        <is>
          <t>HILFSKONTAKTBLOCK</t>
        </is>
      </c>
      <c r="H1438" t="inlineStr">
        <is>
          <t>2S 2OE Last+Hilfssch. Cage</t>
        </is>
      </c>
      <c r="I1438">
        <v>1490</v>
      </c>
      <c r="J1438">
        <f>GS51/1380.6</f>
        <v>0</v>
      </c>
      <c r="K1438" t="inlineStr">
        <is>
          <t>DIL MC25</t>
        </is>
      </c>
      <c r="M1438" t="inlineStr">
        <is>
          <t>-1380Q1</t>
        </is>
      </c>
    </row>
    <row r="1439">
      <c r="A1439">
        <v>1438</v>
      </c>
      <c r="B1439">
        <f>GS51</f>
        <v>0</v>
      </c>
      <c r="C1439" t="inlineStr">
        <is>
          <t>+LS20</t>
        </is>
      </c>
      <c r="D1439" t="inlineStr">
        <is>
          <t>-1380Q1</t>
        </is>
      </c>
      <c r="E1439" t="inlineStr">
        <is>
          <t>DILMC25-10(RDC24)</t>
        </is>
      </c>
      <c r="F1439" t="inlineStr">
        <is>
          <t>DILA-XHI22</t>
        </is>
      </c>
      <c r="G1439" t="inlineStr">
        <is>
          <t>LASTSCHUETZ</t>
        </is>
      </c>
      <c r="H1439" t="inlineStr">
        <is>
          <t>11kW 1S Federzugkl.</t>
        </is>
      </c>
      <c r="I1439">
        <v>1490</v>
      </c>
      <c r="J1439">
        <f>GS51/1380.6</f>
        <v>0</v>
      </c>
      <c r="K1439" t="inlineStr">
        <is>
          <t>DIL MC25</t>
        </is>
      </c>
      <c r="M1439" t="inlineStr">
        <is>
          <t>-1380Q1</t>
        </is>
      </c>
    </row>
    <row r="1440">
      <c r="A1440">
        <v>1439</v>
      </c>
      <c r="B1440">
        <f>GS55</f>
        <v>0</v>
      </c>
      <c r="C1440" t="inlineStr">
        <is>
          <t>+LS22</t>
        </is>
      </c>
      <c r="D1440" t="inlineStr">
        <is>
          <t>-1380Q1</t>
        </is>
      </c>
      <c r="E1440" t="inlineStr">
        <is>
          <t>DILA-XHI22</t>
        </is>
      </c>
      <c r="F1440" t="inlineStr">
        <is>
          <t>DILA-XHI22</t>
        </is>
      </c>
      <c r="G1440" t="inlineStr">
        <is>
          <t>HILFSKONTAKTBLOCK</t>
        </is>
      </c>
      <c r="H1440" t="inlineStr">
        <is>
          <t>2S 2OE Last+Hilfssch. Cage</t>
        </is>
      </c>
      <c r="I1440">
        <v>1601</v>
      </c>
      <c r="J1440">
        <f>GS55/1380.6</f>
        <v>0</v>
      </c>
      <c r="K1440" t="inlineStr">
        <is>
          <t>DIL MC25</t>
        </is>
      </c>
      <c r="M1440" t="inlineStr">
        <is>
          <t>-1380Q1</t>
        </is>
      </c>
    </row>
    <row r="1441">
      <c r="A1441">
        <v>1440</v>
      </c>
      <c r="B1441">
        <f>GS55</f>
        <v>0</v>
      </c>
      <c r="C1441" t="inlineStr">
        <is>
          <t>+LS22</t>
        </is>
      </c>
      <c r="D1441" t="inlineStr">
        <is>
          <t>-1380Q1</t>
        </is>
      </c>
      <c r="E1441" t="inlineStr">
        <is>
          <t>DILMC25-10(RDC24)</t>
        </is>
      </c>
      <c r="F1441" t="inlineStr">
        <is>
          <t>DILA-XHI22</t>
        </is>
      </c>
      <c r="G1441" t="inlineStr">
        <is>
          <t>LASTSCHUETZ</t>
        </is>
      </c>
      <c r="H1441" t="inlineStr">
        <is>
          <t>11kW 1S Federzugkl.</t>
        </is>
      </c>
      <c r="I1441">
        <v>1601</v>
      </c>
      <c r="J1441">
        <f>GS55/1380.6</f>
        <v>0</v>
      </c>
      <c r="K1441" t="inlineStr">
        <is>
          <t>DIL MC25</t>
        </is>
      </c>
      <c r="M1441" t="inlineStr">
        <is>
          <t>-1380Q1</t>
        </is>
      </c>
    </row>
    <row r="1442">
      <c r="A1442">
        <v>1441</v>
      </c>
      <c r="B1442">
        <f>GS05</f>
        <v>0</v>
      </c>
      <c r="C1442" t="inlineStr">
        <is>
          <t>+LS22</t>
        </is>
      </c>
      <c r="D1442" t="inlineStr">
        <is>
          <t>-1381K1</t>
        </is>
      </c>
      <c r="E1442" t="inlineStr">
        <is>
          <t>DILM-9-01</t>
        </is>
      </c>
      <c r="F1442" t="inlineStr">
        <is>
          <t>#KALK!</t>
        </is>
      </c>
      <c r="G1442" t="inlineStr">
        <is>
          <t>LASTSCHUETZ</t>
        </is>
      </c>
      <c r="H1442" t="inlineStr">
        <is>
          <t>4kW 1Oe Federzugkl.</t>
        </is>
      </c>
      <c r="I1442">
        <v>2167</v>
      </c>
      <c r="J1442">
        <f>GS05/1381.6</f>
        <v>0</v>
      </c>
      <c r="M1442" t="inlineStr">
        <is>
          <t>-1381K1</t>
        </is>
      </c>
    </row>
    <row r="1443">
      <c r="A1443">
        <v>1442</v>
      </c>
      <c r="B1443">
        <f>GS05</f>
        <v>0</v>
      </c>
      <c r="C1443" t="inlineStr">
        <is>
          <t>+LS22</t>
        </is>
      </c>
      <c r="D1443" t="inlineStr">
        <is>
          <t>-1381K2</t>
        </is>
      </c>
      <c r="E1443" t="inlineStr">
        <is>
          <t>DILM-9-01</t>
        </is>
      </c>
      <c r="F1443" t="inlineStr">
        <is>
          <t>#KALK!</t>
        </is>
      </c>
      <c r="G1443" t="inlineStr">
        <is>
          <t>LASTSCHUETZ</t>
        </is>
      </c>
      <c r="H1443" t="inlineStr">
        <is>
          <t>4kW 1Oe Federzugkl.</t>
        </is>
      </c>
      <c r="I1443">
        <v>2167</v>
      </c>
      <c r="J1443">
        <f>GS05/1381.7</f>
        <v>0</v>
      </c>
      <c r="M1443" t="inlineStr">
        <is>
          <t>-1381K2</t>
        </is>
      </c>
    </row>
    <row r="1444">
      <c r="A1444">
        <v>1443</v>
      </c>
      <c r="B1444">
        <f>GS55</f>
        <v>0</v>
      </c>
      <c r="C1444" t="inlineStr">
        <is>
          <t>+LS22</t>
        </is>
      </c>
      <c r="D1444" t="inlineStr">
        <is>
          <t>-1381Q731.1</t>
        </is>
      </c>
      <c r="E1444" t="inlineStr">
        <is>
          <t>DILA-XHI22</t>
        </is>
      </c>
      <c r="F1444" t="inlineStr">
        <is>
          <t>DILA-XHI22</t>
        </is>
      </c>
      <c r="G1444" t="inlineStr">
        <is>
          <t>HILFSKONTAKTBLOCK</t>
        </is>
      </c>
      <c r="H1444" t="inlineStr">
        <is>
          <t>2S 2OE Last+Hilfssch. Cage</t>
        </is>
      </c>
      <c r="I1444">
        <v>1602</v>
      </c>
      <c r="J1444">
        <f>GS55/1381.6</f>
        <v>0</v>
      </c>
      <c r="K1444" t="inlineStr">
        <is>
          <t>DIL MC9 HT2601</t>
        </is>
      </c>
      <c r="M1444" t="inlineStr">
        <is>
          <t>-1381Q731.1</t>
        </is>
      </c>
    </row>
    <row r="1445">
      <c r="A1445">
        <v>1444</v>
      </c>
      <c r="B1445">
        <f>GS55</f>
        <v>0</v>
      </c>
      <c r="C1445" t="inlineStr">
        <is>
          <t>+LS22</t>
        </is>
      </c>
      <c r="D1445" t="inlineStr">
        <is>
          <t>-1381Q731.1</t>
        </is>
      </c>
      <c r="E1445" t="inlineStr">
        <is>
          <t>DILM-9-10</t>
        </is>
      </c>
      <c r="F1445" t="inlineStr">
        <is>
          <t>DILA-XHI22</t>
        </is>
      </c>
      <c r="G1445" t="inlineStr">
        <is>
          <t>LASTSCHUETZ</t>
        </is>
      </c>
      <c r="H1445" t="inlineStr">
        <is>
          <t>4kW 1S Federzugkl.</t>
        </is>
      </c>
      <c r="I1445">
        <v>1602</v>
      </c>
      <c r="J1445">
        <f>GS55/1381.6</f>
        <v>0</v>
      </c>
      <c r="K1445" t="inlineStr">
        <is>
          <t>DIL MC9 HT2601</t>
        </is>
      </c>
      <c r="M1445" t="inlineStr">
        <is>
          <t>-1381Q731.1</t>
        </is>
      </c>
    </row>
    <row r="1446">
      <c r="A1446">
        <v>1445</v>
      </c>
      <c r="B1446">
        <f>GS55</f>
        <v>0</v>
      </c>
      <c r="C1446" t="inlineStr">
        <is>
          <t>+LS22</t>
        </is>
      </c>
      <c r="D1446" t="inlineStr">
        <is>
          <t>-1381Q731.2</t>
        </is>
      </c>
      <c r="E1446" t="inlineStr">
        <is>
          <t>DILA-XHI22</t>
        </is>
      </c>
      <c r="F1446" t="inlineStr">
        <is>
          <t>DILA-XHI22</t>
        </is>
      </c>
      <c r="G1446" t="inlineStr">
        <is>
          <t>HILFSKONTAKTBLOCK</t>
        </is>
      </c>
      <c r="H1446" t="inlineStr">
        <is>
          <t>2S 2OE Last+Hilfssch. Cage</t>
        </is>
      </c>
      <c r="I1446">
        <v>1602</v>
      </c>
      <c r="J1446">
        <f>GS55/1381.7</f>
        <v>0</v>
      </c>
      <c r="K1446" t="inlineStr">
        <is>
          <t>DIL MC9 HT2601</t>
        </is>
      </c>
      <c r="M1446" t="inlineStr">
        <is>
          <t>-1381Q731.2</t>
        </is>
      </c>
    </row>
    <row r="1447">
      <c r="A1447">
        <v>1446</v>
      </c>
      <c r="B1447">
        <f>GS55</f>
        <v>0</v>
      </c>
      <c r="C1447" t="inlineStr">
        <is>
          <t>+LS22</t>
        </is>
      </c>
      <c r="D1447" t="inlineStr">
        <is>
          <t>-1381Q731.2</t>
        </is>
      </c>
      <c r="E1447" t="inlineStr">
        <is>
          <t>DILM-9-10</t>
        </is>
      </c>
      <c r="F1447" t="inlineStr">
        <is>
          <t>DILA-XHI22</t>
        </is>
      </c>
      <c r="G1447" t="inlineStr">
        <is>
          <t>LASTSCHUETZ</t>
        </is>
      </c>
      <c r="H1447" t="inlineStr">
        <is>
          <t>4kW 1S Federzugkl.</t>
        </is>
      </c>
      <c r="I1447">
        <v>1602</v>
      </c>
      <c r="J1447">
        <f>GS55/1381.7</f>
        <v>0</v>
      </c>
      <c r="K1447" t="inlineStr">
        <is>
          <t>DIL MC9 HT2601</t>
        </is>
      </c>
      <c r="M1447" t="inlineStr">
        <is>
          <t>-1381Q731.2</t>
        </is>
      </c>
    </row>
    <row r="1448">
      <c r="A1448">
        <v>1447</v>
      </c>
      <c r="B1448">
        <f>GS05</f>
        <v>0</v>
      </c>
      <c r="C1448" t="inlineStr">
        <is>
          <t>+LS22</t>
        </is>
      </c>
      <c r="D1448" t="inlineStr">
        <is>
          <t>-1382K1</t>
        </is>
      </c>
      <c r="E1448" t="inlineStr">
        <is>
          <t>DILM-9-01</t>
        </is>
      </c>
      <c r="F1448" t="inlineStr">
        <is>
          <t>#KALK!</t>
        </is>
      </c>
      <c r="G1448" t="inlineStr">
        <is>
          <t>LASTSCHUETZ</t>
        </is>
      </c>
      <c r="H1448" t="inlineStr">
        <is>
          <t>4kW 1Oe Federzugkl.</t>
        </is>
      </c>
      <c r="I1448">
        <v>2166</v>
      </c>
      <c r="J1448">
        <f>GS05/1382.6</f>
        <v>0</v>
      </c>
      <c r="M1448" t="inlineStr">
        <is>
          <t>-1382K1</t>
        </is>
      </c>
    </row>
    <row r="1449">
      <c r="A1449">
        <v>1448</v>
      </c>
      <c r="B1449">
        <f>GS05</f>
        <v>0</v>
      </c>
      <c r="C1449" t="inlineStr">
        <is>
          <t>+LS22</t>
        </is>
      </c>
      <c r="D1449" t="inlineStr">
        <is>
          <t>-1382K2</t>
        </is>
      </c>
      <c r="E1449" t="inlineStr">
        <is>
          <t>DILM-9-01</t>
        </is>
      </c>
      <c r="F1449" t="inlineStr">
        <is>
          <t>#KALK!</t>
        </is>
      </c>
      <c r="G1449" t="inlineStr">
        <is>
          <t>LASTSCHUETZ</t>
        </is>
      </c>
      <c r="H1449" t="inlineStr">
        <is>
          <t>4kW 1Oe Federzugkl.</t>
        </is>
      </c>
      <c r="I1449">
        <v>2166</v>
      </c>
      <c r="J1449">
        <f>GS05/1382.7</f>
        <v>0</v>
      </c>
      <c r="M1449" t="inlineStr">
        <is>
          <t>-1382K2</t>
        </is>
      </c>
    </row>
    <row r="1450">
      <c r="A1450">
        <v>1449</v>
      </c>
      <c r="B1450">
        <f>GS51</f>
        <v>0</v>
      </c>
      <c r="C1450" t="inlineStr">
        <is>
          <t>+LS20</t>
        </is>
      </c>
      <c r="D1450" t="inlineStr">
        <is>
          <t>-1383Q810.6</t>
        </is>
      </c>
      <c r="E1450" t="inlineStr">
        <is>
          <t>DILM-9-10</t>
        </is>
      </c>
      <c r="F1450" t="inlineStr">
        <is>
          <t>DILA-XHI22</t>
        </is>
      </c>
      <c r="G1450" t="inlineStr">
        <is>
          <t>LASTSCHUETZ</t>
        </is>
      </c>
      <c r="H1450" t="inlineStr">
        <is>
          <t>4kW 1S Federzugkl.</t>
        </is>
      </c>
      <c r="I1450">
        <v>1502</v>
      </c>
      <c r="J1450">
        <f>GS51/1383.6</f>
        <v>0</v>
      </c>
      <c r="K1450" t="inlineStr">
        <is>
          <t>DIL MC9</t>
        </is>
      </c>
      <c r="M1450" t="inlineStr">
        <is>
          <t>-1383Q810.6</t>
        </is>
      </c>
    </row>
    <row r="1451">
      <c r="A1451">
        <v>1450</v>
      </c>
      <c r="B1451">
        <f>GS51</f>
        <v>0</v>
      </c>
      <c r="C1451" t="inlineStr">
        <is>
          <t>+LS20</t>
        </is>
      </c>
      <c r="D1451" t="inlineStr">
        <is>
          <t>-1383Q810.6</t>
        </is>
      </c>
      <c r="E1451" t="inlineStr">
        <is>
          <t>DILA-XHI22</t>
        </is>
      </c>
      <c r="F1451" t="inlineStr">
        <is>
          <t>DILA-XHI22</t>
        </is>
      </c>
      <c r="G1451" t="inlineStr">
        <is>
          <t>HILFSKONTAKTBLOCK</t>
        </is>
      </c>
      <c r="H1451" t="inlineStr">
        <is>
          <t>2S 2OE Last+Hilfssch. Cage</t>
        </is>
      </c>
      <c r="I1451">
        <v>1502</v>
      </c>
      <c r="J1451">
        <f>GS51/1383.6</f>
        <v>0</v>
      </c>
      <c r="K1451" t="inlineStr">
        <is>
          <t>DIL MC9</t>
        </is>
      </c>
      <c r="M1451" t="inlineStr">
        <is>
          <t>-1383Q810.6</t>
        </is>
      </c>
    </row>
    <row r="1452">
      <c r="A1452">
        <v>1451</v>
      </c>
      <c r="B1452">
        <f>GS51</f>
        <v>0</v>
      </c>
      <c r="C1452" t="inlineStr">
        <is>
          <t>+LS20</t>
        </is>
      </c>
      <c r="D1452" t="inlineStr">
        <is>
          <t>-1383Q810.7</t>
        </is>
      </c>
      <c r="E1452" t="inlineStr">
        <is>
          <t>DILM-9-10</t>
        </is>
      </c>
      <c r="F1452" t="inlineStr">
        <is>
          <t>DILA-XHI22</t>
        </is>
      </c>
      <c r="G1452" t="inlineStr">
        <is>
          <t>LASTSCHUETZ</t>
        </is>
      </c>
      <c r="H1452" t="inlineStr">
        <is>
          <t>4kW 1S Federzugkl.</t>
        </is>
      </c>
      <c r="I1452">
        <v>1502</v>
      </c>
      <c r="J1452">
        <f>GS51/1383.7</f>
        <v>0</v>
      </c>
      <c r="K1452" t="inlineStr">
        <is>
          <t>DIL MC9</t>
        </is>
      </c>
      <c r="M1452" t="inlineStr">
        <is>
          <t>-1383Q810.7</t>
        </is>
      </c>
    </row>
    <row r="1453">
      <c r="A1453">
        <v>1452</v>
      </c>
      <c r="B1453">
        <f>GS51</f>
        <v>0</v>
      </c>
      <c r="C1453" t="inlineStr">
        <is>
          <t>+LS20</t>
        </is>
      </c>
      <c r="D1453" t="inlineStr">
        <is>
          <t>-1383Q810.7</t>
        </is>
      </c>
      <c r="E1453" t="inlineStr">
        <is>
          <t>DILA-XHI22</t>
        </is>
      </c>
      <c r="F1453" t="inlineStr">
        <is>
          <t>DILA-XHI22</t>
        </is>
      </c>
      <c r="G1453" t="inlineStr">
        <is>
          <t>HILFSKONTAKTBLOCK</t>
        </is>
      </c>
      <c r="H1453" t="inlineStr">
        <is>
          <t>2S 2OE Last+Hilfssch. Cage</t>
        </is>
      </c>
      <c r="I1453">
        <v>1502</v>
      </c>
      <c r="J1453">
        <f>GS51/1383.7</f>
        <v>0</v>
      </c>
      <c r="K1453" t="inlineStr">
        <is>
          <t>DIL MC9</t>
        </is>
      </c>
      <c r="M1453" t="inlineStr">
        <is>
          <t>-1383Q810.7</t>
        </is>
      </c>
    </row>
    <row r="1454">
      <c r="A1454">
        <v>1453</v>
      </c>
      <c r="B1454">
        <f>GS13</f>
        <v>0</v>
      </c>
      <c r="C1454" t="inlineStr">
        <is>
          <t>+LS2</t>
        </is>
      </c>
      <c r="D1454" t="inlineStr">
        <is>
          <t>-13855.2</t>
        </is>
      </c>
      <c r="E1454" t="inlineStr">
        <is>
          <t>DIL_EM-10-G</t>
        </is>
      </c>
      <c r="F1454" t="inlineStr">
        <is>
          <t>#KALK!</t>
        </is>
      </c>
      <c r="G1454" t="inlineStr">
        <is>
          <t>LASTSCHUETZ</t>
        </is>
      </c>
      <c r="H1454" t="inlineStr">
        <is>
          <t>4kW 1S</t>
        </is>
      </c>
      <c r="I1454">
        <v>377</v>
      </c>
      <c r="J1454">
        <f>GS13/138.6</f>
        <v>0</v>
      </c>
      <c r="M1454" t="inlineStr">
        <is>
          <t>-13855.2</t>
        </is>
      </c>
    </row>
    <row r="1455">
      <c r="A1455">
        <v>1454</v>
      </c>
      <c r="B1455">
        <f>GS51</f>
        <v>0</v>
      </c>
      <c r="C1455" t="inlineStr">
        <is>
          <t>+LS20</t>
        </is>
      </c>
      <c r="D1455" t="inlineStr">
        <is>
          <t>-1385Q801.4</t>
        </is>
      </c>
      <c r="E1455" t="inlineStr">
        <is>
          <t>DILM-9-10</t>
        </is>
      </c>
      <c r="F1455" t="inlineStr">
        <is>
          <t>#KALK!</t>
        </is>
      </c>
      <c r="G1455" t="inlineStr">
        <is>
          <t>LASTSCHUETZ</t>
        </is>
      </c>
      <c r="H1455" t="inlineStr">
        <is>
          <t>4kW 1S Federzugkl.</t>
        </is>
      </c>
      <c r="I1455">
        <v>1505</v>
      </c>
      <c r="J1455">
        <f>GS51/1385.6</f>
        <v>0</v>
      </c>
      <c r="K1455" t="inlineStr">
        <is>
          <t>DIL MC9</t>
        </is>
      </c>
      <c r="M1455" t="inlineStr">
        <is>
          <t>-1385Q801.4</t>
        </is>
      </c>
    </row>
    <row r="1456">
      <c r="A1456">
        <v>1455</v>
      </c>
      <c r="B1456">
        <f>GS38</f>
        <v>0</v>
      </c>
      <c r="C1456" t="inlineStr">
        <is>
          <t>+LS01</t>
        </is>
      </c>
      <c r="D1456" t="inlineStr">
        <is>
          <t>-138K1</t>
        </is>
      </c>
      <c r="E1456" t="inlineStr">
        <is>
          <t>DILM-9-10</t>
        </is>
      </c>
      <c r="F1456" t="inlineStr">
        <is>
          <t>DILA-XHI22</t>
        </is>
      </c>
      <c r="G1456" t="inlineStr">
        <is>
          <t>LASTSCHUETZ</t>
        </is>
      </c>
      <c r="H1456" t="inlineStr">
        <is>
          <t>4kW 1S Federzugkl.</t>
        </is>
      </c>
      <c r="I1456">
        <v>349</v>
      </c>
      <c r="J1456">
        <f>GS38/138.5</f>
        <v>0</v>
      </c>
      <c r="M1456" t="inlineStr">
        <is>
          <t>-138K1</t>
        </is>
      </c>
    </row>
    <row r="1457">
      <c r="A1457">
        <v>1456</v>
      </c>
      <c r="B1457">
        <f>GS38</f>
        <v>0</v>
      </c>
      <c r="C1457" t="inlineStr">
        <is>
          <t>+LS01</t>
        </is>
      </c>
      <c r="D1457" t="inlineStr">
        <is>
          <t>-138K1</t>
        </is>
      </c>
      <c r="E1457" t="inlineStr">
        <is>
          <t>DILA-XHI22</t>
        </is>
      </c>
      <c r="F1457" t="inlineStr">
        <is>
          <t>DILA-XHI22</t>
        </is>
      </c>
      <c r="G1457" t="inlineStr">
        <is>
          <t>HILFSKONTAKTBLOCK</t>
        </is>
      </c>
      <c r="H1457" t="inlineStr">
        <is>
          <t>2S 2OE Last+Hilfssch. Cage</t>
        </is>
      </c>
      <c r="I1457">
        <v>349</v>
      </c>
      <c r="J1457">
        <f>GS38/138.5</f>
        <v>0</v>
      </c>
      <c r="M1457" t="inlineStr">
        <is>
          <t>-138K1</t>
        </is>
      </c>
    </row>
    <row r="1458">
      <c r="A1458">
        <v>1457</v>
      </c>
      <c r="B1458">
        <f>GS39</f>
        <v>0</v>
      </c>
      <c r="C1458" t="inlineStr">
        <is>
          <t>+LS01</t>
        </is>
      </c>
      <c r="D1458" t="inlineStr">
        <is>
          <t>-138K1</t>
        </is>
      </c>
      <c r="E1458" t="inlineStr">
        <is>
          <t>DILA-XHI22</t>
        </is>
      </c>
      <c r="F1458" t="inlineStr">
        <is>
          <t>DILA-XHI22</t>
        </is>
      </c>
      <c r="G1458" t="inlineStr">
        <is>
          <t>HILFSKONTAKTBLOCK</t>
        </is>
      </c>
      <c r="H1458" t="inlineStr">
        <is>
          <t>2S 2OE Last+Hilfssch. Cage</t>
        </is>
      </c>
      <c r="I1458">
        <v>321</v>
      </c>
      <c r="J1458">
        <f>GS39/138.5</f>
        <v>0</v>
      </c>
      <c r="M1458" t="inlineStr">
        <is>
          <t>-138K1</t>
        </is>
      </c>
    </row>
    <row r="1459">
      <c r="A1459">
        <v>1458</v>
      </c>
      <c r="B1459">
        <f>GS39</f>
        <v>0</v>
      </c>
      <c r="C1459" t="inlineStr">
        <is>
          <t>+LS01</t>
        </is>
      </c>
      <c r="D1459" t="inlineStr">
        <is>
          <t>-138K1</t>
        </is>
      </c>
      <c r="E1459" t="inlineStr">
        <is>
          <t>DILM-9-10</t>
        </is>
      </c>
      <c r="F1459" t="inlineStr">
        <is>
          <t>DILA-XHI22</t>
        </is>
      </c>
      <c r="G1459" t="inlineStr">
        <is>
          <t>LASTSCHUETZ</t>
        </is>
      </c>
      <c r="H1459" t="inlineStr">
        <is>
          <t>4kW 1S Federzugkl.</t>
        </is>
      </c>
      <c r="I1459">
        <v>321</v>
      </c>
      <c r="J1459">
        <f>GS39/138.5</f>
        <v>0</v>
      </c>
      <c r="M1459" t="inlineStr">
        <is>
          <t>-138K1</t>
        </is>
      </c>
    </row>
    <row r="1460">
      <c r="A1460">
        <v>1459</v>
      </c>
      <c r="B1460">
        <f>GS21</f>
        <v>0</v>
      </c>
      <c r="C1460" t="inlineStr">
        <is>
          <t>+LS2</t>
        </is>
      </c>
      <c r="D1460" t="inlineStr">
        <is>
          <t>-138K100.7</t>
        </is>
      </c>
      <c r="E1460" t="inlineStr">
        <is>
          <t>DILM-9-10</t>
        </is>
      </c>
      <c r="F1460" t="inlineStr">
        <is>
          <t>#KALK!</t>
        </is>
      </c>
      <c r="G1460" t="inlineStr">
        <is>
          <t>LASTSCHUETZ</t>
        </is>
      </c>
      <c r="H1460" t="inlineStr">
        <is>
          <t>4kW 1S Federzugkl.</t>
        </is>
      </c>
      <c r="I1460">
        <v>223</v>
      </c>
      <c r="J1460">
        <f>GS21/138.7</f>
        <v>0</v>
      </c>
      <c r="M1460" t="inlineStr">
        <is>
          <t>-138K100.7</t>
        </is>
      </c>
    </row>
    <row r="1461">
      <c r="A1461">
        <v>1460</v>
      </c>
      <c r="B1461">
        <f>GS36</f>
        <v>0</v>
      </c>
      <c r="C1461" t="inlineStr">
        <is>
          <t>+LS02</t>
        </is>
      </c>
      <c r="D1461" t="inlineStr">
        <is>
          <t>-138K112.2</t>
        </is>
      </c>
      <c r="E1461" t="inlineStr">
        <is>
          <t>DILA-22</t>
        </is>
      </c>
      <c r="F1461" t="inlineStr">
        <is>
          <t>#KALK!</t>
        </is>
      </c>
      <c r="G1461" t="inlineStr">
        <is>
          <t>HILFSSCHUETZ</t>
        </is>
      </c>
      <c r="H1461" t="inlineStr">
        <is>
          <t>2S 2Oe Federzugkl.</t>
        </is>
      </c>
      <c r="I1461">
        <v>311</v>
      </c>
      <c r="J1461">
        <f>GS36/138.8</f>
        <v>0</v>
      </c>
      <c r="M1461" t="inlineStr">
        <is>
          <t>-138K112.2</t>
        </is>
      </c>
    </row>
    <row r="1462">
      <c r="A1462">
        <v>1461</v>
      </c>
      <c r="B1462">
        <f>GC22</f>
        <v>0</v>
      </c>
      <c r="C1462" t="inlineStr">
        <is>
          <t>+LS1</t>
        </is>
      </c>
      <c r="D1462" t="inlineStr">
        <is>
          <t>-138K12.3</t>
        </is>
      </c>
      <c r="E1462" t="inlineStr">
        <is>
          <t>DIL_EM-10-G</t>
        </is>
      </c>
      <c r="F1462" t="inlineStr">
        <is>
          <t>#KALK!</t>
        </is>
      </c>
      <c r="G1462" t="inlineStr">
        <is>
          <t>LASTSCHUETZ</t>
        </is>
      </c>
      <c r="H1462" t="inlineStr">
        <is>
          <t>4kW 1S</t>
        </is>
      </c>
      <c r="I1462">
        <v>4005</v>
      </c>
      <c r="J1462">
        <f>GC22/138.7</f>
        <v>0</v>
      </c>
      <c r="M1462" t="inlineStr">
        <is>
          <t>-138K12.3</t>
        </is>
      </c>
    </row>
    <row r="1463">
      <c r="A1463">
        <v>1462</v>
      </c>
      <c r="B1463">
        <f>GS12</f>
        <v>0</v>
      </c>
      <c r="C1463" t="inlineStr">
        <is>
          <t>+LS1</t>
        </is>
      </c>
      <c r="D1463" t="inlineStr">
        <is>
          <t>-138K12.3</t>
        </is>
      </c>
      <c r="E1463" t="inlineStr">
        <is>
          <t>DIL_EM-10-G</t>
        </is>
      </c>
      <c r="F1463" t="inlineStr">
        <is>
          <t>#KALK!</t>
        </is>
      </c>
      <c r="G1463" t="inlineStr">
        <is>
          <t>LASTSCHUETZ</t>
        </is>
      </c>
      <c r="H1463" t="inlineStr">
        <is>
          <t>4kW 1S</t>
        </is>
      </c>
      <c r="I1463">
        <v>270</v>
      </c>
      <c r="J1463">
        <f>GS12/138.7</f>
        <v>0</v>
      </c>
      <c r="M1463" t="inlineStr">
        <is>
          <t>-138K12.3</t>
        </is>
      </c>
    </row>
    <row r="1464">
      <c r="A1464">
        <v>1463</v>
      </c>
      <c r="B1464">
        <f>GS38</f>
        <v>0</v>
      </c>
      <c r="C1464" t="inlineStr">
        <is>
          <t>+LS01</t>
        </is>
      </c>
      <c r="D1464" t="inlineStr">
        <is>
          <t>-138K2</t>
        </is>
      </c>
      <c r="E1464" t="inlineStr">
        <is>
          <t>DILM-9-10</t>
        </is>
      </c>
      <c r="F1464" t="inlineStr">
        <is>
          <t>DILA-XHI22</t>
        </is>
      </c>
      <c r="G1464" t="inlineStr">
        <is>
          <t>LASTSCHUETZ</t>
        </is>
      </c>
      <c r="H1464" t="inlineStr">
        <is>
          <t>4kW 1S Federzugkl.</t>
        </is>
      </c>
      <c r="I1464">
        <v>349</v>
      </c>
      <c r="J1464">
        <f>GS38/138.6</f>
        <v>0</v>
      </c>
      <c r="M1464" t="inlineStr">
        <is>
          <t>-138K2</t>
        </is>
      </c>
    </row>
    <row r="1465">
      <c r="A1465">
        <v>1464</v>
      </c>
      <c r="B1465">
        <f>GS38</f>
        <v>0</v>
      </c>
      <c r="C1465" t="inlineStr">
        <is>
          <t>+LS01</t>
        </is>
      </c>
      <c r="D1465" t="inlineStr">
        <is>
          <t>-138K2</t>
        </is>
      </c>
      <c r="E1465" t="inlineStr">
        <is>
          <t>DILA-XHI22</t>
        </is>
      </c>
      <c r="F1465" t="inlineStr">
        <is>
          <t>DILA-XHI22</t>
        </is>
      </c>
      <c r="G1465" t="inlineStr">
        <is>
          <t>HILFSKONTAKTBLOCK</t>
        </is>
      </c>
      <c r="H1465" t="inlineStr">
        <is>
          <t>2S 2OE Last+Hilfssch. Cage</t>
        </is>
      </c>
      <c r="I1465">
        <v>349</v>
      </c>
      <c r="J1465">
        <f>GS38/138.6</f>
        <v>0</v>
      </c>
      <c r="M1465" t="inlineStr">
        <is>
          <t>-138K2</t>
        </is>
      </c>
    </row>
    <row r="1466">
      <c r="A1466">
        <v>1465</v>
      </c>
      <c r="B1466">
        <f>GS39</f>
        <v>0</v>
      </c>
      <c r="C1466" t="inlineStr">
        <is>
          <t>+LS01</t>
        </is>
      </c>
      <c r="D1466" t="inlineStr">
        <is>
          <t>-138K2</t>
        </is>
      </c>
      <c r="E1466" t="inlineStr">
        <is>
          <t>DILA-XHI22</t>
        </is>
      </c>
      <c r="F1466" t="inlineStr">
        <is>
          <t>DILA-XHI22</t>
        </is>
      </c>
      <c r="G1466" t="inlineStr">
        <is>
          <t>HILFSKONTAKTBLOCK</t>
        </is>
      </c>
      <c r="H1466" t="inlineStr">
        <is>
          <t>2S 2OE Last+Hilfssch. Cage</t>
        </is>
      </c>
      <c r="I1466">
        <v>321</v>
      </c>
      <c r="J1466">
        <f>GS39/138.6</f>
        <v>0</v>
      </c>
      <c r="M1466" t="inlineStr">
        <is>
          <t>-138K2</t>
        </is>
      </c>
    </row>
    <row r="1467">
      <c r="A1467">
        <v>1466</v>
      </c>
      <c r="B1467">
        <f>GS39</f>
        <v>0</v>
      </c>
      <c r="C1467" t="inlineStr">
        <is>
          <t>+LS01</t>
        </is>
      </c>
      <c r="D1467" t="inlineStr">
        <is>
          <t>-138K2</t>
        </is>
      </c>
      <c r="E1467" t="inlineStr">
        <is>
          <t>DILM-9-10</t>
        </is>
      </c>
      <c r="F1467" t="inlineStr">
        <is>
          <t>DILA-XHI22</t>
        </is>
      </c>
      <c r="G1467" t="inlineStr">
        <is>
          <t>LASTSCHUETZ</t>
        </is>
      </c>
      <c r="H1467" t="inlineStr">
        <is>
          <t>4kW 1S Federzugkl.</t>
        </is>
      </c>
      <c r="I1467">
        <v>321</v>
      </c>
      <c r="J1467">
        <f>GS39/138.6</f>
        <v>0</v>
      </c>
      <c r="M1467" t="inlineStr">
        <is>
          <t>-138K2</t>
        </is>
      </c>
    </row>
    <row r="1468">
      <c r="A1468">
        <v>1467</v>
      </c>
      <c r="B1468">
        <f>GS32</f>
        <v>0</v>
      </c>
      <c r="C1468" t="inlineStr">
        <is>
          <t>+LS2</t>
        </is>
      </c>
      <c r="D1468" t="inlineStr">
        <is>
          <t>-138K21.7</t>
        </is>
      </c>
      <c r="E1468" t="inlineStr">
        <is>
          <t>DIL_EM-10-G</t>
        </is>
      </c>
      <c r="F1468" t="inlineStr">
        <is>
          <t>#KALK!</t>
        </is>
      </c>
      <c r="G1468" t="inlineStr">
        <is>
          <t>LASTSCHUETZ</t>
        </is>
      </c>
      <c r="H1468" t="inlineStr">
        <is>
          <t>4kW 1S</t>
        </is>
      </c>
      <c r="I1468">
        <v>947</v>
      </c>
      <c r="J1468">
        <f>GS32/138.7</f>
        <v>0</v>
      </c>
      <c r="M1468" t="inlineStr">
        <is>
          <t>-138K21.7</t>
        </is>
      </c>
    </row>
    <row r="1469">
      <c r="A1469">
        <v>1468</v>
      </c>
      <c r="B1469">
        <f>GS11</f>
        <v>0</v>
      </c>
      <c r="C1469" t="inlineStr">
        <is>
          <t>+LS2</t>
        </is>
      </c>
      <c r="D1469" t="inlineStr">
        <is>
          <t>-138K34.7</t>
        </is>
      </c>
      <c r="E1469" t="inlineStr">
        <is>
          <t>DIL_EM-10-G</t>
        </is>
      </c>
      <c r="F1469" t="inlineStr">
        <is>
          <t>#KALK!</t>
        </is>
      </c>
      <c r="G1469" t="inlineStr">
        <is>
          <t>LASTSCHUETZ</t>
        </is>
      </c>
      <c r="H1469" t="inlineStr">
        <is>
          <t>4kW 1S</t>
        </is>
      </c>
      <c r="I1469">
        <v>249</v>
      </c>
      <c r="J1469">
        <f>GS11/138.7</f>
        <v>0</v>
      </c>
      <c r="M1469" t="inlineStr">
        <is>
          <t>-138K34.7</t>
        </is>
      </c>
    </row>
    <row r="1470">
      <c r="A1470">
        <v>1469</v>
      </c>
      <c r="B1470">
        <f>GS26</f>
        <v>0</v>
      </c>
      <c r="C1470" t="inlineStr">
        <is>
          <t>+LS1</t>
        </is>
      </c>
      <c r="D1470" t="inlineStr">
        <is>
          <t>-138K3539.1</t>
        </is>
      </c>
      <c r="E1470" t="inlineStr">
        <is>
          <t>DILM-9-10</t>
        </is>
      </c>
      <c r="F1470" t="inlineStr">
        <is>
          <t>#KALK!</t>
        </is>
      </c>
      <c r="G1470" t="inlineStr">
        <is>
          <t>LASTSCHUETZ</t>
        </is>
      </c>
      <c r="H1470" t="inlineStr">
        <is>
          <t>4kW 1S Federzugkl.</t>
        </is>
      </c>
      <c r="I1470">
        <v>535</v>
      </c>
      <c r="J1470">
        <f>GS26/138.6</f>
        <v>0</v>
      </c>
      <c r="M1470" t="inlineStr">
        <is>
          <t>-138K3539.1</t>
        </is>
      </c>
    </row>
    <row r="1471">
      <c r="A1471">
        <v>1470</v>
      </c>
      <c r="B1471">
        <f>GS26</f>
        <v>0</v>
      </c>
      <c r="C1471" t="inlineStr">
        <is>
          <t>+LS1</t>
        </is>
      </c>
      <c r="D1471" t="inlineStr">
        <is>
          <t>-138K3539.2</t>
        </is>
      </c>
      <c r="E1471" t="inlineStr">
        <is>
          <t>DILM-9-10</t>
        </is>
      </c>
      <c r="F1471" t="inlineStr">
        <is>
          <t>#KALK!</t>
        </is>
      </c>
      <c r="G1471" t="inlineStr">
        <is>
          <t>LASTSCHUETZ</t>
        </is>
      </c>
      <c r="H1471" t="inlineStr">
        <is>
          <t>4kW 1S Federzugkl.</t>
        </is>
      </c>
      <c r="I1471">
        <v>535</v>
      </c>
      <c r="J1471">
        <f>GS26/138.6</f>
        <v>0</v>
      </c>
      <c r="M1471" t="inlineStr">
        <is>
          <t>-138K3539.2</t>
        </is>
      </c>
    </row>
    <row r="1472">
      <c r="A1472">
        <v>1471</v>
      </c>
      <c r="B1472">
        <f>GC03</f>
        <v>0</v>
      </c>
      <c r="C1472" t="inlineStr">
        <is>
          <t>+LS2</t>
        </is>
      </c>
      <c r="D1472" t="inlineStr">
        <is>
          <t>-138K51.5</t>
        </is>
      </c>
      <c r="E1472" t="inlineStr">
        <is>
          <t>DIL_EM-10-G</t>
        </is>
      </c>
      <c r="F1472" t="inlineStr">
        <is>
          <t>#KALK!</t>
        </is>
      </c>
      <c r="G1472" t="inlineStr">
        <is>
          <t>LASTSCHUETZ</t>
        </is>
      </c>
      <c r="H1472" t="inlineStr">
        <is>
          <t>4kW 1S</t>
        </is>
      </c>
      <c r="I1472">
        <v>564</v>
      </c>
      <c r="J1472">
        <f>GC03/138.7</f>
        <v>0</v>
      </c>
      <c r="M1472" t="inlineStr">
        <is>
          <t>-138K51.5</t>
        </is>
      </c>
    </row>
    <row r="1473">
      <c r="A1473">
        <v>1472</v>
      </c>
      <c r="B1473">
        <f>GS23</f>
        <v>0</v>
      </c>
      <c r="C1473" t="inlineStr">
        <is>
          <t>+LS2</t>
        </is>
      </c>
      <c r="D1473" t="inlineStr">
        <is>
          <t>-138K55.2</t>
        </is>
      </c>
      <c r="E1473" t="inlineStr">
        <is>
          <t>DILM-9-10</t>
        </is>
      </c>
      <c r="F1473" t="inlineStr">
        <is>
          <t>#KALK!</t>
        </is>
      </c>
      <c r="G1473" t="inlineStr">
        <is>
          <t>LASTSCHUETZ</t>
        </is>
      </c>
      <c r="H1473" t="inlineStr">
        <is>
          <t>4kW 1S Federzugkl.</t>
        </is>
      </c>
      <c r="I1473">
        <v>437</v>
      </c>
      <c r="J1473">
        <f>GS23/138.6</f>
        <v>0</v>
      </c>
      <c r="M1473" t="inlineStr">
        <is>
          <t>-138K55.2</t>
        </is>
      </c>
    </row>
    <row r="1474">
      <c r="A1474">
        <v>1473</v>
      </c>
      <c r="B1474">
        <f>GS15</f>
        <v>0</v>
      </c>
      <c r="C1474" t="inlineStr">
        <is>
          <t>+LS2</t>
        </is>
      </c>
      <c r="D1474" t="inlineStr">
        <is>
          <t>-138K62.2</t>
        </is>
      </c>
      <c r="E1474" t="inlineStr">
        <is>
          <t>DIL_EM-10-G</t>
        </is>
      </c>
      <c r="F1474" t="inlineStr">
        <is>
          <t>#KALK!</t>
        </is>
      </c>
      <c r="G1474" t="inlineStr">
        <is>
          <t>LASTSCHUETZ</t>
        </is>
      </c>
      <c r="H1474" t="inlineStr">
        <is>
          <t>4kW 1S</t>
        </is>
      </c>
      <c r="I1474">
        <v>626</v>
      </c>
      <c r="J1474">
        <f>GS15/138.6</f>
        <v>0</v>
      </c>
      <c r="M1474" t="inlineStr">
        <is>
          <t>-138K62.2</t>
        </is>
      </c>
    </row>
    <row r="1475">
      <c r="A1475">
        <v>1474</v>
      </c>
      <c r="B1475">
        <f>GS15</f>
        <v>0</v>
      </c>
      <c r="C1475" t="inlineStr">
        <is>
          <t>+LS2</t>
        </is>
      </c>
      <c r="D1475" t="inlineStr">
        <is>
          <t>-138K62.3</t>
        </is>
      </c>
      <c r="E1475" t="inlineStr">
        <is>
          <t>DIL_EM-10-G</t>
        </is>
      </c>
      <c r="F1475" t="inlineStr">
        <is>
          <t>#KALK!</t>
        </is>
      </c>
      <c r="G1475" t="inlineStr">
        <is>
          <t>LASTSCHUETZ</t>
        </is>
      </c>
      <c r="H1475" t="inlineStr">
        <is>
          <t>4kW 1S</t>
        </is>
      </c>
      <c r="I1475">
        <v>626</v>
      </c>
      <c r="J1475">
        <f>GS15/138.6</f>
        <v>0</v>
      </c>
      <c r="M1475" t="inlineStr">
        <is>
          <t>-138K62.3</t>
        </is>
      </c>
    </row>
    <row r="1476">
      <c r="A1476">
        <v>1475</v>
      </c>
      <c r="B1476">
        <f>GS14</f>
        <v>0</v>
      </c>
      <c r="C1476" t="inlineStr">
        <is>
          <t>+LS2</t>
        </is>
      </c>
      <c r="D1476" t="inlineStr">
        <is>
          <t>-138K64.7</t>
        </is>
      </c>
      <c r="E1476" t="inlineStr">
        <is>
          <t>DIL_EM-10-G</t>
        </is>
      </c>
      <c r="F1476" t="inlineStr">
        <is>
          <t>#KALK!</t>
        </is>
      </c>
      <c r="G1476" t="inlineStr">
        <is>
          <t>LASTSCHUETZ</t>
        </is>
      </c>
      <c r="H1476" t="inlineStr">
        <is>
          <t>4kW 1S</t>
        </is>
      </c>
      <c r="I1476">
        <v>264</v>
      </c>
      <c r="J1476">
        <f>GS14/138.6</f>
        <v>0</v>
      </c>
      <c r="M1476" t="inlineStr">
        <is>
          <t>-138K64.7</t>
        </is>
      </c>
    </row>
    <row r="1477">
      <c r="A1477">
        <v>1476</v>
      </c>
      <c r="B1477">
        <f>GS24</f>
        <v>0</v>
      </c>
      <c r="C1477" t="inlineStr">
        <is>
          <t>+LS2</t>
        </is>
      </c>
      <c r="D1477" t="inlineStr">
        <is>
          <t>-138K64.7</t>
        </is>
      </c>
      <c r="E1477" t="inlineStr">
        <is>
          <t>DIL_EM-10-G</t>
        </is>
      </c>
      <c r="F1477" t="inlineStr">
        <is>
          <t>#KALK!</t>
        </is>
      </c>
      <c r="G1477" t="inlineStr">
        <is>
          <t>LASTSCHUETZ</t>
        </is>
      </c>
      <c r="H1477" t="inlineStr">
        <is>
          <t>4kW 1S</t>
        </is>
      </c>
      <c r="I1477">
        <v>941</v>
      </c>
      <c r="J1477">
        <f>GS24/138.6</f>
        <v>0</v>
      </c>
      <c r="M1477" t="inlineStr">
        <is>
          <t>-138K64.7</t>
        </is>
      </c>
    </row>
    <row r="1478">
      <c r="A1478">
        <v>1477</v>
      </c>
      <c r="B1478">
        <f>GS79</f>
        <v>0</v>
      </c>
      <c r="C1478" t="inlineStr">
        <is>
          <t>+LS[l2]</t>
        </is>
      </c>
      <c r="D1478" t="inlineStr">
        <is>
          <t>-138Q1</t>
        </is>
      </c>
      <c r="E1478" t="inlineStr">
        <is>
          <t>DILM-9-10</t>
        </is>
      </c>
      <c r="F1478" t="inlineStr">
        <is>
          <t>#KALK!</t>
        </is>
      </c>
      <c r="G1478" t="inlineStr">
        <is>
          <t>LASTSCHUETZ</t>
        </is>
      </c>
      <c r="H1478" t="inlineStr">
        <is>
          <t>4kW 1S Federzugkl.</t>
        </is>
      </c>
      <c r="I1478">
        <v>230</v>
      </c>
      <c r="J1478">
        <f>GS79/138.6</f>
        <v>0</v>
      </c>
      <c r="M1478" t="inlineStr">
        <is>
          <t>-138Q1</t>
        </is>
      </c>
    </row>
    <row r="1479">
      <c r="A1479">
        <v>1478</v>
      </c>
      <c r="B1479">
        <f>GS79</f>
        <v>0</v>
      </c>
      <c r="C1479" t="inlineStr">
        <is>
          <t>+LS[l2]</t>
        </is>
      </c>
      <c r="D1479" t="inlineStr">
        <is>
          <t>-138Q1</t>
        </is>
      </c>
      <c r="E1479" t="inlineStr">
        <is>
          <t>DILM-9-10</t>
        </is>
      </c>
      <c r="F1479" t="inlineStr">
        <is>
          <t>#KALK!</t>
        </is>
      </c>
      <c r="G1479" t="inlineStr">
        <is>
          <t>LASTSCHUETZ</t>
        </is>
      </c>
      <c r="H1479" t="inlineStr">
        <is>
          <t>4kW 1S Federzugkl.</t>
        </is>
      </c>
      <c r="I1479">
        <v>179</v>
      </c>
      <c r="J1479">
        <f>GS79/138.6</f>
        <v>0</v>
      </c>
      <c r="M1479" t="inlineStr">
        <is>
          <t>-138Q1</t>
        </is>
      </c>
    </row>
    <row r="1480">
      <c r="A1480">
        <v>1479</v>
      </c>
      <c r="B1480">
        <f>GS92</f>
        <v>0</v>
      </c>
      <c r="C1480" t="inlineStr">
        <is>
          <t>+LS01</t>
        </is>
      </c>
      <c r="D1480" t="inlineStr">
        <is>
          <t>-138Q154.7</t>
        </is>
      </c>
      <c r="E1480" t="inlineStr">
        <is>
          <t>DILM-9-10</t>
        </is>
      </c>
      <c r="F1480" t="inlineStr">
        <is>
          <t>#KALK!</t>
        </is>
      </c>
      <c r="G1480" t="inlineStr">
        <is>
          <t>LASTSCHUETZ</t>
        </is>
      </c>
      <c r="H1480" t="inlineStr">
        <is>
          <t>4kW 1S Federzugkl.</t>
        </is>
      </c>
      <c r="I1480">
        <v>284</v>
      </c>
      <c r="J1480">
        <f>GS92/138.5</f>
        <v>0</v>
      </c>
      <c r="M1480" t="inlineStr">
        <is>
          <t>-138Q154.7</t>
        </is>
      </c>
    </row>
    <row r="1481">
      <c r="A1481">
        <v>1480</v>
      </c>
      <c r="B1481">
        <f>GS79</f>
        <v>0</v>
      </c>
      <c r="C1481" t="inlineStr">
        <is>
          <t>+LS[l2]</t>
        </is>
      </c>
      <c r="D1481" t="inlineStr">
        <is>
          <t>-138Q2</t>
        </is>
      </c>
      <c r="E1481" t="inlineStr">
        <is>
          <t>DILM-9-10</t>
        </is>
      </c>
      <c r="F1481" t="inlineStr">
        <is>
          <t>#KALK!</t>
        </is>
      </c>
      <c r="G1481" t="inlineStr">
        <is>
          <t>LASTSCHUETZ</t>
        </is>
      </c>
      <c r="H1481" t="inlineStr">
        <is>
          <t>4kW 1S Federzugkl.</t>
        </is>
      </c>
      <c r="I1481">
        <v>230</v>
      </c>
      <c r="J1481">
        <f>GS79/138.7</f>
        <v>0</v>
      </c>
      <c r="M1481" t="inlineStr">
        <is>
          <t>-138Q2</t>
        </is>
      </c>
    </row>
    <row r="1482">
      <c r="A1482">
        <v>1481</v>
      </c>
      <c r="B1482">
        <f>GS79</f>
        <v>0</v>
      </c>
      <c r="C1482" t="inlineStr">
        <is>
          <t>+LS[l2]</t>
        </is>
      </c>
      <c r="D1482" t="inlineStr">
        <is>
          <t>-138Q2</t>
        </is>
      </c>
      <c r="E1482" t="inlineStr">
        <is>
          <t>DILM-9-10</t>
        </is>
      </c>
      <c r="F1482" t="inlineStr">
        <is>
          <t>#KALK!</t>
        </is>
      </c>
      <c r="G1482" t="inlineStr">
        <is>
          <t>LASTSCHUETZ</t>
        </is>
      </c>
      <c r="H1482" t="inlineStr">
        <is>
          <t>4kW 1S Federzugkl.</t>
        </is>
      </c>
      <c r="I1482">
        <v>179</v>
      </c>
      <c r="J1482">
        <f>GS79/138.7</f>
        <v>0</v>
      </c>
      <c r="M1482" t="inlineStr">
        <is>
          <t>-138Q2</t>
        </is>
      </c>
    </row>
    <row r="1483">
      <c r="A1483">
        <v>1482</v>
      </c>
      <c r="B1483">
        <f>GS51</f>
        <v>0</v>
      </c>
      <c r="C1483" t="inlineStr">
        <is>
          <t>+LS20</t>
        </is>
      </c>
      <c r="D1483" t="inlineStr">
        <is>
          <t>-1390K794.6</t>
        </is>
      </c>
      <c r="E1483" t="inlineStr">
        <is>
          <t>DILA-22</t>
        </is>
      </c>
      <c r="F1483" t="inlineStr">
        <is>
          <t>#KALK!</t>
        </is>
      </c>
      <c r="G1483" t="inlineStr">
        <is>
          <t>HILFSSCHUETZ</t>
        </is>
      </c>
      <c r="H1483" t="inlineStr">
        <is>
          <t>2S 2Oe Federzugkl.</t>
        </is>
      </c>
      <c r="I1483">
        <v>1508</v>
      </c>
      <c r="J1483">
        <f>GS51/1390.5</f>
        <v>0</v>
      </c>
      <c r="M1483" t="inlineStr">
        <is>
          <t>-1390K794.6</t>
        </is>
      </c>
    </row>
    <row r="1484">
      <c r="A1484">
        <v>1483</v>
      </c>
      <c r="B1484">
        <f>GS51</f>
        <v>0</v>
      </c>
      <c r="C1484" t="inlineStr">
        <is>
          <t>+LS20</t>
        </is>
      </c>
      <c r="D1484" t="inlineStr">
        <is>
          <t>-1390Q1</t>
        </is>
      </c>
      <c r="E1484" t="inlineStr">
        <is>
          <t>DILMC12-10(24VDC)</t>
        </is>
      </c>
      <c r="F1484" t="inlineStr">
        <is>
          <t>DILA-XHIC40</t>
        </is>
      </c>
      <c r="G1484" t="inlineStr">
        <is>
          <t>LASTSCHUETZ</t>
        </is>
      </c>
      <c r="H1484" t="inlineStr">
        <is>
          <t>5,5kW 1S Federzugkl.</t>
        </is>
      </c>
      <c r="I1484">
        <v>1508</v>
      </c>
      <c r="J1484">
        <f>GS51/1390.4</f>
        <v>0</v>
      </c>
      <c r="K1484" t="inlineStr">
        <is>
          <t>DIL MC12</t>
        </is>
      </c>
      <c r="M1484" t="inlineStr">
        <is>
          <t>-1390Q1</t>
        </is>
      </c>
    </row>
    <row r="1485">
      <c r="A1485">
        <v>1484</v>
      </c>
      <c r="B1485">
        <f>GS51</f>
        <v>0</v>
      </c>
      <c r="C1485" t="inlineStr">
        <is>
          <t>+LS20</t>
        </is>
      </c>
      <c r="D1485" t="inlineStr">
        <is>
          <t>-1390Q1</t>
        </is>
      </c>
      <c r="E1485" t="inlineStr">
        <is>
          <t>DILA-XHIC40</t>
        </is>
      </c>
      <c r="F1485" t="inlineStr">
        <is>
          <t>DILA-XHIC40</t>
        </is>
      </c>
      <c r="G1485" t="inlineStr">
        <is>
          <t>HILFSKONTAKTBLOCK</t>
        </is>
      </c>
      <c r="H1485" t="inlineStr">
        <is>
          <t>4S Last+Hilfssch. Cage</t>
        </is>
      </c>
      <c r="I1485">
        <v>1508</v>
      </c>
      <c r="J1485">
        <f>GS51/1390.4</f>
        <v>0</v>
      </c>
      <c r="K1485" t="inlineStr">
        <is>
          <t>DIL MC12</t>
        </is>
      </c>
      <c r="M1485" t="inlineStr">
        <is>
          <t>-1390Q1</t>
        </is>
      </c>
    </row>
    <row r="1486">
      <c r="A1486">
        <v>1485</v>
      </c>
      <c r="B1486">
        <f>GS13</f>
        <v>0</v>
      </c>
      <c r="C1486" t="inlineStr">
        <is>
          <t>+LS2</t>
        </is>
      </c>
      <c r="D1486" t="inlineStr">
        <is>
          <t>-13955.7</t>
        </is>
      </c>
      <c r="E1486" t="inlineStr">
        <is>
          <t>DIL_EM-10-G</t>
        </is>
      </c>
      <c r="F1486" t="inlineStr">
        <is>
          <t>#KALK!</t>
        </is>
      </c>
      <c r="G1486" t="inlineStr">
        <is>
          <t>LASTSCHUETZ</t>
        </is>
      </c>
      <c r="H1486" t="inlineStr">
        <is>
          <t>4kW 1S</t>
        </is>
      </c>
      <c r="I1486">
        <v>378</v>
      </c>
      <c r="J1486">
        <f>GS13/139.6</f>
        <v>0</v>
      </c>
      <c r="M1486" t="inlineStr">
        <is>
          <t>-13955.7</t>
        </is>
      </c>
    </row>
    <row r="1487">
      <c r="A1487">
        <v>1486</v>
      </c>
      <c r="B1487">
        <f>GC22</f>
        <v>0</v>
      </c>
      <c r="C1487" t="inlineStr">
        <is>
          <t>+LS1</t>
        </is>
      </c>
      <c r="D1487" t="inlineStr">
        <is>
          <t>-139K12.4</t>
        </is>
      </c>
      <c r="E1487" t="inlineStr">
        <is>
          <t>DILM-9-01</t>
        </is>
      </c>
      <c r="F1487" t="inlineStr">
        <is>
          <t>#KALK!</t>
        </is>
      </c>
      <c r="G1487" t="inlineStr">
        <is>
          <t>LASTSCHUETZ</t>
        </is>
      </c>
      <c r="H1487" t="inlineStr">
        <is>
          <t>4kW 1Oe Federzugkl.</t>
        </is>
      </c>
      <c r="I1487">
        <v>4006</v>
      </c>
      <c r="J1487">
        <f>GC22/139.6</f>
        <v>0</v>
      </c>
      <c r="M1487" t="inlineStr">
        <is>
          <t>-139K12.4</t>
        </is>
      </c>
    </row>
    <row r="1488">
      <c r="A1488">
        <v>1487</v>
      </c>
      <c r="B1488">
        <f>GS12</f>
        <v>0</v>
      </c>
      <c r="C1488" t="inlineStr">
        <is>
          <t>+LS1</t>
        </is>
      </c>
      <c r="D1488" t="inlineStr">
        <is>
          <t>-139K12.4</t>
        </is>
      </c>
      <c r="E1488" t="inlineStr">
        <is>
          <t>DILM-9-01</t>
        </is>
      </c>
      <c r="F1488" t="inlineStr">
        <is>
          <t>#KALK!</t>
        </is>
      </c>
      <c r="G1488" t="inlineStr">
        <is>
          <t>LASTSCHUETZ</t>
        </is>
      </c>
      <c r="H1488" t="inlineStr">
        <is>
          <t>4kW 1Oe Federzugkl.</t>
        </is>
      </c>
      <c r="I1488">
        <v>271</v>
      </c>
      <c r="J1488">
        <f>GS12/139.6</f>
        <v>0</v>
      </c>
      <c r="M1488" t="inlineStr">
        <is>
          <t>-139K12.4</t>
        </is>
      </c>
    </row>
    <row r="1489">
      <c r="A1489">
        <v>1488</v>
      </c>
      <c r="B1489">
        <f>GC22</f>
        <v>0</v>
      </c>
      <c r="C1489" t="inlineStr">
        <is>
          <t>+LS1</t>
        </is>
      </c>
      <c r="D1489" t="inlineStr">
        <is>
          <t>-139K12.5</t>
        </is>
      </c>
      <c r="E1489" t="inlineStr">
        <is>
          <t>DIL_EM-10-G</t>
        </is>
      </c>
      <c r="F1489" t="inlineStr">
        <is>
          <t>#KALK!</t>
        </is>
      </c>
      <c r="G1489" t="inlineStr">
        <is>
          <t>LASTSCHUETZ</t>
        </is>
      </c>
      <c r="H1489" t="inlineStr">
        <is>
          <t>4kW 1S</t>
        </is>
      </c>
      <c r="I1489">
        <v>4006</v>
      </c>
      <c r="J1489">
        <f>GC22/139.7</f>
        <v>0</v>
      </c>
      <c r="M1489" t="inlineStr">
        <is>
          <t>-139K12.5</t>
        </is>
      </c>
    </row>
    <row r="1490">
      <c r="A1490">
        <v>1489</v>
      </c>
      <c r="B1490">
        <f>GS12</f>
        <v>0</v>
      </c>
      <c r="C1490" t="inlineStr">
        <is>
          <t>+LS1</t>
        </is>
      </c>
      <c r="D1490" t="inlineStr">
        <is>
          <t>-139K12.5</t>
        </is>
      </c>
      <c r="E1490" t="inlineStr">
        <is>
          <t>DIL_EM-10-G</t>
        </is>
      </c>
      <c r="F1490" t="inlineStr">
        <is>
          <t>#KALK!</t>
        </is>
      </c>
      <c r="G1490" t="inlineStr">
        <is>
          <t>LASTSCHUETZ</t>
        </is>
      </c>
      <c r="H1490" t="inlineStr">
        <is>
          <t>4kW 1S</t>
        </is>
      </c>
      <c r="I1490">
        <v>271</v>
      </c>
      <c r="J1490">
        <f>GS12/139.7</f>
        <v>0</v>
      </c>
      <c r="M1490" t="inlineStr">
        <is>
          <t>-139K12.5</t>
        </is>
      </c>
    </row>
    <row r="1491">
      <c r="A1491">
        <v>1490</v>
      </c>
      <c r="B1491">
        <f>GC22</f>
        <v>0</v>
      </c>
      <c r="C1491" t="inlineStr">
        <is>
          <t>+LS1</t>
        </is>
      </c>
      <c r="D1491" t="inlineStr">
        <is>
          <t>-139K14.6</t>
        </is>
      </c>
      <c r="E1491" t="inlineStr">
        <is>
          <t>DILM-9-01</t>
        </is>
      </c>
      <c r="F1491" t="inlineStr">
        <is>
          <t>#KALK!</t>
        </is>
      </c>
      <c r="G1491" t="inlineStr">
        <is>
          <t>LASTSCHUETZ</t>
        </is>
      </c>
      <c r="H1491" t="inlineStr">
        <is>
          <t>4kW 1Oe Federzugkl.</t>
        </is>
      </c>
      <c r="I1491">
        <v>4006</v>
      </c>
      <c r="J1491">
        <f>GC22/139.6</f>
        <v>0</v>
      </c>
      <c r="M1491" t="inlineStr">
        <is>
          <t>-139K14.6</t>
        </is>
      </c>
    </row>
    <row r="1492">
      <c r="A1492">
        <v>1491</v>
      </c>
      <c r="B1492">
        <f>GS12</f>
        <v>0</v>
      </c>
      <c r="C1492" t="inlineStr">
        <is>
          <t>+LS1</t>
        </is>
      </c>
      <c r="D1492" t="inlineStr">
        <is>
          <t>-139K14.6</t>
        </is>
      </c>
      <c r="E1492" t="inlineStr">
        <is>
          <t>DILM-9-01</t>
        </is>
      </c>
      <c r="F1492" t="inlineStr">
        <is>
          <t>#KALK!</t>
        </is>
      </c>
      <c r="G1492" t="inlineStr">
        <is>
          <t>LASTSCHUETZ</t>
        </is>
      </c>
      <c r="H1492" t="inlineStr">
        <is>
          <t>4kW 1Oe Federzugkl.</t>
        </is>
      </c>
      <c r="I1492">
        <v>271</v>
      </c>
      <c r="J1492">
        <f>GS12/139.6</f>
        <v>0</v>
      </c>
      <c r="M1492" t="inlineStr">
        <is>
          <t>-139K14.6</t>
        </is>
      </c>
    </row>
    <row r="1493">
      <c r="A1493">
        <v>1492</v>
      </c>
      <c r="B1493">
        <f>GS32</f>
        <v>0</v>
      </c>
      <c r="C1493" t="inlineStr">
        <is>
          <t>+LS2</t>
        </is>
      </c>
      <c r="D1493" t="inlineStr">
        <is>
          <t>-139K23.7</t>
        </is>
      </c>
      <c r="E1493" t="inlineStr">
        <is>
          <t>DIL_EM-10-G</t>
        </is>
      </c>
      <c r="F1493" t="inlineStr">
        <is>
          <t>#KALK!</t>
        </is>
      </c>
      <c r="G1493" t="inlineStr">
        <is>
          <t>LASTSCHUETZ</t>
        </is>
      </c>
      <c r="H1493" t="inlineStr">
        <is>
          <t>4kW 1S</t>
        </is>
      </c>
      <c r="I1493">
        <v>948</v>
      </c>
      <c r="J1493">
        <f>GS32/139.7</f>
        <v>0</v>
      </c>
      <c r="M1493" t="inlineStr">
        <is>
          <t>-139K23.7</t>
        </is>
      </c>
    </row>
    <row r="1494">
      <c r="A1494">
        <v>1493</v>
      </c>
      <c r="B1494">
        <f>GS26</f>
        <v>0</v>
      </c>
      <c r="C1494" t="inlineStr">
        <is>
          <t>+LS1</t>
        </is>
      </c>
      <c r="D1494" t="inlineStr">
        <is>
          <t>-139K3539.3</t>
        </is>
      </c>
      <c r="E1494" t="inlineStr">
        <is>
          <t>DILM-9-10</t>
        </is>
      </c>
      <c r="F1494" t="inlineStr">
        <is>
          <t>#KALK!</t>
        </is>
      </c>
      <c r="G1494" t="inlineStr">
        <is>
          <t>LASTSCHUETZ</t>
        </is>
      </c>
      <c r="H1494" t="inlineStr">
        <is>
          <t>4kW 1S Federzugkl.</t>
        </is>
      </c>
      <c r="I1494">
        <v>534</v>
      </c>
      <c r="J1494">
        <f>GS26/139.6</f>
        <v>0</v>
      </c>
      <c r="M1494" t="inlineStr">
        <is>
          <t>-139K3539.3</t>
        </is>
      </c>
    </row>
    <row r="1495">
      <c r="A1495">
        <v>1494</v>
      </c>
      <c r="B1495">
        <f>GS26</f>
        <v>0</v>
      </c>
      <c r="C1495" t="inlineStr">
        <is>
          <t>+LS1</t>
        </is>
      </c>
      <c r="D1495" t="inlineStr">
        <is>
          <t>-139K3539.4</t>
        </is>
      </c>
      <c r="E1495" t="inlineStr">
        <is>
          <t>DILM-9-10</t>
        </is>
      </c>
      <c r="F1495" t="inlineStr">
        <is>
          <t>#KALK!</t>
        </is>
      </c>
      <c r="G1495" t="inlineStr">
        <is>
          <t>LASTSCHUETZ</t>
        </is>
      </c>
      <c r="H1495" t="inlineStr">
        <is>
          <t>4kW 1S Federzugkl.</t>
        </is>
      </c>
      <c r="I1495">
        <v>534</v>
      </c>
      <c r="J1495">
        <f>GS26/139.6</f>
        <v>0</v>
      </c>
      <c r="M1495" t="inlineStr">
        <is>
          <t>-139K3539.4</t>
        </is>
      </c>
    </row>
    <row r="1496">
      <c r="A1496">
        <v>1495</v>
      </c>
      <c r="B1496">
        <f>GC03</f>
        <v>0</v>
      </c>
      <c r="C1496" t="inlineStr">
        <is>
          <t>+LS2</t>
        </is>
      </c>
      <c r="D1496" t="inlineStr">
        <is>
          <t>-139K52.1</t>
        </is>
      </c>
      <c r="E1496" t="inlineStr">
        <is>
          <t>DIL_EM-10-G</t>
        </is>
      </c>
      <c r="F1496" t="inlineStr">
        <is>
          <t>#KALK!</t>
        </is>
      </c>
      <c r="G1496" t="inlineStr">
        <is>
          <t>LASTSCHUETZ</t>
        </is>
      </c>
      <c r="H1496" t="inlineStr">
        <is>
          <t>4kW 1S</t>
        </is>
      </c>
      <c r="I1496">
        <v>2115</v>
      </c>
      <c r="J1496">
        <f>GC03/139.8</f>
        <v>0</v>
      </c>
      <c r="M1496" t="inlineStr">
        <is>
          <t>-139K52.1</t>
        </is>
      </c>
    </row>
    <row r="1497">
      <c r="A1497">
        <v>1496</v>
      </c>
      <c r="B1497">
        <f>GS23</f>
        <v>0</v>
      </c>
      <c r="C1497" t="inlineStr">
        <is>
          <t>+LS2</t>
        </is>
      </c>
      <c r="D1497" t="inlineStr">
        <is>
          <t>-139K55.7</t>
        </is>
      </c>
      <c r="E1497" t="inlineStr">
        <is>
          <t>DIL_EM-10-G</t>
        </is>
      </c>
      <c r="F1497" t="inlineStr">
        <is>
          <t>#KALK!</t>
        </is>
      </c>
      <c r="G1497" t="inlineStr">
        <is>
          <t>LASTSCHUETZ</t>
        </is>
      </c>
      <c r="H1497" t="inlineStr">
        <is>
          <t>4kW 1S</t>
        </is>
      </c>
      <c r="I1497">
        <v>438</v>
      </c>
      <c r="J1497">
        <f>GS23/139.6</f>
        <v>0</v>
      </c>
      <c r="M1497" t="inlineStr">
        <is>
          <t>-139K55.7</t>
        </is>
      </c>
    </row>
    <row r="1498">
      <c r="A1498">
        <v>1497</v>
      </c>
      <c r="B1498">
        <f>GS14</f>
        <v>0</v>
      </c>
      <c r="C1498" t="inlineStr">
        <is>
          <t>+LS2</t>
        </is>
      </c>
      <c r="D1498" t="inlineStr">
        <is>
          <t>-139K65.3</t>
        </is>
      </c>
      <c r="E1498" t="inlineStr">
        <is>
          <t>DIL_EM-10-G</t>
        </is>
      </c>
      <c r="F1498" t="inlineStr">
        <is>
          <t>#KALK!</t>
        </is>
      </c>
      <c r="G1498" t="inlineStr">
        <is>
          <t>LASTSCHUETZ</t>
        </is>
      </c>
      <c r="H1498" t="inlineStr">
        <is>
          <t>4kW 1S</t>
        </is>
      </c>
      <c r="I1498">
        <v>265</v>
      </c>
      <c r="J1498">
        <f>GS14/139.7</f>
        <v>0</v>
      </c>
      <c r="M1498" t="inlineStr">
        <is>
          <t>-139K65.3</t>
        </is>
      </c>
    </row>
    <row r="1499">
      <c r="A1499">
        <v>1498</v>
      </c>
      <c r="B1499">
        <f>GS24</f>
        <v>0</v>
      </c>
      <c r="C1499" t="inlineStr">
        <is>
          <t>+LS2</t>
        </is>
      </c>
      <c r="D1499" t="inlineStr">
        <is>
          <t>-139K65.3</t>
        </is>
      </c>
      <c r="E1499" t="inlineStr">
        <is>
          <t>DIL_EM-10-G</t>
        </is>
      </c>
      <c r="F1499" t="inlineStr">
        <is>
          <t>#KALK!</t>
        </is>
      </c>
      <c r="G1499" t="inlineStr">
        <is>
          <t>LASTSCHUETZ</t>
        </is>
      </c>
      <c r="H1499" t="inlineStr">
        <is>
          <t>4kW 1S</t>
        </is>
      </c>
      <c r="I1499">
        <v>940</v>
      </c>
      <c r="J1499">
        <f>GS24/139.7</f>
        <v>0</v>
      </c>
      <c r="M1499" t="inlineStr">
        <is>
          <t>-139K65.3</t>
        </is>
      </c>
    </row>
    <row r="1500">
      <c r="A1500">
        <v>1499</v>
      </c>
      <c r="B1500">
        <f>GS79</f>
        <v>0</v>
      </c>
      <c r="C1500" t="inlineStr">
        <is>
          <t>+LS[l2]</t>
        </is>
      </c>
      <c r="D1500" t="inlineStr">
        <is>
          <t>-139Q1</t>
        </is>
      </c>
      <c r="E1500" t="inlineStr">
        <is>
          <t>DILM-9-10</t>
        </is>
      </c>
      <c r="F1500" t="inlineStr">
        <is>
          <t>#KALK!</t>
        </is>
      </c>
      <c r="G1500" t="inlineStr">
        <is>
          <t>LASTSCHUETZ</t>
        </is>
      </c>
      <c r="H1500" t="inlineStr">
        <is>
          <t>4kW 1S Federzugkl.</t>
        </is>
      </c>
      <c r="I1500">
        <v>231</v>
      </c>
      <c r="J1500">
        <f>GS79/139.6</f>
        <v>0</v>
      </c>
      <c r="M1500" t="inlineStr">
        <is>
          <t>-139Q1</t>
        </is>
      </c>
    </row>
    <row r="1501">
      <c r="A1501">
        <v>1500</v>
      </c>
      <c r="B1501">
        <f>GS79</f>
        <v>0</v>
      </c>
      <c r="C1501" t="inlineStr">
        <is>
          <t>+LS[l2]</t>
        </is>
      </c>
      <c r="D1501" t="inlineStr">
        <is>
          <t>-139Q1</t>
        </is>
      </c>
      <c r="E1501" t="inlineStr">
        <is>
          <t>DILM-9-10</t>
        </is>
      </c>
      <c r="F1501" t="inlineStr">
        <is>
          <t>#KALK!</t>
        </is>
      </c>
      <c r="G1501" t="inlineStr">
        <is>
          <t>LASTSCHUETZ</t>
        </is>
      </c>
      <c r="H1501" t="inlineStr">
        <is>
          <t>4kW 1S Federzugkl.</t>
        </is>
      </c>
      <c r="I1501">
        <v>180</v>
      </c>
      <c r="J1501">
        <f>GS79/139.6</f>
        <v>0</v>
      </c>
      <c r="M1501" t="inlineStr">
        <is>
          <t>-139Q1</t>
        </is>
      </c>
    </row>
    <row r="1502">
      <c r="A1502">
        <v>1501</v>
      </c>
      <c r="B1502">
        <f>GS92</f>
        <v>0</v>
      </c>
      <c r="C1502" t="inlineStr">
        <is>
          <t>+LS01</t>
        </is>
      </c>
      <c r="D1502" t="inlineStr">
        <is>
          <t>-139Q155.0</t>
        </is>
      </c>
      <c r="E1502" t="inlineStr">
        <is>
          <t>DILM-9-10</t>
        </is>
      </c>
      <c r="F1502" t="inlineStr">
        <is>
          <t>#KALK!</t>
        </is>
      </c>
      <c r="G1502" t="inlineStr">
        <is>
          <t>LASTSCHUETZ</t>
        </is>
      </c>
      <c r="H1502" t="inlineStr">
        <is>
          <t>4kW 1S Federzugkl.</t>
        </is>
      </c>
      <c r="I1502">
        <v>285</v>
      </c>
      <c r="J1502">
        <f>GS92/139.5</f>
        <v>0</v>
      </c>
      <c r="M1502" t="inlineStr">
        <is>
          <t>-139Q155.0</t>
        </is>
      </c>
    </row>
    <row r="1503">
      <c r="A1503">
        <v>1502</v>
      </c>
      <c r="B1503">
        <f>EPM</f>
        <v>0</v>
      </c>
      <c r="C1503" t="inlineStr">
        <is>
          <t>+LS</t>
        </is>
      </c>
      <c r="D1503" t="inlineStr">
        <is>
          <t>-13K1</t>
        </is>
      </c>
      <c r="E1503" t="inlineStr">
        <is>
          <t>DIL_EM-10-G</t>
        </is>
      </c>
      <c r="F1503" t="inlineStr">
        <is>
          <t>22_DIL-E</t>
        </is>
      </c>
      <c r="G1503" t="inlineStr">
        <is>
          <t>LASTSCHUETZ</t>
        </is>
      </c>
      <c r="H1503" t="inlineStr">
        <is>
          <t>4kW 1S</t>
        </is>
      </c>
      <c r="I1503">
        <v>114</v>
      </c>
      <c r="J1503">
        <f>EPM/13.7</f>
        <v>0</v>
      </c>
      <c r="M1503" t="inlineStr">
        <is>
          <t>-13K1</t>
        </is>
      </c>
    </row>
    <row r="1504">
      <c r="A1504">
        <v>1503</v>
      </c>
      <c r="B1504">
        <f>EPM</f>
        <v>0</v>
      </c>
      <c r="C1504" t="inlineStr">
        <is>
          <t>+LS</t>
        </is>
      </c>
      <c r="D1504" t="inlineStr">
        <is>
          <t>-13K1</t>
        </is>
      </c>
      <c r="E1504" t="inlineStr">
        <is>
          <t>22_DIL-E</t>
        </is>
      </c>
      <c r="F1504" t="inlineStr">
        <is>
          <t>22_DIL-E</t>
        </is>
      </c>
      <c r="G1504" t="inlineStr">
        <is>
          <t>HILFSKONTAKTBLOCK</t>
        </is>
      </c>
      <c r="H1504" t="inlineStr">
        <is>
          <t>2S 2OE Last+Hilfsschuetz</t>
        </is>
      </c>
      <c r="I1504">
        <v>114</v>
      </c>
      <c r="J1504">
        <f>EPM/13.7</f>
        <v>0</v>
      </c>
      <c r="M1504" t="inlineStr">
        <is>
          <t>-13K1</t>
        </is>
      </c>
    </row>
    <row r="1505">
      <c r="A1505">
        <v>1504</v>
      </c>
      <c r="B1505">
        <f>EPP</f>
        <v>0</v>
      </c>
      <c r="C1505" t="inlineStr">
        <is>
          <t>+LS</t>
        </is>
      </c>
      <c r="D1505" t="inlineStr">
        <is>
          <t>-13K1</t>
        </is>
      </c>
      <c r="E1505" t="inlineStr">
        <is>
          <t>DIL_M-820-XHI11-SI</t>
        </is>
      </c>
      <c r="F1505" t="inlineStr">
        <is>
          <t>#ÜBERLAUF!</t>
        </is>
      </c>
      <c r="G1505" t="inlineStr">
        <is>
          <t>HILFSKONTAKTBLOCK</t>
        </is>
      </c>
      <c r="H1505" t="inlineStr">
        <is>
          <t>1S 1OE Lastschuetz DIL M</t>
        </is>
      </c>
      <c r="J1505">
        <f>EPP/13.4</f>
        <v>0</v>
      </c>
      <c r="M1505" t="inlineStr">
        <is>
          <t>-13K1</t>
        </is>
      </c>
    </row>
    <row r="1506">
      <c r="A1506">
        <v>1505</v>
      </c>
      <c r="B1506">
        <f>EPP</f>
        <v>0</v>
      </c>
      <c r="C1506" t="inlineStr">
        <is>
          <t>+LS</t>
        </is>
      </c>
      <c r="D1506" t="inlineStr">
        <is>
          <t>-13K1</t>
        </is>
      </c>
      <c r="E1506" t="inlineStr">
        <is>
          <t>DIL_M-820-XHI11-SI</t>
        </is>
      </c>
      <c r="F1506" t="inlineStr">
        <is>
          <t>#ÜBERLAUF!</t>
        </is>
      </c>
      <c r="G1506" t="inlineStr">
        <is>
          <t>HILFSKONTAKTBLOCK</t>
        </is>
      </c>
      <c r="H1506" t="inlineStr">
        <is>
          <t>1S 1OE Lastschuetz DIL M</t>
        </is>
      </c>
      <c r="I1506">
        <v>111</v>
      </c>
      <c r="J1506">
        <f>EPP/13.4</f>
        <v>0</v>
      </c>
      <c r="M1506" t="inlineStr">
        <is>
          <t>-13K1</t>
        </is>
      </c>
    </row>
    <row r="1507">
      <c r="A1507">
        <v>1506</v>
      </c>
      <c r="B1507">
        <f>EPP</f>
        <v>0</v>
      </c>
      <c r="C1507" t="inlineStr">
        <is>
          <t>+LS</t>
        </is>
      </c>
      <c r="D1507" t="inlineStr">
        <is>
          <t>-13K1</t>
        </is>
      </c>
      <c r="E1507" t="inlineStr">
        <is>
          <t>DIL_3M80</t>
        </is>
      </c>
      <c r="F1507" t="inlineStr">
        <is>
          <t>#ÜBERLAUF!</t>
        </is>
      </c>
      <c r="G1507" t="inlineStr">
        <is>
          <t>LASTSCHUETZ</t>
        </is>
      </c>
      <c r="H1507" t="inlineStr">
        <is>
          <t>37 kW</t>
        </is>
      </c>
      <c r="I1507">
        <v>111</v>
      </c>
      <c r="J1507">
        <f>EPP/13.4</f>
        <v>0</v>
      </c>
      <c r="M1507" t="inlineStr">
        <is>
          <t>-13K1</t>
        </is>
      </c>
    </row>
    <row r="1508">
      <c r="A1508">
        <v>1507</v>
      </c>
      <c r="B1508">
        <f>GS53</f>
        <v>0</v>
      </c>
      <c r="C1508" t="inlineStr">
        <is>
          <t>+LS[p1]</t>
        </is>
      </c>
      <c r="D1508" t="inlineStr">
        <is>
          <t>-13Q[a+1].1</t>
        </is>
      </c>
      <c r="E1508" t="inlineStr">
        <is>
          <t>DILM-9-01</t>
        </is>
      </c>
      <c r="F1508" t="inlineStr">
        <is>
          <t>#KALK!</t>
        </is>
      </c>
      <c r="G1508" t="inlineStr">
        <is>
          <t>LASTSCHUETZ</t>
        </is>
      </c>
      <c r="H1508" t="inlineStr">
        <is>
          <t>4kW 1Oe Federzugkl.</t>
        </is>
      </c>
      <c r="I1508">
        <v>152</v>
      </c>
      <c r="J1508">
        <f>GS53/13.6</f>
        <v>0</v>
      </c>
      <c r="M1508" t="inlineStr">
        <is>
          <t>-13Q[a+1].1</t>
        </is>
      </c>
    </row>
    <row r="1509">
      <c r="A1509">
        <v>1508</v>
      </c>
      <c r="B1509">
        <f>GS40</f>
        <v>0</v>
      </c>
      <c r="C1509" t="inlineStr">
        <is>
          <t>+LS[ll]</t>
        </is>
      </c>
      <c r="D1509" t="inlineStr">
        <is>
          <t>-13Q1</t>
        </is>
      </c>
      <c r="E1509" t="inlineStr">
        <is>
          <t>DILM150-XHIC22</t>
        </is>
      </c>
      <c r="F1509" t="inlineStr">
        <is>
          <t>DILM150-XHIC22</t>
        </is>
      </c>
      <c r="G1509" t="inlineStr">
        <is>
          <t>HILFSKONTAKTBLOCK</t>
        </is>
      </c>
      <c r="H1509" t="inlineStr">
        <is>
          <t>2S 2OE ab DILMC40</t>
        </is>
      </c>
      <c r="I1509">
        <v>188</v>
      </c>
      <c r="J1509">
        <f>GS40/13.2</f>
        <v>0</v>
      </c>
      <c r="K1509" t="inlineStr">
        <is>
          <t>DILMC115</t>
        </is>
      </c>
      <c r="M1509" t="inlineStr">
        <is>
          <t>-13Q1</t>
        </is>
      </c>
    </row>
    <row r="1510">
      <c r="A1510">
        <v>1509</v>
      </c>
      <c r="B1510">
        <f>GS40</f>
        <v>0</v>
      </c>
      <c r="C1510" t="inlineStr">
        <is>
          <t>+LS[ll]</t>
        </is>
      </c>
      <c r="D1510" t="inlineStr">
        <is>
          <t>-13Q1</t>
        </is>
      </c>
      <c r="E1510" t="inlineStr">
        <is>
          <t>DILMC115(RDC24)</t>
        </is>
      </c>
      <c r="F1510" t="inlineStr">
        <is>
          <t>DILM150-XHIC22</t>
        </is>
      </c>
      <c r="G1510" t="inlineStr">
        <is>
          <t>LASTSCHUETZ</t>
        </is>
      </c>
      <c r="H1510" t="inlineStr">
        <is>
          <t>55kW</t>
        </is>
      </c>
      <c r="I1510">
        <v>188</v>
      </c>
      <c r="J1510">
        <f>GS40/13.2</f>
        <v>0</v>
      </c>
      <c r="K1510" t="inlineStr">
        <is>
          <t>DILMC115</t>
        </is>
      </c>
      <c r="M1510" t="inlineStr">
        <is>
          <t>-13Q1</t>
        </is>
      </c>
    </row>
    <row r="1511">
      <c r="A1511">
        <v>1510</v>
      </c>
      <c r="B1511">
        <f>GS44</f>
        <v>0</v>
      </c>
      <c r="C1511" t="inlineStr">
        <is>
          <t>+LS[ll]</t>
        </is>
      </c>
      <c r="D1511" t="inlineStr">
        <is>
          <t>-13Q1</t>
        </is>
      </c>
      <c r="E1511" t="inlineStr">
        <is>
          <t>DILM150-XHIC22</t>
        </is>
      </c>
      <c r="F1511" t="inlineStr">
        <is>
          <t>DILM150-XHIC22</t>
        </is>
      </c>
      <c r="G1511" t="inlineStr">
        <is>
          <t>HILFSKONTAKTBLOCK</t>
        </is>
      </c>
      <c r="H1511" t="inlineStr">
        <is>
          <t>2S 2OE ab DILMC40</t>
        </is>
      </c>
      <c r="I1511">
        <v>200</v>
      </c>
      <c r="J1511">
        <f>GS44/13.2</f>
        <v>0</v>
      </c>
      <c r="K1511" t="inlineStr">
        <is>
          <t>DILMC150</t>
        </is>
      </c>
      <c r="M1511" t="inlineStr">
        <is>
          <t>-13Q1</t>
        </is>
      </c>
    </row>
    <row r="1512">
      <c r="A1512">
        <v>1511</v>
      </c>
      <c r="B1512">
        <f>GS44</f>
        <v>0</v>
      </c>
      <c r="C1512" t="inlineStr">
        <is>
          <t>+LS[ll]</t>
        </is>
      </c>
      <c r="D1512" t="inlineStr">
        <is>
          <t>-13Q1</t>
        </is>
      </c>
      <c r="E1512" t="inlineStr">
        <is>
          <t>DILMC150(RDC24)</t>
        </is>
      </c>
      <c r="F1512" t="inlineStr">
        <is>
          <t>DILM150-XHIC22</t>
        </is>
      </c>
      <c r="G1512" t="inlineStr">
        <is>
          <t>LASTSCHUETZ</t>
        </is>
      </c>
      <c r="H1512" t="inlineStr">
        <is>
          <t>75kW</t>
        </is>
      </c>
      <c r="I1512">
        <v>200</v>
      </c>
      <c r="J1512">
        <f>GS44/13.2</f>
        <v>0</v>
      </c>
      <c r="K1512" t="inlineStr">
        <is>
          <t>DILMC150</t>
        </is>
      </c>
      <c r="M1512" t="inlineStr">
        <is>
          <t>-13Q1</t>
        </is>
      </c>
    </row>
    <row r="1513">
      <c r="A1513">
        <v>1512</v>
      </c>
      <c r="B1513">
        <f>GS45</f>
        <v>0</v>
      </c>
      <c r="C1513" t="inlineStr">
        <is>
          <t>+LS</t>
        </is>
      </c>
      <c r="D1513" t="inlineStr">
        <is>
          <t>-13Q1</t>
        </is>
      </c>
      <c r="E1513" t="inlineStr">
        <is>
          <t>DILMC115(RDC24)</t>
        </is>
      </c>
      <c r="F1513" t="inlineStr">
        <is>
          <t>DILM150-XHIC22</t>
        </is>
      </c>
      <c r="G1513" t="inlineStr">
        <is>
          <t>LASTSCHUETZ</t>
        </is>
      </c>
      <c r="H1513" t="inlineStr">
        <is>
          <t>55kW</t>
        </is>
      </c>
      <c r="I1513">
        <v>160</v>
      </c>
      <c r="J1513">
        <f>GS45/13.2</f>
        <v>0</v>
      </c>
      <c r="K1513" t="inlineStr">
        <is>
          <t>DILMC115</t>
        </is>
      </c>
      <c r="M1513" t="inlineStr">
        <is>
          <t>-13Q1</t>
        </is>
      </c>
    </row>
    <row r="1514">
      <c r="A1514">
        <v>1513</v>
      </c>
      <c r="B1514">
        <f>GS45</f>
        <v>0</v>
      </c>
      <c r="C1514" t="inlineStr">
        <is>
          <t>+LS</t>
        </is>
      </c>
      <c r="D1514" t="inlineStr">
        <is>
          <t>-13Q1</t>
        </is>
      </c>
      <c r="E1514" t="inlineStr">
        <is>
          <t>DILM150-XHIC22</t>
        </is>
      </c>
      <c r="F1514" t="inlineStr">
        <is>
          <t>DILM150-XHIC22</t>
        </is>
      </c>
      <c r="G1514" t="inlineStr">
        <is>
          <t>HILFSKONTAKTBLOCK</t>
        </is>
      </c>
      <c r="H1514" t="inlineStr">
        <is>
          <t>2S 2OE ab DILMC40</t>
        </is>
      </c>
      <c r="I1514">
        <v>160</v>
      </c>
      <c r="J1514">
        <f>GS45/13.2</f>
        <v>0</v>
      </c>
      <c r="K1514" t="inlineStr">
        <is>
          <t>DILMC115</t>
        </is>
      </c>
      <c r="M1514" t="inlineStr">
        <is>
          <t>-13Q1</t>
        </is>
      </c>
    </row>
    <row r="1515">
      <c r="A1515">
        <v>1514</v>
      </c>
      <c r="B1515">
        <f>GS4x</f>
        <v>0</v>
      </c>
      <c r="C1515" t="inlineStr">
        <is>
          <t>+LS[ll]</t>
        </is>
      </c>
      <c r="D1515" t="inlineStr">
        <is>
          <t>-13Q1</t>
        </is>
      </c>
      <c r="E1515" t="inlineStr">
        <is>
          <t>DILM150-XHIC22</t>
        </is>
      </c>
      <c r="F1515" t="inlineStr">
        <is>
          <t>DILM150-XHIC22</t>
        </is>
      </c>
      <c r="G1515" t="inlineStr">
        <is>
          <t>HILFSKONTAKTBLOCK</t>
        </is>
      </c>
      <c r="H1515" t="inlineStr">
        <is>
          <t>2S 2OE ab DILMC40</t>
        </is>
      </c>
      <c r="I1515">
        <v>189</v>
      </c>
      <c r="J1515">
        <f>GS4x/13.2</f>
        <v>0</v>
      </c>
      <c r="K1515" t="inlineStr">
        <is>
          <t>DILMC150</t>
        </is>
      </c>
      <c r="M1515" t="inlineStr">
        <is>
          <t>-13Q1</t>
        </is>
      </c>
    </row>
    <row r="1516">
      <c r="A1516">
        <v>1515</v>
      </c>
      <c r="B1516">
        <f>GS4x</f>
        <v>0</v>
      </c>
      <c r="C1516" t="inlineStr">
        <is>
          <t>+LS[ll]</t>
        </is>
      </c>
      <c r="D1516" t="inlineStr">
        <is>
          <t>-13Q1</t>
        </is>
      </c>
      <c r="E1516" t="inlineStr">
        <is>
          <t>DILMC150(RDC24)</t>
        </is>
      </c>
      <c r="F1516" t="inlineStr">
        <is>
          <t>DILM150-XHIC22</t>
        </is>
      </c>
      <c r="G1516" t="inlineStr">
        <is>
          <t>LASTSCHUETZ</t>
        </is>
      </c>
      <c r="H1516" t="inlineStr">
        <is>
          <t>75kW</t>
        </is>
      </c>
      <c r="I1516">
        <v>189</v>
      </c>
      <c r="J1516">
        <f>GS4x/13.2</f>
        <v>0</v>
      </c>
      <c r="K1516" t="inlineStr">
        <is>
          <t>DILMC150</t>
        </is>
      </c>
      <c r="M1516" t="inlineStr">
        <is>
          <t>-13Q1</t>
        </is>
      </c>
    </row>
    <row r="1517">
      <c r="A1517">
        <v>1516</v>
      </c>
      <c r="B1517">
        <f>GS65</f>
        <v>0</v>
      </c>
      <c r="C1517" t="inlineStr">
        <is>
          <t>+LS[ll]</t>
        </is>
      </c>
      <c r="D1517" t="inlineStr">
        <is>
          <t>-13Q1</t>
        </is>
      </c>
      <c r="E1517" t="inlineStr">
        <is>
          <t>DILMC65(RDC24)</t>
        </is>
      </c>
      <c r="F1517" t="inlineStr">
        <is>
          <t>DILM150-XHIC40</t>
        </is>
      </c>
      <c r="G1517" t="inlineStr">
        <is>
          <t>LASTSCHUETZ</t>
        </is>
      </c>
      <c r="H1517" t="inlineStr">
        <is>
          <t>30kW Federzugkl.</t>
        </is>
      </c>
      <c r="I1517">
        <v>151</v>
      </c>
      <c r="J1517">
        <f>GS65/13.2</f>
        <v>0</v>
      </c>
      <c r="K1517" t="inlineStr">
        <is>
          <t>DILMC65</t>
        </is>
      </c>
      <c r="M1517" t="inlineStr">
        <is>
          <t>-13Q1</t>
        </is>
      </c>
    </row>
    <row r="1518">
      <c r="A1518">
        <v>1517</v>
      </c>
      <c r="B1518">
        <f>GS65</f>
        <v>0</v>
      </c>
      <c r="C1518" t="inlineStr">
        <is>
          <t>+LS[ll]</t>
        </is>
      </c>
      <c r="D1518" t="inlineStr">
        <is>
          <t>-13Q1</t>
        </is>
      </c>
      <c r="E1518" t="inlineStr">
        <is>
          <t>DILM150-XHIC40</t>
        </is>
      </c>
      <c r="F1518" t="inlineStr">
        <is>
          <t>DILM150-XHIC40</t>
        </is>
      </c>
      <c r="G1518" t="inlineStr">
        <is>
          <t>HILFSKONTAKTBLOCK</t>
        </is>
      </c>
      <c r="H1518" t="inlineStr">
        <is>
          <t>4S ab DILMC40</t>
        </is>
      </c>
      <c r="I1518">
        <v>151</v>
      </c>
      <c r="J1518">
        <f>GS65/13.2</f>
        <v>0</v>
      </c>
      <c r="K1518" t="inlineStr">
        <is>
          <t>DILMC65</t>
        </is>
      </c>
      <c r="M1518" t="inlineStr">
        <is>
          <t>-13Q1</t>
        </is>
      </c>
    </row>
    <row r="1519">
      <c r="A1519">
        <v>1518</v>
      </c>
      <c r="B1519">
        <f>GS67</f>
        <v>0</v>
      </c>
      <c r="C1519" t="inlineStr">
        <is>
          <t>+LS[ll]</t>
        </is>
      </c>
      <c r="D1519" t="inlineStr">
        <is>
          <t>-13Q1</t>
        </is>
      </c>
      <c r="E1519" t="inlineStr">
        <is>
          <t>DILMC65(RDC24)</t>
        </is>
      </c>
      <c r="F1519" t="inlineStr">
        <is>
          <t>#ÜBERLAUF!</t>
        </is>
      </c>
      <c r="G1519" t="inlineStr">
        <is>
          <t>LASTSCHUETZ</t>
        </is>
      </c>
      <c r="H1519" t="inlineStr">
        <is>
          <t>30kW Federzugkl.</t>
        </is>
      </c>
      <c r="I1519">
        <v>157</v>
      </c>
      <c r="J1519">
        <f>GS67/13.2</f>
        <v>0</v>
      </c>
      <c r="K1519" t="inlineStr">
        <is>
          <t>DILMC65</t>
        </is>
      </c>
      <c r="M1519" t="inlineStr">
        <is>
          <t>-13Q1</t>
        </is>
      </c>
    </row>
    <row r="1520">
      <c r="A1520">
        <v>1519</v>
      </c>
      <c r="B1520">
        <f>GS67</f>
        <v>0</v>
      </c>
      <c r="C1520" t="inlineStr">
        <is>
          <t>+LS</t>
        </is>
      </c>
      <c r="D1520" t="inlineStr">
        <is>
          <t>-13Q1</t>
        </is>
      </c>
      <c r="E1520" t="inlineStr">
        <is>
          <t>DILM150-XHIC22</t>
        </is>
      </c>
      <c r="F1520" t="inlineStr">
        <is>
          <t>DILM150-XHIC22</t>
        </is>
      </c>
      <c r="G1520" t="inlineStr">
        <is>
          <t>HILFSKONTAKTBLOCK</t>
        </is>
      </c>
      <c r="H1520" t="inlineStr">
        <is>
          <t>2S 2OE ab DILMC40</t>
        </is>
      </c>
      <c r="I1520">
        <v>157</v>
      </c>
      <c r="J1520">
        <f>GS67/13.2</f>
        <v>0</v>
      </c>
      <c r="K1520" t="inlineStr">
        <is>
          <t>DILMC65</t>
        </is>
      </c>
      <c r="M1520" t="inlineStr">
        <is>
          <t>-13Q1</t>
        </is>
      </c>
    </row>
    <row r="1521">
      <c r="A1521">
        <v>1520</v>
      </c>
      <c r="B1521">
        <f>GS67</f>
        <v>0</v>
      </c>
      <c r="C1521" t="inlineStr">
        <is>
          <t>+LS[ll]</t>
        </is>
      </c>
      <c r="D1521" t="inlineStr">
        <is>
          <t>-13Q1</t>
        </is>
      </c>
      <c r="E1521" t="inlineStr">
        <is>
          <t>DILMC65(RDC24)</t>
        </is>
      </c>
      <c r="F1521" t="inlineStr">
        <is>
          <t>#ÜBERLAUF!</t>
        </is>
      </c>
      <c r="G1521" t="inlineStr">
        <is>
          <t>LASTSCHUETZ</t>
        </is>
      </c>
      <c r="H1521" t="inlineStr">
        <is>
          <t>30kW Federzugkl.</t>
        </is>
      </c>
      <c r="I1521">
        <v>151</v>
      </c>
      <c r="J1521">
        <f>GS67/13.2</f>
        <v>0</v>
      </c>
      <c r="K1521" t="inlineStr">
        <is>
          <t>DILMC65</t>
        </is>
      </c>
      <c r="M1521" t="inlineStr">
        <is>
          <t>-13Q1</t>
        </is>
      </c>
    </row>
    <row r="1522">
      <c r="A1522">
        <v>1521</v>
      </c>
      <c r="B1522">
        <f>GS67</f>
        <v>0</v>
      </c>
      <c r="C1522" t="inlineStr">
        <is>
          <t>+LS[ll]</t>
        </is>
      </c>
      <c r="D1522" t="inlineStr">
        <is>
          <t>-13Q1</t>
        </is>
      </c>
      <c r="E1522" t="inlineStr">
        <is>
          <t>DILM150-XHIC22</t>
        </is>
      </c>
      <c r="F1522" t="inlineStr">
        <is>
          <t>#ÜBERLAUF!</t>
        </is>
      </c>
      <c r="G1522" t="inlineStr">
        <is>
          <t>HILFSKONTAKTBLOCK</t>
        </is>
      </c>
      <c r="H1522" t="inlineStr">
        <is>
          <t>2S 2OE ab DILMC40</t>
        </is>
      </c>
      <c r="I1522">
        <v>157</v>
      </c>
      <c r="J1522">
        <f>GS67/13.2</f>
        <v>0</v>
      </c>
      <c r="K1522" t="inlineStr">
        <is>
          <t>DILMC65</t>
        </is>
      </c>
      <c r="M1522" t="inlineStr">
        <is>
          <t>-13Q1</t>
        </is>
      </c>
    </row>
    <row r="1523">
      <c r="A1523">
        <v>1522</v>
      </c>
      <c r="B1523">
        <f>GS67</f>
        <v>0</v>
      </c>
      <c r="C1523" t="inlineStr">
        <is>
          <t>+LS</t>
        </is>
      </c>
      <c r="D1523" t="inlineStr">
        <is>
          <t>-13Q1</t>
        </is>
      </c>
      <c r="E1523" t="inlineStr">
        <is>
          <t>DILMC65(RDC24)</t>
        </is>
      </c>
      <c r="F1523" t="inlineStr">
        <is>
          <t>DILM150-XHIC22</t>
        </is>
      </c>
      <c r="G1523" t="inlineStr">
        <is>
          <t>LASTSCHUETZ</t>
        </is>
      </c>
      <c r="H1523" t="inlineStr">
        <is>
          <t>30kW Federzugkl.</t>
        </is>
      </c>
      <c r="I1523">
        <v>157</v>
      </c>
      <c r="J1523">
        <f>GS67/13.2</f>
        <v>0</v>
      </c>
      <c r="K1523" t="inlineStr">
        <is>
          <t>DILMC65</t>
        </is>
      </c>
      <c r="M1523" t="inlineStr">
        <is>
          <t>-13Q1</t>
        </is>
      </c>
    </row>
    <row r="1524">
      <c r="A1524">
        <v>1523</v>
      </c>
      <c r="B1524">
        <f>GS67</f>
        <v>0</v>
      </c>
      <c r="C1524" t="inlineStr">
        <is>
          <t>+LS[ll]</t>
        </is>
      </c>
      <c r="D1524" t="inlineStr">
        <is>
          <t>-13Q1</t>
        </is>
      </c>
      <c r="E1524" t="inlineStr">
        <is>
          <t>DILM150-XHIC40</t>
        </is>
      </c>
      <c r="F1524" t="inlineStr">
        <is>
          <t>#ÜBERLAUF!</t>
        </is>
      </c>
      <c r="G1524" t="inlineStr">
        <is>
          <t>HILFSKONTAKTBLOCK</t>
        </is>
      </c>
      <c r="H1524" t="inlineStr">
        <is>
          <t>4S ab DILMC40</t>
        </is>
      </c>
      <c r="I1524">
        <v>151</v>
      </c>
      <c r="J1524">
        <f>GS67/13.2</f>
        <v>0</v>
      </c>
      <c r="K1524" t="inlineStr">
        <is>
          <t>DILMC65</t>
        </is>
      </c>
      <c r="M1524" t="inlineStr">
        <is>
          <t>-13Q1</t>
        </is>
      </c>
    </row>
    <row r="1525">
      <c r="A1525">
        <v>1524</v>
      </c>
      <c r="B1525">
        <f>GS8x</f>
        <v>0</v>
      </c>
      <c r="C1525" t="inlineStr">
        <is>
          <t>+LS</t>
        </is>
      </c>
      <c r="D1525" t="inlineStr">
        <is>
          <t>-13Q1</t>
        </is>
      </c>
      <c r="E1525" t="inlineStr">
        <is>
          <t>DILMC65(RDC24)</t>
        </is>
      </c>
      <c r="F1525" t="inlineStr">
        <is>
          <t>DILM150-XHIC22</t>
        </is>
      </c>
      <c r="G1525" t="inlineStr">
        <is>
          <t>LASTSCHUETZ</t>
        </is>
      </c>
      <c r="H1525" t="inlineStr">
        <is>
          <t>30kW Federzugkl.</t>
        </is>
      </c>
      <c r="I1525">
        <v>158</v>
      </c>
      <c r="J1525">
        <f>GS8x/13.2</f>
        <v>0</v>
      </c>
      <c r="K1525" t="inlineStr">
        <is>
          <t>DILMC65</t>
        </is>
      </c>
      <c r="M1525" t="inlineStr">
        <is>
          <t>-13Q1</t>
        </is>
      </c>
    </row>
    <row r="1526">
      <c r="A1526">
        <v>1525</v>
      </c>
      <c r="B1526">
        <f>GS8x</f>
        <v>0</v>
      </c>
      <c r="C1526" t="inlineStr">
        <is>
          <t>+LS</t>
        </is>
      </c>
      <c r="D1526" t="inlineStr">
        <is>
          <t>-13Q1</t>
        </is>
      </c>
      <c r="E1526" t="inlineStr">
        <is>
          <t>DILM150-XHIC22</t>
        </is>
      </c>
      <c r="F1526" t="inlineStr">
        <is>
          <t>DILM150-XHIC22</t>
        </is>
      </c>
      <c r="G1526" t="inlineStr">
        <is>
          <t>HILFSKONTAKTBLOCK</t>
        </is>
      </c>
      <c r="H1526" t="inlineStr">
        <is>
          <t>2S 2OE ab DILMC40</t>
        </is>
      </c>
      <c r="I1526">
        <v>158</v>
      </c>
      <c r="J1526">
        <f>GS8x/13.2</f>
        <v>0</v>
      </c>
      <c r="K1526" t="inlineStr">
        <is>
          <t>DILMC65</t>
        </is>
      </c>
      <c r="M1526" t="inlineStr">
        <is>
          <t>-13Q1</t>
        </is>
      </c>
    </row>
    <row r="1527">
      <c r="A1527">
        <v>1526</v>
      </c>
      <c r="B1527">
        <f>GS40</f>
        <v>0</v>
      </c>
      <c r="C1527" t="inlineStr">
        <is>
          <t>+LS[ll]</t>
        </is>
      </c>
      <c r="D1527" t="inlineStr">
        <is>
          <t>-13Q2</t>
        </is>
      </c>
      <c r="E1527" t="inlineStr">
        <is>
          <t>DILM150-XHIC22</t>
        </is>
      </c>
      <c r="F1527" t="inlineStr">
        <is>
          <t>DILM150-XHIC22</t>
        </is>
      </c>
      <c r="G1527" t="inlineStr">
        <is>
          <t>HILFSKONTAKTBLOCK</t>
        </is>
      </c>
      <c r="H1527" t="inlineStr">
        <is>
          <t>2S 2OE ab DILMC40</t>
        </is>
      </c>
      <c r="I1527">
        <v>188</v>
      </c>
      <c r="J1527">
        <f>GS40/13.3</f>
        <v>0</v>
      </c>
      <c r="K1527" t="inlineStr">
        <is>
          <t>DILMC115</t>
        </is>
      </c>
      <c r="M1527" t="inlineStr">
        <is>
          <t>-13Q2</t>
        </is>
      </c>
    </row>
    <row r="1528">
      <c r="A1528">
        <v>1527</v>
      </c>
      <c r="B1528">
        <f>GS40</f>
        <v>0</v>
      </c>
      <c r="C1528" t="inlineStr">
        <is>
          <t>+LS[ll]</t>
        </is>
      </c>
      <c r="D1528" t="inlineStr">
        <is>
          <t>-13Q2</t>
        </is>
      </c>
      <c r="E1528" t="inlineStr">
        <is>
          <t>DILMC115(RDC24)</t>
        </is>
      </c>
      <c r="F1528" t="inlineStr">
        <is>
          <t>DILM150-XHIC22</t>
        </is>
      </c>
      <c r="G1528" t="inlineStr">
        <is>
          <t>LASTSCHUETZ</t>
        </is>
      </c>
      <c r="H1528" t="inlineStr">
        <is>
          <t>55kW</t>
        </is>
      </c>
      <c r="I1528">
        <v>188</v>
      </c>
      <c r="J1528">
        <f>GS40/13.3</f>
        <v>0</v>
      </c>
      <c r="K1528" t="inlineStr">
        <is>
          <t>DILMC115</t>
        </is>
      </c>
      <c r="M1528" t="inlineStr">
        <is>
          <t>-13Q2</t>
        </is>
      </c>
    </row>
    <row r="1529">
      <c r="A1529">
        <v>1528</v>
      </c>
      <c r="B1529">
        <f>GS44</f>
        <v>0</v>
      </c>
      <c r="C1529" t="inlineStr">
        <is>
          <t>+LS[ll]</t>
        </is>
      </c>
      <c r="D1529" t="inlineStr">
        <is>
          <t>-13Q2</t>
        </is>
      </c>
      <c r="E1529" t="inlineStr">
        <is>
          <t>DILM150-XHIC22</t>
        </is>
      </c>
      <c r="F1529" t="inlineStr">
        <is>
          <t>DILM150-XHIC22</t>
        </is>
      </c>
      <c r="G1529" t="inlineStr">
        <is>
          <t>HILFSKONTAKTBLOCK</t>
        </is>
      </c>
      <c r="H1529" t="inlineStr">
        <is>
          <t>2S 2OE ab DILMC40</t>
        </is>
      </c>
      <c r="I1529">
        <v>200</v>
      </c>
      <c r="J1529">
        <f>GS44/13.3</f>
        <v>0</v>
      </c>
      <c r="K1529" t="inlineStr">
        <is>
          <t>DILMC150</t>
        </is>
      </c>
      <c r="M1529" t="inlineStr">
        <is>
          <t>-13Q2</t>
        </is>
      </c>
    </row>
    <row r="1530">
      <c r="A1530">
        <v>1529</v>
      </c>
      <c r="B1530">
        <f>GS44</f>
        <v>0</v>
      </c>
      <c r="C1530" t="inlineStr">
        <is>
          <t>+LS[ll]</t>
        </is>
      </c>
      <c r="D1530" t="inlineStr">
        <is>
          <t>-13Q2</t>
        </is>
      </c>
      <c r="E1530" t="inlineStr">
        <is>
          <t>DILMC150(RDC24)</t>
        </is>
      </c>
      <c r="F1530" t="inlineStr">
        <is>
          <t>DILM150-XHIC22</t>
        </is>
      </c>
      <c r="G1530" t="inlineStr">
        <is>
          <t>LASTSCHUETZ</t>
        </is>
      </c>
      <c r="H1530" t="inlineStr">
        <is>
          <t>75kW</t>
        </is>
      </c>
      <c r="I1530">
        <v>200</v>
      </c>
      <c r="J1530">
        <f>GS44/13.3</f>
        <v>0</v>
      </c>
      <c r="K1530" t="inlineStr">
        <is>
          <t>DILMC150</t>
        </is>
      </c>
      <c r="M1530" t="inlineStr">
        <is>
          <t>-13Q2</t>
        </is>
      </c>
    </row>
    <row r="1531">
      <c r="A1531">
        <v>1530</v>
      </c>
      <c r="B1531">
        <f>GS45</f>
        <v>0</v>
      </c>
      <c r="C1531" t="inlineStr">
        <is>
          <t>+LS</t>
        </is>
      </c>
      <c r="D1531" t="inlineStr">
        <is>
          <t>-13Q2</t>
        </is>
      </c>
      <c r="E1531" t="inlineStr">
        <is>
          <t>DILMC115(RDC24)</t>
        </is>
      </c>
      <c r="F1531" t="inlineStr">
        <is>
          <t>DILM150-XHIC22</t>
        </is>
      </c>
      <c r="G1531" t="inlineStr">
        <is>
          <t>LASTSCHUETZ</t>
        </is>
      </c>
      <c r="H1531" t="inlineStr">
        <is>
          <t>55kW</t>
        </is>
      </c>
      <c r="I1531">
        <v>160</v>
      </c>
      <c r="J1531">
        <f>GS45/13.3</f>
        <v>0</v>
      </c>
      <c r="K1531" t="inlineStr">
        <is>
          <t>DILMC115</t>
        </is>
      </c>
      <c r="M1531" t="inlineStr">
        <is>
          <t>-13Q2</t>
        </is>
      </c>
    </row>
    <row r="1532">
      <c r="A1532">
        <v>1531</v>
      </c>
      <c r="B1532">
        <f>GS45</f>
        <v>0</v>
      </c>
      <c r="C1532" t="inlineStr">
        <is>
          <t>+LS</t>
        </is>
      </c>
      <c r="D1532" t="inlineStr">
        <is>
          <t>-13Q2</t>
        </is>
      </c>
      <c r="E1532" t="inlineStr">
        <is>
          <t>DILM150-XHIC22</t>
        </is>
      </c>
      <c r="F1532" t="inlineStr">
        <is>
          <t>DILM150-XHIC22</t>
        </is>
      </c>
      <c r="G1532" t="inlineStr">
        <is>
          <t>HILFSKONTAKTBLOCK</t>
        </is>
      </c>
      <c r="H1532" t="inlineStr">
        <is>
          <t>2S 2OE ab DILMC40</t>
        </is>
      </c>
      <c r="I1532">
        <v>160</v>
      </c>
      <c r="J1532">
        <f>GS45/13.3</f>
        <v>0</v>
      </c>
      <c r="K1532" t="inlineStr">
        <is>
          <t>DILMC115</t>
        </is>
      </c>
      <c r="M1532" t="inlineStr">
        <is>
          <t>-13Q2</t>
        </is>
      </c>
    </row>
    <row r="1533">
      <c r="A1533">
        <v>1532</v>
      </c>
      <c r="B1533">
        <f>GS4x</f>
        <v>0</v>
      </c>
      <c r="C1533" t="inlineStr">
        <is>
          <t>+LS[ll]</t>
        </is>
      </c>
      <c r="D1533" t="inlineStr">
        <is>
          <t>-13Q2</t>
        </is>
      </c>
      <c r="E1533" t="inlineStr">
        <is>
          <t>DILM150-XHIC22</t>
        </is>
      </c>
      <c r="F1533" t="inlineStr">
        <is>
          <t>DILM150-XHIC22</t>
        </is>
      </c>
      <c r="G1533" t="inlineStr">
        <is>
          <t>HILFSKONTAKTBLOCK</t>
        </is>
      </c>
      <c r="H1533" t="inlineStr">
        <is>
          <t>2S 2OE ab DILMC40</t>
        </is>
      </c>
      <c r="I1533">
        <v>189</v>
      </c>
      <c r="J1533">
        <f>GS4x/13.3</f>
        <v>0</v>
      </c>
      <c r="K1533" t="inlineStr">
        <is>
          <t>DILMC150</t>
        </is>
      </c>
      <c r="M1533" t="inlineStr">
        <is>
          <t>-13Q2</t>
        </is>
      </c>
    </row>
    <row r="1534">
      <c r="A1534">
        <v>1533</v>
      </c>
      <c r="B1534">
        <f>GS4x</f>
        <v>0</v>
      </c>
      <c r="C1534" t="inlineStr">
        <is>
          <t>+LS[ll]</t>
        </is>
      </c>
      <c r="D1534" t="inlineStr">
        <is>
          <t>-13Q2</t>
        </is>
      </c>
      <c r="E1534" t="inlineStr">
        <is>
          <t>DILMC150(RDC24)</t>
        </is>
      </c>
      <c r="F1534" t="inlineStr">
        <is>
          <t>DILM150-XHIC22</t>
        </is>
      </c>
      <c r="G1534" t="inlineStr">
        <is>
          <t>LASTSCHUETZ</t>
        </is>
      </c>
      <c r="H1534" t="inlineStr">
        <is>
          <t>75kW</t>
        </is>
      </c>
      <c r="I1534">
        <v>189</v>
      </c>
      <c r="J1534">
        <f>GS4x/13.3</f>
        <v>0</v>
      </c>
      <c r="K1534" t="inlineStr">
        <is>
          <t>DILMC150</t>
        </is>
      </c>
      <c r="M1534" t="inlineStr">
        <is>
          <t>-13Q2</t>
        </is>
      </c>
    </row>
    <row r="1535">
      <c r="A1535">
        <v>1534</v>
      </c>
      <c r="B1535">
        <f>GS65</f>
        <v>0</v>
      </c>
      <c r="C1535" t="inlineStr">
        <is>
          <t>+LS[ll]</t>
        </is>
      </c>
      <c r="D1535" t="inlineStr">
        <is>
          <t>-13Q2</t>
        </is>
      </c>
      <c r="E1535" t="inlineStr">
        <is>
          <t>DILMC65(RDC24)</t>
        </is>
      </c>
      <c r="F1535" t="inlineStr">
        <is>
          <t>DILM150-XHIC22</t>
        </is>
      </c>
      <c r="G1535" t="inlineStr">
        <is>
          <t>LASTSCHUETZ</t>
        </is>
      </c>
      <c r="H1535" t="inlineStr">
        <is>
          <t>30kW Federzugkl.</t>
        </is>
      </c>
      <c r="I1535">
        <v>151</v>
      </c>
      <c r="J1535">
        <f>GS65/13.3</f>
        <v>0</v>
      </c>
      <c r="K1535" t="inlineStr">
        <is>
          <t>DILMC65</t>
        </is>
      </c>
      <c r="M1535" t="inlineStr">
        <is>
          <t>-13Q2</t>
        </is>
      </c>
    </row>
    <row r="1536">
      <c r="A1536">
        <v>1535</v>
      </c>
      <c r="B1536">
        <f>GS65</f>
        <v>0</v>
      </c>
      <c r="C1536" t="inlineStr">
        <is>
          <t>+LS[ll]</t>
        </is>
      </c>
      <c r="D1536" t="inlineStr">
        <is>
          <t>-13Q2</t>
        </is>
      </c>
      <c r="E1536" t="inlineStr">
        <is>
          <t>DILM150-XHIC22</t>
        </is>
      </c>
      <c r="F1536" t="inlineStr">
        <is>
          <t>DILM150-XHIC22</t>
        </is>
      </c>
      <c r="G1536" t="inlineStr">
        <is>
          <t>HILFSKONTAKTBLOCK</t>
        </is>
      </c>
      <c r="H1536" t="inlineStr">
        <is>
          <t>2S 2OE ab DILMC40</t>
        </is>
      </c>
      <c r="I1536">
        <v>151</v>
      </c>
      <c r="J1536">
        <f>GS65/13.3</f>
        <v>0</v>
      </c>
      <c r="K1536" t="inlineStr">
        <is>
          <t>DILMC65</t>
        </is>
      </c>
      <c r="M1536" t="inlineStr">
        <is>
          <t>-13Q2</t>
        </is>
      </c>
    </row>
    <row r="1537">
      <c r="A1537">
        <v>1536</v>
      </c>
      <c r="B1537">
        <f>GS67</f>
        <v>0</v>
      </c>
      <c r="C1537" t="inlineStr">
        <is>
          <t>+LS[ll]</t>
        </is>
      </c>
      <c r="D1537" t="inlineStr">
        <is>
          <t>-13Q2</t>
        </is>
      </c>
      <c r="E1537" t="inlineStr">
        <is>
          <t>DILMC65(RDC24)</t>
        </is>
      </c>
      <c r="F1537" t="inlineStr">
        <is>
          <t>DILM150-XHIC22</t>
        </is>
      </c>
      <c r="G1537" t="inlineStr">
        <is>
          <t>LASTSCHUETZ</t>
        </is>
      </c>
      <c r="H1537" t="inlineStr">
        <is>
          <t>30kW Federzugkl.</t>
        </is>
      </c>
      <c r="I1537">
        <v>151</v>
      </c>
      <c r="J1537">
        <f>GS67/13.3</f>
        <v>0</v>
      </c>
      <c r="K1537" t="inlineStr">
        <is>
          <t>DILMC65</t>
        </is>
      </c>
      <c r="M1537" t="inlineStr">
        <is>
          <t>-13Q2</t>
        </is>
      </c>
    </row>
    <row r="1538">
      <c r="A1538">
        <v>1537</v>
      </c>
      <c r="B1538">
        <f>GS67</f>
        <v>0</v>
      </c>
      <c r="C1538" t="inlineStr">
        <is>
          <t>+LS[ll]</t>
        </is>
      </c>
      <c r="D1538" t="inlineStr">
        <is>
          <t>-13Q2</t>
        </is>
      </c>
      <c r="E1538" t="inlineStr">
        <is>
          <t>DILM150-XHIC22</t>
        </is>
      </c>
      <c r="F1538" t="inlineStr">
        <is>
          <t>DILM150-XHIC22</t>
        </is>
      </c>
      <c r="G1538" t="inlineStr">
        <is>
          <t>HILFSKONTAKTBLOCK</t>
        </is>
      </c>
      <c r="H1538" t="inlineStr">
        <is>
          <t>2S 2OE ab DILMC40</t>
        </is>
      </c>
      <c r="I1538">
        <v>151</v>
      </c>
      <c r="J1538">
        <f>GS67/13.3</f>
        <v>0</v>
      </c>
      <c r="K1538" t="inlineStr">
        <is>
          <t>DILMC65</t>
        </is>
      </c>
      <c r="M1538" t="inlineStr">
        <is>
          <t>-13Q2</t>
        </is>
      </c>
    </row>
    <row r="1539">
      <c r="A1539">
        <v>1538</v>
      </c>
      <c r="B1539">
        <f>GS8x</f>
        <v>0</v>
      </c>
      <c r="C1539" t="inlineStr">
        <is>
          <t>+LS</t>
        </is>
      </c>
      <c r="D1539" t="inlineStr">
        <is>
          <t>-13Q2</t>
        </is>
      </c>
      <c r="E1539" t="inlineStr">
        <is>
          <t>DILMC65(RDC24)</t>
        </is>
      </c>
      <c r="F1539" t="inlineStr">
        <is>
          <t>DILM150-XHIC22</t>
        </is>
      </c>
      <c r="G1539" t="inlineStr">
        <is>
          <t>LASTSCHUETZ</t>
        </is>
      </c>
      <c r="H1539" t="inlineStr">
        <is>
          <t>30kW Federzugkl.</t>
        </is>
      </c>
      <c r="I1539">
        <v>158</v>
      </c>
      <c r="J1539">
        <f>GS8x/13.3</f>
        <v>0</v>
      </c>
      <c r="K1539" t="inlineStr">
        <is>
          <t>DILMC65</t>
        </is>
      </c>
      <c r="M1539" t="inlineStr">
        <is>
          <t>-13Q2</t>
        </is>
      </c>
    </row>
    <row r="1540">
      <c r="A1540">
        <v>1539</v>
      </c>
      <c r="B1540">
        <f>GS8x</f>
        <v>0</v>
      </c>
      <c r="C1540" t="inlineStr">
        <is>
          <t>+LS</t>
        </is>
      </c>
      <c r="D1540" t="inlineStr">
        <is>
          <t>-13Q2</t>
        </is>
      </c>
      <c r="E1540" t="inlineStr">
        <is>
          <t>DILM150-XHIC22</t>
        </is>
      </c>
      <c r="F1540" t="inlineStr">
        <is>
          <t>DILM150-XHIC22</t>
        </is>
      </c>
      <c r="G1540" t="inlineStr">
        <is>
          <t>HILFSKONTAKTBLOCK</t>
        </is>
      </c>
      <c r="H1540" t="inlineStr">
        <is>
          <t>2S 2OE ab DILMC40</t>
        </is>
      </c>
      <c r="I1540">
        <v>158</v>
      </c>
      <c r="J1540">
        <f>GS8x/13.3</f>
        <v>0</v>
      </c>
      <c r="K1540" t="inlineStr">
        <is>
          <t>DILMC65</t>
        </is>
      </c>
      <c r="M1540" t="inlineStr">
        <is>
          <t>-13Q2</t>
        </is>
      </c>
    </row>
    <row r="1541">
      <c r="A1541">
        <v>1540</v>
      </c>
      <c r="B1541">
        <f>GS13</f>
        <v>0</v>
      </c>
      <c r="C1541" t="inlineStr">
        <is>
          <t>+LS2</t>
        </is>
      </c>
      <c r="D1541" t="inlineStr">
        <is>
          <t>-14056.0</t>
        </is>
      </c>
      <c r="E1541" t="inlineStr">
        <is>
          <t>DIL_EM-10-G</t>
        </is>
      </c>
      <c r="F1541" t="inlineStr">
        <is>
          <t>#KALK!</t>
        </is>
      </c>
      <c r="G1541" t="inlineStr">
        <is>
          <t>LASTSCHUETZ</t>
        </is>
      </c>
      <c r="H1541" t="inlineStr">
        <is>
          <t>4kW 1S</t>
        </is>
      </c>
      <c r="I1541">
        <v>379</v>
      </c>
      <c r="J1541">
        <f>GS13/140.6</f>
        <v>0</v>
      </c>
      <c r="M1541" t="inlineStr">
        <is>
          <t>-14056.0</t>
        </is>
      </c>
    </row>
    <row r="1542">
      <c r="A1542">
        <v>1541</v>
      </c>
      <c r="B1542">
        <f>GS13</f>
        <v>0</v>
      </c>
      <c r="C1542" t="inlineStr">
        <is>
          <t>+LS2</t>
        </is>
      </c>
      <c r="D1542" t="inlineStr">
        <is>
          <t>-14056.1</t>
        </is>
      </c>
      <c r="E1542" t="inlineStr">
        <is>
          <t>DIL_EM-10-G</t>
        </is>
      </c>
      <c r="F1542" t="inlineStr">
        <is>
          <t>#KALK!</t>
        </is>
      </c>
      <c r="G1542" t="inlineStr">
        <is>
          <t>LASTSCHUETZ</t>
        </is>
      </c>
      <c r="H1542" t="inlineStr">
        <is>
          <t>4kW 1S</t>
        </is>
      </c>
      <c r="I1542">
        <v>379</v>
      </c>
      <c r="J1542">
        <f>GS13/140.6</f>
        <v>0</v>
      </c>
      <c r="M1542" t="inlineStr">
        <is>
          <t>-14056.1</t>
        </is>
      </c>
    </row>
    <row r="1543">
      <c r="A1543">
        <v>1542</v>
      </c>
      <c r="B1543">
        <f>GS16</f>
        <v>0</v>
      </c>
      <c r="C1543" t="inlineStr">
        <is>
          <t>+LS2</t>
        </is>
      </c>
      <c r="D1543" t="inlineStr">
        <is>
          <t>-140K1</t>
        </is>
      </c>
      <c r="E1543" t="inlineStr">
        <is>
          <t>22_DIL-M</t>
        </is>
      </c>
      <c r="F1543" t="inlineStr">
        <is>
          <t>22_DIL-M</t>
        </is>
      </c>
      <c r="G1543" t="inlineStr">
        <is>
          <t>HILFSKONTAKTBLOCK</t>
        </is>
      </c>
      <c r="H1543" t="inlineStr">
        <is>
          <t>2S 2OE Lastschuetz DIL M</t>
        </is>
      </c>
      <c r="I1543">
        <v>361</v>
      </c>
      <c r="J1543">
        <f>GS16/140.2</f>
        <v>0</v>
      </c>
      <c r="K1543" t="inlineStr">
        <is>
          <t>DIL0AM</t>
        </is>
      </c>
      <c r="M1543" t="inlineStr">
        <is>
          <t>-140K1</t>
        </is>
      </c>
    </row>
    <row r="1544">
      <c r="A1544">
        <v>1543</v>
      </c>
      <c r="B1544">
        <f>GS16</f>
        <v>0</v>
      </c>
      <c r="C1544" t="inlineStr">
        <is>
          <t>+LS2</t>
        </is>
      </c>
      <c r="D1544" t="inlineStr">
        <is>
          <t>-140K1</t>
        </is>
      </c>
      <c r="E1544" t="inlineStr">
        <is>
          <t>DIL_0AM</t>
        </is>
      </c>
      <c r="F1544" t="inlineStr">
        <is>
          <t>22_DIL-M</t>
        </is>
      </c>
      <c r="G1544" t="inlineStr">
        <is>
          <t>LASTSCHUETZ</t>
        </is>
      </c>
      <c r="H1544" t="inlineStr">
        <is>
          <t>11 kW</t>
        </is>
      </c>
      <c r="I1544">
        <v>361</v>
      </c>
      <c r="J1544">
        <f>GS16/140.2</f>
        <v>0</v>
      </c>
      <c r="K1544" t="inlineStr">
        <is>
          <t>DIL0AM</t>
        </is>
      </c>
      <c r="M1544" t="inlineStr">
        <is>
          <t>-140K1</t>
        </is>
      </c>
    </row>
    <row r="1545">
      <c r="A1545">
        <v>1544</v>
      </c>
      <c r="B1545">
        <f>GS34</f>
        <v>0</v>
      </c>
      <c r="C1545" t="inlineStr">
        <is>
          <t>+LS2</t>
        </is>
      </c>
      <c r="D1545" t="inlineStr">
        <is>
          <t>-140K1</t>
        </is>
      </c>
      <c r="E1545" t="inlineStr">
        <is>
          <t>DIL_0AM</t>
        </is>
      </c>
      <c r="F1545" t="inlineStr">
        <is>
          <t>22_DIL-M</t>
        </is>
      </c>
      <c r="G1545" t="inlineStr">
        <is>
          <t>LASTSCHUETZ</t>
        </is>
      </c>
      <c r="H1545" t="inlineStr">
        <is>
          <t>11 kW</t>
        </is>
      </c>
      <c r="I1545">
        <v>264</v>
      </c>
      <c r="J1545">
        <f>GS34/140.2</f>
        <v>0</v>
      </c>
      <c r="K1545" t="inlineStr">
        <is>
          <t>DIL0AM</t>
        </is>
      </c>
      <c r="M1545" t="inlineStr">
        <is>
          <t>-140K1</t>
        </is>
      </c>
    </row>
    <row r="1546">
      <c r="A1546">
        <v>1545</v>
      </c>
      <c r="B1546">
        <f>GS34</f>
        <v>0</v>
      </c>
      <c r="C1546" t="inlineStr">
        <is>
          <t>+LS2</t>
        </is>
      </c>
      <c r="D1546" t="inlineStr">
        <is>
          <t>-140K1</t>
        </is>
      </c>
      <c r="E1546" t="inlineStr">
        <is>
          <t>22_DIL-M</t>
        </is>
      </c>
      <c r="F1546" t="inlineStr">
        <is>
          <t>22_DIL-M</t>
        </is>
      </c>
      <c r="G1546" t="inlineStr">
        <is>
          <t>HILFSKONTAKTBLOCK</t>
        </is>
      </c>
      <c r="H1546" t="inlineStr">
        <is>
          <t>2S 2OE Lastschuetz DIL M</t>
        </is>
      </c>
      <c r="I1546">
        <v>264</v>
      </c>
      <c r="J1546">
        <f>GS34/140.2</f>
        <v>0</v>
      </c>
      <c r="K1546" t="inlineStr">
        <is>
          <t>DIL0AM</t>
        </is>
      </c>
      <c r="M1546" t="inlineStr">
        <is>
          <t>-140K1</t>
        </is>
      </c>
    </row>
    <row r="1547">
      <c r="A1547">
        <v>1546</v>
      </c>
      <c r="B1547">
        <f>GC22</f>
        <v>0</v>
      </c>
      <c r="C1547" t="inlineStr">
        <is>
          <t>+LS1</t>
        </is>
      </c>
      <c r="D1547" t="inlineStr">
        <is>
          <t>-140K13.3</t>
        </is>
      </c>
      <c r="E1547" t="inlineStr">
        <is>
          <t>DIL_EM-10-G</t>
        </is>
      </c>
      <c r="F1547" t="inlineStr">
        <is>
          <t>#KALK!</t>
        </is>
      </c>
      <c r="G1547" t="inlineStr">
        <is>
          <t>LASTSCHUETZ</t>
        </is>
      </c>
      <c r="H1547" t="inlineStr">
        <is>
          <t>4kW 1S</t>
        </is>
      </c>
      <c r="I1547">
        <v>315</v>
      </c>
      <c r="J1547">
        <f>GC22/140.7</f>
        <v>0</v>
      </c>
      <c r="M1547" t="inlineStr">
        <is>
          <t>-140K13.3</t>
        </is>
      </c>
    </row>
    <row r="1548">
      <c r="A1548">
        <v>1547</v>
      </c>
      <c r="B1548">
        <f>GS12</f>
        <v>0</v>
      </c>
      <c r="C1548" t="inlineStr">
        <is>
          <t>+LS1</t>
        </is>
      </c>
      <c r="D1548" t="inlineStr">
        <is>
          <t>-140K13.3</t>
        </is>
      </c>
      <c r="E1548" t="inlineStr">
        <is>
          <t>DIL_EM-10-G</t>
        </is>
      </c>
      <c r="F1548" t="inlineStr">
        <is>
          <t>#KALK!</t>
        </is>
      </c>
      <c r="G1548" t="inlineStr">
        <is>
          <t>LASTSCHUETZ</t>
        </is>
      </c>
      <c r="H1548" t="inlineStr">
        <is>
          <t>4kW 1S</t>
        </is>
      </c>
      <c r="I1548">
        <v>272</v>
      </c>
      <c r="J1548">
        <f>GS12/140.7</f>
        <v>0</v>
      </c>
      <c r="M1548" t="inlineStr">
        <is>
          <t>-140K13.3</t>
        </is>
      </c>
    </row>
    <row r="1549">
      <c r="A1549">
        <v>1548</v>
      </c>
      <c r="B1549">
        <f>GS32</f>
        <v>0</v>
      </c>
      <c r="C1549" t="inlineStr">
        <is>
          <t>+LS2</t>
        </is>
      </c>
      <c r="D1549" t="inlineStr">
        <is>
          <t>-140K24.5</t>
        </is>
      </c>
      <c r="E1549" t="inlineStr">
        <is>
          <t>DIL_EM-10-G</t>
        </is>
      </c>
      <c r="F1549" t="inlineStr">
        <is>
          <t>#KALK!</t>
        </is>
      </c>
      <c r="G1549" t="inlineStr">
        <is>
          <t>LASTSCHUETZ</t>
        </is>
      </c>
      <c r="H1549" t="inlineStr">
        <is>
          <t>4kW 1S</t>
        </is>
      </c>
      <c r="I1549">
        <v>957</v>
      </c>
      <c r="J1549">
        <f>GS32/140.7</f>
        <v>0</v>
      </c>
      <c r="M1549" t="inlineStr">
        <is>
          <t>-140K24.5</t>
        </is>
      </c>
    </row>
    <row r="1550">
      <c r="A1550">
        <v>1549</v>
      </c>
      <c r="B1550">
        <f>GS26</f>
        <v>0</v>
      </c>
      <c r="C1550" t="inlineStr">
        <is>
          <t>+LS1</t>
        </is>
      </c>
      <c r="D1550" t="inlineStr">
        <is>
          <t>-140K3540.2</t>
        </is>
      </c>
      <c r="E1550" t="inlineStr">
        <is>
          <t>DILM-9-10</t>
        </is>
      </c>
      <c r="F1550" t="inlineStr">
        <is>
          <t>#KALK!</t>
        </is>
      </c>
      <c r="G1550" t="inlineStr">
        <is>
          <t>LASTSCHUETZ</t>
        </is>
      </c>
      <c r="H1550" t="inlineStr">
        <is>
          <t>4kW 1S Federzugkl.</t>
        </is>
      </c>
      <c r="I1550">
        <v>601</v>
      </c>
      <c r="J1550">
        <f>GS26/140.7</f>
        <v>0</v>
      </c>
      <c r="M1550" t="inlineStr">
        <is>
          <t>-140K3540.2</t>
        </is>
      </c>
    </row>
    <row r="1551">
      <c r="A1551">
        <v>1550</v>
      </c>
      <c r="B1551">
        <f>GS23</f>
        <v>0</v>
      </c>
      <c r="C1551" t="inlineStr">
        <is>
          <t>+LS2</t>
        </is>
      </c>
      <c r="D1551" t="inlineStr">
        <is>
          <t>-140K56.0</t>
        </is>
      </c>
      <c r="E1551" t="inlineStr">
        <is>
          <t>DIL_EM-10-G</t>
        </is>
      </c>
      <c r="F1551" t="inlineStr">
        <is>
          <t>#KALK!</t>
        </is>
      </c>
      <c r="G1551" t="inlineStr">
        <is>
          <t>LASTSCHUETZ</t>
        </is>
      </c>
      <c r="H1551" t="inlineStr">
        <is>
          <t>4kW 1S</t>
        </is>
      </c>
      <c r="I1551">
        <v>439</v>
      </c>
      <c r="J1551">
        <f>GS23/140.6</f>
        <v>0</v>
      </c>
      <c r="M1551" t="inlineStr">
        <is>
          <t>-140K56.0</t>
        </is>
      </c>
    </row>
    <row r="1552">
      <c r="A1552">
        <v>1551</v>
      </c>
      <c r="B1552">
        <f>GS23</f>
        <v>0</v>
      </c>
      <c r="C1552" t="inlineStr">
        <is>
          <t>+LS2</t>
        </is>
      </c>
      <c r="D1552" t="inlineStr">
        <is>
          <t>-140K56.1</t>
        </is>
      </c>
      <c r="E1552" t="inlineStr">
        <is>
          <t>DIL_EM-10-G</t>
        </is>
      </c>
      <c r="F1552" t="inlineStr">
        <is>
          <t>#KALK!</t>
        </is>
      </c>
      <c r="G1552" t="inlineStr">
        <is>
          <t>LASTSCHUETZ</t>
        </is>
      </c>
      <c r="H1552" t="inlineStr">
        <is>
          <t>4kW 1S</t>
        </is>
      </c>
      <c r="I1552">
        <v>439</v>
      </c>
      <c r="J1552">
        <f>GS23/140.6</f>
        <v>0</v>
      </c>
      <c r="M1552" t="inlineStr">
        <is>
          <t>-140K56.1</t>
        </is>
      </c>
    </row>
    <row r="1553">
      <c r="A1553">
        <v>1552</v>
      </c>
      <c r="B1553">
        <f>GS14</f>
        <v>0</v>
      </c>
      <c r="C1553" t="inlineStr">
        <is>
          <t>+LS2</t>
        </is>
      </c>
      <c r="D1553" t="inlineStr">
        <is>
          <t>-140K65.4</t>
        </is>
      </c>
      <c r="E1553" t="inlineStr">
        <is>
          <t>DIL_EM-10-G</t>
        </is>
      </c>
      <c r="F1553" t="inlineStr">
        <is>
          <t>#KALK!</t>
        </is>
      </c>
      <c r="G1553" t="inlineStr">
        <is>
          <t>LASTSCHUETZ</t>
        </is>
      </c>
      <c r="H1553" t="inlineStr">
        <is>
          <t>4kW 1S</t>
        </is>
      </c>
      <c r="I1553">
        <v>266</v>
      </c>
      <c r="J1553">
        <f>GS14/140.6</f>
        <v>0</v>
      </c>
      <c r="M1553" t="inlineStr">
        <is>
          <t>-140K65.4</t>
        </is>
      </c>
    </row>
    <row r="1554">
      <c r="A1554">
        <v>1553</v>
      </c>
      <c r="B1554">
        <f>GS24</f>
        <v>0</v>
      </c>
      <c r="C1554" t="inlineStr">
        <is>
          <t>+LS2</t>
        </is>
      </c>
      <c r="D1554" t="inlineStr">
        <is>
          <t>-140K65.4</t>
        </is>
      </c>
      <c r="E1554" t="inlineStr">
        <is>
          <t>DIL_EM-10-G</t>
        </is>
      </c>
      <c r="F1554" t="inlineStr">
        <is>
          <t>#KALK!</t>
        </is>
      </c>
      <c r="G1554" t="inlineStr">
        <is>
          <t>LASTSCHUETZ</t>
        </is>
      </c>
      <c r="H1554" t="inlineStr">
        <is>
          <t>4kW 1S</t>
        </is>
      </c>
      <c r="I1554">
        <v>939</v>
      </c>
      <c r="J1554">
        <f>GS24/140.6</f>
        <v>0</v>
      </c>
      <c r="M1554" t="inlineStr">
        <is>
          <t>-140K65.4</t>
        </is>
      </c>
    </row>
    <row r="1555">
      <c r="A1555">
        <v>1554</v>
      </c>
      <c r="B1555">
        <f>GS14</f>
        <v>0</v>
      </c>
      <c r="C1555" t="inlineStr">
        <is>
          <t>+LS2</t>
        </is>
      </c>
      <c r="D1555" t="inlineStr">
        <is>
          <t>-140K65.5</t>
        </is>
      </c>
      <c r="E1555" t="inlineStr">
        <is>
          <t>DIL_EM-10-G</t>
        </is>
      </c>
      <c r="F1555" t="inlineStr">
        <is>
          <t>#KALK!</t>
        </is>
      </c>
      <c r="G1555" t="inlineStr">
        <is>
          <t>LASTSCHUETZ</t>
        </is>
      </c>
      <c r="H1555" t="inlineStr">
        <is>
          <t>4kW 1S</t>
        </is>
      </c>
      <c r="I1555">
        <v>266</v>
      </c>
      <c r="J1555">
        <f>GS14/140.6</f>
        <v>0</v>
      </c>
      <c r="M1555" t="inlineStr">
        <is>
          <t>-140K65.5</t>
        </is>
      </c>
    </row>
    <row r="1556">
      <c r="A1556">
        <v>1555</v>
      </c>
      <c r="B1556">
        <f>GS24</f>
        <v>0</v>
      </c>
      <c r="C1556" t="inlineStr">
        <is>
          <t>+LS2</t>
        </is>
      </c>
      <c r="D1556" t="inlineStr">
        <is>
          <t>-140K65.5</t>
        </is>
      </c>
      <c r="E1556" t="inlineStr">
        <is>
          <t>DIL_EM-10-G</t>
        </is>
      </c>
      <c r="F1556" t="inlineStr">
        <is>
          <t>#KALK!</t>
        </is>
      </c>
      <c r="G1556" t="inlineStr">
        <is>
          <t>LASTSCHUETZ</t>
        </is>
      </c>
      <c r="H1556" t="inlineStr">
        <is>
          <t>4kW 1S</t>
        </is>
      </c>
      <c r="I1556">
        <v>939</v>
      </c>
      <c r="J1556">
        <f>GS24/140.6</f>
        <v>0</v>
      </c>
      <c r="M1556" t="inlineStr">
        <is>
          <t>-140K65.5</t>
        </is>
      </c>
    </row>
    <row r="1557">
      <c r="A1557">
        <v>1556</v>
      </c>
      <c r="B1557">
        <f>GS15</f>
        <v>0</v>
      </c>
      <c r="C1557" t="inlineStr">
        <is>
          <t>+LS2</t>
        </is>
      </c>
      <c r="D1557" t="inlineStr">
        <is>
          <t>-140K93.0</t>
        </is>
      </c>
      <c r="E1557" t="inlineStr">
        <is>
          <t>DILM-9-10</t>
        </is>
      </c>
      <c r="F1557" t="inlineStr">
        <is>
          <t>#KALK!</t>
        </is>
      </c>
      <c r="G1557" t="inlineStr">
        <is>
          <t>LASTSCHUETZ</t>
        </is>
      </c>
      <c r="H1557" t="inlineStr">
        <is>
          <t>4kW 1S Federzugkl.</t>
        </is>
      </c>
      <c r="I1557">
        <v>628</v>
      </c>
      <c r="J1557">
        <f>GS15/140.6</f>
        <v>0</v>
      </c>
      <c r="K1557" t="inlineStr">
        <is>
          <t>DIL MC9</t>
        </is>
      </c>
      <c r="M1557" t="inlineStr">
        <is>
          <t>-140K93.0</t>
        </is>
      </c>
    </row>
    <row r="1558">
      <c r="A1558">
        <v>1557</v>
      </c>
      <c r="B1558">
        <f>GS55</f>
        <v>0</v>
      </c>
      <c r="C1558" t="inlineStr">
        <is>
          <t>+LS01</t>
        </is>
      </c>
      <c r="D1558" t="inlineStr">
        <is>
          <t>-140Q1</t>
        </is>
      </c>
      <c r="E1558" t="inlineStr">
        <is>
          <t>DILA-XHI22</t>
        </is>
      </c>
      <c r="F1558" t="inlineStr">
        <is>
          <t>DILA-XHI22</t>
        </is>
      </c>
      <c r="G1558" t="inlineStr">
        <is>
          <t>HILFSKONTAKTBLOCK</t>
        </is>
      </c>
      <c r="H1558" t="inlineStr">
        <is>
          <t>2S 2OE Last+Hilfssch. Cage</t>
        </is>
      </c>
      <c r="I1558">
        <v>409</v>
      </c>
      <c r="J1558">
        <f>GS55/140.6</f>
        <v>0</v>
      </c>
      <c r="K1558" t="inlineStr">
        <is>
          <t>DIL MC25</t>
        </is>
      </c>
      <c r="M1558" t="inlineStr">
        <is>
          <t>-140Q1</t>
        </is>
      </c>
    </row>
    <row r="1559">
      <c r="A1559">
        <v>1558</v>
      </c>
      <c r="B1559">
        <f>GS55</f>
        <v>0</v>
      </c>
      <c r="C1559" t="inlineStr">
        <is>
          <t>+LS01</t>
        </is>
      </c>
      <c r="D1559" t="inlineStr">
        <is>
          <t>-140Q1</t>
        </is>
      </c>
      <c r="E1559" t="inlineStr">
        <is>
          <t>DILMC25-10(RDC24)</t>
        </is>
      </c>
      <c r="F1559" t="inlineStr">
        <is>
          <t>DILA-XHI22</t>
        </is>
      </c>
      <c r="G1559" t="inlineStr">
        <is>
          <t>LASTSCHUETZ</t>
        </is>
      </c>
      <c r="H1559" t="inlineStr">
        <is>
          <t>11kW 1S Federzugkl.</t>
        </is>
      </c>
      <c r="I1559">
        <v>409</v>
      </c>
      <c r="J1559">
        <f>GS55/140.6</f>
        <v>0</v>
      </c>
      <c r="K1559" t="inlineStr">
        <is>
          <t>DIL MC25</t>
        </is>
      </c>
      <c r="M1559" t="inlineStr">
        <is>
          <t>-140Q1</t>
        </is>
      </c>
    </row>
    <row r="1560">
      <c r="A1560">
        <v>1559</v>
      </c>
      <c r="B1560">
        <f>GS79</f>
        <v>0</v>
      </c>
      <c r="C1560" t="inlineStr">
        <is>
          <t>+LS[l2]</t>
        </is>
      </c>
      <c r="D1560" t="inlineStr">
        <is>
          <t>-140Q1</t>
        </is>
      </c>
      <c r="E1560" t="inlineStr">
        <is>
          <t>DILM-9-10</t>
        </is>
      </c>
      <c r="F1560" t="inlineStr">
        <is>
          <t>DILA-XHI22</t>
        </is>
      </c>
      <c r="G1560" t="inlineStr">
        <is>
          <t>LASTSCHUETZ</t>
        </is>
      </c>
      <c r="H1560" t="inlineStr">
        <is>
          <t>4kW 1S Federzugkl.</t>
        </is>
      </c>
      <c r="I1560">
        <v>232</v>
      </c>
      <c r="J1560">
        <f>GS79/140.6</f>
        <v>0</v>
      </c>
      <c r="M1560" t="inlineStr">
        <is>
          <t>-140Q1</t>
        </is>
      </c>
    </row>
    <row r="1561">
      <c r="A1561">
        <v>1560</v>
      </c>
      <c r="B1561">
        <f>GS79</f>
        <v>0</v>
      </c>
      <c r="C1561" t="inlineStr">
        <is>
          <t>+LS[l2]</t>
        </is>
      </c>
      <c r="D1561" t="inlineStr">
        <is>
          <t>-140Q1</t>
        </is>
      </c>
      <c r="E1561" t="inlineStr">
        <is>
          <t>DILA-XHI22</t>
        </is>
      </c>
      <c r="F1561" t="inlineStr">
        <is>
          <t>DILA-XHI22</t>
        </is>
      </c>
      <c r="G1561" t="inlineStr">
        <is>
          <t>HILFSKONTAKTBLOCK</t>
        </is>
      </c>
      <c r="H1561" t="inlineStr">
        <is>
          <t>2S 2OE Last+Hilfssch. Cage</t>
        </is>
      </c>
      <c r="I1561">
        <v>232</v>
      </c>
      <c r="J1561">
        <f>GS79/140.6</f>
        <v>0</v>
      </c>
      <c r="M1561" t="inlineStr">
        <is>
          <t>-140Q1</t>
        </is>
      </c>
    </row>
    <row r="1562">
      <c r="A1562">
        <v>1561</v>
      </c>
      <c r="B1562">
        <f>GS36</f>
        <v>0</v>
      </c>
      <c r="C1562" t="inlineStr">
        <is>
          <t>+LS02</t>
        </is>
      </c>
      <c r="D1562" t="inlineStr">
        <is>
          <t>-140Q113.0</t>
        </is>
      </c>
      <c r="E1562" t="inlineStr">
        <is>
          <t>DILA-XHI22</t>
        </is>
      </c>
      <c r="F1562" t="inlineStr">
        <is>
          <t>DILA-XHI22</t>
        </is>
      </c>
      <c r="G1562" t="inlineStr">
        <is>
          <t>HILFSKONTAKTBLOCK</t>
        </is>
      </c>
      <c r="H1562" t="inlineStr">
        <is>
          <t>2S 2OE Last+Hilfssch. Cage</t>
        </is>
      </c>
      <c r="I1562">
        <v>313</v>
      </c>
      <c r="J1562">
        <f>GS36/140.6</f>
        <v>0</v>
      </c>
      <c r="M1562" t="inlineStr">
        <is>
          <t>-140Q113.0</t>
        </is>
      </c>
    </row>
    <row r="1563">
      <c r="A1563">
        <v>1562</v>
      </c>
      <c r="B1563">
        <f>GS36</f>
        <v>0</v>
      </c>
      <c r="C1563" t="inlineStr">
        <is>
          <t>+LS02</t>
        </is>
      </c>
      <c r="D1563" t="inlineStr">
        <is>
          <t>-140Q113.0</t>
        </is>
      </c>
      <c r="E1563" t="inlineStr">
        <is>
          <t>DILM-9-01</t>
        </is>
      </c>
      <c r="F1563" t="inlineStr">
        <is>
          <t>DILA-XHI22</t>
        </is>
      </c>
      <c r="G1563" t="inlineStr">
        <is>
          <t>LASTSCHUETZ</t>
        </is>
      </c>
      <c r="H1563" t="inlineStr">
        <is>
          <t>4kW 1Oe Federzugkl.</t>
        </is>
      </c>
      <c r="I1563">
        <v>313</v>
      </c>
      <c r="J1563">
        <f>GS36/140.6</f>
        <v>0</v>
      </c>
      <c r="M1563" t="inlineStr">
        <is>
          <t>-140Q113.0</t>
        </is>
      </c>
    </row>
    <row r="1564">
      <c r="A1564">
        <v>1563</v>
      </c>
      <c r="B1564">
        <f>GS36</f>
        <v>0</v>
      </c>
      <c r="C1564" t="inlineStr">
        <is>
          <t>+LS02</t>
        </is>
      </c>
      <c r="D1564" t="inlineStr">
        <is>
          <t>-140Q113.1</t>
        </is>
      </c>
      <c r="E1564" t="inlineStr">
        <is>
          <t>DILA-XHI22</t>
        </is>
      </c>
      <c r="F1564" t="inlineStr">
        <is>
          <t>DILA-XHI22</t>
        </is>
      </c>
      <c r="G1564" t="inlineStr">
        <is>
          <t>HILFSKONTAKTBLOCK</t>
        </is>
      </c>
      <c r="H1564" t="inlineStr">
        <is>
          <t>2S 2OE Last+Hilfssch. Cage</t>
        </is>
      </c>
      <c r="I1564">
        <v>313</v>
      </c>
      <c r="J1564">
        <f>GS36/140.6</f>
        <v>0</v>
      </c>
      <c r="M1564" t="inlineStr">
        <is>
          <t>-140Q113.1</t>
        </is>
      </c>
    </row>
    <row r="1565">
      <c r="A1565">
        <v>1564</v>
      </c>
      <c r="B1565">
        <f>GS36</f>
        <v>0</v>
      </c>
      <c r="C1565" t="inlineStr">
        <is>
          <t>+LS02</t>
        </is>
      </c>
      <c r="D1565" t="inlineStr">
        <is>
          <t>-140Q113.1</t>
        </is>
      </c>
      <c r="E1565" t="inlineStr">
        <is>
          <t>DILM-9-01</t>
        </is>
      </c>
      <c r="F1565" t="inlineStr">
        <is>
          <t>DILA-XHI22</t>
        </is>
      </c>
      <c r="G1565" t="inlineStr">
        <is>
          <t>LASTSCHUETZ</t>
        </is>
      </c>
      <c r="H1565" t="inlineStr">
        <is>
          <t>4kW 1Oe Federzugkl.</t>
        </is>
      </c>
      <c r="I1565">
        <v>313</v>
      </c>
      <c r="J1565">
        <f>GS36/140.6</f>
        <v>0</v>
      </c>
      <c r="M1565" t="inlineStr">
        <is>
          <t>-140Q113.1</t>
        </is>
      </c>
    </row>
    <row r="1566">
      <c r="A1566">
        <v>1565</v>
      </c>
      <c r="B1566">
        <f>GS92</f>
        <v>0</v>
      </c>
      <c r="C1566" t="inlineStr">
        <is>
          <t>+LS01</t>
        </is>
      </c>
      <c r="D1566" t="inlineStr">
        <is>
          <t>-140Q155.1</t>
        </is>
      </c>
      <c r="E1566" t="inlineStr">
        <is>
          <t>DILM-9-10</t>
        </is>
      </c>
      <c r="F1566" t="inlineStr">
        <is>
          <t>#KALK!</t>
        </is>
      </c>
      <c r="G1566" t="inlineStr">
        <is>
          <t>LASTSCHUETZ</t>
        </is>
      </c>
      <c r="H1566" t="inlineStr">
        <is>
          <t>4kW 1S Federzugkl.</t>
        </is>
      </c>
      <c r="I1566">
        <v>286</v>
      </c>
      <c r="J1566">
        <f>GS92/140.5</f>
        <v>0</v>
      </c>
      <c r="M1566" t="inlineStr">
        <is>
          <t>-140Q155.1</t>
        </is>
      </c>
    </row>
    <row r="1567">
      <c r="A1567">
        <v>1566</v>
      </c>
      <c r="B1567">
        <f>GS13</f>
        <v>0</v>
      </c>
      <c r="C1567" t="inlineStr">
        <is>
          <t>+LS2</t>
        </is>
      </c>
      <c r="D1567" t="inlineStr">
        <is>
          <t>-14157.5</t>
        </is>
      </c>
      <c r="E1567" t="inlineStr">
        <is>
          <t>DIL_EM-10-G</t>
        </is>
      </c>
      <c r="F1567" t="inlineStr">
        <is>
          <t>#KALK!</t>
        </is>
      </c>
      <c r="G1567" t="inlineStr">
        <is>
          <t>LASTSCHUETZ</t>
        </is>
      </c>
      <c r="H1567" t="inlineStr">
        <is>
          <t>4kW 1S</t>
        </is>
      </c>
      <c r="I1567">
        <v>380</v>
      </c>
      <c r="J1567">
        <f>GS13/141.6</f>
        <v>0</v>
      </c>
      <c r="M1567" t="inlineStr">
        <is>
          <t>-14157.5</t>
        </is>
      </c>
    </row>
    <row r="1568">
      <c r="A1568">
        <v>1567</v>
      </c>
      <c r="B1568">
        <f>GS13</f>
        <v>0</v>
      </c>
      <c r="C1568" t="inlineStr">
        <is>
          <t>+LS2</t>
        </is>
      </c>
      <c r="D1568" t="inlineStr">
        <is>
          <t>-14157.6</t>
        </is>
      </c>
      <c r="E1568" t="inlineStr">
        <is>
          <t>DIL_EM-10-G</t>
        </is>
      </c>
      <c r="F1568" t="inlineStr">
        <is>
          <t>#KALK!</t>
        </is>
      </c>
      <c r="G1568" t="inlineStr">
        <is>
          <t>LASTSCHUETZ</t>
        </is>
      </c>
      <c r="H1568" t="inlineStr">
        <is>
          <t>4kW 1S</t>
        </is>
      </c>
      <c r="I1568">
        <v>380</v>
      </c>
      <c r="J1568">
        <f>GS13/141.6</f>
        <v>0</v>
      </c>
      <c r="M1568" t="inlineStr">
        <is>
          <t>-14157.6</t>
        </is>
      </c>
    </row>
    <row r="1569">
      <c r="A1569">
        <v>1568</v>
      </c>
      <c r="B1569">
        <f>GS01</f>
        <v>0</v>
      </c>
      <c r="C1569" t="inlineStr">
        <is>
          <t>+LS3</t>
        </is>
      </c>
      <c r="D1569" t="inlineStr">
        <is>
          <t>-141K1</t>
        </is>
      </c>
      <c r="E1569" t="inlineStr">
        <is>
          <t>DIL_2AM</t>
        </is>
      </c>
      <c r="F1569" t="inlineStr">
        <is>
          <t>22_DIL-M</t>
        </is>
      </c>
      <c r="G1569" t="inlineStr">
        <is>
          <t>LASTSCHUETZ</t>
        </is>
      </c>
      <c r="H1569" t="inlineStr">
        <is>
          <t>30 kW</t>
        </is>
      </c>
      <c r="I1569">
        <v>303</v>
      </c>
      <c r="J1569">
        <f>GS01/141.2</f>
        <v>0</v>
      </c>
      <c r="K1569" t="inlineStr">
        <is>
          <t>DIL2AM</t>
        </is>
      </c>
      <c r="M1569" t="inlineStr">
        <is>
          <t>-141K1</t>
        </is>
      </c>
    </row>
    <row r="1570">
      <c r="A1570">
        <v>1569</v>
      </c>
      <c r="B1570">
        <f>GS01</f>
        <v>0</v>
      </c>
      <c r="C1570" t="inlineStr">
        <is>
          <t>+LS3</t>
        </is>
      </c>
      <c r="D1570" t="inlineStr">
        <is>
          <t>-141K1</t>
        </is>
      </c>
      <c r="E1570" t="inlineStr">
        <is>
          <t>22_DIL-M</t>
        </is>
      </c>
      <c r="F1570" t="inlineStr">
        <is>
          <t>22_DIL-M</t>
        </is>
      </c>
      <c r="G1570" t="inlineStr">
        <is>
          <t>HILFSKONTAKTBLOCK</t>
        </is>
      </c>
      <c r="H1570" t="inlineStr">
        <is>
          <t>2S 2OE Lastschuetz DIL M</t>
        </is>
      </c>
      <c r="I1570">
        <v>303</v>
      </c>
      <c r="J1570">
        <f>GS01/141.2</f>
        <v>0</v>
      </c>
      <c r="K1570" t="inlineStr">
        <is>
          <t>DIL2AM</t>
        </is>
      </c>
      <c r="M1570" t="inlineStr">
        <is>
          <t>-141K1</t>
        </is>
      </c>
    </row>
    <row r="1571">
      <c r="A1571">
        <v>1570</v>
      </c>
      <c r="B1571">
        <f>GC22</f>
        <v>0</v>
      </c>
      <c r="C1571" t="inlineStr">
        <is>
          <t>+LS1</t>
        </is>
      </c>
      <c r="D1571" t="inlineStr">
        <is>
          <t>-141K13.4</t>
        </is>
      </c>
      <c r="E1571" t="inlineStr">
        <is>
          <t>DILM-9-01</t>
        </is>
      </c>
      <c r="F1571" t="inlineStr">
        <is>
          <t>#KALK!</t>
        </is>
      </c>
      <c r="G1571" t="inlineStr">
        <is>
          <t>LASTSCHUETZ</t>
        </is>
      </c>
      <c r="H1571" t="inlineStr">
        <is>
          <t>4kW 1Oe Federzugkl.</t>
        </is>
      </c>
      <c r="I1571">
        <v>2256</v>
      </c>
      <c r="J1571">
        <f>GC22/141.6</f>
        <v>0</v>
      </c>
      <c r="M1571" t="inlineStr">
        <is>
          <t>-141K13.4</t>
        </is>
      </c>
    </row>
    <row r="1572">
      <c r="A1572">
        <v>1571</v>
      </c>
      <c r="B1572">
        <f>GS12</f>
        <v>0</v>
      </c>
      <c r="C1572" t="inlineStr">
        <is>
          <t>+LS1</t>
        </is>
      </c>
      <c r="D1572" t="inlineStr">
        <is>
          <t>-141K13.4</t>
        </is>
      </c>
      <c r="E1572" t="inlineStr">
        <is>
          <t>DILM-9-01</t>
        </is>
      </c>
      <c r="F1572" t="inlineStr">
        <is>
          <t>#KALK!</t>
        </is>
      </c>
      <c r="G1572" t="inlineStr">
        <is>
          <t>LASTSCHUETZ</t>
        </is>
      </c>
      <c r="H1572" t="inlineStr">
        <is>
          <t>4kW 1Oe Federzugkl.</t>
        </is>
      </c>
      <c r="I1572">
        <v>273</v>
      </c>
      <c r="J1572">
        <f>GS12/141.6</f>
        <v>0</v>
      </c>
      <c r="M1572" t="inlineStr">
        <is>
          <t>-141K13.4</t>
        </is>
      </c>
    </row>
    <row r="1573">
      <c r="A1573">
        <v>1572</v>
      </c>
      <c r="B1573">
        <f>GC22</f>
        <v>0</v>
      </c>
      <c r="C1573" t="inlineStr">
        <is>
          <t>+LS1</t>
        </is>
      </c>
      <c r="D1573" t="inlineStr">
        <is>
          <t>-141K13.5</t>
        </is>
      </c>
      <c r="E1573" t="inlineStr">
        <is>
          <t>DIL_EM-10-G</t>
        </is>
      </c>
      <c r="F1573" t="inlineStr">
        <is>
          <t>#KALK!</t>
        </is>
      </c>
      <c r="G1573" t="inlineStr">
        <is>
          <t>LASTSCHUETZ</t>
        </is>
      </c>
      <c r="H1573" t="inlineStr">
        <is>
          <t>4kW 1S</t>
        </is>
      </c>
      <c r="I1573">
        <v>2256</v>
      </c>
      <c r="J1573">
        <f>GC22/141.7</f>
        <v>0</v>
      </c>
      <c r="M1573" t="inlineStr">
        <is>
          <t>-141K13.5</t>
        </is>
      </c>
    </row>
    <row r="1574">
      <c r="A1574">
        <v>1573</v>
      </c>
      <c r="B1574">
        <f>GS12</f>
        <v>0</v>
      </c>
      <c r="C1574" t="inlineStr">
        <is>
          <t>+LS1</t>
        </is>
      </c>
      <c r="D1574" t="inlineStr">
        <is>
          <t>-141K13.5</t>
        </is>
      </c>
      <c r="E1574" t="inlineStr">
        <is>
          <t>DIL_EM-10-G</t>
        </is>
      </c>
      <c r="F1574" t="inlineStr">
        <is>
          <t>#KALK!</t>
        </is>
      </c>
      <c r="G1574" t="inlineStr">
        <is>
          <t>LASTSCHUETZ</t>
        </is>
      </c>
      <c r="H1574" t="inlineStr">
        <is>
          <t>4kW 1S</t>
        </is>
      </c>
      <c r="I1574">
        <v>273</v>
      </c>
      <c r="J1574">
        <f>GS12/141.7</f>
        <v>0</v>
      </c>
      <c r="M1574" t="inlineStr">
        <is>
          <t>-141K13.5</t>
        </is>
      </c>
    </row>
    <row r="1575">
      <c r="A1575">
        <v>1574</v>
      </c>
      <c r="B1575">
        <f>GC22</f>
        <v>0</v>
      </c>
      <c r="C1575" t="inlineStr">
        <is>
          <t>+LS1</t>
        </is>
      </c>
      <c r="D1575" t="inlineStr">
        <is>
          <t>-141K14.7</t>
        </is>
      </c>
      <c r="E1575" t="inlineStr">
        <is>
          <t>DILM-9-01</t>
        </is>
      </c>
      <c r="F1575" t="inlineStr">
        <is>
          <t>#KALK!</t>
        </is>
      </c>
      <c r="G1575" t="inlineStr">
        <is>
          <t>LASTSCHUETZ</t>
        </is>
      </c>
      <c r="H1575" t="inlineStr">
        <is>
          <t>4kW 1Oe Federzugkl.</t>
        </is>
      </c>
      <c r="I1575">
        <v>2256</v>
      </c>
      <c r="J1575">
        <f>GC22/141.6</f>
        <v>0</v>
      </c>
      <c r="M1575" t="inlineStr">
        <is>
          <t>-141K14.7</t>
        </is>
      </c>
    </row>
    <row r="1576">
      <c r="A1576">
        <v>1575</v>
      </c>
      <c r="B1576">
        <f>GS12</f>
        <v>0</v>
      </c>
      <c r="C1576" t="inlineStr">
        <is>
          <t>+LS1</t>
        </is>
      </c>
      <c r="D1576" t="inlineStr">
        <is>
          <t>-141K14.7</t>
        </is>
      </c>
      <c r="E1576" t="inlineStr">
        <is>
          <t>DILM-9-01</t>
        </is>
      </c>
      <c r="F1576" t="inlineStr">
        <is>
          <t>#KALK!</t>
        </is>
      </c>
      <c r="G1576" t="inlineStr">
        <is>
          <t>LASTSCHUETZ</t>
        </is>
      </c>
      <c r="H1576" t="inlineStr">
        <is>
          <t>4kW 1Oe Federzugkl.</t>
        </is>
      </c>
      <c r="I1576">
        <v>273</v>
      </c>
      <c r="J1576">
        <f>GS12/141.6</f>
        <v>0</v>
      </c>
      <c r="M1576" t="inlineStr">
        <is>
          <t>-141K14.7</t>
        </is>
      </c>
    </row>
    <row r="1577">
      <c r="A1577">
        <v>1576</v>
      </c>
      <c r="B1577">
        <f>GS32</f>
        <v>0</v>
      </c>
      <c r="C1577" t="inlineStr">
        <is>
          <t>+LS2</t>
        </is>
      </c>
      <c r="D1577" t="inlineStr">
        <is>
          <t>-141K25.3</t>
        </is>
      </c>
      <c r="E1577" t="inlineStr">
        <is>
          <t>DIL_EM-10-G</t>
        </is>
      </c>
      <c r="F1577" t="inlineStr">
        <is>
          <t>#KALK!</t>
        </is>
      </c>
      <c r="G1577" t="inlineStr">
        <is>
          <t>LASTSCHUETZ</t>
        </is>
      </c>
      <c r="H1577" t="inlineStr">
        <is>
          <t>4kW 1S</t>
        </is>
      </c>
      <c r="I1577">
        <v>956</v>
      </c>
      <c r="J1577">
        <f>GS32/141.7</f>
        <v>0</v>
      </c>
      <c r="M1577" t="inlineStr">
        <is>
          <t>-141K25.3</t>
        </is>
      </c>
    </row>
    <row r="1578">
      <c r="A1578">
        <v>1577</v>
      </c>
      <c r="B1578">
        <f>GS16</f>
        <v>0</v>
      </c>
      <c r="C1578" t="inlineStr">
        <is>
          <t>+LS2</t>
        </is>
      </c>
      <c r="D1578" t="inlineStr">
        <is>
          <t>-141K28.0</t>
        </is>
      </c>
      <c r="E1578" t="inlineStr">
        <is>
          <t>DIL_EM-10-G</t>
        </is>
      </c>
      <c r="F1578" t="inlineStr">
        <is>
          <t>#KALK!</t>
        </is>
      </c>
      <c r="G1578" t="inlineStr">
        <is>
          <t>LASTSCHUETZ</t>
        </is>
      </c>
      <c r="H1578" t="inlineStr">
        <is>
          <t>4kW 1S</t>
        </is>
      </c>
      <c r="I1578">
        <v>362</v>
      </c>
      <c r="J1578">
        <f>GS16/141.6</f>
        <v>0</v>
      </c>
      <c r="M1578" t="inlineStr">
        <is>
          <t>-141K28.0</t>
        </is>
      </c>
    </row>
    <row r="1579">
      <c r="A1579">
        <v>1578</v>
      </c>
      <c r="B1579">
        <f>GS16</f>
        <v>0</v>
      </c>
      <c r="C1579" t="inlineStr">
        <is>
          <t>+LS2</t>
        </is>
      </c>
      <c r="D1579" t="inlineStr">
        <is>
          <t>-141K28.1</t>
        </is>
      </c>
      <c r="E1579" t="inlineStr">
        <is>
          <t>DIL_EM-10-G</t>
        </is>
      </c>
      <c r="F1579" t="inlineStr">
        <is>
          <t>#KALK!</t>
        </is>
      </c>
      <c r="G1579" t="inlineStr">
        <is>
          <t>LASTSCHUETZ</t>
        </is>
      </c>
      <c r="H1579" t="inlineStr">
        <is>
          <t>4kW 1S</t>
        </is>
      </c>
      <c r="I1579">
        <v>362</v>
      </c>
      <c r="J1579">
        <f>GS16/141.6</f>
        <v>0</v>
      </c>
      <c r="M1579" t="inlineStr">
        <is>
          <t>-141K28.1</t>
        </is>
      </c>
    </row>
    <row r="1580">
      <c r="A1580">
        <v>1579</v>
      </c>
      <c r="B1580">
        <f>GS04</f>
        <v>0</v>
      </c>
      <c r="C1580" t="inlineStr">
        <is>
          <t>+LS2</t>
        </is>
      </c>
      <c r="D1580" t="inlineStr">
        <is>
          <t>-141K28.7</t>
        </is>
      </c>
      <c r="E1580" t="inlineStr">
        <is>
          <t>DIL_EM-10-G</t>
        </is>
      </c>
      <c r="F1580" t="inlineStr">
        <is>
          <t>#KALK!</t>
        </is>
      </c>
      <c r="G1580" t="inlineStr">
        <is>
          <t>LASTSCHUETZ</t>
        </is>
      </c>
      <c r="H1580" t="inlineStr">
        <is>
          <t>4kW 1S</t>
        </is>
      </c>
      <c r="I1580">
        <v>391</v>
      </c>
      <c r="J1580">
        <f>GS04/141.7</f>
        <v>0</v>
      </c>
      <c r="M1580" t="inlineStr">
        <is>
          <t>-141K28.7</t>
        </is>
      </c>
    </row>
    <row r="1581">
      <c r="A1581">
        <v>1580</v>
      </c>
      <c r="B1581">
        <f>GS23</f>
        <v>0</v>
      </c>
      <c r="C1581" t="inlineStr">
        <is>
          <t>+LS2</t>
        </is>
      </c>
      <c r="D1581" t="inlineStr">
        <is>
          <t>-141K57.5</t>
        </is>
      </c>
      <c r="E1581" t="inlineStr">
        <is>
          <t>DIL_EM-10-G</t>
        </is>
      </c>
      <c r="F1581" t="inlineStr">
        <is>
          <t>#KALK!</t>
        </is>
      </c>
      <c r="G1581" t="inlineStr">
        <is>
          <t>LASTSCHUETZ</t>
        </is>
      </c>
      <c r="H1581" t="inlineStr">
        <is>
          <t>4kW 1S</t>
        </is>
      </c>
      <c r="I1581">
        <v>440</v>
      </c>
      <c r="J1581">
        <f>GS23/141.6</f>
        <v>0</v>
      </c>
      <c r="M1581" t="inlineStr">
        <is>
          <t>-141K57.5</t>
        </is>
      </c>
    </row>
    <row r="1582">
      <c r="A1582">
        <v>1581</v>
      </c>
      <c r="B1582">
        <f>GS23</f>
        <v>0</v>
      </c>
      <c r="C1582" t="inlineStr">
        <is>
          <t>+LS2</t>
        </is>
      </c>
      <c r="D1582" t="inlineStr">
        <is>
          <t>-141K57.6</t>
        </is>
      </c>
      <c r="E1582" t="inlineStr">
        <is>
          <t>DIL_EM-10-G</t>
        </is>
      </c>
      <c r="F1582" t="inlineStr">
        <is>
          <t>#KALK!</t>
        </is>
      </c>
      <c r="G1582" t="inlineStr">
        <is>
          <t>LASTSCHUETZ</t>
        </is>
      </c>
      <c r="H1582" t="inlineStr">
        <is>
          <t>4kW 1S</t>
        </is>
      </c>
      <c r="I1582">
        <v>440</v>
      </c>
      <c r="J1582">
        <f>GS23/141.6</f>
        <v>0</v>
      </c>
      <c r="M1582" t="inlineStr">
        <is>
          <t>-141K57.6</t>
        </is>
      </c>
    </row>
    <row r="1583">
      <c r="A1583">
        <v>1582</v>
      </c>
      <c r="B1583">
        <f>GS14</f>
        <v>0</v>
      </c>
      <c r="C1583" t="inlineStr">
        <is>
          <t>+LS2</t>
        </is>
      </c>
      <c r="D1583" t="inlineStr">
        <is>
          <t>-141K65.6</t>
        </is>
      </c>
      <c r="E1583" t="inlineStr">
        <is>
          <t>DIL_EM-10-G</t>
        </is>
      </c>
      <c r="F1583" t="inlineStr">
        <is>
          <t>#KALK!</t>
        </is>
      </c>
      <c r="G1583" t="inlineStr">
        <is>
          <t>LASTSCHUETZ</t>
        </is>
      </c>
      <c r="H1583" t="inlineStr">
        <is>
          <t>4kW 1S</t>
        </is>
      </c>
      <c r="I1583">
        <v>267</v>
      </c>
      <c r="J1583">
        <f>GS14/141.6</f>
        <v>0</v>
      </c>
      <c r="M1583" t="inlineStr">
        <is>
          <t>-141K65.6</t>
        </is>
      </c>
    </row>
    <row r="1584">
      <c r="A1584">
        <v>1583</v>
      </c>
      <c r="B1584">
        <f>GS24</f>
        <v>0</v>
      </c>
      <c r="C1584" t="inlineStr">
        <is>
          <t>+LS2</t>
        </is>
      </c>
      <c r="D1584" t="inlineStr">
        <is>
          <t>-141K65.6</t>
        </is>
      </c>
      <c r="E1584" t="inlineStr">
        <is>
          <t>DIL_EM-10-G</t>
        </is>
      </c>
      <c r="F1584" t="inlineStr">
        <is>
          <t>#KALK!</t>
        </is>
      </c>
      <c r="G1584" t="inlineStr">
        <is>
          <t>LASTSCHUETZ</t>
        </is>
      </c>
      <c r="H1584" t="inlineStr">
        <is>
          <t>4kW 1S</t>
        </is>
      </c>
      <c r="I1584">
        <v>938</v>
      </c>
      <c r="J1584">
        <f>GS24/141.6</f>
        <v>0</v>
      </c>
      <c r="M1584" t="inlineStr">
        <is>
          <t>-141K65.6</t>
        </is>
      </c>
    </row>
    <row r="1585">
      <c r="A1585">
        <v>1584</v>
      </c>
      <c r="B1585">
        <f>GS14</f>
        <v>0</v>
      </c>
      <c r="C1585" t="inlineStr">
        <is>
          <t>+LS2</t>
        </is>
      </c>
      <c r="D1585" t="inlineStr">
        <is>
          <t>-141K65.7</t>
        </is>
      </c>
      <c r="E1585" t="inlineStr">
        <is>
          <t>DIL_EM-10-G</t>
        </is>
      </c>
      <c r="F1585" t="inlineStr">
        <is>
          <t>#KALK!</t>
        </is>
      </c>
      <c r="G1585" t="inlineStr">
        <is>
          <t>LASTSCHUETZ</t>
        </is>
      </c>
      <c r="H1585" t="inlineStr">
        <is>
          <t>4kW 1S</t>
        </is>
      </c>
      <c r="I1585">
        <v>267</v>
      </c>
      <c r="J1585">
        <f>GS14/141.6</f>
        <v>0</v>
      </c>
      <c r="M1585" t="inlineStr">
        <is>
          <t>-141K65.7</t>
        </is>
      </c>
    </row>
    <row r="1586">
      <c r="A1586">
        <v>1585</v>
      </c>
      <c r="B1586">
        <f>GS24</f>
        <v>0</v>
      </c>
      <c r="C1586" t="inlineStr">
        <is>
          <t>+LS2</t>
        </is>
      </c>
      <c r="D1586" t="inlineStr">
        <is>
          <t>-141K65.7</t>
        </is>
      </c>
      <c r="E1586" t="inlineStr">
        <is>
          <t>DIL_EM-10-G</t>
        </is>
      </c>
      <c r="F1586" t="inlineStr">
        <is>
          <t>#KALK!</t>
        </is>
      </c>
      <c r="G1586" t="inlineStr">
        <is>
          <t>LASTSCHUETZ</t>
        </is>
      </c>
      <c r="H1586" t="inlineStr">
        <is>
          <t>4kW 1S</t>
        </is>
      </c>
      <c r="I1586">
        <v>938</v>
      </c>
      <c r="J1586">
        <f>GS24/141.6</f>
        <v>0</v>
      </c>
      <c r="M1586" t="inlineStr">
        <is>
          <t>-141K65.7</t>
        </is>
      </c>
    </row>
    <row r="1587">
      <c r="A1587">
        <v>1586</v>
      </c>
      <c r="B1587">
        <f>GS79</f>
        <v>0</v>
      </c>
      <c r="C1587" t="inlineStr">
        <is>
          <t>+LS[l2]</t>
        </is>
      </c>
      <c r="D1587" t="inlineStr">
        <is>
          <t>-141Q1</t>
        </is>
      </c>
      <c r="E1587" t="inlineStr">
        <is>
          <t>DILM-9-10</t>
        </is>
      </c>
      <c r="F1587" t="inlineStr">
        <is>
          <t>#KALK!</t>
        </is>
      </c>
      <c r="G1587" t="inlineStr">
        <is>
          <t>LASTSCHUETZ</t>
        </is>
      </c>
      <c r="H1587" t="inlineStr">
        <is>
          <t>4kW 1S Federzugkl.</t>
        </is>
      </c>
      <c r="I1587">
        <v>233</v>
      </c>
      <c r="J1587">
        <f>GS79/141.6</f>
        <v>0</v>
      </c>
      <c r="M1587" t="inlineStr">
        <is>
          <t>-141Q1</t>
        </is>
      </c>
    </row>
    <row r="1588">
      <c r="A1588">
        <v>1587</v>
      </c>
      <c r="B1588">
        <f>GS92</f>
        <v>0</v>
      </c>
      <c r="C1588" t="inlineStr">
        <is>
          <t>+LS01</t>
        </is>
      </c>
      <c r="D1588" t="inlineStr">
        <is>
          <t>-141Q155.2</t>
        </is>
      </c>
      <c r="E1588" t="inlineStr">
        <is>
          <t>DILM-9-10</t>
        </is>
      </c>
      <c r="F1588" t="inlineStr">
        <is>
          <t>#KALK!</t>
        </is>
      </c>
      <c r="G1588" t="inlineStr">
        <is>
          <t>LASTSCHUETZ</t>
        </is>
      </c>
      <c r="H1588" t="inlineStr">
        <is>
          <t>4kW 1S Federzugkl.</t>
        </is>
      </c>
      <c r="I1588">
        <v>287</v>
      </c>
      <c r="J1588">
        <f>GS92/141.5</f>
        <v>0</v>
      </c>
      <c r="M1588" t="inlineStr">
        <is>
          <t>-141Q155.2</t>
        </is>
      </c>
    </row>
    <row r="1589">
      <c r="A1589">
        <v>1588</v>
      </c>
      <c r="B1589">
        <f>GS13</f>
        <v>0</v>
      </c>
      <c r="C1589" t="inlineStr">
        <is>
          <t>+LS2</t>
        </is>
      </c>
      <c r="D1589" t="inlineStr">
        <is>
          <t>-14257.7</t>
        </is>
      </c>
      <c r="E1589" t="inlineStr">
        <is>
          <t>DIL_EM-10-G</t>
        </is>
      </c>
      <c r="F1589" t="inlineStr">
        <is>
          <t>#KALK!</t>
        </is>
      </c>
      <c r="G1589" t="inlineStr">
        <is>
          <t>LASTSCHUETZ</t>
        </is>
      </c>
      <c r="H1589" t="inlineStr">
        <is>
          <t>4kW 1S</t>
        </is>
      </c>
      <c r="I1589">
        <v>381</v>
      </c>
      <c r="J1589">
        <f>GS13/142.6</f>
        <v>0</v>
      </c>
      <c r="M1589" t="inlineStr">
        <is>
          <t>-14257.7</t>
        </is>
      </c>
    </row>
    <row r="1590">
      <c r="A1590">
        <v>1589</v>
      </c>
      <c r="B1590">
        <f>GS13</f>
        <v>0</v>
      </c>
      <c r="C1590" t="inlineStr">
        <is>
          <t>+LS2</t>
        </is>
      </c>
      <c r="D1590" t="inlineStr">
        <is>
          <t>-14258.0</t>
        </is>
      </c>
      <c r="E1590" t="inlineStr">
        <is>
          <t>DIL_EM-10-G</t>
        </is>
      </c>
      <c r="F1590" t="inlineStr">
        <is>
          <t>#KALK!</t>
        </is>
      </c>
      <c r="G1590" t="inlineStr">
        <is>
          <t>LASTSCHUETZ</t>
        </is>
      </c>
      <c r="H1590" t="inlineStr">
        <is>
          <t>4kW 1S</t>
        </is>
      </c>
      <c r="I1590">
        <v>381</v>
      </c>
      <c r="J1590">
        <f>GS13/142.6</f>
        <v>0</v>
      </c>
      <c r="M1590" t="inlineStr">
        <is>
          <t>-14258.0</t>
        </is>
      </c>
    </row>
    <row r="1591">
      <c r="A1591">
        <v>1590</v>
      </c>
      <c r="B1591">
        <f>GS55</f>
        <v>0</v>
      </c>
      <c r="C1591" t="inlineStr">
        <is>
          <t>+LS23</t>
        </is>
      </c>
      <c r="D1591" t="inlineStr">
        <is>
          <t>-1425Q1</t>
        </is>
      </c>
      <c r="E1591" t="inlineStr">
        <is>
          <t>DILA-XHI22</t>
        </is>
      </c>
      <c r="F1591" t="inlineStr">
        <is>
          <t>DILA-XHI22</t>
        </is>
      </c>
      <c r="G1591" t="inlineStr">
        <is>
          <t>HILFSKONTAKTBLOCK</t>
        </is>
      </c>
      <c r="H1591" t="inlineStr">
        <is>
          <t>2S 2OE Last+Hilfssch. Cage</t>
        </is>
      </c>
      <c r="I1591">
        <v>1643</v>
      </c>
      <c r="J1591">
        <f>GS55/1425.6</f>
        <v>0</v>
      </c>
      <c r="K1591" t="inlineStr">
        <is>
          <t>DIL MC25</t>
        </is>
      </c>
      <c r="M1591" t="inlineStr">
        <is>
          <t>-1425Q1</t>
        </is>
      </c>
    </row>
    <row r="1592">
      <c r="A1592">
        <v>1591</v>
      </c>
      <c r="B1592">
        <f>GS55</f>
        <v>0</v>
      </c>
      <c r="C1592" t="inlineStr">
        <is>
          <t>+LS23</t>
        </is>
      </c>
      <c r="D1592" t="inlineStr">
        <is>
          <t>-1425Q1</t>
        </is>
      </c>
      <c r="E1592" t="inlineStr">
        <is>
          <t>DILMC25-10(RDC24)</t>
        </is>
      </c>
      <c r="F1592" t="inlineStr">
        <is>
          <t>DILA-XHI22</t>
        </is>
      </c>
      <c r="G1592" t="inlineStr">
        <is>
          <t>LASTSCHUETZ</t>
        </is>
      </c>
      <c r="H1592" t="inlineStr">
        <is>
          <t>11kW 1S Federzugkl.</t>
        </is>
      </c>
      <c r="I1592">
        <v>1643</v>
      </c>
      <c r="J1592">
        <f>GS55/1425.6</f>
        <v>0</v>
      </c>
      <c r="K1592" t="inlineStr">
        <is>
          <t>DIL MC25</t>
        </is>
      </c>
      <c r="M1592" t="inlineStr">
        <is>
          <t>-1425Q1</t>
        </is>
      </c>
    </row>
    <row r="1593">
      <c r="A1593">
        <v>1592</v>
      </c>
      <c r="B1593">
        <f>GS55</f>
        <v>0</v>
      </c>
      <c r="C1593" t="inlineStr">
        <is>
          <t>+LS23</t>
        </is>
      </c>
      <c r="D1593" t="inlineStr">
        <is>
          <t>-1428Q736.2</t>
        </is>
      </c>
      <c r="E1593" t="inlineStr">
        <is>
          <t>DILA-XHI22</t>
        </is>
      </c>
      <c r="F1593" t="inlineStr">
        <is>
          <t>DILA-XHI22</t>
        </is>
      </c>
      <c r="G1593" t="inlineStr">
        <is>
          <t>HILFSKONTAKTBLOCK</t>
        </is>
      </c>
      <c r="H1593" t="inlineStr">
        <is>
          <t>2S 2OE Last+Hilfssch. Cage</t>
        </is>
      </c>
      <c r="I1593">
        <v>1646</v>
      </c>
      <c r="J1593">
        <f>GS55/1428.6</f>
        <v>0</v>
      </c>
      <c r="K1593" t="inlineStr">
        <is>
          <t>DIL MC9 HT2707</t>
        </is>
      </c>
      <c r="M1593" t="inlineStr">
        <is>
          <t>-1428Q736.2</t>
        </is>
      </c>
    </row>
    <row r="1594">
      <c r="A1594">
        <v>1593</v>
      </c>
      <c r="B1594">
        <f>GS55</f>
        <v>0</v>
      </c>
      <c r="C1594" t="inlineStr">
        <is>
          <t>+LS23</t>
        </is>
      </c>
      <c r="D1594" t="inlineStr">
        <is>
          <t>-1428Q736.2</t>
        </is>
      </c>
      <c r="E1594" t="inlineStr">
        <is>
          <t>DILM-9-10</t>
        </is>
      </c>
      <c r="F1594" t="inlineStr">
        <is>
          <t>DILA-XHI22</t>
        </is>
      </c>
      <c r="G1594" t="inlineStr">
        <is>
          <t>LASTSCHUETZ</t>
        </is>
      </c>
      <c r="H1594" t="inlineStr">
        <is>
          <t>4kW 1S Federzugkl.</t>
        </is>
      </c>
      <c r="I1594">
        <v>1646</v>
      </c>
      <c r="J1594">
        <f>GS55/1428.6</f>
        <v>0</v>
      </c>
      <c r="K1594" t="inlineStr">
        <is>
          <t>DIL MC9 HT2707</t>
        </is>
      </c>
      <c r="M1594" t="inlineStr">
        <is>
          <t>-1428Q736.2</t>
        </is>
      </c>
    </row>
    <row r="1595">
      <c r="A1595">
        <v>1594</v>
      </c>
      <c r="B1595">
        <f>GS55</f>
        <v>0</v>
      </c>
      <c r="C1595" t="inlineStr">
        <is>
          <t>+LS23</t>
        </is>
      </c>
      <c r="D1595" t="inlineStr">
        <is>
          <t>-1428Q736.4</t>
        </is>
      </c>
      <c r="E1595" t="inlineStr">
        <is>
          <t>DILA-XHI22</t>
        </is>
      </c>
      <c r="F1595" t="inlineStr">
        <is>
          <t>DILA-XHI22</t>
        </is>
      </c>
      <c r="G1595" t="inlineStr">
        <is>
          <t>HILFSKONTAKTBLOCK</t>
        </is>
      </c>
      <c r="H1595" t="inlineStr">
        <is>
          <t>2S 2OE Last+Hilfssch. Cage</t>
        </is>
      </c>
      <c r="I1595">
        <v>1646</v>
      </c>
      <c r="J1595">
        <f>GS55/1428.7</f>
        <v>0</v>
      </c>
      <c r="K1595" t="inlineStr">
        <is>
          <t>DIL MC9 HT2707</t>
        </is>
      </c>
      <c r="M1595" t="inlineStr">
        <is>
          <t>-1428Q736.4</t>
        </is>
      </c>
    </row>
    <row r="1596">
      <c r="A1596">
        <v>1595</v>
      </c>
      <c r="B1596">
        <f>GS55</f>
        <v>0</v>
      </c>
      <c r="C1596" t="inlineStr">
        <is>
          <t>+LS23</t>
        </is>
      </c>
      <c r="D1596" t="inlineStr">
        <is>
          <t>-1428Q736.4</t>
        </is>
      </c>
      <c r="E1596" t="inlineStr">
        <is>
          <t>DILM-9-10</t>
        </is>
      </c>
      <c r="F1596" t="inlineStr">
        <is>
          <t>DILA-XHI22</t>
        </is>
      </c>
      <c r="G1596" t="inlineStr">
        <is>
          <t>LASTSCHUETZ</t>
        </is>
      </c>
      <c r="H1596" t="inlineStr">
        <is>
          <t>4kW 1S Federzugkl.</t>
        </is>
      </c>
      <c r="I1596">
        <v>1646</v>
      </c>
      <c r="J1596">
        <f>GS55/1428.7</f>
        <v>0</v>
      </c>
      <c r="K1596" t="inlineStr">
        <is>
          <t>DIL MC9 HT2707</t>
        </is>
      </c>
      <c r="M1596" t="inlineStr">
        <is>
          <t>-1428Q736.4</t>
        </is>
      </c>
    </row>
    <row r="1597">
      <c r="A1597">
        <v>1596</v>
      </c>
      <c r="B1597">
        <f>GC22</f>
        <v>0</v>
      </c>
      <c r="C1597" t="inlineStr">
        <is>
          <t>+LS1</t>
        </is>
      </c>
      <c r="D1597" t="inlineStr">
        <is>
          <t>-142K14.1</t>
        </is>
      </c>
      <c r="E1597" t="inlineStr">
        <is>
          <t>DIL_EM-10-G</t>
        </is>
      </c>
      <c r="F1597" t="inlineStr">
        <is>
          <t>#KALK!</t>
        </is>
      </c>
      <c r="G1597" t="inlineStr">
        <is>
          <t>LASTSCHUETZ</t>
        </is>
      </c>
      <c r="H1597" t="inlineStr">
        <is>
          <t>4kW 1S</t>
        </is>
      </c>
      <c r="I1597">
        <v>4012</v>
      </c>
      <c r="J1597">
        <f>GC22/142.7</f>
        <v>0</v>
      </c>
      <c r="M1597" t="inlineStr">
        <is>
          <t>-142K14.1</t>
        </is>
      </c>
    </row>
    <row r="1598">
      <c r="A1598">
        <v>1597</v>
      </c>
      <c r="B1598">
        <f>GS12</f>
        <v>0</v>
      </c>
      <c r="C1598" t="inlineStr">
        <is>
          <t>+LS1</t>
        </is>
      </c>
      <c r="D1598" t="inlineStr">
        <is>
          <t>-142K14.1</t>
        </is>
      </c>
      <c r="E1598" t="inlineStr">
        <is>
          <t>DIL_EM-10-G</t>
        </is>
      </c>
      <c r="F1598" t="inlineStr">
        <is>
          <t>#KALK!</t>
        </is>
      </c>
      <c r="G1598" t="inlineStr">
        <is>
          <t>LASTSCHUETZ</t>
        </is>
      </c>
      <c r="H1598" t="inlineStr">
        <is>
          <t>4kW 1S</t>
        </is>
      </c>
      <c r="I1598">
        <v>274</v>
      </c>
      <c r="J1598">
        <f>GS12/142.7</f>
        <v>0</v>
      </c>
      <c r="M1598" t="inlineStr">
        <is>
          <t>-142K14.1</t>
        </is>
      </c>
    </row>
    <row r="1599">
      <c r="A1599">
        <v>1598</v>
      </c>
      <c r="B1599">
        <f>GS34</f>
        <v>0</v>
      </c>
      <c r="C1599" t="inlineStr">
        <is>
          <t>+LS2</t>
        </is>
      </c>
      <c r="D1599" t="inlineStr">
        <is>
          <t>-142K18.0</t>
        </is>
      </c>
      <c r="E1599" t="inlineStr">
        <is>
          <t>DIL_EM-10-G</t>
        </is>
      </c>
      <c r="F1599" t="inlineStr">
        <is>
          <t>#KALK!</t>
        </is>
      </c>
      <c r="G1599" t="inlineStr">
        <is>
          <t>LASTSCHUETZ</t>
        </is>
      </c>
      <c r="H1599" t="inlineStr">
        <is>
          <t>4kW 1S</t>
        </is>
      </c>
      <c r="I1599">
        <v>266</v>
      </c>
      <c r="J1599">
        <f>GS34/142.6</f>
        <v>0</v>
      </c>
      <c r="M1599" t="inlineStr">
        <is>
          <t>-142K18.0</t>
        </is>
      </c>
    </row>
    <row r="1600">
      <c r="A1600">
        <v>1599</v>
      </c>
      <c r="B1600">
        <f>GS34</f>
        <v>0</v>
      </c>
      <c r="C1600" t="inlineStr">
        <is>
          <t>+LS2</t>
        </is>
      </c>
      <c r="D1600" t="inlineStr">
        <is>
          <t>-142K18.1</t>
        </is>
      </c>
      <c r="E1600" t="inlineStr">
        <is>
          <t>DIL_EM-10-G</t>
        </is>
      </c>
      <c r="F1600" t="inlineStr">
        <is>
          <t>#KALK!</t>
        </is>
      </c>
      <c r="G1600" t="inlineStr">
        <is>
          <t>LASTSCHUETZ</t>
        </is>
      </c>
      <c r="H1600" t="inlineStr">
        <is>
          <t>4kW 1S</t>
        </is>
      </c>
      <c r="I1600">
        <v>266</v>
      </c>
      <c r="J1600">
        <f>GS34/142.6</f>
        <v>0</v>
      </c>
      <c r="M1600" t="inlineStr">
        <is>
          <t>-142K18.1</t>
        </is>
      </c>
    </row>
    <row r="1601">
      <c r="A1601">
        <v>1600</v>
      </c>
      <c r="B1601">
        <f>GS16</f>
        <v>0</v>
      </c>
      <c r="C1601" t="inlineStr">
        <is>
          <t>+LS2</t>
        </is>
      </c>
      <c r="D1601" t="inlineStr">
        <is>
          <t>-142K28.2</t>
        </is>
      </c>
      <c r="E1601" t="inlineStr">
        <is>
          <t>DIL_EM-10-G</t>
        </is>
      </c>
      <c r="F1601" t="inlineStr">
        <is>
          <t>#KALK!</t>
        </is>
      </c>
      <c r="G1601" t="inlineStr">
        <is>
          <t>LASTSCHUETZ</t>
        </is>
      </c>
      <c r="H1601" t="inlineStr">
        <is>
          <t>4kW 1S</t>
        </is>
      </c>
      <c r="I1601">
        <v>363</v>
      </c>
      <c r="J1601">
        <f>GS16/142.6</f>
        <v>0</v>
      </c>
      <c r="M1601" t="inlineStr">
        <is>
          <t>-142K28.2</t>
        </is>
      </c>
    </row>
    <row r="1602">
      <c r="A1602">
        <v>1601</v>
      </c>
      <c r="B1602">
        <f>GS16</f>
        <v>0</v>
      </c>
      <c r="C1602" t="inlineStr">
        <is>
          <t>+LS2</t>
        </is>
      </c>
      <c r="D1602" t="inlineStr">
        <is>
          <t>-142K28.3</t>
        </is>
      </c>
      <c r="E1602" t="inlineStr">
        <is>
          <t>DIL_EM-10-G</t>
        </is>
      </c>
      <c r="F1602" t="inlineStr">
        <is>
          <t>#KALK!</t>
        </is>
      </c>
      <c r="G1602" t="inlineStr">
        <is>
          <t>LASTSCHUETZ</t>
        </is>
      </c>
      <c r="H1602" t="inlineStr">
        <is>
          <t>4kW 1S</t>
        </is>
      </c>
      <c r="I1602">
        <v>363</v>
      </c>
      <c r="J1602">
        <f>GS16/142.6</f>
        <v>0</v>
      </c>
      <c r="M1602" t="inlineStr">
        <is>
          <t>-142K28.3</t>
        </is>
      </c>
    </row>
    <row r="1603">
      <c r="A1603">
        <v>1602</v>
      </c>
      <c r="B1603">
        <f>GS23</f>
        <v>0</v>
      </c>
      <c r="C1603" t="inlineStr">
        <is>
          <t>+LS2</t>
        </is>
      </c>
      <c r="D1603" t="inlineStr">
        <is>
          <t>-142K57.7</t>
        </is>
      </c>
      <c r="E1603" t="inlineStr">
        <is>
          <t>DIL_EM-10-G</t>
        </is>
      </c>
      <c r="F1603" t="inlineStr">
        <is>
          <t>#KALK!</t>
        </is>
      </c>
      <c r="G1603" t="inlineStr">
        <is>
          <t>LASTSCHUETZ</t>
        </is>
      </c>
      <c r="H1603" t="inlineStr">
        <is>
          <t>4kW 1S</t>
        </is>
      </c>
      <c r="I1603">
        <v>441</v>
      </c>
      <c r="J1603">
        <f>GS23/142.6</f>
        <v>0</v>
      </c>
      <c r="M1603" t="inlineStr">
        <is>
          <t>-142K57.7</t>
        </is>
      </c>
    </row>
    <row r="1604">
      <c r="A1604">
        <v>1603</v>
      </c>
      <c r="B1604">
        <f>GS23</f>
        <v>0</v>
      </c>
      <c r="C1604" t="inlineStr">
        <is>
          <t>+LS2</t>
        </is>
      </c>
      <c r="D1604" t="inlineStr">
        <is>
          <t>-142K58.0</t>
        </is>
      </c>
      <c r="E1604" t="inlineStr">
        <is>
          <t>DIL_EM-10-G</t>
        </is>
      </c>
      <c r="F1604" t="inlineStr">
        <is>
          <t>#KALK!</t>
        </is>
      </c>
      <c r="G1604" t="inlineStr">
        <is>
          <t>LASTSCHUETZ</t>
        </is>
      </c>
      <c r="H1604" t="inlineStr">
        <is>
          <t>4kW 1S</t>
        </is>
      </c>
      <c r="I1604">
        <v>441</v>
      </c>
      <c r="J1604">
        <f>GS23/142.6</f>
        <v>0</v>
      </c>
      <c r="M1604" t="inlineStr">
        <is>
          <t>-142K58.0</t>
        </is>
      </c>
    </row>
    <row r="1605">
      <c r="A1605">
        <v>1604</v>
      </c>
      <c r="B1605">
        <f>GS92</f>
        <v>0</v>
      </c>
      <c r="C1605" t="inlineStr">
        <is>
          <t>+LS01</t>
        </is>
      </c>
      <c r="D1605" t="inlineStr">
        <is>
          <t>-142Q155.3</t>
        </is>
      </c>
      <c r="E1605" t="inlineStr">
        <is>
          <t>DILM-9-10</t>
        </is>
      </c>
      <c r="F1605" t="inlineStr">
        <is>
          <t>#KALK!</t>
        </is>
      </c>
      <c r="G1605" t="inlineStr">
        <is>
          <t>LASTSCHUETZ</t>
        </is>
      </c>
      <c r="H1605" t="inlineStr">
        <is>
          <t>4kW 1S Federzugkl.</t>
        </is>
      </c>
      <c r="I1605">
        <v>288</v>
      </c>
      <c r="J1605">
        <f>GS92/142.5</f>
        <v>0</v>
      </c>
      <c r="M1605" t="inlineStr">
        <is>
          <t>-142Q155.3</t>
        </is>
      </c>
    </row>
    <row r="1606">
      <c r="A1606">
        <v>1605</v>
      </c>
      <c r="B1606">
        <f>GS13</f>
        <v>0</v>
      </c>
      <c r="C1606" t="inlineStr">
        <is>
          <t>+LS2</t>
        </is>
      </c>
      <c r="D1606" t="inlineStr">
        <is>
          <t>-14358.1</t>
        </is>
      </c>
      <c r="E1606" t="inlineStr">
        <is>
          <t>DIL_EM-10-G</t>
        </is>
      </c>
      <c r="F1606" t="inlineStr">
        <is>
          <t>#KALK!</t>
        </is>
      </c>
      <c r="G1606" t="inlineStr">
        <is>
          <t>LASTSCHUETZ</t>
        </is>
      </c>
      <c r="H1606" t="inlineStr">
        <is>
          <t>4kW 1S</t>
        </is>
      </c>
      <c r="I1606">
        <v>382</v>
      </c>
      <c r="J1606">
        <f>GS13/143.6</f>
        <v>0</v>
      </c>
      <c r="M1606" t="inlineStr">
        <is>
          <t>-14358.1</t>
        </is>
      </c>
    </row>
    <row r="1607">
      <c r="A1607">
        <v>1606</v>
      </c>
      <c r="B1607">
        <f>GS13</f>
        <v>0</v>
      </c>
      <c r="C1607" t="inlineStr">
        <is>
          <t>+LS2</t>
        </is>
      </c>
      <c r="D1607" t="inlineStr">
        <is>
          <t>-14358.2</t>
        </is>
      </c>
      <c r="E1607" t="inlineStr">
        <is>
          <t>DIL_EM-10-G</t>
        </is>
      </c>
      <c r="F1607" t="inlineStr">
        <is>
          <t>#KALK!</t>
        </is>
      </c>
      <c r="G1607" t="inlineStr">
        <is>
          <t>LASTSCHUETZ</t>
        </is>
      </c>
      <c r="H1607" t="inlineStr">
        <is>
          <t>4kW 1S</t>
        </is>
      </c>
      <c r="I1607">
        <v>382</v>
      </c>
      <c r="J1607">
        <f>GS13/143.6</f>
        <v>0</v>
      </c>
      <c r="M1607" t="inlineStr">
        <is>
          <t>-14358.2</t>
        </is>
      </c>
    </row>
    <row r="1608">
      <c r="A1608">
        <v>1607</v>
      </c>
      <c r="B1608">
        <f>GS51</f>
        <v>0</v>
      </c>
      <c r="C1608" t="inlineStr">
        <is>
          <t>+LS21</t>
        </is>
      </c>
      <c r="D1608" t="inlineStr">
        <is>
          <t>-1435Q1</t>
        </is>
      </c>
      <c r="E1608" t="inlineStr">
        <is>
          <t>DILA-XHI22</t>
        </is>
      </c>
      <c r="F1608" t="inlineStr">
        <is>
          <t>DILA-XHI22</t>
        </is>
      </c>
      <c r="G1608" t="inlineStr">
        <is>
          <t>HILFSKONTAKTBLOCK</t>
        </is>
      </c>
      <c r="H1608" t="inlineStr">
        <is>
          <t>2S 2OE Last+Hilfssch. Cage</t>
        </is>
      </c>
      <c r="I1608">
        <v>1549</v>
      </c>
      <c r="J1608">
        <f>GS51/1435.6</f>
        <v>0</v>
      </c>
      <c r="K1608" t="inlineStr">
        <is>
          <t>DIL MC25</t>
        </is>
      </c>
      <c r="M1608" t="inlineStr">
        <is>
          <t>-1435Q1</t>
        </is>
      </c>
    </row>
    <row r="1609">
      <c r="A1609">
        <v>1608</v>
      </c>
      <c r="B1609">
        <f>GS51</f>
        <v>0</v>
      </c>
      <c r="C1609" t="inlineStr">
        <is>
          <t>+LS21</t>
        </is>
      </c>
      <c r="D1609" t="inlineStr">
        <is>
          <t>-1435Q1</t>
        </is>
      </c>
      <c r="E1609" t="inlineStr">
        <is>
          <t>DILMC25-10(RDC24)</t>
        </is>
      </c>
      <c r="F1609" t="inlineStr">
        <is>
          <t>DILA-XHI22</t>
        </is>
      </c>
      <c r="G1609" t="inlineStr">
        <is>
          <t>LASTSCHUETZ</t>
        </is>
      </c>
      <c r="H1609" t="inlineStr">
        <is>
          <t>11kW 1S Federzugkl.</t>
        </is>
      </c>
      <c r="I1609">
        <v>1549</v>
      </c>
      <c r="J1609">
        <f>GS51/1435.6</f>
        <v>0</v>
      </c>
      <c r="K1609" t="inlineStr">
        <is>
          <t>DIL MC25</t>
        </is>
      </c>
      <c r="M1609" t="inlineStr">
        <is>
          <t>-1435Q1</t>
        </is>
      </c>
    </row>
    <row r="1610">
      <c r="A1610">
        <v>1609</v>
      </c>
      <c r="B1610">
        <f>GS51</f>
        <v>0</v>
      </c>
      <c r="C1610" t="inlineStr">
        <is>
          <t>+LS21</t>
        </is>
      </c>
      <c r="D1610" t="inlineStr">
        <is>
          <t>-1437Q433.1</t>
        </is>
      </c>
      <c r="E1610" t="inlineStr">
        <is>
          <t>DILM-9-10</t>
        </is>
      </c>
      <c r="F1610" t="inlineStr">
        <is>
          <t>#KALK!</t>
        </is>
      </c>
      <c r="G1610" t="inlineStr">
        <is>
          <t>LASTSCHUETZ</t>
        </is>
      </c>
      <c r="H1610" t="inlineStr">
        <is>
          <t>4kW 1S Federzugkl.</t>
        </is>
      </c>
      <c r="I1610">
        <v>1551</v>
      </c>
      <c r="J1610">
        <f>GS51/1437.6</f>
        <v>0</v>
      </c>
      <c r="K1610" t="inlineStr">
        <is>
          <t>DIL MC9</t>
        </is>
      </c>
      <c r="M1610" t="inlineStr">
        <is>
          <t>-1437Q433.1</t>
        </is>
      </c>
    </row>
    <row r="1611">
      <c r="A1611">
        <v>1610</v>
      </c>
      <c r="B1611">
        <f>GS31</f>
        <v>0</v>
      </c>
      <c r="C1611" t="inlineStr">
        <is>
          <t>+LS2</t>
        </is>
      </c>
      <c r="D1611" t="inlineStr">
        <is>
          <t>-143K1</t>
        </is>
      </c>
      <c r="E1611" t="inlineStr">
        <is>
          <t>22_DIL-M</t>
        </is>
      </c>
      <c r="F1611" t="inlineStr">
        <is>
          <t>22_DIL-M</t>
        </is>
      </c>
      <c r="G1611" t="inlineStr">
        <is>
          <t>HILFSKONTAKTBLOCK</t>
        </is>
      </c>
      <c r="H1611" t="inlineStr">
        <is>
          <t>2S 2OE Lastschuetz DIL M</t>
        </is>
      </c>
      <c r="I1611">
        <v>427</v>
      </c>
      <c r="J1611">
        <f>GS31/143.5</f>
        <v>0</v>
      </c>
      <c r="K1611" t="inlineStr">
        <is>
          <t>DIL2AM</t>
        </is>
      </c>
      <c r="M1611" t="inlineStr">
        <is>
          <t>-143K1</t>
        </is>
      </c>
    </row>
    <row r="1612">
      <c r="A1612">
        <v>1611</v>
      </c>
      <c r="B1612">
        <f>GS31</f>
        <v>0</v>
      </c>
      <c r="C1612" t="inlineStr">
        <is>
          <t>+LS2</t>
        </is>
      </c>
      <c r="D1612" t="inlineStr">
        <is>
          <t>-143K1</t>
        </is>
      </c>
      <c r="E1612" t="inlineStr">
        <is>
          <t>DIL_2AM</t>
        </is>
      </c>
      <c r="F1612" t="inlineStr">
        <is>
          <t>22_DIL-M</t>
        </is>
      </c>
      <c r="G1612" t="inlineStr">
        <is>
          <t>LASTSCHUETZ</t>
        </is>
      </c>
      <c r="H1612" t="inlineStr">
        <is>
          <t>30 kW</t>
        </is>
      </c>
      <c r="I1612">
        <v>427</v>
      </c>
      <c r="J1612">
        <f>GS31/143.5</f>
        <v>0</v>
      </c>
      <c r="K1612" t="inlineStr">
        <is>
          <t>DIL2AM</t>
        </is>
      </c>
      <c r="M1612" t="inlineStr">
        <is>
          <t>-143K1</t>
        </is>
      </c>
    </row>
    <row r="1613">
      <c r="A1613">
        <v>1612</v>
      </c>
      <c r="B1613">
        <f>GS33</f>
        <v>0</v>
      </c>
      <c r="C1613" t="inlineStr">
        <is>
          <t>+LS2</t>
        </is>
      </c>
      <c r="D1613" t="inlineStr">
        <is>
          <t>-143K1</t>
        </is>
      </c>
      <c r="E1613" t="inlineStr">
        <is>
          <t>DIL_0AM</t>
        </is>
      </c>
      <c r="F1613" t="inlineStr">
        <is>
          <t>22_DIL-M</t>
        </is>
      </c>
      <c r="G1613" t="inlineStr">
        <is>
          <t>LASTSCHUETZ</t>
        </is>
      </c>
      <c r="H1613" t="inlineStr">
        <is>
          <t>11 kW</t>
        </is>
      </c>
      <c r="I1613">
        <v>575</v>
      </c>
      <c r="J1613">
        <f>GS33/143.2</f>
        <v>0</v>
      </c>
      <c r="K1613" t="inlineStr">
        <is>
          <t>DIL0AM</t>
        </is>
      </c>
      <c r="M1613" t="inlineStr">
        <is>
          <t>-143K1</t>
        </is>
      </c>
    </row>
    <row r="1614">
      <c r="A1614">
        <v>1613</v>
      </c>
      <c r="B1614">
        <f>GS33</f>
        <v>0</v>
      </c>
      <c r="C1614" t="inlineStr">
        <is>
          <t>+LS2</t>
        </is>
      </c>
      <c r="D1614" t="inlineStr">
        <is>
          <t>-143K1</t>
        </is>
      </c>
      <c r="E1614" t="inlineStr">
        <is>
          <t>22_DIL-M</t>
        </is>
      </c>
      <c r="F1614" t="inlineStr">
        <is>
          <t>22_DIL-M</t>
        </is>
      </c>
      <c r="G1614" t="inlineStr">
        <is>
          <t>HILFSKONTAKTBLOCK</t>
        </is>
      </c>
      <c r="H1614" t="inlineStr">
        <is>
          <t>2S 2OE Lastschuetz DIL M</t>
        </is>
      </c>
      <c r="I1614">
        <v>575</v>
      </c>
      <c r="J1614">
        <f>GS33/143.2</f>
        <v>0</v>
      </c>
      <c r="K1614" t="inlineStr">
        <is>
          <t>DIL0AM</t>
        </is>
      </c>
      <c r="M1614" t="inlineStr">
        <is>
          <t>-143K1</t>
        </is>
      </c>
    </row>
    <row r="1615">
      <c r="A1615">
        <v>1614</v>
      </c>
      <c r="B1615">
        <f>GS34</f>
        <v>0</v>
      </c>
      <c r="C1615" t="inlineStr">
        <is>
          <t>+LS2</t>
        </is>
      </c>
      <c r="D1615" t="inlineStr">
        <is>
          <t>-143K18.2</t>
        </is>
      </c>
      <c r="E1615" t="inlineStr">
        <is>
          <t>DIL_EM-10-G</t>
        </is>
      </c>
      <c r="F1615" t="inlineStr">
        <is>
          <t>#KALK!</t>
        </is>
      </c>
      <c r="G1615" t="inlineStr">
        <is>
          <t>LASTSCHUETZ</t>
        </is>
      </c>
      <c r="H1615" t="inlineStr">
        <is>
          <t>4kW 1S</t>
        </is>
      </c>
      <c r="I1615">
        <v>267</v>
      </c>
      <c r="J1615">
        <f>GS34/143.6</f>
        <v>0</v>
      </c>
      <c r="M1615" t="inlineStr">
        <is>
          <t>-143K18.2</t>
        </is>
      </c>
    </row>
    <row r="1616">
      <c r="A1616">
        <v>1615</v>
      </c>
      <c r="B1616">
        <f>GS34</f>
        <v>0</v>
      </c>
      <c r="C1616" t="inlineStr">
        <is>
          <t>+LS2</t>
        </is>
      </c>
      <c r="D1616" t="inlineStr">
        <is>
          <t>-143K18.3</t>
        </is>
      </c>
      <c r="E1616" t="inlineStr">
        <is>
          <t>DIL_EM-10-G</t>
        </is>
      </c>
      <c r="F1616" t="inlineStr">
        <is>
          <t>#KALK!</t>
        </is>
      </c>
      <c r="G1616" t="inlineStr">
        <is>
          <t>LASTSCHUETZ</t>
        </is>
      </c>
      <c r="H1616" t="inlineStr">
        <is>
          <t>4kW 1S</t>
        </is>
      </c>
      <c r="I1616">
        <v>267</v>
      </c>
      <c r="J1616">
        <f>GS34/143.6</f>
        <v>0</v>
      </c>
      <c r="M1616" t="inlineStr">
        <is>
          <t>-143K18.3</t>
        </is>
      </c>
    </row>
    <row r="1617">
      <c r="A1617">
        <v>1616</v>
      </c>
      <c r="B1617">
        <f>GS16</f>
        <v>0</v>
      </c>
      <c r="C1617" t="inlineStr">
        <is>
          <t>+LS2</t>
        </is>
      </c>
      <c r="D1617" t="inlineStr">
        <is>
          <t>-143K28.7</t>
        </is>
      </c>
      <c r="E1617" t="inlineStr">
        <is>
          <t>DIL_EM-10-G</t>
        </is>
      </c>
      <c r="F1617" t="inlineStr">
        <is>
          <t>#KALK!</t>
        </is>
      </c>
      <c r="G1617" t="inlineStr">
        <is>
          <t>LASTSCHUETZ</t>
        </is>
      </c>
      <c r="H1617" t="inlineStr">
        <is>
          <t>4kW 1S</t>
        </is>
      </c>
      <c r="I1617">
        <v>364</v>
      </c>
      <c r="J1617">
        <f>GS16/143.7</f>
        <v>0</v>
      </c>
      <c r="M1617" t="inlineStr">
        <is>
          <t>-143K28.7</t>
        </is>
      </c>
    </row>
    <row r="1618">
      <c r="A1618">
        <v>1617</v>
      </c>
      <c r="B1618">
        <f>GS04</f>
        <v>0</v>
      </c>
      <c r="C1618" t="inlineStr">
        <is>
          <t>+LS2</t>
        </is>
      </c>
      <c r="D1618" t="inlineStr">
        <is>
          <t>-143K30.7</t>
        </is>
      </c>
      <c r="E1618" t="inlineStr">
        <is>
          <t>DIL_EM-10-G</t>
        </is>
      </c>
      <c r="F1618" t="inlineStr">
        <is>
          <t>#KALK!</t>
        </is>
      </c>
      <c r="G1618" t="inlineStr">
        <is>
          <t>LASTSCHUETZ</t>
        </is>
      </c>
      <c r="H1618" t="inlineStr">
        <is>
          <t>4kW 1S</t>
        </is>
      </c>
      <c r="I1618">
        <v>393</v>
      </c>
      <c r="J1618">
        <f>GS04/143.7</f>
        <v>0</v>
      </c>
      <c r="M1618" t="inlineStr">
        <is>
          <t>-143K30.7</t>
        </is>
      </c>
    </row>
    <row r="1619">
      <c r="A1619">
        <v>1618</v>
      </c>
      <c r="B1619">
        <f>GS23</f>
        <v>0</v>
      </c>
      <c r="C1619" t="inlineStr">
        <is>
          <t>+LS2</t>
        </is>
      </c>
      <c r="D1619" t="inlineStr">
        <is>
          <t>-143K58.1</t>
        </is>
      </c>
      <c r="E1619" t="inlineStr">
        <is>
          <t>DIL_EM-10-G</t>
        </is>
      </c>
      <c r="F1619" t="inlineStr">
        <is>
          <t>#KALK!</t>
        </is>
      </c>
      <c r="G1619" t="inlineStr">
        <is>
          <t>LASTSCHUETZ</t>
        </is>
      </c>
      <c r="H1619" t="inlineStr">
        <is>
          <t>4kW 1S</t>
        </is>
      </c>
      <c r="I1619">
        <v>442</v>
      </c>
      <c r="J1619">
        <f>GS23/143.6</f>
        <v>0</v>
      </c>
      <c r="M1619" t="inlineStr">
        <is>
          <t>-143K58.1</t>
        </is>
      </c>
    </row>
    <row r="1620">
      <c r="A1620">
        <v>1619</v>
      </c>
      <c r="B1620">
        <f>GS23</f>
        <v>0</v>
      </c>
      <c r="C1620" t="inlineStr">
        <is>
          <t>+LS2</t>
        </is>
      </c>
      <c r="D1620" t="inlineStr">
        <is>
          <t>-143K58.2</t>
        </is>
      </c>
      <c r="E1620" t="inlineStr">
        <is>
          <t>DIL_EM-10-G</t>
        </is>
      </c>
      <c r="F1620" t="inlineStr">
        <is>
          <t>#KALK!</t>
        </is>
      </c>
      <c r="G1620" t="inlineStr">
        <is>
          <t>LASTSCHUETZ</t>
        </is>
      </c>
      <c r="H1620" t="inlineStr">
        <is>
          <t>4kW 1S</t>
        </is>
      </c>
      <c r="I1620">
        <v>442</v>
      </c>
      <c r="J1620">
        <f>GS23/143.6</f>
        <v>0</v>
      </c>
      <c r="M1620" t="inlineStr">
        <is>
          <t>-143K58.2</t>
        </is>
      </c>
    </row>
    <row r="1621">
      <c r="A1621">
        <v>1620</v>
      </c>
      <c r="B1621">
        <f>GS01</f>
        <v>0</v>
      </c>
      <c r="C1621" t="inlineStr">
        <is>
          <t>+LS3</t>
        </is>
      </c>
      <c r="D1621" t="inlineStr">
        <is>
          <t>-143K90.3</t>
        </is>
      </c>
      <c r="E1621" t="inlineStr">
        <is>
          <t>DIL_EM-10-G</t>
        </is>
      </c>
      <c r="F1621" t="inlineStr">
        <is>
          <t>#KALK!</t>
        </is>
      </c>
      <c r="G1621" t="inlineStr">
        <is>
          <t>LASTSCHUETZ</t>
        </is>
      </c>
      <c r="H1621" t="inlineStr">
        <is>
          <t>4kW 1S</t>
        </is>
      </c>
      <c r="I1621">
        <v>305</v>
      </c>
      <c r="J1621">
        <f>GS01/143.7</f>
        <v>0</v>
      </c>
      <c r="M1621" t="inlineStr">
        <is>
          <t>-143K90.3</t>
        </is>
      </c>
    </row>
    <row r="1622">
      <c r="A1622">
        <v>1621</v>
      </c>
      <c r="B1622">
        <f>GS46</f>
        <v>0</v>
      </c>
      <c r="C1622" t="inlineStr">
        <is>
          <t>+LS01</t>
        </is>
      </c>
      <c r="D1622" t="inlineStr">
        <is>
          <t>-143Q1</t>
        </is>
      </c>
      <c r="E1622" t="inlineStr">
        <is>
          <t>DILM-9-10</t>
        </is>
      </c>
      <c r="F1622" t="inlineStr">
        <is>
          <t>#KALK!</t>
        </is>
      </c>
      <c r="G1622" t="inlineStr">
        <is>
          <t>LASTSCHUETZ</t>
        </is>
      </c>
      <c r="H1622" t="inlineStr">
        <is>
          <t>4kW 1S Federzugkl.</t>
        </is>
      </c>
      <c r="I1622">
        <v>457</v>
      </c>
      <c r="J1622">
        <f>GS46/143.5</f>
        <v>0</v>
      </c>
      <c r="M1622" t="inlineStr">
        <is>
          <t>-143Q1</t>
        </is>
      </c>
    </row>
    <row r="1623">
      <c r="A1623">
        <v>1622</v>
      </c>
      <c r="B1623">
        <f>GS47</f>
        <v>0</v>
      </c>
      <c r="C1623" t="inlineStr">
        <is>
          <t>+LS01</t>
        </is>
      </c>
      <c r="D1623" t="inlineStr">
        <is>
          <t>-143Q1</t>
        </is>
      </c>
      <c r="E1623" t="inlineStr">
        <is>
          <t>DILM-9-10</t>
        </is>
      </c>
      <c r="F1623" t="inlineStr">
        <is>
          <t>#KALK!</t>
        </is>
      </c>
      <c r="G1623" t="inlineStr">
        <is>
          <t>LASTSCHUETZ</t>
        </is>
      </c>
      <c r="H1623" t="inlineStr">
        <is>
          <t>4kW 1S Federzugkl.</t>
        </is>
      </c>
      <c r="I1623">
        <v>457</v>
      </c>
      <c r="J1623">
        <f>GS47/143.5</f>
        <v>0</v>
      </c>
      <c r="M1623" t="inlineStr">
        <is>
          <t>-143Q1</t>
        </is>
      </c>
    </row>
    <row r="1624">
      <c r="A1624">
        <v>1623</v>
      </c>
      <c r="B1624">
        <f>GS48</f>
        <v>0</v>
      </c>
      <c r="C1624" t="inlineStr">
        <is>
          <t>+LS01</t>
        </is>
      </c>
      <c r="D1624" t="inlineStr">
        <is>
          <t>-143Q1</t>
        </is>
      </c>
      <c r="E1624" t="inlineStr">
        <is>
          <t>DILM-9-10</t>
        </is>
      </c>
      <c r="F1624" t="inlineStr">
        <is>
          <t>#KALK!</t>
        </is>
      </c>
      <c r="G1624" t="inlineStr">
        <is>
          <t>LASTSCHUETZ</t>
        </is>
      </c>
      <c r="H1624" t="inlineStr">
        <is>
          <t>4kW 1S Federzugkl.</t>
        </is>
      </c>
      <c r="I1624">
        <v>295</v>
      </c>
      <c r="J1624">
        <f>GS48/143.5</f>
        <v>0</v>
      </c>
      <c r="M1624" t="inlineStr">
        <is>
          <t>-143Q1</t>
        </is>
      </c>
    </row>
    <row r="1625">
      <c r="A1625">
        <v>1624</v>
      </c>
      <c r="B1625">
        <f>GS49</f>
        <v>0</v>
      </c>
      <c r="C1625" t="inlineStr">
        <is>
          <t>+LS01</t>
        </is>
      </c>
      <c r="D1625" t="inlineStr">
        <is>
          <t>-143Q1</t>
        </is>
      </c>
      <c r="E1625" t="inlineStr">
        <is>
          <t>DILM-9-10</t>
        </is>
      </c>
      <c r="F1625" t="inlineStr">
        <is>
          <t>#KALK!</t>
        </is>
      </c>
      <c r="G1625" t="inlineStr">
        <is>
          <t>LASTSCHUETZ</t>
        </is>
      </c>
      <c r="H1625" t="inlineStr">
        <is>
          <t>4kW 1S Federzugkl.</t>
        </is>
      </c>
      <c r="I1625">
        <v>294</v>
      </c>
      <c r="J1625">
        <f>GS49/143.5</f>
        <v>0</v>
      </c>
      <c r="M1625" t="inlineStr">
        <is>
          <t>-143Q1</t>
        </is>
      </c>
    </row>
    <row r="1626">
      <c r="A1626">
        <v>1625</v>
      </c>
      <c r="B1626">
        <f>GS46</f>
        <v>0</v>
      </c>
      <c r="C1626" t="inlineStr">
        <is>
          <t>+LS01</t>
        </is>
      </c>
      <c r="D1626" t="inlineStr">
        <is>
          <t>-143Q145.3</t>
        </is>
      </c>
      <c r="E1626" t="inlineStr">
        <is>
          <t>DILM-9-10</t>
        </is>
      </c>
      <c r="F1626" t="inlineStr">
        <is>
          <t>#KALK!</t>
        </is>
      </c>
      <c r="G1626" t="inlineStr">
        <is>
          <t>LASTSCHUETZ</t>
        </is>
      </c>
      <c r="H1626" t="inlineStr">
        <is>
          <t>4kW 1S Federzugkl.</t>
        </is>
      </c>
      <c r="I1626">
        <v>457</v>
      </c>
      <c r="J1626">
        <f>GS46/143.5</f>
        <v>0</v>
      </c>
      <c r="M1626" t="inlineStr">
        <is>
          <t>-143Q145.3</t>
        </is>
      </c>
    </row>
    <row r="1627">
      <c r="A1627">
        <v>1626</v>
      </c>
      <c r="B1627">
        <f>GS47</f>
        <v>0</v>
      </c>
      <c r="C1627" t="inlineStr">
        <is>
          <t>+LS01</t>
        </is>
      </c>
      <c r="D1627" t="inlineStr">
        <is>
          <t>-143Q145.3</t>
        </is>
      </c>
      <c r="E1627" t="inlineStr">
        <is>
          <t>DILM-9-10</t>
        </is>
      </c>
      <c r="F1627" t="inlineStr">
        <is>
          <t>#KALK!</t>
        </is>
      </c>
      <c r="G1627" t="inlineStr">
        <is>
          <t>LASTSCHUETZ</t>
        </is>
      </c>
      <c r="H1627" t="inlineStr">
        <is>
          <t>4kW 1S Federzugkl.</t>
        </is>
      </c>
      <c r="I1627">
        <v>457</v>
      </c>
      <c r="J1627">
        <f>GS47/143.5</f>
        <v>0</v>
      </c>
      <c r="M1627" t="inlineStr">
        <is>
          <t>-143Q145.3</t>
        </is>
      </c>
    </row>
    <row r="1628">
      <c r="A1628">
        <v>1627</v>
      </c>
      <c r="B1628">
        <f>GS48</f>
        <v>0</v>
      </c>
      <c r="C1628" t="inlineStr">
        <is>
          <t>+LS01</t>
        </is>
      </c>
      <c r="D1628" t="inlineStr">
        <is>
          <t>-143Q145.3</t>
        </is>
      </c>
      <c r="E1628" t="inlineStr">
        <is>
          <t>DILM-9-10</t>
        </is>
      </c>
      <c r="F1628" t="inlineStr">
        <is>
          <t>#KALK!</t>
        </is>
      </c>
      <c r="G1628" t="inlineStr">
        <is>
          <t>LASTSCHUETZ</t>
        </is>
      </c>
      <c r="H1628" t="inlineStr">
        <is>
          <t>4kW 1S Federzugkl.</t>
        </is>
      </c>
      <c r="I1628">
        <v>295</v>
      </c>
      <c r="J1628">
        <f>GS48/143.5</f>
        <v>0</v>
      </c>
      <c r="M1628" t="inlineStr">
        <is>
          <t>-143Q145.3</t>
        </is>
      </c>
    </row>
    <row r="1629">
      <c r="A1629">
        <v>1628</v>
      </c>
      <c r="B1629">
        <f>GS49</f>
        <v>0</v>
      </c>
      <c r="C1629" t="inlineStr">
        <is>
          <t>+LS01</t>
        </is>
      </c>
      <c r="D1629" t="inlineStr">
        <is>
          <t>-143Q145.3</t>
        </is>
      </c>
      <c r="E1629" t="inlineStr">
        <is>
          <t>DILM-9-10</t>
        </is>
      </c>
      <c r="F1629" t="inlineStr">
        <is>
          <t>#KALK!</t>
        </is>
      </c>
      <c r="G1629" t="inlineStr">
        <is>
          <t>LASTSCHUETZ</t>
        </is>
      </c>
      <c r="H1629" t="inlineStr">
        <is>
          <t>4kW 1S Federzugkl.</t>
        </is>
      </c>
      <c r="I1629">
        <v>294</v>
      </c>
      <c r="J1629">
        <f>GS49/143.5</f>
        <v>0</v>
      </c>
      <c r="M1629" t="inlineStr">
        <is>
          <t>-143Q145.3</t>
        </is>
      </c>
    </row>
    <row r="1630">
      <c r="A1630">
        <v>1629</v>
      </c>
      <c r="B1630">
        <f>GS46</f>
        <v>0</v>
      </c>
      <c r="C1630" t="inlineStr">
        <is>
          <t>+LS01</t>
        </is>
      </c>
      <c r="D1630" t="inlineStr">
        <is>
          <t>-143Q145.4</t>
        </is>
      </c>
      <c r="E1630" t="inlineStr">
        <is>
          <t>DILM-9-10</t>
        </is>
      </c>
      <c r="F1630" t="inlineStr">
        <is>
          <t>#KALK!</t>
        </is>
      </c>
      <c r="G1630" t="inlineStr">
        <is>
          <t>LASTSCHUETZ</t>
        </is>
      </c>
      <c r="H1630" t="inlineStr">
        <is>
          <t>4kW 1S Federzugkl.</t>
        </is>
      </c>
      <c r="I1630">
        <v>457</v>
      </c>
      <c r="J1630">
        <f>GS46/143.6</f>
        <v>0</v>
      </c>
      <c r="M1630" t="inlineStr">
        <is>
          <t>-143Q145.4</t>
        </is>
      </c>
    </row>
    <row r="1631">
      <c r="A1631">
        <v>1630</v>
      </c>
      <c r="B1631">
        <f>GS47</f>
        <v>0</v>
      </c>
      <c r="C1631" t="inlineStr">
        <is>
          <t>+LS01</t>
        </is>
      </c>
      <c r="D1631" t="inlineStr">
        <is>
          <t>-143Q145.4</t>
        </is>
      </c>
      <c r="E1631" t="inlineStr">
        <is>
          <t>DILM-9-10</t>
        </is>
      </c>
      <c r="F1631" t="inlineStr">
        <is>
          <t>#KALK!</t>
        </is>
      </c>
      <c r="G1631" t="inlineStr">
        <is>
          <t>LASTSCHUETZ</t>
        </is>
      </c>
      <c r="H1631" t="inlineStr">
        <is>
          <t>4kW 1S Federzugkl.</t>
        </is>
      </c>
      <c r="I1631">
        <v>457</v>
      </c>
      <c r="J1631">
        <f>GS47/143.6</f>
        <v>0</v>
      </c>
      <c r="M1631" t="inlineStr">
        <is>
          <t>-143Q145.4</t>
        </is>
      </c>
    </row>
    <row r="1632">
      <c r="A1632">
        <v>1631</v>
      </c>
      <c r="B1632">
        <f>GS48</f>
        <v>0</v>
      </c>
      <c r="C1632" t="inlineStr">
        <is>
          <t>+LS01</t>
        </is>
      </c>
      <c r="D1632" t="inlineStr">
        <is>
          <t>-143Q145.4</t>
        </is>
      </c>
      <c r="E1632" t="inlineStr">
        <is>
          <t>DILM-9-10</t>
        </is>
      </c>
      <c r="F1632" t="inlineStr">
        <is>
          <t>#KALK!</t>
        </is>
      </c>
      <c r="G1632" t="inlineStr">
        <is>
          <t>LASTSCHUETZ</t>
        </is>
      </c>
      <c r="H1632" t="inlineStr">
        <is>
          <t>4kW 1S Federzugkl.</t>
        </is>
      </c>
      <c r="I1632">
        <v>295</v>
      </c>
      <c r="J1632">
        <f>GS48/143.6</f>
        <v>0</v>
      </c>
      <c r="M1632" t="inlineStr">
        <is>
          <t>-143Q145.4</t>
        </is>
      </c>
    </row>
    <row r="1633">
      <c r="A1633">
        <v>1632</v>
      </c>
      <c r="B1633">
        <f>GS49</f>
        <v>0</v>
      </c>
      <c r="C1633" t="inlineStr">
        <is>
          <t>+LS01</t>
        </is>
      </c>
      <c r="D1633" t="inlineStr">
        <is>
          <t>-143Q145.4</t>
        </is>
      </c>
      <c r="E1633" t="inlineStr">
        <is>
          <t>DILM-9-10</t>
        </is>
      </c>
      <c r="F1633" t="inlineStr">
        <is>
          <t>#KALK!</t>
        </is>
      </c>
      <c r="G1633" t="inlineStr">
        <is>
          <t>LASTSCHUETZ</t>
        </is>
      </c>
      <c r="H1633" t="inlineStr">
        <is>
          <t>4kW 1S Federzugkl.</t>
        </is>
      </c>
      <c r="I1633">
        <v>294</v>
      </c>
      <c r="J1633">
        <f>GS49/143.6</f>
        <v>0</v>
      </c>
      <c r="M1633" t="inlineStr">
        <is>
          <t>-143Q145.4</t>
        </is>
      </c>
    </row>
    <row r="1634">
      <c r="A1634">
        <v>1633</v>
      </c>
      <c r="B1634">
        <f>GS46</f>
        <v>0</v>
      </c>
      <c r="C1634" t="inlineStr">
        <is>
          <t>+LS01</t>
        </is>
      </c>
      <c r="D1634" t="inlineStr">
        <is>
          <t>-143Q145.5</t>
        </is>
      </c>
      <c r="E1634" t="inlineStr">
        <is>
          <t>DILM-9-10</t>
        </is>
      </c>
      <c r="F1634" t="inlineStr">
        <is>
          <t>#KALK!</t>
        </is>
      </c>
      <c r="G1634" t="inlineStr">
        <is>
          <t>LASTSCHUETZ</t>
        </is>
      </c>
      <c r="H1634" t="inlineStr">
        <is>
          <t>4kW 1S Federzugkl.</t>
        </is>
      </c>
      <c r="I1634">
        <v>457</v>
      </c>
      <c r="J1634">
        <f>GS46/143.7</f>
        <v>0</v>
      </c>
      <c r="M1634" t="inlineStr">
        <is>
          <t>-143Q145.5</t>
        </is>
      </c>
    </row>
    <row r="1635">
      <c r="A1635">
        <v>1634</v>
      </c>
      <c r="B1635">
        <f>GS47</f>
        <v>0</v>
      </c>
      <c r="C1635" t="inlineStr">
        <is>
          <t>+LS01</t>
        </is>
      </c>
      <c r="D1635" t="inlineStr">
        <is>
          <t>-143Q145.5</t>
        </is>
      </c>
      <c r="E1635" t="inlineStr">
        <is>
          <t>DILM-9-10</t>
        </is>
      </c>
      <c r="F1635" t="inlineStr">
        <is>
          <t>#KALK!</t>
        </is>
      </c>
      <c r="G1635" t="inlineStr">
        <is>
          <t>LASTSCHUETZ</t>
        </is>
      </c>
      <c r="H1635" t="inlineStr">
        <is>
          <t>4kW 1S Federzugkl.</t>
        </is>
      </c>
      <c r="I1635">
        <v>457</v>
      </c>
      <c r="J1635">
        <f>GS47/143.7</f>
        <v>0</v>
      </c>
      <c r="M1635" t="inlineStr">
        <is>
          <t>-143Q145.5</t>
        </is>
      </c>
    </row>
    <row r="1636">
      <c r="A1636">
        <v>1635</v>
      </c>
      <c r="B1636">
        <f>GS48</f>
        <v>0</v>
      </c>
      <c r="C1636" t="inlineStr">
        <is>
          <t>+LS01</t>
        </is>
      </c>
      <c r="D1636" t="inlineStr">
        <is>
          <t>-143Q145.5</t>
        </is>
      </c>
      <c r="E1636" t="inlineStr">
        <is>
          <t>DILM-9-10</t>
        </is>
      </c>
      <c r="F1636" t="inlineStr">
        <is>
          <t>#KALK!</t>
        </is>
      </c>
      <c r="G1636" t="inlineStr">
        <is>
          <t>LASTSCHUETZ</t>
        </is>
      </c>
      <c r="H1636" t="inlineStr">
        <is>
          <t>4kW 1S Federzugkl.</t>
        </is>
      </c>
      <c r="I1636">
        <v>295</v>
      </c>
      <c r="J1636">
        <f>GS48/143.7</f>
        <v>0</v>
      </c>
      <c r="M1636" t="inlineStr">
        <is>
          <t>-143Q145.5</t>
        </is>
      </c>
    </row>
    <row r="1637">
      <c r="A1637">
        <v>1636</v>
      </c>
      <c r="B1637">
        <f>GS49</f>
        <v>0</v>
      </c>
      <c r="C1637" t="inlineStr">
        <is>
          <t>+LS01</t>
        </is>
      </c>
      <c r="D1637" t="inlineStr">
        <is>
          <t>-143Q145.5</t>
        </is>
      </c>
      <c r="E1637" t="inlineStr">
        <is>
          <t>DILM-9-10</t>
        </is>
      </c>
      <c r="F1637" t="inlineStr">
        <is>
          <t>#KALK!</t>
        </is>
      </c>
      <c r="G1637" t="inlineStr">
        <is>
          <t>LASTSCHUETZ</t>
        </is>
      </c>
      <c r="H1637" t="inlineStr">
        <is>
          <t>4kW 1S Federzugkl.</t>
        </is>
      </c>
      <c r="I1637">
        <v>294</v>
      </c>
      <c r="J1637">
        <f>GS49/143.7</f>
        <v>0</v>
      </c>
      <c r="M1637" t="inlineStr">
        <is>
          <t>-143Q145.5</t>
        </is>
      </c>
    </row>
    <row r="1638">
      <c r="A1638">
        <v>1637</v>
      </c>
      <c r="B1638">
        <f>GS46</f>
        <v>0</v>
      </c>
      <c r="C1638" t="inlineStr">
        <is>
          <t>+LS01</t>
        </is>
      </c>
      <c r="D1638" t="inlineStr">
        <is>
          <t>-143Q146.7</t>
        </is>
      </c>
      <c r="E1638" t="inlineStr">
        <is>
          <t>DILM-9-10</t>
        </is>
      </c>
      <c r="F1638" t="inlineStr">
        <is>
          <t>#KALK!</t>
        </is>
      </c>
      <c r="G1638" t="inlineStr">
        <is>
          <t>LASTSCHUETZ</t>
        </is>
      </c>
      <c r="H1638" t="inlineStr">
        <is>
          <t>4kW 1S Federzugkl.</t>
        </is>
      </c>
      <c r="I1638">
        <v>457</v>
      </c>
      <c r="J1638">
        <f>GS46/143.3</f>
        <v>0</v>
      </c>
      <c r="M1638" t="inlineStr">
        <is>
          <t>-143Q146.7</t>
        </is>
      </c>
    </row>
    <row r="1639">
      <c r="A1639">
        <v>1638</v>
      </c>
      <c r="B1639">
        <f>GS47</f>
        <v>0</v>
      </c>
      <c r="C1639" t="inlineStr">
        <is>
          <t>+LS01</t>
        </is>
      </c>
      <c r="D1639" t="inlineStr">
        <is>
          <t>-143Q146.7</t>
        </is>
      </c>
      <c r="E1639" t="inlineStr">
        <is>
          <t>DILM-9-10</t>
        </is>
      </c>
      <c r="F1639" t="inlineStr">
        <is>
          <t>#KALK!</t>
        </is>
      </c>
      <c r="G1639" t="inlineStr">
        <is>
          <t>LASTSCHUETZ</t>
        </is>
      </c>
      <c r="H1639" t="inlineStr">
        <is>
          <t>4kW 1S Federzugkl.</t>
        </is>
      </c>
      <c r="I1639">
        <v>457</v>
      </c>
      <c r="J1639">
        <f>GS47/143.3</f>
        <v>0</v>
      </c>
      <c r="M1639" t="inlineStr">
        <is>
          <t>-143Q146.7</t>
        </is>
      </c>
    </row>
    <row r="1640">
      <c r="A1640">
        <v>1639</v>
      </c>
      <c r="B1640">
        <f>GS48</f>
        <v>0</v>
      </c>
      <c r="C1640" t="inlineStr">
        <is>
          <t>+LS01</t>
        </is>
      </c>
      <c r="D1640" t="inlineStr">
        <is>
          <t>-143Q146.7</t>
        </is>
      </c>
      <c r="E1640" t="inlineStr">
        <is>
          <t>DILM-9-10</t>
        </is>
      </c>
      <c r="F1640" t="inlineStr">
        <is>
          <t>#KALK!</t>
        </is>
      </c>
      <c r="G1640" t="inlineStr">
        <is>
          <t>LASTSCHUETZ</t>
        </is>
      </c>
      <c r="H1640" t="inlineStr">
        <is>
          <t>4kW 1S Federzugkl.</t>
        </is>
      </c>
      <c r="I1640">
        <v>295</v>
      </c>
      <c r="J1640">
        <f>GS48/143.3</f>
        <v>0</v>
      </c>
      <c r="M1640" t="inlineStr">
        <is>
          <t>-143Q146.7</t>
        </is>
      </c>
    </row>
    <row r="1641">
      <c r="A1641">
        <v>1640</v>
      </c>
      <c r="B1641">
        <f>GS49</f>
        <v>0</v>
      </c>
      <c r="C1641" t="inlineStr">
        <is>
          <t>+LS01</t>
        </is>
      </c>
      <c r="D1641" t="inlineStr">
        <is>
          <t>-143Q146.7</t>
        </is>
      </c>
      <c r="E1641" t="inlineStr">
        <is>
          <t>DILM-9-10</t>
        </is>
      </c>
      <c r="F1641" t="inlineStr">
        <is>
          <t>#KALK!</t>
        </is>
      </c>
      <c r="G1641" t="inlineStr">
        <is>
          <t>LASTSCHUETZ</t>
        </is>
      </c>
      <c r="H1641" t="inlineStr">
        <is>
          <t>4kW 1S Federzugkl.</t>
        </is>
      </c>
      <c r="I1641">
        <v>294</v>
      </c>
      <c r="J1641">
        <f>GS49/143.3</f>
        <v>0</v>
      </c>
      <c r="M1641" t="inlineStr">
        <is>
          <t>-143Q146.7</t>
        </is>
      </c>
    </row>
    <row r="1642">
      <c r="A1642">
        <v>1641</v>
      </c>
      <c r="B1642">
        <f>GS92</f>
        <v>0</v>
      </c>
      <c r="C1642" t="inlineStr">
        <is>
          <t>+LS01</t>
        </is>
      </c>
      <c r="D1642" t="inlineStr">
        <is>
          <t>-143Q155.4</t>
        </is>
      </c>
      <c r="E1642" t="inlineStr">
        <is>
          <t>DILM-9-10</t>
        </is>
      </c>
      <c r="F1642" t="inlineStr">
        <is>
          <t>#KALK!</t>
        </is>
      </c>
      <c r="G1642" t="inlineStr">
        <is>
          <t>LASTSCHUETZ</t>
        </is>
      </c>
      <c r="H1642" t="inlineStr">
        <is>
          <t>4kW 1S Federzugkl.</t>
        </is>
      </c>
      <c r="I1642">
        <v>289</v>
      </c>
      <c r="J1642">
        <f>GS92/143.5</f>
        <v>0</v>
      </c>
      <c r="M1642" t="inlineStr">
        <is>
          <t>-143Q155.4</t>
        </is>
      </c>
    </row>
    <row r="1643">
      <c r="A1643">
        <v>1642</v>
      </c>
      <c r="B1643">
        <f>GS55</f>
        <v>0</v>
      </c>
      <c r="C1643" t="inlineStr">
        <is>
          <t>+LS23</t>
        </is>
      </c>
      <c r="D1643" t="inlineStr">
        <is>
          <t>-1440Q1</t>
        </is>
      </c>
      <c r="E1643" t="inlineStr">
        <is>
          <t>DILA-XHI22</t>
        </is>
      </c>
      <c r="F1643" t="inlineStr">
        <is>
          <t>DILA-XHI22</t>
        </is>
      </c>
      <c r="G1643" t="inlineStr">
        <is>
          <t>HILFSKONTAKTBLOCK</t>
        </is>
      </c>
      <c r="H1643" t="inlineStr">
        <is>
          <t>2S 2OE Last+Hilfssch. Cage</t>
        </is>
      </c>
      <c r="I1643">
        <v>1658</v>
      </c>
      <c r="J1643">
        <f>GS55/1440.6</f>
        <v>0</v>
      </c>
      <c r="K1643" t="inlineStr">
        <is>
          <t>DIL MC25</t>
        </is>
      </c>
      <c r="M1643" t="inlineStr">
        <is>
          <t>-1440Q1</t>
        </is>
      </c>
    </row>
    <row r="1644">
      <c r="A1644">
        <v>1643</v>
      </c>
      <c r="B1644">
        <f>GS55</f>
        <v>0</v>
      </c>
      <c r="C1644" t="inlineStr">
        <is>
          <t>+LS23</t>
        </is>
      </c>
      <c r="D1644" t="inlineStr">
        <is>
          <t>-1440Q1</t>
        </is>
      </c>
      <c r="E1644" t="inlineStr">
        <is>
          <t>DILMC25-10(RDC24)</t>
        </is>
      </c>
      <c r="F1644" t="inlineStr">
        <is>
          <t>DILA-XHI22</t>
        </is>
      </c>
      <c r="G1644" t="inlineStr">
        <is>
          <t>LASTSCHUETZ</t>
        </is>
      </c>
      <c r="H1644" t="inlineStr">
        <is>
          <t>11kW 1S Federzugkl.</t>
        </is>
      </c>
      <c r="I1644">
        <v>1658</v>
      </c>
      <c r="J1644">
        <f>GS55/1440.6</f>
        <v>0</v>
      </c>
      <c r="K1644" t="inlineStr">
        <is>
          <t>DIL MC25</t>
        </is>
      </c>
      <c r="M1644" t="inlineStr">
        <is>
          <t>-1440Q1</t>
        </is>
      </c>
    </row>
    <row r="1645">
      <c r="A1645">
        <v>1644</v>
      </c>
      <c r="B1645">
        <f>GS55</f>
        <v>0</v>
      </c>
      <c r="C1645" t="inlineStr">
        <is>
          <t>+LS23</t>
        </is>
      </c>
      <c r="D1645" t="inlineStr">
        <is>
          <t>-1441Q739.1</t>
        </is>
      </c>
      <c r="E1645" t="inlineStr">
        <is>
          <t>DILA-XHI22</t>
        </is>
      </c>
      <c r="F1645" t="inlineStr">
        <is>
          <t>DILA-XHI22</t>
        </is>
      </c>
      <c r="G1645" t="inlineStr">
        <is>
          <t>HILFSKONTAKTBLOCK</t>
        </is>
      </c>
      <c r="H1645" t="inlineStr">
        <is>
          <t>2S 2OE Last+Hilfssch. Cage</t>
        </is>
      </c>
      <c r="I1645">
        <v>1659</v>
      </c>
      <c r="J1645">
        <f>GS55/1441.6</f>
        <v>0</v>
      </c>
      <c r="K1645" t="inlineStr">
        <is>
          <t>DIL MC9 HT2801</t>
        </is>
      </c>
      <c r="M1645" t="inlineStr">
        <is>
          <t>-1441Q739.1</t>
        </is>
      </c>
    </row>
    <row r="1646">
      <c r="A1646">
        <v>1645</v>
      </c>
      <c r="B1646">
        <f>GS55</f>
        <v>0</v>
      </c>
      <c r="C1646" t="inlineStr">
        <is>
          <t>+LS23</t>
        </is>
      </c>
      <c r="D1646" t="inlineStr">
        <is>
          <t>-1441Q739.1</t>
        </is>
      </c>
      <c r="E1646" t="inlineStr">
        <is>
          <t>DILM-9-10</t>
        </is>
      </c>
      <c r="F1646" t="inlineStr">
        <is>
          <t>DILA-XHI22</t>
        </is>
      </c>
      <c r="G1646" t="inlineStr">
        <is>
          <t>LASTSCHUETZ</t>
        </is>
      </c>
      <c r="H1646" t="inlineStr">
        <is>
          <t>4kW 1S Federzugkl.</t>
        </is>
      </c>
      <c r="I1646">
        <v>1659</v>
      </c>
      <c r="J1646">
        <f>GS55/1441.6</f>
        <v>0</v>
      </c>
      <c r="K1646" t="inlineStr">
        <is>
          <t>DIL MC9 HT2801</t>
        </is>
      </c>
      <c r="M1646" t="inlineStr">
        <is>
          <t>-1441Q739.1</t>
        </is>
      </c>
    </row>
    <row r="1647">
      <c r="A1647">
        <v>1646</v>
      </c>
      <c r="B1647">
        <f>GS55</f>
        <v>0</v>
      </c>
      <c r="C1647" t="inlineStr">
        <is>
          <t>+LS23</t>
        </is>
      </c>
      <c r="D1647" t="inlineStr">
        <is>
          <t>-1441Q739.2</t>
        </is>
      </c>
      <c r="E1647" t="inlineStr">
        <is>
          <t>DILA-XHI22</t>
        </is>
      </c>
      <c r="F1647" t="inlineStr">
        <is>
          <t>DILA-XHI22</t>
        </is>
      </c>
      <c r="G1647" t="inlineStr">
        <is>
          <t>HILFSKONTAKTBLOCK</t>
        </is>
      </c>
      <c r="H1647" t="inlineStr">
        <is>
          <t>2S 2OE Last+Hilfssch. Cage</t>
        </is>
      </c>
      <c r="I1647">
        <v>1659</v>
      </c>
      <c r="J1647">
        <f>GS55/1441.7</f>
        <v>0</v>
      </c>
      <c r="K1647" t="inlineStr">
        <is>
          <t>DIL MC9 HT2801</t>
        </is>
      </c>
      <c r="M1647" t="inlineStr">
        <is>
          <t>-1441Q739.2</t>
        </is>
      </c>
    </row>
    <row r="1648">
      <c r="A1648">
        <v>1647</v>
      </c>
      <c r="B1648">
        <f>GS55</f>
        <v>0</v>
      </c>
      <c r="C1648" t="inlineStr">
        <is>
          <t>+LS23</t>
        </is>
      </c>
      <c r="D1648" t="inlineStr">
        <is>
          <t>-1441Q739.2</t>
        </is>
      </c>
      <c r="E1648" t="inlineStr">
        <is>
          <t>DILM-9-10</t>
        </is>
      </c>
      <c r="F1648" t="inlineStr">
        <is>
          <t>DILA-XHI22</t>
        </is>
      </c>
      <c r="G1648" t="inlineStr">
        <is>
          <t>LASTSCHUETZ</t>
        </is>
      </c>
      <c r="H1648" t="inlineStr">
        <is>
          <t>4kW 1S Federzugkl.</t>
        </is>
      </c>
      <c r="I1648">
        <v>1659</v>
      </c>
      <c r="J1648">
        <f>GS55/1441.7</f>
        <v>0</v>
      </c>
      <c r="K1648" t="inlineStr">
        <is>
          <t>DIL MC9 HT2801</t>
        </is>
      </c>
      <c r="M1648" t="inlineStr">
        <is>
          <t>-1441Q739.2</t>
        </is>
      </c>
    </row>
    <row r="1649">
      <c r="A1649">
        <v>1648</v>
      </c>
      <c r="B1649">
        <f>GS13</f>
        <v>0</v>
      </c>
      <c r="C1649" t="inlineStr">
        <is>
          <t>+LS2</t>
        </is>
      </c>
      <c r="D1649" t="inlineStr">
        <is>
          <t>-14457.3</t>
        </is>
      </c>
      <c r="E1649" t="inlineStr">
        <is>
          <t>DIL_EM-10-G</t>
        </is>
      </c>
      <c r="F1649" t="inlineStr">
        <is>
          <t>#KALK!</t>
        </is>
      </c>
      <c r="G1649" t="inlineStr">
        <is>
          <t>LASTSCHUETZ</t>
        </is>
      </c>
      <c r="H1649" t="inlineStr">
        <is>
          <t>4kW 1S</t>
        </is>
      </c>
      <c r="I1649">
        <v>383</v>
      </c>
      <c r="J1649">
        <f>GS13/144.7</f>
        <v>0</v>
      </c>
      <c r="M1649" t="inlineStr">
        <is>
          <t>-14457.3</t>
        </is>
      </c>
    </row>
    <row r="1650">
      <c r="A1650">
        <v>1649</v>
      </c>
      <c r="B1650">
        <f>GS34</f>
        <v>0</v>
      </c>
      <c r="C1650" t="inlineStr">
        <is>
          <t>+LS2</t>
        </is>
      </c>
      <c r="D1650" t="inlineStr">
        <is>
          <t>-144K18.7</t>
        </is>
      </c>
      <c r="E1650" t="inlineStr">
        <is>
          <t>DIL_EM-10-G</t>
        </is>
      </c>
      <c r="F1650" t="inlineStr">
        <is>
          <t>#KALK!</t>
        </is>
      </c>
      <c r="G1650" t="inlineStr">
        <is>
          <t>LASTSCHUETZ</t>
        </is>
      </c>
      <c r="H1650" t="inlineStr">
        <is>
          <t>4kW 1S</t>
        </is>
      </c>
      <c r="I1650">
        <v>268</v>
      </c>
      <c r="J1650">
        <f>GS34/144.7</f>
        <v>0</v>
      </c>
      <c r="M1650" t="inlineStr">
        <is>
          <t>-144K18.7</t>
        </is>
      </c>
    </row>
    <row r="1651">
      <c r="A1651">
        <v>1650</v>
      </c>
      <c r="B1651">
        <f>GS16</f>
        <v>0</v>
      </c>
      <c r="C1651" t="inlineStr">
        <is>
          <t>+LS2</t>
        </is>
      </c>
      <c r="D1651" t="inlineStr">
        <is>
          <t>-144K29.2</t>
        </is>
      </c>
      <c r="E1651" t="inlineStr">
        <is>
          <t>DIL_EM-10-G</t>
        </is>
      </c>
      <c r="F1651" t="inlineStr">
        <is>
          <t>#KALK!</t>
        </is>
      </c>
      <c r="G1651" t="inlineStr">
        <is>
          <t>LASTSCHUETZ</t>
        </is>
      </c>
      <c r="H1651" t="inlineStr">
        <is>
          <t>4kW 1S</t>
        </is>
      </c>
      <c r="I1651">
        <v>365</v>
      </c>
      <c r="J1651">
        <f>GS16/144.6</f>
        <v>0</v>
      </c>
      <c r="M1651" t="inlineStr">
        <is>
          <t>-144K29.2</t>
        </is>
      </c>
    </row>
    <row r="1652">
      <c r="A1652">
        <v>1651</v>
      </c>
      <c r="B1652">
        <f>GS16</f>
        <v>0</v>
      </c>
      <c r="C1652" t="inlineStr">
        <is>
          <t>+LS2</t>
        </is>
      </c>
      <c r="D1652" t="inlineStr">
        <is>
          <t>-144K29.3</t>
        </is>
      </c>
      <c r="E1652" t="inlineStr">
        <is>
          <t>DIL_EM-10-G</t>
        </is>
      </c>
      <c r="F1652" t="inlineStr">
        <is>
          <t>#KALK!</t>
        </is>
      </c>
      <c r="G1652" t="inlineStr">
        <is>
          <t>LASTSCHUETZ</t>
        </is>
      </c>
      <c r="H1652" t="inlineStr">
        <is>
          <t>4kW 1S</t>
        </is>
      </c>
      <c r="I1652">
        <v>365</v>
      </c>
      <c r="J1652">
        <f>GS16/144.6</f>
        <v>0</v>
      </c>
      <c r="M1652" t="inlineStr">
        <is>
          <t>-144K29.3</t>
        </is>
      </c>
    </row>
    <row r="1653">
      <c r="A1653">
        <v>1652</v>
      </c>
      <c r="B1653">
        <f>GS23</f>
        <v>0</v>
      </c>
      <c r="C1653" t="inlineStr">
        <is>
          <t>+LS1</t>
        </is>
      </c>
      <c r="D1653" t="inlineStr">
        <is>
          <t>-144K57.3</t>
        </is>
      </c>
      <c r="E1653" t="inlineStr">
        <is>
          <t>DIL_EM-10-G</t>
        </is>
      </c>
      <c r="F1653" t="inlineStr">
        <is>
          <t>#KALK!</t>
        </is>
      </c>
      <c r="G1653" t="inlineStr">
        <is>
          <t>LASTSCHUETZ</t>
        </is>
      </c>
      <c r="H1653" t="inlineStr">
        <is>
          <t>4kW 1S</t>
        </is>
      </c>
      <c r="I1653">
        <v>443</v>
      </c>
      <c r="J1653">
        <f>GS23/144.7</f>
        <v>0</v>
      </c>
      <c r="M1653" t="inlineStr">
        <is>
          <t>-144K57.3</t>
        </is>
      </c>
    </row>
    <row r="1654">
      <c r="A1654">
        <v>1653</v>
      </c>
      <c r="B1654">
        <f>GS01</f>
        <v>0</v>
      </c>
      <c r="C1654" t="inlineStr">
        <is>
          <t>+LS3</t>
        </is>
      </c>
      <c r="D1654" t="inlineStr">
        <is>
          <t>-144K90.7</t>
        </is>
      </c>
      <c r="E1654" t="inlineStr">
        <is>
          <t>DIL_EM-10-G</t>
        </is>
      </c>
      <c r="F1654" t="inlineStr">
        <is>
          <t>#KALK!</t>
        </is>
      </c>
      <c r="G1654" t="inlineStr">
        <is>
          <t>LASTSCHUETZ</t>
        </is>
      </c>
      <c r="H1654" t="inlineStr">
        <is>
          <t>4kW 1S</t>
        </is>
      </c>
      <c r="I1654">
        <v>306</v>
      </c>
      <c r="J1654">
        <f>GS01/144.7</f>
        <v>0</v>
      </c>
      <c r="M1654" t="inlineStr">
        <is>
          <t>-144K90.7</t>
        </is>
      </c>
    </row>
    <row r="1655">
      <c r="A1655">
        <v>1654</v>
      </c>
      <c r="B1655">
        <f>GS15</f>
        <v>0</v>
      </c>
      <c r="C1655" t="inlineStr">
        <is>
          <t>+LS2</t>
        </is>
      </c>
      <c r="D1655" t="inlineStr">
        <is>
          <t>-144K93.1</t>
        </is>
      </c>
      <c r="E1655" t="inlineStr">
        <is>
          <t>DILM-9-10</t>
        </is>
      </c>
      <c r="F1655" t="inlineStr">
        <is>
          <t>#KALK!</t>
        </is>
      </c>
      <c r="G1655" t="inlineStr">
        <is>
          <t>LASTSCHUETZ</t>
        </is>
      </c>
      <c r="H1655" t="inlineStr">
        <is>
          <t>4kW 1S Federzugkl.</t>
        </is>
      </c>
      <c r="I1655">
        <v>632</v>
      </c>
      <c r="J1655">
        <f>GS15/144.6</f>
        <v>0</v>
      </c>
      <c r="K1655" t="inlineStr">
        <is>
          <t>DIL MC9</t>
        </is>
      </c>
      <c r="M1655" t="inlineStr">
        <is>
          <t>-144K93.1</t>
        </is>
      </c>
    </row>
    <row r="1656">
      <c r="A1656">
        <v>1655</v>
      </c>
      <c r="B1656">
        <f>GS46</f>
        <v>0</v>
      </c>
      <c r="C1656" t="inlineStr">
        <is>
          <t>+LS01</t>
        </is>
      </c>
      <c r="D1656" t="inlineStr">
        <is>
          <t>-144Q1</t>
        </is>
      </c>
      <c r="E1656" t="inlineStr">
        <is>
          <t>DILM-9-01</t>
        </is>
      </c>
      <c r="F1656" t="inlineStr">
        <is>
          <t>DILA-XHI22</t>
        </is>
      </c>
      <c r="G1656" t="inlineStr">
        <is>
          <t>LASTSCHUETZ</t>
        </is>
      </c>
      <c r="H1656" t="inlineStr">
        <is>
          <t>4kW 1Oe Federzugkl.</t>
        </is>
      </c>
      <c r="I1656">
        <v>458</v>
      </c>
      <c r="J1656">
        <f>GS46/144.2</f>
        <v>0</v>
      </c>
      <c r="M1656" t="inlineStr">
        <is>
          <t>-144Q1</t>
        </is>
      </c>
    </row>
    <row r="1657">
      <c r="A1657">
        <v>1656</v>
      </c>
      <c r="B1657">
        <f>GS46</f>
        <v>0</v>
      </c>
      <c r="C1657" t="inlineStr">
        <is>
          <t>+LS01</t>
        </is>
      </c>
      <c r="D1657" t="inlineStr">
        <is>
          <t>-144Q1</t>
        </is>
      </c>
      <c r="E1657" t="inlineStr">
        <is>
          <t>DILA-XHI22</t>
        </is>
      </c>
      <c r="F1657" t="inlineStr">
        <is>
          <t>DILA-XHI22</t>
        </is>
      </c>
      <c r="G1657" t="inlineStr">
        <is>
          <t>HILFSKONTAKTBLOCK</t>
        </is>
      </c>
      <c r="H1657" t="inlineStr">
        <is>
          <t>2S 2OE Last+Hilfssch. Cage</t>
        </is>
      </c>
      <c r="I1657">
        <v>458</v>
      </c>
      <c r="J1657">
        <f>GS46/144.2</f>
        <v>0</v>
      </c>
      <c r="M1657" t="inlineStr">
        <is>
          <t>-144Q1</t>
        </is>
      </c>
    </row>
    <row r="1658">
      <c r="A1658">
        <v>1657</v>
      </c>
      <c r="B1658">
        <f>GS47</f>
        <v>0</v>
      </c>
      <c r="C1658" t="inlineStr">
        <is>
          <t>+LS01</t>
        </is>
      </c>
      <c r="D1658" t="inlineStr">
        <is>
          <t>-144Q1</t>
        </is>
      </c>
      <c r="E1658" t="inlineStr">
        <is>
          <t>DILM-9-01</t>
        </is>
      </c>
      <c r="F1658" t="inlineStr">
        <is>
          <t>DILA-XHI22</t>
        </is>
      </c>
      <c r="G1658" t="inlineStr">
        <is>
          <t>LASTSCHUETZ</t>
        </is>
      </c>
      <c r="H1658" t="inlineStr">
        <is>
          <t>4kW 1Oe Federzugkl.</t>
        </is>
      </c>
      <c r="I1658">
        <v>458</v>
      </c>
      <c r="J1658">
        <f>GS47/144.2</f>
        <v>0</v>
      </c>
      <c r="M1658" t="inlineStr">
        <is>
          <t>-144Q1</t>
        </is>
      </c>
    </row>
    <row r="1659">
      <c r="A1659">
        <v>1658</v>
      </c>
      <c r="B1659">
        <f>GS47</f>
        <v>0</v>
      </c>
      <c r="C1659" t="inlineStr">
        <is>
          <t>+LS01</t>
        </is>
      </c>
      <c r="D1659" t="inlineStr">
        <is>
          <t>-144Q1</t>
        </is>
      </c>
      <c r="E1659" t="inlineStr">
        <is>
          <t>DILA-XHI22</t>
        </is>
      </c>
      <c r="F1659" t="inlineStr">
        <is>
          <t>DILA-XHI22</t>
        </is>
      </c>
      <c r="G1659" t="inlineStr">
        <is>
          <t>HILFSKONTAKTBLOCK</t>
        </is>
      </c>
      <c r="H1659" t="inlineStr">
        <is>
          <t>2S 2OE Last+Hilfssch. Cage</t>
        </is>
      </c>
      <c r="I1659">
        <v>458</v>
      </c>
      <c r="J1659">
        <f>GS47/144.2</f>
        <v>0</v>
      </c>
      <c r="M1659" t="inlineStr">
        <is>
          <t>-144Q1</t>
        </is>
      </c>
    </row>
    <row r="1660">
      <c r="A1660">
        <v>1659</v>
      </c>
      <c r="B1660">
        <f>GS48</f>
        <v>0</v>
      </c>
      <c r="C1660" t="inlineStr">
        <is>
          <t>+LS01</t>
        </is>
      </c>
      <c r="D1660" t="inlineStr">
        <is>
          <t>-144Q1</t>
        </is>
      </c>
      <c r="E1660" t="inlineStr">
        <is>
          <t>DILA-XHI22</t>
        </is>
      </c>
      <c r="F1660" t="inlineStr">
        <is>
          <t>DILA-XHI22</t>
        </is>
      </c>
      <c r="G1660" t="inlineStr">
        <is>
          <t>HILFSKONTAKTBLOCK</t>
        </is>
      </c>
      <c r="H1660" t="inlineStr">
        <is>
          <t>2S 2OE Last+Hilfssch. Cage</t>
        </is>
      </c>
      <c r="I1660">
        <v>296</v>
      </c>
      <c r="J1660">
        <f>GS48/144.2</f>
        <v>0</v>
      </c>
      <c r="M1660" t="inlineStr">
        <is>
          <t>-144Q1</t>
        </is>
      </c>
    </row>
    <row r="1661">
      <c r="A1661">
        <v>1660</v>
      </c>
      <c r="B1661">
        <f>GS48</f>
        <v>0</v>
      </c>
      <c r="C1661" t="inlineStr">
        <is>
          <t>+LS01</t>
        </is>
      </c>
      <c r="D1661" t="inlineStr">
        <is>
          <t>-144Q1</t>
        </is>
      </c>
      <c r="E1661" t="inlineStr">
        <is>
          <t>DILM-9-01</t>
        </is>
      </c>
      <c r="F1661" t="inlineStr">
        <is>
          <t>DILA-XHI22</t>
        </is>
      </c>
      <c r="G1661" t="inlineStr">
        <is>
          <t>LASTSCHUETZ</t>
        </is>
      </c>
      <c r="H1661" t="inlineStr">
        <is>
          <t>4kW 1Oe Federzugkl.</t>
        </is>
      </c>
      <c r="I1661">
        <v>296</v>
      </c>
      <c r="J1661">
        <f>GS48/144.2</f>
        <v>0</v>
      </c>
      <c r="M1661" t="inlineStr">
        <is>
          <t>-144Q1</t>
        </is>
      </c>
    </row>
    <row r="1662">
      <c r="A1662">
        <v>1661</v>
      </c>
      <c r="B1662">
        <f>GS49</f>
        <v>0</v>
      </c>
      <c r="C1662" t="inlineStr">
        <is>
          <t>+LS01</t>
        </is>
      </c>
      <c r="D1662" t="inlineStr">
        <is>
          <t>-144Q1</t>
        </is>
      </c>
      <c r="E1662" t="inlineStr">
        <is>
          <t>DILM-9-01</t>
        </is>
      </c>
      <c r="F1662" t="inlineStr">
        <is>
          <t>DILA-XHI22</t>
        </is>
      </c>
      <c r="G1662" t="inlineStr">
        <is>
          <t>LASTSCHUETZ</t>
        </is>
      </c>
      <c r="H1662" t="inlineStr">
        <is>
          <t>4kW 1Oe Federzugkl.</t>
        </is>
      </c>
      <c r="I1662">
        <v>295</v>
      </c>
      <c r="J1662">
        <f>GS49/144.2</f>
        <v>0</v>
      </c>
      <c r="M1662" t="inlineStr">
        <is>
          <t>-144Q1</t>
        </is>
      </c>
    </row>
    <row r="1663">
      <c r="A1663">
        <v>1662</v>
      </c>
      <c r="B1663">
        <f>GS49</f>
        <v>0</v>
      </c>
      <c r="C1663" t="inlineStr">
        <is>
          <t>+LS01</t>
        </is>
      </c>
      <c r="D1663" t="inlineStr">
        <is>
          <t>-144Q1</t>
        </is>
      </c>
      <c r="E1663" t="inlineStr">
        <is>
          <t>DILA-XHI22</t>
        </is>
      </c>
      <c r="F1663" t="inlineStr">
        <is>
          <t>DILA-XHI22</t>
        </is>
      </c>
      <c r="G1663" t="inlineStr">
        <is>
          <t>HILFSKONTAKTBLOCK</t>
        </is>
      </c>
      <c r="H1663" t="inlineStr">
        <is>
          <t>2S 2OE Last+Hilfssch. Cage</t>
        </is>
      </c>
      <c r="I1663">
        <v>295</v>
      </c>
      <c r="J1663">
        <f>GS49/144.2</f>
        <v>0</v>
      </c>
      <c r="M1663" t="inlineStr">
        <is>
          <t>-144Q1</t>
        </is>
      </c>
    </row>
    <row r="1664">
      <c r="A1664">
        <v>1663</v>
      </c>
      <c r="B1664">
        <f>GS92</f>
        <v>0</v>
      </c>
      <c r="C1664" t="inlineStr">
        <is>
          <t>+LS01</t>
        </is>
      </c>
      <c r="D1664" t="inlineStr">
        <is>
          <t>-144Q155.5</t>
        </is>
      </c>
      <c r="E1664" t="inlineStr">
        <is>
          <t>DILM-9-10</t>
        </is>
      </c>
      <c r="F1664" t="inlineStr">
        <is>
          <t>#KALK!</t>
        </is>
      </c>
      <c r="G1664" t="inlineStr">
        <is>
          <t>LASTSCHUETZ</t>
        </is>
      </c>
      <c r="H1664" t="inlineStr">
        <is>
          <t>4kW 1S Federzugkl.</t>
        </is>
      </c>
      <c r="I1664">
        <v>290</v>
      </c>
      <c r="J1664">
        <f>GS92/144.5</f>
        <v>0</v>
      </c>
      <c r="M1664" t="inlineStr">
        <is>
          <t>-144Q155.5</t>
        </is>
      </c>
    </row>
    <row r="1665">
      <c r="A1665">
        <v>1664</v>
      </c>
      <c r="B1665">
        <f>GS46</f>
        <v>0</v>
      </c>
      <c r="C1665" t="inlineStr">
        <is>
          <t>+LS01</t>
        </is>
      </c>
      <c r="D1665" t="inlineStr">
        <is>
          <t>-144Q2</t>
        </is>
      </c>
      <c r="E1665" t="inlineStr">
        <is>
          <t>DILM-9-01</t>
        </is>
      </c>
      <c r="F1665" t="inlineStr">
        <is>
          <t>DILA-XHI22</t>
        </is>
      </c>
      <c r="G1665" t="inlineStr">
        <is>
          <t>LASTSCHUETZ</t>
        </is>
      </c>
      <c r="H1665" t="inlineStr">
        <is>
          <t>4kW 1Oe Federzugkl.</t>
        </is>
      </c>
      <c r="I1665">
        <v>458</v>
      </c>
      <c r="J1665">
        <f>GS46/144.2</f>
        <v>0</v>
      </c>
      <c r="M1665" t="inlineStr">
        <is>
          <t>-144Q2</t>
        </is>
      </c>
    </row>
    <row r="1666">
      <c r="A1666">
        <v>1665</v>
      </c>
      <c r="B1666">
        <f>GS46</f>
        <v>0</v>
      </c>
      <c r="C1666" t="inlineStr">
        <is>
          <t>+LS01</t>
        </is>
      </c>
      <c r="D1666" t="inlineStr">
        <is>
          <t>-144Q2</t>
        </is>
      </c>
      <c r="E1666" t="inlineStr">
        <is>
          <t>DILA-XHI22</t>
        </is>
      </c>
      <c r="F1666" t="inlineStr">
        <is>
          <t>DILA-XHI22</t>
        </is>
      </c>
      <c r="G1666" t="inlineStr">
        <is>
          <t>HILFSKONTAKTBLOCK</t>
        </is>
      </c>
      <c r="H1666" t="inlineStr">
        <is>
          <t>2S 2OE Last+Hilfssch. Cage</t>
        </is>
      </c>
      <c r="I1666">
        <v>458</v>
      </c>
      <c r="J1666">
        <f>GS46/144.2</f>
        <v>0</v>
      </c>
      <c r="M1666" t="inlineStr">
        <is>
          <t>-144Q2</t>
        </is>
      </c>
    </row>
    <row r="1667">
      <c r="A1667">
        <v>1666</v>
      </c>
      <c r="B1667">
        <f>GS47</f>
        <v>0</v>
      </c>
      <c r="C1667" t="inlineStr">
        <is>
          <t>+LS01</t>
        </is>
      </c>
      <c r="D1667" t="inlineStr">
        <is>
          <t>-144Q2</t>
        </is>
      </c>
      <c r="E1667" t="inlineStr">
        <is>
          <t>DILM-9-01</t>
        </is>
      </c>
      <c r="F1667" t="inlineStr">
        <is>
          <t>DILA-XHI22</t>
        </is>
      </c>
      <c r="G1667" t="inlineStr">
        <is>
          <t>LASTSCHUETZ</t>
        </is>
      </c>
      <c r="H1667" t="inlineStr">
        <is>
          <t>4kW 1Oe Federzugkl.</t>
        </is>
      </c>
      <c r="I1667">
        <v>458</v>
      </c>
      <c r="J1667">
        <f>GS47/144.3</f>
        <v>0</v>
      </c>
      <c r="M1667" t="inlineStr">
        <is>
          <t>-144Q2</t>
        </is>
      </c>
    </row>
    <row r="1668">
      <c r="A1668">
        <v>1667</v>
      </c>
      <c r="B1668">
        <f>GS47</f>
        <v>0</v>
      </c>
      <c r="C1668" t="inlineStr">
        <is>
          <t>+LS01</t>
        </is>
      </c>
      <c r="D1668" t="inlineStr">
        <is>
          <t>-144Q2</t>
        </is>
      </c>
      <c r="E1668" t="inlineStr">
        <is>
          <t>DILA-XHI22</t>
        </is>
      </c>
      <c r="F1668" t="inlineStr">
        <is>
          <t>DILA-XHI22</t>
        </is>
      </c>
      <c r="G1668" t="inlineStr">
        <is>
          <t>HILFSKONTAKTBLOCK</t>
        </is>
      </c>
      <c r="H1668" t="inlineStr">
        <is>
          <t>2S 2OE Last+Hilfssch. Cage</t>
        </is>
      </c>
      <c r="I1668">
        <v>458</v>
      </c>
      <c r="J1668">
        <f>GS47/144.3</f>
        <v>0</v>
      </c>
      <c r="M1668" t="inlineStr">
        <is>
          <t>-144Q2</t>
        </is>
      </c>
    </row>
    <row r="1669">
      <c r="A1669">
        <v>1668</v>
      </c>
      <c r="B1669">
        <f>GS48</f>
        <v>0</v>
      </c>
      <c r="C1669" t="inlineStr">
        <is>
          <t>+LS01</t>
        </is>
      </c>
      <c r="D1669" t="inlineStr">
        <is>
          <t>-144Q2</t>
        </is>
      </c>
      <c r="E1669" t="inlineStr">
        <is>
          <t>DILA-XHI22</t>
        </is>
      </c>
      <c r="F1669" t="inlineStr">
        <is>
          <t>DILA-XHI22</t>
        </is>
      </c>
      <c r="G1669" t="inlineStr">
        <is>
          <t>HILFSKONTAKTBLOCK</t>
        </is>
      </c>
      <c r="H1669" t="inlineStr">
        <is>
          <t>2S 2OE Last+Hilfssch. Cage</t>
        </is>
      </c>
      <c r="I1669">
        <v>296</v>
      </c>
      <c r="J1669">
        <f>GS48/144.3</f>
        <v>0</v>
      </c>
      <c r="M1669" t="inlineStr">
        <is>
          <t>-144Q2</t>
        </is>
      </c>
    </row>
    <row r="1670">
      <c r="A1670">
        <v>1669</v>
      </c>
      <c r="B1670">
        <f>GS48</f>
        <v>0</v>
      </c>
      <c r="C1670" t="inlineStr">
        <is>
          <t>+LS01</t>
        </is>
      </c>
      <c r="D1670" t="inlineStr">
        <is>
          <t>-144Q2</t>
        </is>
      </c>
      <c r="E1670" t="inlineStr">
        <is>
          <t>DILM-9-01</t>
        </is>
      </c>
      <c r="F1670" t="inlineStr">
        <is>
          <t>DILA-XHI22</t>
        </is>
      </c>
      <c r="G1670" t="inlineStr">
        <is>
          <t>LASTSCHUETZ</t>
        </is>
      </c>
      <c r="H1670" t="inlineStr">
        <is>
          <t>4kW 1Oe Federzugkl.</t>
        </is>
      </c>
      <c r="I1670">
        <v>296</v>
      </c>
      <c r="J1670">
        <f>GS48/144.3</f>
        <v>0</v>
      </c>
      <c r="M1670" t="inlineStr">
        <is>
          <t>-144Q2</t>
        </is>
      </c>
    </row>
    <row r="1671">
      <c r="A1671">
        <v>1670</v>
      </c>
      <c r="B1671">
        <f>GS49</f>
        <v>0</v>
      </c>
      <c r="C1671" t="inlineStr">
        <is>
          <t>+LS01</t>
        </is>
      </c>
      <c r="D1671" t="inlineStr">
        <is>
          <t>-144Q2</t>
        </is>
      </c>
      <c r="E1671" t="inlineStr">
        <is>
          <t>DILM-9-01</t>
        </is>
      </c>
      <c r="F1671" t="inlineStr">
        <is>
          <t>DILA-XHI22</t>
        </is>
      </c>
      <c r="G1671" t="inlineStr">
        <is>
          <t>LASTSCHUETZ</t>
        </is>
      </c>
      <c r="H1671" t="inlineStr">
        <is>
          <t>4kW 1Oe Federzugkl.</t>
        </is>
      </c>
      <c r="I1671">
        <v>295</v>
      </c>
      <c r="J1671">
        <f>GS49/144.3</f>
        <v>0</v>
      </c>
      <c r="M1671" t="inlineStr">
        <is>
          <t>-144Q2</t>
        </is>
      </c>
    </row>
    <row r="1672">
      <c r="A1672">
        <v>1671</v>
      </c>
      <c r="B1672">
        <f>GS49</f>
        <v>0</v>
      </c>
      <c r="C1672" t="inlineStr">
        <is>
          <t>+LS01</t>
        </is>
      </c>
      <c r="D1672" t="inlineStr">
        <is>
          <t>-144Q2</t>
        </is>
      </c>
      <c r="E1672" t="inlineStr">
        <is>
          <t>DILA-XHI22</t>
        </is>
      </c>
      <c r="F1672" t="inlineStr">
        <is>
          <t>DILA-XHI22</t>
        </is>
      </c>
      <c r="G1672" t="inlineStr">
        <is>
          <t>HILFSKONTAKTBLOCK</t>
        </is>
      </c>
      <c r="H1672" t="inlineStr">
        <is>
          <t>2S 2OE Last+Hilfssch. Cage</t>
        </is>
      </c>
      <c r="I1672">
        <v>295</v>
      </c>
      <c r="J1672">
        <f>GS49/144.3</f>
        <v>0</v>
      </c>
      <c r="M1672" t="inlineStr">
        <is>
          <t>-144Q2</t>
        </is>
      </c>
    </row>
    <row r="1673">
      <c r="A1673">
        <v>1672</v>
      </c>
      <c r="B1673">
        <f>GS46</f>
        <v>0</v>
      </c>
      <c r="C1673" t="inlineStr">
        <is>
          <t>+LS01</t>
        </is>
      </c>
      <c r="D1673" t="inlineStr">
        <is>
          <t>-144Q3</t>
        </is>
      </c>
      <c r="E1673" t="inlineStr">
        <is>
          <t>DILM-9-01</t>
        </is>
      </c>
      <c r="F1673" t="inlineStr">
        <is>
          <t>DILA-XHI22</t>
        </is>
      </c>
      <c r="G1673" t="inlineStr">
        <is>
          <t>LASTSCHUETZ</t>
        </is>
      </c>
      <c r="H1673" t="inlineStr">
        <is>
          <t>4kW 1Oe Federzugkl.</t>
        </is>
      </c>
      <c r="I1673">
        <v>458</v>
      </c>
      <c r="J1673">
        <f>GS46/144.3</f>
        <v>0</v>
      </c>
      <c r="M1673" t="inlineStr">
        <is>
          <t>-144Q3</t>
        </is>
      </c>
    </row>
    <row r="1674">
      <c r="A1674">
        <v>1673</v>
      </c>
      <c r="B1674">
        <f>GS46</f>
        <v>0</v>
      </c>
      <c r="C1674" t="inlineStr">
        <is>
          <t>+LS01</t>
        </is>
      </c>
      <c r="D1674" t="inlineStr">
        <is>
          <t>-144Q3</t>
        </is>
      </c>
      <c r="E1674" t="inlineStr">
        <is>
          <t>DILA-XHI22</t>
        </is>
      </c>
      <c r="F1674" t="inlineStr">
        <is>
          <t>DILA-XHI22</t>
        </is>
      </c>
      <c r="G1674" t="inlineStr">
        <is>
          <t>HILFSKONTAKTBLOCK</t>
        </is>
      </c>
      <c r="H1674" t="inlineStr">
        <is>
          <t>2S 2OE Last+Hilfssch. Cage</t>
        </is>
      </c>
      <c r="I1674">
        <v>458</v>
      </c>
      <c r="J1674">
        <f>GS46/144.3</f>
        <v>0</v>
      </c>
      <c r="M1674" t="inlineStr">
        <is>
          <t>-144Q3</t>
        </is>
      </c>
    </row>
    <row r="1675">
      <c r="A1675">
        <v>1674</v>
      </c>
      <c r="B1675">
        <f>GS47</f>
        <v>0</v>
      </c>
      <c r="C1675" t="inlineStr">
        <is>
          <t>+LS01</t>
        </is>
      </c>
      <c r="D1675" t="inlineStr">
        <is>
          <t>-144Q3</t>
        </is>
      </c>
      <c r="E1675" t="inlineStr">
        <is>
          <t>DILM-9-01</t>
        </is>
      </c>
      <c r="F1675" t="inlineStr">
        <is>
          <t>DILA-XHI22</t>
        </is>
      </c>
      <c r="G1675" t="inlineStr">
        <is>
          <t>LASTSCHUETZ</t>
        </is>
      </c>
      <c r="H1675" t="inlineStr">
        <is>
          <t>4kW 1Oe Federzugkl.</t>
        </is>
      </c>
      <c r="I1675">
        <v>458</v>
      </c>
      <c r="J1675">
        <f>GS47/144.3</f>
        <v>0</v>
      </c>
      <c r="M1675" t="inlineStr">
        <is>
          <t>-144Q3</t>
        </is>
      </c>
    </row>
    <row r="1676">
      <c r="A1676">
        <v>1675</v>
      </c>
      <c r="B1676">
        <f>GS47</f>
        <v>0</v>
      </c>
      <c r="C1676" t="inlineStr">
        <is>
          <t>+LS01</t>
        </is>
      </c>
      <c r="D1676" t="inlineStr">
        <is>
          <t>-144Q3</t>
        </is>
      </c>
      <c r="E1676" t="inlineStr">
        <is>
          <t>DILA-XHI22</t>
        </is>
      </c>
      <c r="F1676" t="inlineStr">
        <is>
          <t>DILA-XHI22</t>
        </is>
      </c>
      <c r="G1676" t="inlineStr">
        <is>
          <t>HILFSKONTAKTBLOCK</t>
        </is>
      </c>
      <c r="H1676" t="inlineStr">
        <is>
          <t>2S 2OE Last+Hilfssch. Cage</t>
        </is>
      </c>
      <c r="I1676">
        <v>458</v>
      </c>
      <c r="J1676">
        <f>GS47/144.3</f>
        <v>0</v>
      </c>
      <c r="M1676" t="inlineStr">
        <is>
          <t>-144Q3</t>
        </is>
      </c>
    </row>
    <row r="1677">
      <c r="A1677">
        <v>1676</v>
      </c>
      <c r="B1677">
        <f>GS48</f>
        <v>0</v>
      </c>
      <c r="C1677" t="inlineStr">
        <is>
          <t>+LS01</t>
        </is>
      </c>
      <c r="D1677" t="inlineStr">
        <is>
          <t>-144Q3</t>
        </is>
      </c>
      <c r="E1677" t="inlineStr">
        <is>
          <t>DILA-XHI22</t>
        </is>
      </c>
      <c r="F1677" t="inlineStr">
        <is>
          <t>DILA-XHI22</t>
        </is>
      </c>
      <c r="G1677" t="inlineStr">
        <is>
          <t>HILFSKONTAKTBLOCK</t>
        </is>
      </c>
      <c r="H1677" t="inlineStr">
        <is>
          <t>2S 2OE Last+Hilfssch. Cage</t>
        </is>
      </c>
      <c r="I1677">
        <v>296</v>
      </c>
      <c r="J1677">
        <f>GS48/144.3</f>
        <v>0</v>
      </c>
      <c r="M1677" t="inlineStr">
        <is>
          <t>-144Q3</t>
        </is>
      </c>
    </row>
    <row r="1678">
      <c r="A1678">
        <v>1677</v>
      </c>
      <c r="B1678">
        <f>GS48</f>
        <v>0</v>
      </c>
      <c r="C1678" t="inlineStr">
        <is>
          <t>+LS01</t>
        </is>
      </c>
      <c r="D1678" t="inlineStr">
        <is>
          <t>-144Q3</t>
        </is>
      </c>
      <c r="E1678" t="inlineStr">
        <is>
          <t>DILM-9-01</t>
        </is>
      </c>
      <c r="F1678" t="inlineStr">
        <is>
          <t>DILA-XHI22</t>
        </is>
      </c>
      <c r="G1678" t="inlineStr">
        <is>
          <t>LASTSCHUETZ</t>
        </is>
      </c>
      <c r="H1678" t="inlineStr">
        <is>
          <t>4kW 1Oe Federzugkl.</t>
        </is>
      </c>
      <c r="I1678">
        <v>296</v>
      </c>
      <c r="J1678">
        <f>GS48/144.3</f>
        <v>0</v>
      </c>
      <c r="M1678" t="inlineStr">
        <is>
          <t>-144Q3</t>
        </is>
      </c>
    </row>
    <row r="1679">
      <c r="A1679">
        <v>1678</v>
      </c>
      <c r="B1679">
        <f>GS49</f>
        <v>0</v>
      </c>
      <c r="C1679" t="inlineStr">
        <is>
          <t>+LS01</t>
        </is>
      </c>
      <c r="D1679" t="inlineStr">
        <is>
          <t>-144Q3</t>
        </is>
      </c>
      <c r="E1679" t="inlineStr">
        <is>
          <t>DILM-9-01</t>
        </is>
      </c>
      <c r="F1679" t="inlineStr">
        <is>
          <t>DILA-XHI22</t>
        </is>
      </c>
      <c r="G1679" t="inlineStr">
        <is>
          <t>LASTSCHUETZ</t>
        </is>
      </c>
      <c r="H1679" t="inlineStr">
        <is>
          <t>4kW 1Oe Federzugkl.</t>
        </is>
      </c>
      <c r="I1679">
        <v>295</v>
      </c>
      <c r="J1679">
        <f>GS49/144.3</f>
        <v>0</v>
      </c>
      <c r="M1679" t="inlineStr">
        <is>
          <t>-144Q3</t>
        </is>
      </c>
    </row>
    <row r="1680">
      <c r="A1680">
        <v>1679</v>
      </c>
      <c r="B1680">
        <f>GS49</f>
        <v>0</v>
      </c>
      <c r="C1680" t="inlineStr">
        <is>
          <t>+LS01</t>
        </is>
      </c>
      <c r="D1680" t="inlineStr">
        <is>
          <t>-144Q3</t>
        </is>
      </c>
      <c r="E1680" t="inlineStr">
        <is>
          <t>DILA-XHI22</t>
        </is>
      </c>
      <c r="F1680" t="inlineStr">
        <is>
          <t>DILA-XHI22</t>
        </is>
      </c>
      <c r="G1680" t="inlineStr">
        <is>
          <t>HILFSKONTAKTBLOCK</t>
        </is>
      </c>
      <c r="H1680" t="inlineStr">
        <is>
          <t>2S 2OE Last+Hilfssch. Cage</t>
        </is>
      </c>
      <c r="I1680">
        <v>295</v>
      </c>
      <c r="J1680">
        <f>GS49/144.3</f>
        <v>0</v>
      </c>
      <c r="M1680" t="inlineStr">
        <is>
          <t>-144Q3</t>
        </is>
      </c>
    </row>
    <row r="1681">
      <c r="A1681">
        <v>1680</v>
      </c>
      <c r="B1681">
        <f>GS46</f>
        <v>0</v>
      </c>
      <c r="C1681" t="inlineStr">
        <is>
          <t>+LS01</t>
        </is>
      </c>
      <c r="D1681" t="inlineStr">
        <is>
          <t>-144Q4</t>
        </is>
      </c>
      <c r="E1681" t="inlineStr">
        <is>
          <t>DILM-9-01</t>
        </is>
      </c>
      <c r="F1681" t="inlineStr">
        <is>
          <t>DILA-XHI22</t>
        </is>
      </c>
      <c r="G1681" t="inlineStr">
        <is>
          <t>LASTSCHUETZ</t>
        </is>
      </c>
      <c r="H1681" t="inlineStr">
        <is>
          <t>4kW 1Oe Federzugkl.</t>
        </is>
      </c>
      <c r="I1681">
        <v>458</v>
      </c>
      <c r="J1681">
        <f>GS46/144.4</f>
        <v>0</v>
      </c>
      <c r="M1681" t="inlineStr">
        <is>
          <t>-144Q4</t>
        </is>
      </c>
    </row>
    <row r="1682">
      <c r="A1682">
        <v>1681</v>
      </c>
      <c r="B1682">
        <f>GS46</f>
        <v>0</v>
      </c>
      <c r="C1682" t="inlineStr">
        <is>
          <t>+LS01</t>
        </is>
      </c>
      <c r="D1682" t="inlineStr">
        <is>
          <t>-144Q4</t>
        </is>
      </c>
      <c r="E1682" t="inlineStr">
        <is>
          <t>DILA-XHI22</t>
        </is>
      </c>
      <c r="F1682" t="inlineStr">
        <is>
          <t>DILA-XHI22</t>
        </is>
      </c>
      <c r="G1682" t="inlineStr">
        <is>
          <t>HILFSKONTAKTBLOCK</t>
        </is>
      </c>
      <c r="H1682" t="inlineStr">
        <is>
          <t>2S 2OE Last+Hilfssch. Cage</t>
        </is>
      </c>
      <c r="I1682">
        <v>458</v>
      </c>
      <c r="J1682">
        <f>GS46/144.4</f>
        <v>0</v>
      </c>
      <c r="M1682" t="inlineStr">
        <is>
          <t>-144Q4</t>
        </is>
      </c>
    </row>
    <row r="1683">
      <c r="A1683">
        <v>1682</v>
      </c>
      <c r="B1683">
        <f>GS47</f>
        <v>0</v>
      </c>
      <c r="C1683" t="inlineStr">
        <is>
          <t>+LS01</t>
        </is>
      </c>
      <c r="D1683" t="inlineStr">
        <is>
          <t>-144Q4</t>
        </is>
      </c>
      <c r="E1683" t="inlineStr">
        <is>
          <t>DILM-9-01</t>
        </is>
      </c>
      <c r="F1683" t="inlineStr">
        <is>
          <t>DILA-XHI22</t>
        </is>
      </c>
      <c r="G1683" t="inlineStr">
        <is>
          <t>LASTSCHUETZ</t>
        </is>
      </c>
      <c r="H1683" t="inlineStr">
        <is>
          <t>4kW 1Oe Federzugkl.</t>
        </is>
      </c>
      <c r="I1683">
        <v>458</v>
      </c>
      <c r="J1683">
        <f>GS47/144.4</f>
        <v>0</v>
      </c>
      <c r="M1683" t="inlineStr">
        <is>
          <t>-144Q4</t>
        </is>
      </c>
    </row>
    <row r="1684">
      <c r="A1684">
        <v>1683</v>
      </c>
      <c r="B1684">
        <f>GS47</f>
        <v>0</v>
      </c>
      <c r="C1684" t="inlineStr">
        <is>
          <t>+LS01</t>
        </is>
      </c>
      <c r="D1684" t="inlineStr">
        <is>
          <t>-144Q4</t>
        </is>
      </c>
      <c r="E1684" t="inlineStr">
        <is>
          <t>DILA-XHI22</t>
        </is>
      </c>
      <c r="F1684" t="inlineStr">
        <is>
          <t>DILA-XHI22</t>
        </is>
      </c>
      <c r="G1684" t="inlineStr">
        <is>
          <t>HILFSKONTAKTBLOCK</t>
        </is>
      </c>
      <c r="H1684" t="inlineStr">
        <is>
          <t>2S 2OE Last+Hilfssch. Cage</t>
        </is>
      </c>
      <c r="I1684">
        <v>458</v>
      </c>
      <c r="J1684">
        <f>GS47/144.4</f>
        <v>0</v>
      </c>
      <c r="M1684" t="inlineStr">
        <is>
          <t>-144Q4</t>
        </is>
      </c>
    </row>
    <row r="1685">
      <c r="A1685">
        <v>1684</v>
      </c>
      <c r="B1685">
        <f>GS48</f>
        <v>0</v>
      </c>
      <c r="C1685" t="inlineStr">
        <is>
          <t>+LS01</t>
        </is>
      </c>
      <c r="D1685" t="inlineStr">
        <is>
          <t>-144Q4</t>
        </is>
      </c>
      <c r="E1685" t="inlineStr">
        <is>
          <t>DILA-XHI22</t>
        </is>
      </c>
      <c r="F1685" t="inlineStr">
        <is>
          <t>DILA-XHI22</t>
        </is>
      </c>
      <c r="G1685" t="inlineStr">
        <is>
          <t>HILFSKONTAKTBLOCK</t>
        </is>
      </c>
      <c r="H1685" t="inlineStr">
        <is>
          <t>2S 2OE Last+Hilfssch. Cage</t>
        </is>
      </c>
      <c r="I1685">
        <v>296</v>
      </c>
      <c r="J1685">
        <f>GS48/144.4</f>
        <v>0</v>
      </c>
      <c r="M1685" t="inlineStr">
        <is>
          <t>-144Q4</t>
        </is>
      </c>
    </row>
    <row r="1686">
      <c r="A1686">
        <v>1685</v>
      </c>
      <c r="B1686">
        <f>GS48</f>
        <v>0</v>
      </c>
      <c r="C1686" t="inlineStr">
        <is>
          <t>+LS01</t>
        </is>
      </c>
      <c r="D1686" t="inlineStr">
        <is>
          <t>-144Q4</t>
        </is>
      </c>
      <c r="E1686" t="inlineStr">
        <is>
          <t>DILM-9-01</t>
        </is>
      </c>
      <c r="F1686" t="inlineStr">
        <is>
          <t>DILA-XHI22</t>
        </is>
      </c>
      <c r="G1686" t="inlineStr">
        <is>
          <t>LASTSCHUETZ</t>
        </is>
      </c>
      <c r="H1686" t="inlineStr">
        <is>
          <t>4kW 1Oe Federzugkl.</t>
        </is>
      </c>
      <c r="I1686">
        <v>296</v>
      </c>
      <c r="J1686">
        <f>GS48/144.4</f>
        <v>0</v>
      </c>
      <c r="M1686" t="inlineStr">
        <is>
          <t>-144Q4</t>
        </is>
      </c>
    </row>
    <row r="1687">
      <c r="A1687">
        <v>1686</v>
      </c>
      <c r="B1687">
        <f>GS49</f>
        <v>0</v>
      </c>
      <c r="C1687" t="inlineStr">
        <is>
          <t>+LS01</t>
        </is>
      </c>
      <c r="D1687" t="inlineStr">
        <is>
          <t>-144Q4</t>
        </is>
      </c>
      <c r="E1687" t="inlineStr">
        <is>
          <t>DILM-9-01</t>
        </is>
      </c>
      <c r="F1687" t="inlineStr">
        <is>
          <t>DILA-XHI22</t>
        </is>
      </c>
      <c r="G1687" t="inlineStr">
        <is>
          <t>LASTSCHUETZ</t>
        </is>
      </c>
      <c r="H1687" t="inlineStr">
        <is>
          <t>4kW 1Oe Federzugkl.</t>
        </is>
      </c>
      <c r="I1687">
        <v>295</v>
      </c>
      <c r="J1687">
        <f>GS49/144.4</f>
        <v>0</v>
      </c>
      <c r="M1687" t="inlineStr">
        <is>
          <t>-144Q4</t>
        </is>
      </c>
    </row>
    <row r="1688">
      <c r="A1688">
        <v>1687</v>
      </c>
      <c r="B1688">
        <f>GS49</f>
        <v>0</v>
      </c>
      <c r="C1688" t="inlineStr">
        <is>
          <t>+LS01</t>
        </is>
      </c>
      <c r="D1688" t="inlineStr">
        <is>
          <t>-144Q4</t>
        </is>
      </c>
      <c r="E1688" t="inlineStr">
        <is>
          <t>DILA-XHI22</t>
        </is>
      </c>
      <c r="F1688" t="inlineStr">
        <is>
          <t>DILA-XHI22</t>
        </is>
      </c>
      <c r="G1688" t="inlineStr">
        <is>
          <t>HILFSKONTAKTBLOCK</t>
        </is>
      </c>
      <c r="H1688" t="inlineStr">
        <is>
          <t>2S 2OE Last+Hilfssch. Cage</t>
        </is>
      </c>
      <c r="I1688">
        <v>295</v>
      </c>
      <c r="J1688">
        <f>GS49/144.4</f>
        <v>0</v>
      </c>
      <c r="M1688" t="inlineStr">
        <is>
          <t>-144Q4</t>
        </is>
      </c>
    </row>
    <row r="1689">
      <c r="A1689">
        <v>1688</v>
      </c>
      <c r="B1689">
        <f>GS46</f>
        <v>0</v>
      </c>
      <c r="C1689" t="inlineStr">
        <is>
          <t>+LS01</t>
        </is>
      </c>
      <c r="D1689" t="inlineStr">
        <is>
          <t>-144Q5</t>
        </is>
      </c>
      <c r="E1689" t="inlineStr">
        <is>
          <t>DILMC40(RDC24)</t>
        </is>
      </c>
      <c r="F1689" t="inlineStr">
        <is>
          <t>DILM150-XHIC22</t>
        </is>
      </c>
      <c r="G1689" t="inlineStr">
        <is>
          <t>LASTSCHUETZ</t>
        </is>
      </c>
      <c r="H1689" t="inlineStr">
        <is>
          <t>18,5kW Federzugkl.</t>
        </is>
      </c>
      <c r="I1689">
        <v>458</v>
      </c>
      <c r="J1689">
        <f>GS46/144.4</f>
        <v>0</v>
      </c>
      <c r="K1689" t="inlineStr">
        <is>
          <t>DIL MC40</t>
        </is>
      </c>
      <c r="M1689" t="inlineStr">
        <is>
          <t>-144Q5</t>
        </is>
      </c>
    </row>
    <row r="1690">
      <c r="A1690">
        <v>1689</v>
      </c>
      <c r="B1690">
        <f>GS46</f>
        <v>0</v>
      </c>
      <c r="C1690" t="inlineStr">
        <is>
          <t>+LS01</t>
        </is>
      </c>
      <c r="D1690" t="inlineStr">
        <is>
          <t>-144Q5</t>
        </is>
      </c>
      <c r="E1690" t="inlineStr">
        <is>
          <t>DILM150-XHIC22</t>
        </is>
      </c>
      <c r="F1690" t="inlineStr">
        <is>
          <t>DILM150-XHIC22</t>
        </is>
      </c>
      <c r="G1690" t="inlineStr">
        <is>
          <t>HILFSKONTAKTBLOCK</t>
        </is>
      </c>
      <c r="H1690" t="inlineStr">
        <is>
          <t>2S 2OE ab DILMC40</t>
        </is>
      </c>
      <c r="I1690">
        <v>458</v>
      </c>
      <c r="J1690">
        <f>GS46/144.4</f>
        <v>0</v>
      </c>
      <c r="K1690" t="inlineStr">
        <is>
          <t>DIL MC40</t>
        </is>
      </c>
      <c r="M1690" t="inlineStr">
        <is>
          <t>-144Q5</t>
        </is>
      </c>
    </row>
    <row r="1691">
      <c r="A1691">
        <v>1690</v>
      </c>
      <c r="B1691">
        <f>GS47</f>
        <v>0</v>
      </c>
      <c r="C1691" t="inlineStr">
        <is>
          <t>+LS01</t>
        </is>
      </c>
      <c r="D1691" t="inlineStr">
        <is>
          <t>-144Q5</t>
        </is>
      </c>
      <c r="E1691" t="inlineStr">
        <is>
          <t>DILM150-XHIC22</t>
        </is>
      </c>
      <c r="F1691" t="inlineStr">
        <is>
          <t>DILM150-XHIC22</t>
        </is>
      </c>
      <c r="G1691" t="inlineStr">
        <is>
          <t>HILFSKONTAKTBLOCK</t>
        </is>
      </c>
      <c r="H1691" t="inlineStr">
        <is>
          <t>2S 2OE ab DILMC40</t>
        </is>
      </c>
      <c r="I1691">
        <v>458</v>
      </c>
      <c r="J1691">
        <f>GS47/144.5</f>
        <v>0</v>
      </c>
      <c r="K1691" t="inlineStr">
        <is>
          <t>DIL MC40</t>
        </is>
      </c>
      <c r="M1691" t="inlineStr">
        <is>
          <t>-144Q5</t>
        </is>
      </c>
    </row>
    <row r="1692">
      <c r="A1692">
        <v>1691</v>
      </c>
      <c r="B1692">
        <f>GS47</f>
        <v>0</v>
      </c>
      <c r="C1692" t="inlineStr">
        <is>
          <t>+LS01</t>
        </is>
      </c>
      <c r="D1692" t="inlineStr">
        <is>
          <t>-144Q5</t>
        </is>
      </c>
      <c r="E1692" t="inlineStr">
        <is>
          <t>DILMC40(RDC24)</t>
        </is>
      </c>
      <c r="F1692" t="inlineStr">
        <is>
          <t>DILM150-XHIC22</t>
        </is>
      </c>
      <c r="G1692" t="inlineStr">
        <is>
          <t>LASTSCHUETZ</t>
        </is>
      </c>
      <c r="H1692" t="inlineStr">
        <is>
          <t>18,5kW Federzugkl.</t>
        </is>
      </c>
      <c r="I1692">
        <v>458</v>
      </c>
      <c r="J1692">
        <f>GS47/144.5</f>
        <v>0</v>
      </c>
      <c r="K1692" t="inlineStr">
        <is>
          <t>DIL MC40</t>
        </is>
      </c>
      <c r="M1692" t="inlineStr">
        <is>
          <t>-144Q5</t>
        </is>
      </c>
    </row>
    <row r="1693">
      <c r="A1693">
        <v>1692</v>
      </c>
      <c r="B1693">
        <f>GS48</f>
        <v>0</v>
      </c>
      <c r="C1693" t="inlineStr">
        <is>
          <t>+LS01</t>
        </is>
      </c>
      <c r="D1693" t="inlineStr">
        <is>
          <t>-144Q5</t>
        </is>
      </c>
      <c r="E1693" t="inlineStr">
        <is>
          <t>DILMC40(RDC24)</t>
        </is>
      </c>
      <c r="F1693" t="inlineStr">
        <is>
          <t>DILM150-XHIC22</t>
        </is>
      </c>
      <c r="G1693" t="inlineStr">
        <is>
          <t>LASTSCHUETZ</t>
        </is>
      </c>
      <c r="H1693" t="inlineStr">
        <is>
          <t>18,5kW Federzugkl.</t>
        </is>
      </c>
      <c r="I1693">
        <v>296</v>
      </c>
      <c r="J1693">
        <f>GS48/144.5</f>
        <v>0</v>
      </c>
      <c r="K1693" t="inlineStr">
        <is>
          <t>DIL MC40</t>
        </is>
      </c>
      <c r="M1693" t="inlineStr">
        <is>
          <t>-144Q5</t>
        </is>
      </c>
    </row>
    <row r="1694">
      <c r="A1694">
        <v>1693</v>
      </c>
      <c r="B1694">
        <f>GS48</f>
        <v>0</v>
      </c>
      <c r="C1694" t="inlineStr">
        <is>
          <t>+LS01</t>
        </is>
      </c>
      <c r="D1694" t="inlineStr">
        <is>
          <t>-144Q5</t>
        </is>
      </c>
      <c r="E1694" t="inlineStr">
        <is>
          <t>DILM150-XHIC22</t>
        </is>
      </c>
      <c r="F1694" t="inlineStr">
        <is>
          <t>DILM150-XHIC22</t>
        </is>
      </c>
      <c r="G1694" t="inlineStr">
        <is>
          <t>HILFSKONTAKTBLOCK</t>
        </is>
      </c>
      <c r="H1694" t="inlineStr">
        <is>
          <t>2S 2OE ab DILMC40</t>
        </is>
      </c>
      <c r="I1694">
        <v>296</v>
      </c>
      <c r="J1694">
        <f>GS48/144.5</f>
        <v>0</v>
      </c>
      <c r="K1694" t="inlineStr">
        <is>
          <t>DIL MC40</t>
        </is>
      </c>
      <c r="M1694" t="inlineStr">
        <is>
          <t>-144Q5</t>
        </is>
      </c>
    </row>
    <row r="1695">
      <c r="A1695">
        <v>1694</v>
      </c>
      <c r="B1695">
        <f>GS49</f>
        <v>0</v>
      </c>
      <c r="C1695" t="inlineStr">
        <is>
          <t>+LS01</t>
        </is>
      </c>
      <c r="D1695" t="inlineStr">
        <is>
          <t>-144Q5</t>
        </is>
      </c>
      <c r="E1695" t="inlineStr">
        <is>
          <t>DILMC40(RDC24)</t>
        </is>
      </c>
      <c r="F1695" t="inlineStr">
        <is>
          <t>DILM150-XHIC22</t>
        </is>
      </c>
      <c r="G1695" t="inlineStr">
        <is>
          <t>LASTSCHUETZ</t>
        </is>
      </c>
      <c r="H1695" t="inlineStr">
        <is>
          <t>18,5kW Federzugkl.</t>
        </is>
      </c>
      <c r="I1695">
        <v>295</v>
      </c>
      <c r="J1695">
        <f>GS49/144.5</f>
        <v>0</v>
      </c>
      <c r="K1695" t="inlineStr">
        <is>
          <t>DIL MC40</t>
        </is>
      </c>
      <c r="M1695" t="inlineStr">
        <is>
          <t>-144Q5</t>
        </is>
      </c>
    </row>
    <row r="1696">
      <c r="A1696">
        <v>1695</v>
      </c>
      <c r="B1696">
        <f>GS49</f>
        <v>0</v>
      </c>
      <c r="C1696" t="inlineStr">
        <is>
          <t>+LS01</t>
        </is>
      </c>
      <c r="D1696" t="inlineStr">
        <is>
          <t>-144Q5</t>
        </is>
      </c>
      <c r="E1696" t="inlineStr">
        <is>
          <t>DILM150-XHIC22</t>
        </is>
      </c>
      <c r="F1696" t="inlineStr">
        <is>
          <t>DILM150-XHIC22</t>
        </is>
      </c>
      <c r="G1696" t="inlineStr">
        <is>
          <t>HILFSKONTAKTBLOCK</t>
        </is>
      </c>
      <c r="H1696" t="inlineStr">
        <is>
          <t>2S 2OE ab DILMC40</t>
        </is>
      </c>
      <c r="I1696">
        <v>295</v>
      </c>
      <c r="J1696">
        <f>GS49/144.5</f>
        <v>0</v>
      </c>
      <c r="K1696" t="inlineStr">
        <is>
          <t>DIL MC40</t>
        </is>
      </c>
      <c r="M1696" t="inlineStr">
        <is>
          <t>-144Q5</t>
        </is>
      </c>
    </row>
    <row r="1697">
      <c r="A1697">
        <v>1696</v>
      </c>
      <c r="B1697">
        <f>GS46</f>
        <v>0</v>
      </c>
      <c r="C1697" t="inlineStr">
        <is>
          <t>+LS01</t>
        </is>
      </c>
      <c r="D1697" t="inlineStr">
        <is>
          <t>-144Q6</t>
        </is>
      </c>
      <c r="E1697" t="inlineStr">
        <is>
          <t>DILMC40(RDC24)</t>
        </is>
      </c>
      <c r="F1697" t="inlineStr">
        <is>
          <t>DILM150-XHIC22</t>
        </is>
      </c>
      <c r="G1697" t="inlineStr">
        <is>
          <t>LASTSCHUETZ</t>
        </is>
      </c>
      <c r="H1697" t="inlineStr">
        <is>
          <t>18,5kW Federzugkl.</t>
        </is>
      </c>
      <c r="I1697">
        <v>458</v>
      </c>
      <c r="J1697">
        <f>GS46/144.6</f>
        <v>0</v>
      </c>
      <c r="K1697" t="inlineStr">
        <is>
          <t>DIL MC40</t>
        </is>
      </c>
      <c r="M1697" t="inlineStr">
        <is>
          <t>-144Q6</t>
        </is>
      </c>
    </row>
    <row r="1698">
      <c r="A1698">
        <v>1697</v>
      </c>
      <c r="B1698">
        <f>GS46</f>
        <v>0</v>
      </c>
      <c r="C1698" t="inlineStr">
        <is>
          <t>+LS01</t>
        </is>
      </c>
      <c r="D1698" t="inlineStr">
        <is>
          <t>-144Q6</t>
        </is>
      </c>
      <c r="E1698" t="inlineStr">
        <is>
          <t>DILM150-XHIC22</t>
        </is>
      </c>
      <c r="F1698" t="inlineStr">
        <is>
          <t>DILM150-XHIC22</t>
        </is>
      </c>
      <c r="G1698" t="inlineStr">
        <is>
          <t>HILFSKONTAKTBLOCK</t>
        </is>
      </c>
      <c r="H1698" t="inlineStr">
        <is>
          <t>2S 2OE ab DILMC40</t>
        </is>
      </c>
      <c r="I1698">
        <v>458</v>
      </c>
      <c r="J1698">
        <f>GS46/144.6</f>
        <v>0</v>
      </c>
      <c r="K1698" t="inlineStr">
        <is>
          <t>DIL MC40</t>
        </is>
      </c>
      <c r="M1698" t="inlineStr">
        <is>
          <t>-144Q6</t>
        </is>
      </c>
    </row>
    <row r="1699">
      <c r="A1699">
        <v>1698</v>
      </c>
      <c r="B1699">
        <f>GS47</f>
        <v>0</v>
      </c>
      <c r="C1699" t="inlineStr">
        <is>
          <t>+LS01</t>
        </is>
      </c>
      <c r="D1699" t="inlineStr">
        <is>
          <t>-144Q6</t>
        </is>
      </c>
      <c r="E1699" t="inlineStr">
        <is>
          <t>DILM150-XHIC22</t>
        </is>
      </c>
      <c r="F1699" t="inlineStr">
        <is>
          <t>DILM150-XHIC22</t>
        </is>
      </c>
      <c r="G1699" t="inlineStr">
        <is>
          <t>HILFSKONTAKTBLOCK</t>
        </is>
      </c>
      <c r="H1699" t="inlineStr">
        <is>
          <t>2S 2OE ab DILMC40</t>
        </is>
      </c>
      <c r="I1699">
        <v>458</v>
      </c>
      <c r="J1699">
        <f>GS47/144.6</f>
        <v>0</v>
      </c>
      <c r="K1699" t="inlineStr">
        <is>
          <t>DIL MC40</t>
        </is>
      </c>
      <c r="M1699" t="inlineStr">
        <is>
          <t>-144Q6</t>
        </is>
      </c>
    </row>
    <row r="1700">
      <c r="A1700">
        <v>1699</v>
      </c>
      <c r="B1700">
        <f>GS47</f>
        <v>0</v>
      </c>
      <c r="C1700" t="inlineStr">
        <is>
          <t>+LS01</t>
        </is>
      </c>
      <c r="D1700" t="inlineStr">
        <is>
          <t>-144Q6</t>
        </is>
      </c>
      <c r="E1700" t="inlineStr">
        <is>
          <t>DILMC40(RDC24)</t>
        </is>
      </c>
      <c r="F1700" t="inlineStr">
        <is>
          <t>DILM150-XHIC22</t>
        </is>
      </c>
      <c r="G1700" t="inlineStr">
        <is>
          <t>LASTSCHUETZ</t>
        </is>
      </c>
      <c r="H1700" t="inlineStr">
        <is>
          <t>18,5kW Federzugkl.</t>
        </is>
      </c>
      <c r="I1700">
        <v>458</v>
      </c>
      <c r="J1700">
        <f>GS47/144.6</f>
        <v>0</v>
      </c>
      <c r="K1700" t="inlineStr">
        <is>
          <t>DIL MC40</t>
        </is>
      </c>
      <c r="M1700" t="inlineStr">
        <is>
          <t>-144Q6</t>
        </is>
      </c>
    </row>
    <row r="1701">
      <c r="A1701">
        <v>1700</v>
      </c>
      <c r="B1701">
        <f>GS48</f>
        <v>0</v>
      </c>
      <c r="C1701" t="inlineStr">
        <is>
          <t>+LS01</t>
        </is>
      </c>
      <c r="D1701" t="inlineStr">
        <is>
          <t>-144Q6</t>
        </is>
      </c>
      <c r="E1701" t="inlineStr">
        <is>
          <t>DILMC40(RDC24)</t>
        </is>
      </c>
      <c r="F1701" t="inlineStr">
        <is>
          <t>DILM150-XHIC22</t>
        </is>
      </c>
      <c r="G1701" t="inlineStr">
        <is>
          <t>LASTSCHUETZ</t>
        </is>
      </c>
      <c r="H1701" t="inlineStr">
        <is>
          <t>18,5kW Federzugkl.</t>
        </is>
      </c>
      <c r="I1701">
        <v>296</v>
      </c>
      <c r="J1701">
        <f>GS48/144.6</f>
        <v>0</v>
      </c>
      <c r="K1701" t="inlineStr">
        <is>
          <t>DIL MC40</t>
        </is>
      </c>
      <c r="M1701" t="inlineStr">
        <is>
          <t>-144Q6</t>
        </is>
      </c>
    </row>
    <row r="1702">
      <c r="A1702">
        <v>1701</v>
      </c>
      <c r="B1702">
        <f>GS48</f>
        <v>0</v>
      </c>
      <c r="C1702" t="inlineStr">
        <is>
          <t>+LS01</t>
        </is>
      </c>
      <c r="D1702" t="inlineStr">
        <is>
          <t>-144Q6</t>
        </is>
      </c>
      <c r="E1702" t="inlineStr">
        <is>
          <t>DILM150-XHIC22</t>
        </is>
      </c>
      <c r="F1702" t="inlineStr">
        <is>
          <t>DILM150-XHIC22</t>
        </is>
      </c>
      <c r="G1702" t="inlineStr">
        <is>
          <t>HILFSKONTAKTBLOCK</t>
        </is>
      </c>
      <c r="H1702" t="inlineStr">
        <is>
          <t>2S 2OE ab DILMC40</t>
        </is>
      </c>
      <c r="I1702">
        <v>296</v>
      </c>
      <c r="J1702">
        <f>GS48/144.6</f>
        <v>0</v>
      </c>
      <c r="K1702" t="inlineStr">
        <is>
          <t>DIL MC40</t>
        </is>
      </c>
      <c r="M1702" t="inlineStr">
        <is>
          <t>-144Q6</t>
        </is>
      </c>
    </row>
    <row r="1703">
      <c r="A1703">
        <v>1702</v>
      </c>
      <c r="B1703">
        <f>GS49</f>
        <v>0</v>
      </c>
      <c r="C1703" t="inlineStr">
        <is>
          <t>+LS01</t>
        </is>
      </c>
      <c r="D1703" t="inlineStr">
        <is>
          <t>-144Q6</t>
        </is>
      </c>
      <c r="E1703" t="inlineStr">
        <is>
          <t>DILMC40(RDC24)</t>
        </is>
      </c>
      <c r="F1703" t="inlineStr">
        <is>
          <t>DILM150-XHIC22</t>
        </is>
      </c>
      <c r="G1703" t="inlineStr">
        <is>
          <t>LASTSCHUETZ</t>
        </is>
      </c>
      <c r="H1703" t="inlineStr">
        <is>
          <t>18,5kW Federzugkl.</t>
        </is>
      </c>
      <c r="I1703">
        <v>295</v>
      </c>
      <c r="J1703">
        <f>GS49/144.6</f>
        <v>0</v>
      </c>
      <c r="K1703" t="inlineStr">
        <is>
          <t>DIL MC40</t>
        </is>
      </c>
      <c r="M1703" t="inlineStr">
        <is>
          <t>-144Q6</t>
        </is>
      </c>
    </row>
    <row r="1704">
      <c r="A1704">
        <v>1703</v>
      </c>
      <c r="B1704">
        <f>GS49</f>
        <v>0</v>
      </c>
      <c r="C1704" t="inlineStr">
        <is>
          <t>+LS01</t>
        </is>
      </c>
      <c r="D1704" t="inlineStr">
        <is>
          <t>-144Q6</t>
        </is>
      </c>
      <c r="E1704" t="inlineStr">
        <is>
          <t>DILM150-XHIC22</t>
        </is>
      </c>
      <c r="F1704" t="inlineStr">
        <is>
          <t>DILM150-XHIC22</t>
        </is>
      </c>
      <c r="G1704" t="inlineStr">
        <is>
          <t>HILFSKONTAKTBLOCK</t>
        </is>
      </c>
      <c r="H1704" t="inlineStr">
        <is>
          <t>2S 2OE ab DILMC40</t>
        </is>
      </c>
      <c r="I1704">
        <v>295</v>
      </c>
      <c r="J1704">
        <f>GS49/144.6</f>
        <v>0</v>
      </c>
      <c r="K1704" t="inlineStr">
        <is>
          <t>DIL MC40</t>
        </is>
      </c>
      <c r="M1704" t="inlineStr">
        <is>
          <t>-144Q6</t>
        </is>
      </c>
    </row>
    <row r="1705">
      <c r="A1705">
        <v>1704</v>
      </c>
      <c r="B1705">
        <f>GS46</f>
        <v>0</v>
      </c>
      <c r="C1705" t="inlineStr">
        <is>
          <t>+LS01</t>
        </is>
      </c>
      <c r="D1705" t="inlineStr">
        <is>
          <t>-144Q7</t>
        </is>
      </c>
      <c r="E1705" t="inlineStr">
        <is>
          <t>DILMC40(RDC24)</t>
        </is>
      </c>
      <c r="F1705" t="inlineStr">
        <is>
          <t>DILM150-XHIC22</t>
        </is>
      </c>
      <c r="G1705" t="inlineStr">
        <is>
          <t>LASTSCHUETZ</t>
        </is>
      </c>
      <c r="H1705" t="inlineStr">
        <is>
          <t>18,5kW Federzugkl.</t>
        </is>
      </c>
      <c r="I1705">
        <v>458</v>
      </c>
      <c r="J1705">
        <f>GS46/144.7</f>
        <v>0</v>
      </c>
      <c r="K1705" t="inlineStr">
        <is>
          <t>DIL MC40</t>
        </is>
      </c>
      <c r="M1705" t="inlineStr">
        <is>
          <t>-144Q7</t>
        </is>
      </c>
    </row>
    <row r="1706">
      <c r="A1706">
        <v>1705</v>
      </c>
      <c r="B1706">
        <f>GS46</f>
        <v>0</v>
      </c>
      <c r="C1706" t="inlineStr">
        <is>
          <t>+LS01</t>
        </is>
      </c>
      <c r="D1706" t="inlineStr">
        <is>
          <t>-144Q7</t>
        </is>
      </c>
      <c r="E1706" t="inlineStr">
        <is>
          <t>DILM150-XHIC22</t>
        </is>
      </c>
      <c r="F1706" t="inlineStr">
        <is>
          <t>DILM150-XHIC22</t>
        </is>
      </c>
      <c r="G1706" t="inlineStr">
        <is>
          <t>HILFSKONTAKTBLOCK</t>
        </is>
      </c>
      <c r="H1706" t="inlineStr">
        <is>
          <t>2S 2OE ab DILMC40</t>
        </is>
      </c>
      <c r="I1706">
        <v>458</v>
      </c>
      <c r="J1706">
        <f>GS46/144.7</f>
        <v>0</v>
      </c>
      <c r="K1706" t="inlineStr">
        <is>
          <t>DIL MC40</t>
        </is>
      </c>
      <c r="M1706" t="inlineStr">
        <is>
          <t>-144Q7</t>
        </is>
      </c>
    </row>
    <row r="1707">
      <c r="A1707">
        <v>1706</v>
      </c>
      <c r="B1707">
        <f>GS47</f>
        <v>0</v>
      </c>
      <c r="C1707" t="inlineStr">
        <is>
          <t>+LS01</t>
        </is>
      </c>
      <c r="D1707" t="inlineStr">
        <is>
          <t>-144Q7</t>
        </is>
      </c>
      <c r="E1707" t="inlineStr">
        <is>
          <t>DILM150-XHIC22</t>
        </is>
      </c>
      <c r="F1707" t="inlineStr">
        <is>
          <t>DILM150-XHIC22</t>
        </is>
      </c>
      <c r="G1707" t="inlineStr">
        <is>
          <t>HILFSKONTAKTBLOCK</t>
        </is>
      </c>
      <c r="H1707" t="inlineStr">
        <is>
          <t>2S 2OE ab DILMC40</t>
        </is>
      </c>
      <c r="I1707">
        <v>458</v>
      </c>
      <c r="J1707">
        <f>GS47/144.7</f>
        <v>0</v>
      </c>
      <c r="K1707" t="inlineStr">
        <is>
          <t>DIL MC40</t>
        </is>
      </c>
      <c r="M1707" t="inlineStr">
        <is>
          <t>-144Q7</t>
        </is>
      </c>
    </row>
    <row r="1708">
      <c r="A1708">
        <v>1707</v>
      </c>
      <c r="B1708">
        <f>GS47</f>
        <v>0</v>
      </c>
      <c r="C1708" t="inlineStr">
        <is>
          <t>+LS01</t>
        </is>
      </c>
      <c r="D1708" t="inlineStr">
        <is>
          <t>-144Q7</t>
        </is>
      </c>
      <c r="E1708" t="inlineStr">
        <is>
          <t>DILMC40(RDC24)</t>
        </is>
      </c>
      <c r="F1708" t="inlineStr">
        <is>
          <t>DILM150-XHIC22</t>
        </is>
      </c>
      <c r="G1708" t="inlineStr">
        <is>
          <t>LASTSCHUETZ</t>
        </is>
      </c>
      <c r="H1708" t="inlineStr">
        <is>
          <t>18,5kW Federzugkl.</t>
        </is>
      </c>
      <c r="I1708">
        <v>458</v>
      </c>
      <c r="J1708">
        <f>GS47/144.7</f>
        <v>0</v>
      </c>
      <c r="K1708" t="inlineStr">
        <is>
          <t>DIL MC40</t>
        </is>
      </c>
      <c r="M1708" t="inlineStr">
        <is>
          <t>-144Q7</t>
        </is>
      </c>
    </row>
    <row r="1709">
      <c r="A1709">
        <v>1708</v>
      </c>
      <c r="B1709">
        <f>GS48</f>
        <v>0</v>
      </c>
      <c r="C1709" t="inlineStr">
        <is>
          <t>+LS01</t>
        </is>
      </c>
      <c r="D1709" t="inlineStr">
        <is>
          <t>-144Q7</t>
        </is>
      </c>
      <c r="E1709" t="inlineStr">
        <is>
          <t>DILMC40(RDC24)</t>
        </is>
      </c>
      <c r="F1709" t="inlineStr">
        <is>
          <t>DILM150-XHIC22</t>
        </is>
      </c>
      <c r="G1709" t="inlineStr">
        <is>
          <t>LASTSCHUETZ</t>
        </is>
      </c>
      <c r="H1709" t="inlineStr">
        <is>
          <t>18,5kW Federzugkl.</t>
        </is>
      </c>
      <c r="I1709">
        <v>296</v>
      </c>
      <c r="J1709">
        <f>GS48/144.7</f>
        <v>0</v>
      </c>
      <c r="K1709" t="inlineStr">
        <is>
          <t>DIL MC40</t>
        </is>
      </c>
      <c r="M1709" t="inlineStr">
        <is>
          <t>-144Q7</t>
        </is>
      </c>
    </row>
    <row r="1710">
      <c r="A1710">
        <v>1709</v>
      </c>
      <c r="B1710">
        <f>GS48</f>
        <v>0</v>
      </c>
      <c r="C1710" t="inlineStr">
        <is>
          <t>+LS01</t>
        </is>
      </c>
      <c r="D1710" t="inlineStr">
        <is>
          <t>-144Q7</t>
        </is>
      </c>
      <c r="E1710" t="inlineStr">
        <is>
          <t>DILM150-XHIC22</t>
        </is>
      </c>
      <c r="F1710" t="inlineStr">
        <is>
          <t>DILM150-XHIC22</t>
        </is>
      </c>
      <c r="G1710" t="inlineStr">
        <is>
          <t>HILFSKONTAKTBLOCK</t>
        </is>
      </c>
      <c r="H1710" t="inlineStr">
        <is>
          <t>2S 2OE ab DILMC40</t>
        </is>
      </c>
      <c r="I1710">
        <v>296</v>
      </c>
      <c r="J1710">
        <f>GS48/144.7</f>
        <v>0</v>
      </c>
      <c r="K1710" t="inlineStr">
        <is>
          <t>DIL MC40</t>
        </is>
      </c>
      <c r="M1710" t="inlineStr">
        <is>
          <t>-144Q7</t>
        </is>
      </c>
    </row>
    <row r="1711">
      <c r="A1711">
        <v>1710</v>
      </c>
      <c r="B1711">
        <f>GS49</f>
        <v>0</v>
      </c>
      <c r="C1711" t="inlineStr">
        <is>
          <t>+LS01</t>
        </is>
      </c>
      <c r="D1711" t="inlineStr">
        <is>
          <t>-144Q7</t>
        </is>
      </c>
      <c r="E1711" t="inlineStr">
        <is>
          <t>DILMC40(RDC24)</t>
        </is>
      </c>
      <c r="F1711" t="inlineStr">
        <is>
          <t>DILM150-XHIC22</t>
        </is>
      </c>
      <c r="G1711" t="inlineStr">
        <is>
          <t>LASTSCHUETZ</t>
        </is>
      </c>
      <c r="H1711" t="inlineStr">
        <is>
          <t>18,5kW Federzugkl.</t>
        </is>
      </c>
      <c r="I1711">
        <v>295</v>
      </c>
      <c r="J1711">
        <f>GS49/144.7</f>
        <v>0</v>
      </c>
      <c r="K1711" t="inlineStr">
        <is>
          <t>DIL MC40</t>
        </is>
      </c>
      <c r="M1711" t="inlineStr">
        <is>
          <t>-144Q7</t>
        </is>
      </c>
    </row>
    <row r="1712">
      <c r="A1712">
        <v>1711</v>
      </c>
      <c r="B1712">
        <f>GS49</f>
        <v>0</v>
      </c>
      <c r="C1712" t="inlineStr">
        <is>
          <t>+LS01</t>
        </is>
      </c>
      <c r="D1712" t="inlineStr">
        <is>
          <t>-144Q7</t>
        </is>
      </c>
      <c r="E1712" t="inlineStr">
        <is>
          <t>DILM150-XHIC22</t>
        </is>
      </c>
      <c r="F1712" t="inlineStr">
        <is>
          <t>DILM150-XHIC22</t>
        </is>
      </c>
      <c r="G1712" t="inlineStr">
        <is>
          <t>HILFSKONTAKTBLOCK</t>
        </is>
      </c>
      <c r="H1712" t="inlineStr">
        <is>
          <t>2S 2OE ab DILMC40</t>
        </is>
      </c>
      <c r="I1712">
        <v>295</v>
      </c>
      <c r="J1712">
        <f>GS49/144.7</f>
        <v>0</v>
      </c>
      <c r="K1712" t="inlineStr">
        <is>
          <t>DIL MC40</t>
        </is>
      </c>
      <c r="M1712" t="inlineStr">
        <is>
          <t>-144Q7</t>
        </is>
      </c>
    </row>
    <row r="1713">
      <c r="A1713">
        <v>1712</v>
      </c>
      <c r="B1713">
        <f>GS46</f>
        <v>0</v>
      </c>
      <c r="C1713" t="inlineStr">
        <is>
          <t>+LS01</t>
        </is>
      </c>
      <c r="D1713" t="inlineStr">
        <is>
          <t>-144Q8</t>
        </is>
      </c>
      <c r="E1713" t="inlineStr">
        <is>
          <t>DILMC17-10(RDC24)</t>
        </is>
      </c>
      <c r="F1713" t="inlineStr">
        <is>
          <t>#KALK!</t>
        </is>
      </c>
      <c r="G1713" t="inlineStr">
        <is>
          <t>LASTSCHUETZ</t>
        </is>
      </c>
      <c r="H1713" t="inlineStr">
        <is>
          <t>7,5kW 1S Federzugkl.</t>
        </is>
      </c>
      <c r="I1713">
        <v>458</v>
      </c>
      <c r="J1713">
        <f>GS46/144.7</f>
        <v>0</v>
      </c>
      <c r="K1713" t="inlineStr">
        <is>
          <t>DIL MC17-10</t>
        </is>
      </c>
      <c r="M1713" t="inlineStr">
        <is>
          <t>-144Q8</t>
        </is>
      </c>
    </row>
    <row r="1714">
      <c r="A1714">
        <v>1713</v>
      </c>
      <c r="B1714">
        <f>GS47</f>
        <v>0</v>
      </c>
      <c r="C1714" t="inlineStr">
        <is>
          <t>+LS01</t>
        </is>
      </c>
      <c r="D1714" t="inlineStr">
        <is>
          <t>-144Q8</t>
        </is>
      </c>
      <c r="E1714" t="inlineStr">
        <is>
          <t>DILMC17-10(RDC24)</t>
        </is>
      </c>
      <c r="F1714" t="inlineStr">
        <is>
          <t>#KALK!</t>
        </is>
      </c>
      <c r="G1714" t="inlineStr">
        <is>
          <t>LASTSCHUETZ</t>
        </is>
      </c>
      <c r="H1714" t="inlineStr">
        <is>
          <t>7,5kW 1S Federzugkl.</t>
        </is>
      </c>
      <c r="I1714">
        <v>458</v>
      </c>
      <c r="J1714">
        <f>GS47/144.8</f>
        <v>0</v>
      </c>
      <c r="K1714" t="inlineStr">
        <is>
          <t>DIL MC17-10</t>
        </is>
      </c>
      <c r="M1714" t="inlineStr">
        <is>
          <t>-144Q8</t>
        </is>
      </c>
    </row>
    <row r="1715">
      <c r="A1715">
        <v>1714</v>
      </c>
      <c r="B1715">
        <f>GS48</f>
        <v>0</v>
      </c>
      <c r="C1715" t="inlineStr">
        <is>
          <t>+LS01</t>
        </is>
      </c>
      <c r="D1715" t="inlineStr">
        <is>
          <t>-144Q8</t>
        </is>
      </c>
      <c r="E1715" t="inlineStr">
        <is>
          <t>DILMC17-10(RDC24)</t>
        </is>
      </c>
      <c r="F1715" t="inlineStr">
        <is>
          <t>#KALK!</t>
        </is>
      </c>
      <c r="G1715" t="inlineStr">
        <is>
          <t>LASTSCHUETZ</t>
        </is>
      </c>
      <c r="H1715" t="inlineStr">
        <is>
          <t>7,5kW 1S Federzugkl.</t>
        </is>
      </c>
      <c r="I1715">
        <v>296</v>
      </c>
      <c r="J1715">
        <f>GS48/144.8</f>
        <v>0</v>
      </c>
      <c r="K1715" t="inlineStr">
        <is>
          <t>DIL MC17-10</t>
        </is>
      </c>
      <c r="M1715" t="inlineStr">
        <is>
          <t>-144Q8</t>
        </is>
      </c>
    </row>
    <row r="1716">
      <c r="A1716">
        <v>1715</v>
      </c>
      <c r="B1716">
        <f>GS49</f>
        <v>0</v>
      </c>
      <c r="C1716" t="inlineStr">
        <is>
          <t>+LS01</t>
        </is>
      </c>
      <c r="D1716" t="inlineStr">
        <is>
          <t>-144Q8</t>
        </is>
      </c>
      <c r="E1716" t="inlineStr">
        <is>
          <t>DILMC17-10(RDC24)</t>
        </is>
      </c>
      <c r="F1716" t="inlineStr">
        <is>
          <t>#KALK!</t>
        </is>
      </c>
      <c r="G1716" t="inlineStr">
        <is>
          <t>LASTSCHUETZ</t>
        </is>
      </c>
      <c r="H1716" t="inlineStr">
        <is>
          <t>7,5kW 1S Federzugkl.</t>
        </is>
      </c>
      <c r="I1716">
        <v>295</v>
      </c>
      <c r="J1716">
        <f>GS49/144.8</f>
        <v>0</v>
      </c>
      <c r="K1716" t="inlineStr">
        <is>
          <t>DIL MC17-10</t>
        </is>
      </c>
      <c r="M1716" t="inlineStr">
        <is>
          <t>-144Q8</t>
        </is>
      </c>
    </row>
    <row r="1717">
      <c r="A1717">
        <v>1716</v>
      </c>
      <c r="B1717">
        <f>GS55</f>
        <v>0</v>
      </c>
      <c r="C1717" t="inlineStr">
        <is>
          <t>+LS01</t>
        </is>
      </c>
      <c r="D1717" t="inlineStr">
        <is>
          <t>-145.1Q1</t>
        </is>
      </c>
      <c r="E1717" t="inlineStr">
        <is>
          <t>DILM-9-10</t>
        </is>
      </c>
      <c r="F1717" t="inlineStr">
        <is>
          <t>#KALK!</t>
        </is>
      </c>
      <c r="G1717" t="inlineStr">
        <is>
          <t>LASTSCHUETZ</t>
        </is>
      </c>
      <c r="H1717" t="inlineStr">
        <is>
          <t>4kW 1S Federzugkl.</t>
        </is>
      </c>
      <c r="I1717">
        <v>489</v>
      </c>
      <c r="J1717">
        <f>GS55/145.1.5</f>
        <v>0</v>
      </c>
      <c r="K1717" t="inlineStr">
        <is>
          <t>DIL MC9</t>
        </is>
      </c>
      <c r="M1717" t="inlineStr">
        <is>
          <t>-145.1Q1</t>
        </is>
      </c>
    </row>
    <row r="1718">
      <c r="A1718">
        <v>1717</v>
      </c>
      <c r="B1718">
        <f>GS51</f>
        <v>0</v>
      </c>
      <c r="C1718" t="inlineStr">
        <is>
          <t>+LS21</t>
        </is>
      </c>
      <c r="D1718" t="inlineStr">
        <is>
          <t>-1450Q1</t>
        </is>
      </c>
      <c r="E1718" t="inlineStr">
        <is>
          <t>DILMC25-10(RDC24)</t>
        </is>
      </c>
      <c r="F1718" t="inlineStr">
        <is>
          <t>DILA-XHI22</t>
        </is>
      </c>
      <c r="G1718" t="inlineStr">
        <is>
          <t>LASTSCHUETZ</t>
        </is>
      </c>
      <c r="H1718" t="inlineStr">
        <is>
          <t>11kW 1S Federzugkl.</t>
        </is>
      </c>
      <c r="I1718">
        <v>1564</v>
      </c>
      <c r="J1718">
        <f>GS51/1450.6</f>
        <v>0</v>
      </c>
      <c r="K1718" t="inlineStr">
        <is>
          <t>DIL MC25</t>
        </is>
      </c>
      <c r="M1718" t="inlineStr">
        <is>
          <t>-1450Q1</t>
        </is>
      </c>
    </row>
    <row r="1719">
      <c r="A1719">
        <v>1718</v>
      </c>
      <c r="B1719">
        <f>GS51</f>
        <v>0</v>
      </c>
      <c r="C1719" t="inlineStr">
        <is>
          <t>+LS21</t>
        </is>
      </c>
      <c r="D1719" t="inlineStr">
        <is>
          <t>-1450Q1</t>
        </is>
      </c>
      <c r="E1719" t="inlineStr">
        <is>
          <t>DILA-XHI22</t>
        </is>
      </c>
      <c r="F1719" t="inlineStr">
        <is>
          <t>DILA-XHI22</t>
        </is>
      </c>
      <c r="G1719" t="inlineStr">
        <is>
          <t>HILFSKONTAKTBLOCK</t>
        </is>
      </c>
      <c r="H1719" t="inlineStr">
        <is>
          <t>2S 2OE Last+Hilfssch. Cage</t>
        </is>
      </c>
      <c r="I1719">
        <v>1564</v>
      </c>
      <c r="J1719">
        <f>GS51/1450.6</f>
        <v>0</v>
      </c>
      <c r="K1719" t="inlineStr">
        <is>
          <t>DIL MC25</t>
        </is>
      </c>
      <c r="M1719" t="inlineStr">
        <is>
          <t>-1450Q1</t>
        </is>
      </c>
    </row>
    <row r="1720">
      <c r="A1720">
        <v>1719</v>
      </c>
      <c r="B1720">
        <f>GS13</f>
        <v>0</v>
      </c>
      <c r="C1720" t="inlineStr">
        <is>
          <t>+LS2</t>
        </is>
      </c>
      <c r="D1720" t="inlineStr">
        <is>
          <t>-14558.5</t>
        </is>
      </c>
      <c r="E1720" t="inlineStr">
        <is>
          <t>DIL_EM-10-G</t>
        </is>
      </c>
      <c r="F1720" t="inlineStr">
        <is>
          <t>#KALK!</t>
        </is>
      </c>
      <c r="G1720" t="inlineStr">
        <is>
          <t>LASTSCHUETZ</t>
        </is>
      </c>
      <c r="H1720" t="inlineStr">
        <is>
          <t>4kW 1S</t>
        </is>
      </c>
      <c r="I1720">
        <v>384</v>
      </c>
      <c r="J1720">
        <f>GS13/145.6</f>
        <v>0</v>
      </c>
      <c r="M1720" t="inlineStr">
        <is>
          <t>-14558.5</t>
        </is>
      </c>
    </row>
    <row r="1721">
      <c r="A1721">
        <v>1720</v>
      </c>
      <c r="B1721">
        <f>GS13</f>
        <v>0</v>
      </c>
      <c r="C1721" t="inlineStr">
        <is>
          <t>+LS2</t>
        </is>
      </c>
      <c r="D1721" t="inlineStr">
        <is>
          <t>-14558.6</t>
        </is>
      </c>
      <c r="E1721" t="inlineStr">
        <is>
          <t>DIL_EM-10-G</t>
        </is>
      </c>
      <c r="F1721" t="inlineStr">
        <is>
          <t>#KALK!</t>
        </is>
      </c>
      <c r="G1721" t="inlineStr">
        <is>
          <t>LASTSCHUETZ</t>
        </is>
      </c>
      <c r="H1721" t="inlineStr">
        <is>
          <t>4kW 1S</t>
        </is>
      </c>
      <c r="I1721">
        <v>384</v>
      </c>
      <c r="J1721">
        <f>GS13/145.6</f>
        <v>0</v>
      </c>
      <c r="M1721" t="inlineStr">
        <is>
          <t>-14558.6</t>
        </is>
      </c>
    </row>
    <row r="1722">
      <c r="A1722">
        <v>1721</v>
      </c>
      <c r="B1722">
        <f>GS36</f>
        <v>0</v>
      </c>
      <c r="C1722" t="inlineStr">
        <is>
          <t>+LS02</t>
        </is>
      </c>
      <c r="D1722" t="inlineStr">
        <is>
          <t>-145K1</t>
        </is>
      </c>
      <c r="E1722" t="inlineStr">
        <is>
          <t>DILA-XHIC40</t>
        </is>
      </c>
      <c r="F1722" t="inlineStr">
        <is>
          <t>DILA-XHIC40</t>
        </is>
      </c>
      <c r="G1722" t="inlineStr">
        <is>
          <t>HILFSKONTAKTBLOCK</t>
        </is>
      </c>
      <c r="H1722" t="inlineStr">
        <is>
          <t>4S Last+Hilfssch. Cage</t>
        </is>
      </c>
      <c r="I1722">
        <v>318</v>
      </c>
      <c r="J1722">
        <f>GS36/145.5</f>
        <v>0</v>
      </c>
      <c r="M1722" t="inlineStr">
        <is>
          <t>-145K1</t>
        </is>
      </c>
    </row>
    <row r="1723">
      <c r="A1723">
        <v>1722</v>
      </c>
      <c r="B1723">
        <f>GS36</f>
        <v>0</v>
      </c>
      <c r="C1723" t="inlineStr">
        <is>
          <t>+LS02</t>
        </is>
      </c>
      <c r="D1723" t="inlineStr">
        <is>
          <t>-145K1</t>
        </is>
      </c>
      <c r="E1723" t="inlineStr">
        <is>
          <t>DILA-40</t>
        </is>
      </c>
      <c r="F1723" t="inlineStr">
        <is>
          <t>DILA-XHIC40</t>
        </is>
      </c>
      <c r="G1723" t="inlineStr">
        <is>
          <t>HILFSSCHUETZ</t>
        </is>
      </c>
      <c r="H1723" t="inlineStr">
        <is>
          <t>4S Federzugkl.</t>
        </is>
      </c>
      <c r="I1723">
        <v>318</v>
      </c>
      <c r="J1723">
        <f>GS36/145.5</f>
        <v>0</v>
      </c>
      <c r="M1723" t="inlineStr">
        <is>
          <t>-145K1</t>
        </is>
      </c>
    </row>
    <row r="1724">
      <c r="A1724">
        <v>1723</v>
      </c>
      <c r="B1724">
        <f>GS35</f>
        <v>0</v>
      </c>
      <c r="C1724" t="inlineStr">
        <is>
          <t>+LS02</t>
        </is>
      </c>
      <c r="D1724" t="inlineStr">
        <is>
          <t>-145K103.4</t>
        </is>
      </c>
      <c r="E1724" t="inlineStr">
        <is>
          <t>DILA-40</t>
        </is>
      </c>
      <c r="F1724" t="inlineStr">
        <is>
          <t>#KALK!</t>
        </is>
      </c>
      <c r="G1724" t="inlineStr">
        <is>
          <t>HILFSSCHUETZ</t>
        </is>
      </c>
      <c r="H1724" t="inlineStr">
        <is>
          <t>4S Federzugkl.</t>
        </is>
      </c>
      <c r="I1724">
        <v>304</v>
      </c>
      <c r="J1724">
        <f>GS35/145.7</f>
        <v>0</v>
      </c>
      <c r="M1724" t="inlineStr">
        <is>
          <t>-145K103.4</t>
        </is>
      </c>
    </row>
    <row r="1725">
      <c r="A1725">
        <v>1724</v>
      </c>
      <c r="B1725">
        <f>GS36</f>
        <v>0</v>
      </c>
      <c r="C1725" t="inlineStr">
        <is>
          <t>+LS02</t>
        </is>
      </c>
      <c r="D1725" t="inlineStr">
        <is>
          <t>-145K116.4</t>
        </is>
      </c>
      <c r="E1725" t="inlineStr">
        <is>
          <t>DILA-40</t>
        </is>
      </c>
      <c r="F1725" t="inlineStr">
        <is>
          <t>#KALK!</t>
        </is>
      </c>
      <c r="G1725" t="inlineStr">
        <is>
          <t>HILFSSCHUETZ</t>
        </is>
      </c>
      <c r="H1725" t="inlineStr">
        <is>
          <t>4S Federzugkl.</t>
        </is>
      </c>
      <c r="I1725">
        <v>318</v>
      </c>
      <c r="J1725">
        <f>GS36/145.6</f>
        <v>0</v>
      </c>
      <c r="M1725" t="inlineStr">
        <is>
          <t>-145K116.4</t>
        </is>
      </c>
    </row>
    <row r="1726">
      <c r="A1726">
        <v>1725</v>
      </c>
      <c r="B1726">
        <f>GS46</f>
        <v>0</v>
      </c>
      <c r="C1726" t="inlineStr">
        <is>
          <t>+LS01</t>
        </is>
      </c>
      <c r="D1726" t="inlineStr">
        <is>
          <t>-145K144.1</t>
        </is>
      </c>
      <c r="E1726" t="inlineStr">
        <is>
          <t>DILA-31</t>
        </is>
      </c>
      <c r="F1726" t="inlineStr">
        <is>
          <t>#KALK!</t>
        </is>
      </c>
      <c r="G1726" t="inlineStr">
        <is>
          <t>HILFSSCHUETZ</t>
        </is>
      </c>
      <c r="H1726" t="inlineStr">
        <is>
          <t>3S 1Oe Federzugkl.</t>
        </is>
      </c>
      <c r="I1726">
        <v>459</v>
      </c>
      <c r="J1726">
        <f>GS46/145.2</f>
        <v>0</v>
      </c>
      <c r="M1726" t="inlineStr">
        <is>
          <t>-145K144.1</t>
        </is>
      </c>
    </row>
    <row r="1727">
      <c r="A1727">
        <v>1726</v>
      </c>
      <c r="B1727">
        <f>GS47</f>
        <v>0</v>
      </c>
      <c r="C1727" t="inlineStr">
        <is>
          <t>+LS01</t>
        </is>
      </c>
      <c r="D1727" t="inlineStr">
        <is>
          <t>-145K144.1</t>
        </is>
      </c>
      <c r="E1727" t="inlineStr">
        <is>
          <t>DILA-31</t>
        </is>
      </c>
      <c r="F1727" t="inlineStr">
        <is>
          <t>#KALK!</t>
        </is>
      </c>
      <c r="G1727" t="inlineStr">
        <is>
          <t>HILFSSCHUETZ</t>
        </is>
      </c>
      <c r="H1727" t="inlineStr">
        <is>
          <t>3S 1Oe Federzugkl.</t>
        </is>
      </c>
      <c r="I1727">
        <v>459</v>
      </c>
      <c r="J1727">
        <f>GS47/145.2</f>
        <v>0</v>
      </c>
      <c r="M1727" t="inlineStr">
        <is>
          <t>-145K144.1</t>
        </is>
      </c>
    </row>
    <row r="1728">
      <c r="A1728">
        <v>1727</v>
      </c>
      <c r="B1728">
        <f>GS48</f>
        <v>0</v>
      </c>
      <c r="C1728" t="inlineStr">
        <is>
          <t>+LS01</t>
        </is>
      </c>
      <c r="D1728" t="inlineStr">
        <is>
          <t>-145K144.1</t>
        </is>
      </c>
      <c r="E1728" t="inlineStr">
        <is>
          <t>DILA-31</t>
        </is>
      </c>
      <c r="F1728" t="inlineStr">
        <is>
          <t>#KALK!</t>
        </is>
      </c>
      <c r="G1728" t="inlineStr">
        <is>
          <t>HILFSSCHUETZ</t>
        </is>
      </c>
      <c r="H1728" t="inlineStr">
        <is>
          <t>3S 1Oe Federzugkl.</t>
        </is>
      </c>
      <c r="I1728">
        <v>297</v>
      </c>
      <c r="J1728">
        <f>GS48/145.2</f>
        <v>0</v>
      </c>
      <c r="M1728" t="inlineStr">
        <is>
          <t>-145K144.1</t>
        </is>
      </c>
    </row>
    <row r="1729">
      <c r="A1729">
        <v>1728</v>
      </c>
      <c r="B1729">
        <f>GS49</f>
        <v>0</v>
      </c>
      <c r="C1729" t="inlineStr">
        <is>
          <t>+LS01</t>
        </is>
      </c>
      <c r="D1729" t="inlineStr">
        <is>
          <t>-145K144.1</t>
        </is>
      </c>
      <c r="E1729" t="inlineStr">
        <is>
          <t>DILA-31</t>
        </is>
      </c>
      <c r="F1729" t="inlineStr">
        <is>
          <t>#KALK!</t>
        </is>
      </c>
      <c r="G1729" t="inlineStr">
        <is>
          <t>HILFSSCHUETZ</t>
        </is>
      </c>
      <c r="H1729" t="inlineStr">
        <is>
          <t>3S 1Oe Federzugkl.</t>
        </is>
      </c>
      <c r="I1729">
        <v>296</v>
      </c>
      <c r="J1729">
        <f>GS49/145.2</f>
        <v>0</v>
      </c>
      <c r="M1729" t="inlineStr">
        <is>
          <t>-145K144.1</t>
        </is>
      </c>
    </row>
    <row r="1730">
      <c r="A1730">
        <v>1729</v>
      </c>
      <c r="B1730">
        <f>GS46</f>
        <v>0</v>
      </c>
      <c r="C1730" t="inlineStr">
        <is>
          <t>+LS01</t>
        </is>
      </c>
      <c r="D1730" t="inlineStr">
        <is>
          <t>-145K144.2</t>
        </is>
      </c>
      <c r="E1730" t="inlineStr">
        <is>
          <t>DILA-31</t>
        </is>
      </c>
      <c r="F1730" t="inlineStr">
        <is>
          <t>#KALK!</t>
        </is>
      </c>
      <c r="G1730" t="inlineStr">
        <is>
          <t>HILFSSCHUETZ</t>
        </is>
      </c>
      <c r="H1730" t="inlineStr">
        <is>
          <t>3S 1Oe Federzugkl.</t>
        </is>
      </c>
      <c r="I1730">
        <v>459</v>
      </c>
      <c r="J1730">
        <f>GS46/145.3</f>
        <v>0</v>
      </c>
      <c r="M1730" t="inlineStr">
        <is>
          <t>-145K144.2</t>
        </is>
      </c>
    </row>
    <row r="1731">
      <c r="A1731">
        <v>1730</v>
      </c>
      <c r="B1731">
        <f>GS47</f>
        <v>0</v>
      </c>
      <c r="C1731" t="inlineStr">
        <is>
          <t>+LS01</t>
        </is>
      </c>
      <c r="D1731" t="inlineStr">
        <is>
          <t>-145K144.2</t>
        </is>
      </c>
      <c r="E1731" t="inlineStr">
        <is>
          <t>DILA-31</t>
        </is>
      </c>
      <c r="F1731" t="inlineStr">
        <is>
          <t>#KALK!</t>
        </is>
      </c>
      <c r="G1731" t="inlineStr">
        <is>
          <t>HILFSSCHUETZ</t>
        </is>
      </c>
      <c r="H1731" t="inlineStr">
        <is>
          <t>3S 1Oe Federzugkl.</t>
        </is>
      </c>
      <c r="I1731">
        <v>459</v>
      </c>
      <c r="J1731">
        <f>GS47/145.3</f>
        <v>0</v>
      </c>
      <c r="M1731" t="inlineStr">
        <is>
          <t>-145K144.2</t>
        </is>
      </c>
    </row>
    <row r="1732">
      <c r="A1732">
        <v>1731</v>
      </c>
      <c r="B1732">
        <f>GS48</f>
        <v>0</v>
      </c>
      <c r="C1732" t="inlineStr">
        <is>
          <t>+LS01</t>
        </is>
      </c>
      <c r="D1732" t="inlineStr">
        <is>
          <t>-145K144.2</t>
        </is>
      </c>
      <c r="E1732" t="inlineStr">
        <is>
          <t>DILA-31</t>
        </is>
      </c>
      <c r="F1732" t="inlineStr">
        <is>
          <t>#KALK!</t>
        </is>
      </c>
      <c r="G1732" t="inlineStr">
        <is>
          <t>HILFSSCHUETZ</t>
        </is>
      </c>
      <c r="H1732" t="inlineStr">
        <is>
          <t>3S 1Oe Federzugkl.</t>
        </is>
      </c>
      <c r="I1732">
        <v>297</v>
      </c>
      <c r="J1732">
        <f>GS48/145.3</f>
        <v>0</v>
      </c>
      <c r="M1732" t="inlineStr">
        <is>
          <t>-145K144.2</t>
        </is>
      </c>
    </row>
    <row r="1733">
      <c r="A1733">
        <v>1732</v>
      </c>
      <c r="B1733">
        <f>GS49</f>
        <v>0</v>
      </c>
      <c r="C1733" t="inlineStr">
        <is>
          <t>+LS01</t>
        </is>
      </c>
      <c r="D1733" t="inlineStr">
        <is>
          <t>-145K144.2</t>
        </is>
      </c>
      <c r="E1733" t="inlineStr">
        <is>
          <t>DILA-31</t>
        </is>
      </c>
      <c r="F1733" t="inlineStr">
        <is>
          <t>#KALK!</t>
        </is>
      </c>
      <c r="G1733" t="inlineStr">
        <is>
          <t>HILFSSCHUETZ</t>
        </is>
      </c>
      <c r="H1733" t="inlineStr">
        <is>
          <t>3S 1Oe Federzugkl.</t>
        </is>
      </c>
      <c r="I1733">
        <v>296</v>
      </c>
      <c r="J1733">
        <f>GS49/145.3</f>
        <v>0</v>
      </c>
      <c r="M1733" t="inlineStr">
        <is>
          <t>-145K144.2</t>
        </is>
      </c>
    </row>
    <row r="1734">
      <c r="A1734">
        <v>1733</v>
      </c>
      <c r="B1734">
        <f>GS46</f>
        <v>0</v>
      </c>
      <c r="C1734" t="inlineStr">
        <is>
          <t>+LS01</t>
        </is>
      </c>
      <c r="D1734" t="inlineStr">
        <is>
          <t>-145K144.3</t>
        </is>
      </c>
      <c r="E1734" t="inlineStr">
        <is>
          <t>DILA-31</t>
        </is>
      </c>
      <c r="F1734" t="inlineStr">
        <is>
          <t>#KALK!</t>
        </is>
      </c>
      <c r="G1734" t="inlineStr">
        <is>
          <t>HILFSSCHUETZ</t>
        </is>
      </c>
      <c r="H1734" t="inlineStr">
        <is>
          <t>3S 1Oe Federzugkl.</t>
        </is>
      </c>
      <c r="I1734">
        <v>459</v>
      </c>
      <c r="J1734">
        <f>GS46/145.6</f>
        <v>0</v>
      </c>
      <c r="M1734" t="inlineStr">
        <is>
          <t>-145K144.3</t>
        </is>
      </c>
    </row>
    <row r="1735">
      <c r="A1735">
        <v>1734</v>
      </c>
      <c r="B1735">
        <f>GS47</f>
        <v>0</v>
      </c>
      <c r="C1735" t="inlineStr">
        <is>
          <t>+LS01</t>
        </is>
      </c>
      <c r="D1735" t="inlineStr">
        <is>
          <t>-145K144.3</t>
        </is>
      </c>
      <c r="E1735" t="inlineStr">
        <is>
          <t>DILA-31</t>
        </is>
      </c>
      <c r="F1735" t="inlineStr">
        <is>
          <t>#KALK!</t>
        </is>
      </c>
      <c r="G1735" t="inlineStr">
        <is>
          <t>HILFSSCHUETZ</t>
        </is>
      </c>
      <c r="H1735" t="inlineStr">
        <is>
          <t>3S 1Oe Federzugkl.</t>
        </is>
      </c>
      <c r="I1735">
        <v>459</v>
      </c>
      <c r="J1735">
        <f>GS47/145.6</f>
        <v>0</v>
      </c>
      <c r="M1735" t="inlineStr">
        <is>
          <t>-145K144.3</t>
        </is>
      </c>
    </row>
    <row r="1736">
      <c r="A1736">
        <v>1735</v>
      </c>
      <c r="B1736">
        <f>GS48</f>
        <v>0</v>
      </c>
      <c r="C1736" t="inlineStr">
        <is>
          <t>+LS01</t>
        </is>
      </c>
      <c r="D1736" t="inlineStr">
        <is>
          <t>-145K144.3</t>
        </is>
      </c>
      <c r="E1736" t="inlineStr">
        <is>
          <t>DILA-31</t>
        </is>
      </c>
      <c r="F1736" t="inlineStr">
        <is>
          <t>#KALK!</t>
        </is>
      </c>
      <c r="G1736" t="inlineStr">
        <is>
          <t>HILFSSCHUETZ</t>
        </is>
      </c>
      <c r="H1736" t="inlineStr">
        <is>
          <t>3S 1Oe Federzugkl.</t>
        </is>
      </c>
      <c r="I1736">
        <v>297</v>
      </c>
      <c r="J1736">
        <f>GS48/145.6</f>
        <v>0</v>
      </c>
      <c r="M1736" t="inlineStr">
        <is>
          <t>-145K144.3</t>
        </is>
      </c>
    </row>
    <row r="1737">
      <c r="A1737">
        <v>1736</v>
      </c>
      <c r="B1737">
        <f>GS49</f>
        <v>0</v>
      </c>
      <c r="C1737" t="inlineStr">
        <is>
          <t>+LS01</t>
        </is>
      </c>
      <c r="D1737" t="inlineStr">
        <is>
          <t>-145K144.3</t>
        </is>
      </c>
      <c r="E1737" t="inlineStr">
        <is>
          <t>DILA-31</t>
        </is>
      </c>
      <c r="F1737" t="inlineStr">
        <is>
          <t>#KALK!</t>
        </is>
      </c>
      <c r="G1737" t="inlineStr">
        <is>
          <t>HILFSSCHUETZ</t>
        </is>
      </c>
      <c r="H1737" t="inlineStr">
        <is>
          <t>3S 1Oe Federzugkl.</t>
        </is>
      </c>
      <c r="I1737">
        <v>296</v>
      </c>
      <c r="J1737">
        <f>GS49/145.6</f>
        <v>0</v>
      </c>
      <c r="M1737" t="inlineStr">
        <is>
          <t>-145K144.3</t>
        </is>
      </c>
    </row>
    <row r="1738">
      <c r="A1738">
        <v>1737</v>
      </c>
      <c r="B1738">
        <f>GS46</f>
        <v>0</v>
      </c>
      <c r="C1738" t="inlineStr">
        <is>
          <t>+LS01</t>
        </is>
      </c>
      <c r="D1738" t="inlineStr">
        <is>
          <t>-145K147.1</t>
        </is>
      </c>
      <c r="E1738" t="inlineStr">
        <is>
          <t>DILA-31</t>
        </is>
      </c>
      <c r="F1738" t="inlineStr">
        <is>
          <t>#KALK!</t>
        </is>
      </c>
      <c r="G1738" t="inlineStr">
        <is>
          <t>HILFSSCHUETZ</t>
        </is>
      </c>
      <c r="H1738" t="inlineStr">
        <is>
          <t>3S 1Oe Federzugkl.</t>
        </is>
      </c>
      <c r="I1738">
        <v>459</v>
      </c>
      <c r="J1738">
        <f>GS46/145.3</f>
        <v>0</v>
      </c>
      <c r="M1738" t="inlineStr">
        <is>
          <t>-145K147.1</t>
        </is>
      </c>
    </row>
    <row r="1739">
      <c r="A1739">
        <v>1738</v>
      </c>
      <c r="B1739">
        <f>GS47</f>
        <v>0</v>
      </c>
      <c r="C1739" t="inlineStr">
        <is>
          <t>+LS01</t>
        </is>
      </c>
      <c r="D1739" t="inlineStr">
        <is>
          <t>-145K147.1</t>
        </is>
      </c>
      <c r="E1739" t="inlineStr">
        <is>
          <t>DILA-31</t>
        </is>
      </c>
      <c r="F1739" t="inlineStr">
        <is>
          <t>#KALK!</t>
        </is>
      </c>
      <c r="G1739" t="inlineStr">
        <is>
          <t>HILFSSCHUETZ</t>
        </is>
      </c>
      <c r="H1739" t="inlineStr">
        <is>
          <t>3S 1Oe Federzugkl.</t>
        </is>
      </c>
      <c r="I1739">
        <v>459</v>
      </c>
      <c r="J1739">
        <f>GS47/145.3</f>
        <v>0</v>
      </c>
      <c r="M1739" t="inlineStr">
        <is>
          <t>-145K147.1</t>
        </is>
      </c>
    </row>
    <row r="1740">
      <c r="A1740">
        <v>1739</v>
      </c>
      <c r="B1740">
        <f>GS48</f>
        <v>0</v>
      </c>
      <c r="C1740" t="inlineStr">
        <is>
          <t>+LS01</t>
        </is>
      </c>
      <c r="D1740" t="inlineStr">
        <is>
          <t>-145K147.1</t>
        </is>
      </c>
      <c r="E1740" t="inlineStr">
        <is>
          <t>DILA-31</t>
        </is>
      </c>
      <c r="F1740" t="inlineStr">
        <is>
          <t>#KALK!</t>
        </is>
      </c>
      <c r="G1740" t="inlineStr">
        <is>
          <t>HILFSSCHUETZ</t>
        </is>
      </c>
      <c r="H1740" t="inlineStr">
        <is>
          <t>3S 1Oe Federzugkl.</t>
        </is>
      </c>
      <c r="I1740">
        <v>297</v>
      </c>
      <c r="J1740">
        <f>GS48/145.3</f>
        <v>0</v>
      </c>
      <c r="M1740" t="inlineStr">
        <is>
          <t>-145K147.1</t>
        </is>
      </c>
    </row>
    <row r="1741">
      <c r="A1741">
        <v>1740</v>
      </c>
      <c r="B1741">
        <f>GS49</f>
        <v>0</v>
      </c>
      <c r="C1741" t="inlineStr">
        <is>
          <t>+LS01</t>
        </is>
      </c>
      <c r="D1741" t="inlineStr">
        <is>
          <t>-145K147.1</t>
        </is>
      </c>
      <c r="E1741" t="inlineStr">
        <is>
          <t>DILA-31</t>
        </is>
      </c>
      <c r="F1741" t="inlineStr">
        <is>
          <t>#KALK!</t>
        </is>
      </c>
      <c r="G1741" t="inlineStr">
        <is>
          <t>HILFSSCHUETZ</t>
        </is>
      </c>
      <c r="H1741" t="inlineStr">
        <is>
          <t>3S 1Oe Federzugkl.</t>
        </is>
      </c>
      <c r="I1741">
        <v>296</v>
      </c>
      <c r="J1741">
        <f>GS49/145.3</f>
        <v>0</v>
      </c>
      <c r="M1741" t="inlineStr">
        <is>
          <t>-145K147.1</t>
        </is>
      </c>
    </row>
    <row r="1742">
      <c r="A1742">
        <v>1741</v>
      </c>
      <c r="B1742">
        <f>GS46</f>
        <v>0</v>
      </c>
      <c r="C1742" t="inlineStr">
        <is>
          <t>+LS01</t>
        </is>
      </c>
      <c r="D1742" t="inlineStr">
        <is>
          <t>-145K147.2</t>
        </is>
      </c>
      <c r="E1742" t="inlineStr">
        <is>
          <t>DILA-31</t>
        </is>
      </c>
      <c r="F1742" t="inlineStr">
        <is>
          <t>#KALK!</t>
        </is>
      </c>
      <c r="G1742" t="inlineStr">
        <is>
          <t>HILFSSCHUETZ</t>
        </is>
      </c>
      <c r="H1742" t="inlineStr">
        <is>
          <t>3S 1Oe Federzugkl.</t>
        </is>
      </c>
      <c r="I1742">
        <v>459</v>
      </c>
      <c r="J1742">
        <f>GS46/145.4</f>
        <v>0</v>
      </c>
      <c r="M1742" t="inlineStr">
        <is>
          <t>-145K147.2</t>
        </is>
      </c>
    </row>
    <row r="1743">
      <c r="A1743">
        <v>1742</v>
      </c>
      <c r="B1743">
        <f>GS47</f>
        <v>0</v>
      </c>
      <c r="C1743" t="inlineStr">
        <is>
          <t>+LS01</t>
        </is>
      </c>
      <c r="D1743" t="inlineStr">
        <is>
          <t>-145K147.2</t>
        </is>
      </c>
      <c r="E1743" t="inlineStr">
        <is>
          <t>DILA-31</t>
        </is>
      </c>
      <c r="F1743" t="inlineStr">
        <is>
          <t>#KALK!</t>
        </is>
      </c>
      <c r="G1743" t="inlineStr">
        <is>
          <t>HILFSSCHUETZ</t>
        </is>
      </c>
      <c r="H1743" t="inlineStr">
        <is>
          <t>3S 1Oe Federzugkl.</t>
        </is>
      </c>
      <c r="I1743">
        <v>459</v>
      </c>
      <c r="J1743">
        <f>GS47/145.4</f>
        <v>0</v>
      </c>
      <c r="M1743" t="inlineStr">
        <is>
          <t>-145K147.2</t>
        </is>
      </c>
    </row>
    <row r="1744">
      <c r="A1744">
        <v>1743</v>
      </c>
      <c r="B1744">
        <f>GS48</f>
        <v>0</v>
      </c>
      <c r="C1744" t="inlineStr">
        <is>
          <t>+LS01</t>
        </is>
      </c>
      <c r="D1744" t="inlineStr">
        <is>
          <t>-145K147.2</t>
        </is>
      </c>
      <c r="E1744" t="inlineStr">
        <is>
          <t>DILA-31</t>
        </is>
      </c>
      <c r="F1744" t="inlineStr">
        <is>
          <t>#KALK!</t>
        </is>
      </c>
      <c r="G1744" t="inlineStr">
        <is>
          <t>HILFSSCHUETZ</t>
        </is>
      </c>
      <c r="H1744" t="inlineStr">
        <is>
          <t>3S 1Oe Federzugkl.</t>
        </is>
      </c>
      <c r="I1744">
        <v>297</v>
      </c>
      <c r="J1744">
        <f>GS48/145.4</f>
        <v>0</v>
      </c>
      <c r="M1744" t="inlineStr">
        <is>
          <t>-145K147.2</t>
        </is>
      </c>
    </row>
    <row r="1745">
      <c r="A1745">
        <v>1744</v>
      </c>
      <c r="B1745">
        <f>GS49</f>
        <v>0</v>
      </c>
      <c r="C1745" t="inlineStr">
        <is>
          <t>+LS01</t>
        </is>
      </c>
      <c r="D1745" t="inlineStr">
        <is>
          <t>-145K147.2</t>
        </is>
      </c>
      <c r="E1745" t="inlineStr">
        <is>
          <t>DILA-31</t>
        </is>
      </c>
      <c r="F1745" t="inlineStr">
        <is>
          <t>#KALK!</t>
        </is>
      </c>
      <c r="G1745" t="inlineStr">
        <is>
          <t>HILFSSCHUETZ</t>
        </is>
      </c>
      <c r="H1745" t="inlineStr">
        <is>
          <t>3S 1Oe Federzugkl.</t>
        </is>
      </c>
      <c r="I1745">
        <v>296</v>
      </c>
      <c r="J1745">
        <f>GS49/145.4</f>
        <v>0</v>
      </c>
      <c r="M1745" t="inlineStr">
        <is>
          <t>-145K147.2</t>
        </is>
      </c>
    </row>
    <row r="1746">
      <c r="A1746">
        <v>1745</v>
      </c>
      <c r="B1746">
        <f>GS46</f>
        <v>0</v>
      </c>
      <c r="C1746" t="inlineStr">
        <is>
          <t>+LS01</t>
        </is>
      </c>
      <c r="D1746" t="inlineStr">
        <is>
          <t>-145K147.3</t>
        </is>
      </c>
      <c r="E1746" t="inlineStr">
        <is>
          <t>DILA-31</t>
        </is>
      </c>
      <c r="F1746" t="inlineStr">
        <is>
          <t>#KALK!</t>
        </is>
      </c>
      <c r="G1746" t="inlineStr">
        <is>
          <t>HILFSSCHUETZ</t>
        </is>
      </c>
      <c r="H1746" t="inlineStr">
        <is>
          <t>3S 1Oe Federzugkl.</t>
        </is>
      </c>
      <c r="I1746">
        <v>459</v>
      </c>
      <c r="J1746">
        <f>GS46/145.5</f>
        <v>0</v>
      </c>
      <c r="M1746" t="inlineStr">
        <is>
          <t>-145K147.3</t>
        </is>
      </c>
    </row>
    <row r="1747">
      <c r="A1747">
        <v>1746</v>
      </c>
      <c r="B1747">
        <f>GS47</f>
        <v>0</v>
      </c>
      <c r="C1747" t="inlineStr">
        <is>
          <t>+LS01</t>
        </is>
      </c>
      <c r="D1747" t="inlineStr">
        <is>
          <t>-145K147.3</t>
        </is>
      </c>
      <c r="E1747" t="inlineStr">
        <is>
          <t>DILA-31</t>
        </is>
      </c>
      <c r="F1747" t="inlineStr">
        <is>
          <t>#KALK!</t>
        </is>
      </c>
      <c r="G1747" t="inlineStr">
        <is>
          <t>HILFSSCHUETZ</t>
        </is>
      </c>
      <c r="H1747" t="inlineStr">
        <is>
          <t>3S 1Oe Federzugkl.</t>
        </is>
      </c>
      <c r="I1747">
        <v>459</v>
      </c>
      <c r="J1747">
        <f>GS47/145.5</f>
        <v>0</v>
      </c>
      <c r="M1747" t="inlineStr">
        <is>
          <t>-145K147.3</t>
        </is>
      </c>
    </row>
    <row r="1748">
      <c r="A1748">
        <v>1747</v>
      </c>
      <c r="B1748">
        <f>GS48</f>
        <v>0</v>
      </c>
      <c r="C1748" t="inlineStr">
        <is>
          <t>+LS01</t>
        </is>
      </c>
      <c r="D1748" t="inlineStr">
        <is>
          <t>-145K147.3</t>
        </is>
      </c>
      <c r="E1748" t="inlineStr">
        <is>
          <t>DILA-31</t>
        </is>
      </c>
      <c r="F1748" t="inlineStr">
        <is>
          <t>#KALK!</t>
        </is>
      </c>
      <c r="G1748" t="inlineStr">
        <is>
          <t>HILFSSCHUETZ</t>
        </is>
      </c>
      <c r="H1748" t="inlineStr">
        <is>
          <t>3S 1Oe Federzugkl.</t>
        </is>
      </c>
      <c r="I1748">
        <v>297</v>
      </c>
      <c r="J1748">
        <f>GS48/145.5</f>
        <v>0</v>
      </c>
      <c r="M1748" t="inlineStr">
        <is>
          <t>-145K147.3</t>
        </is>
      </c>
    </row>
    <row r="1749">
      <c r="A1749">
        <v>1748</v>
      </c>
      <c r="B1749">
        <f>GS49</f>
        <v>0</v>
      </c>
      <c r="C1749" t="inlineStr">
        <is>
          <t>+LS01</t>
        </is>
      </c>
      <c r="D1749" t="inlineStr">
        <is>
          <t>-145K147.3</t>
        </is>
      </c>
      <c r="E1749" t="inlineStr">
        <is>
          <t>DILA-31</t>
        </is>
      </c>
      <c r="F1749" t="inlineStr">
        <is>
          <t>#KALK!</t>
        </is>
      </c>
      <c r="G1749" t="inlineStr">
        <is>
          <t>HILFSSCHUETZ</t>
        </is>
      </c>
      <c r="H1749" t="inlineStr">
        <is>
          <t>3S 1Oe Federzugkl.</t>
        </is>
      </c>
      <c r="I1749">
        <v>296</v>
      </c>
      <c r="J1749">
        <f>GS49/145.5</f>
        <v>0</v>
      </c>
      <c r="M1749" t="inlineStr">
        <is>
          <t>-145K147.3</t>
        </is>
      </c>
    </row>
    <row r="1750">
      <c r="A1750">
        <v>1749</v>
      </c>
      <c r="B1750">
        <f>GS33</f>
        <v>0</v>
      </c>
      <c r="C1750" t="inlineStr">
        <is>
          <t>+LS2</t>
        </is>
      </c>
      <c r="D1750" t="inlineStr">
        <is>
          <t>-145K19.0</t>
        </is>
      </c>
      <c r="E1750" t="inlineStr">
        <is>
          <t>DIL_EM-10-G</t>
        </is>
      </c>
      <c r="F1750" t="inlineStr">
        <is>
          <t>#KALK!</t>
        </is>
      </c>
      <c r="G1750" t="inlineStr">
        <is>
          <t>LASTSCHUETZ</t>
        </is>
      </c>
      <c r="H1750" t="inlineStr">
        <is>
          <t>4kW 1S</t>
        </is>
      </c>
      <c r="I1750">
        <v>577</v>
      </c>
      <c r="J1750">
        <f>GS33/145.6</f>
        <v>0</v>
      </c>
      <c r="M1750" t="inlineStr">
        <is>
          <t>-145K19.0</t>
        </is>
      </c>
    </row>
    <row r="1751">
      <c r="A1751">
        <v>1750</v>
      </c>
      <c r="B1751">
        <f>GS34</f>
        <v>0</v>
      </c>
      <c r="C1751" t="inlineStr">
        <is>
          <t>+LS2</t>
        </is>
      </c>
      <c r="D1751" t="inlineStr">
        <is>
          <t>-145K19.0</t>
        </is>
      </c>
      <c r="E1751" t="inlineStr">
        <is>
          <t>DIL_EM-10-G</t>
        </is>
      </c>
      <c r="F1751" t="inlineStr">
        <is>
          <t>#KALK!</t>
        </is>
      </c>
      <c r="G1751" t="inlineStr">
        <is>
          <t>LASTSCHUETZ</t>
        </is>
      </c>
      <c r="H1751" t="inlineStr">
        <is>
          <t>4kW 1S</t>
        </is>
      </c>
      <c r="I1751">
        <v>269</v>
      </c>
      <c r="J1751">
        <f>GS34/145.6</f>
        <v>0</v>
      </c>
      <c r="M1751" t="inlineStr">
        <is>
          <t>-145K19.0</t>
        </is>
      </c>
    </row>
    <row r="1752">
      <c r="A1752">
        <v>1751</v>
      </c>
      <c r="B1752">
        <f>GS16</f>
        <v>0</v>
      </c>
      <c r="C1752" t="inlineStr">
        <is>
          <t>+LS2</t>
        </is>
      </c>
      <c r="D1752" t="inlineStr">
        <is>
          <t>-145K29.4</t>
        </is>
      </c>
      <c r="E1752" t="inlineStr">
        <is>
          <t>DIL_EM-10-G</t>
        </is>
      </c>
      <c r="F1752" t="inlineStr">
        <is>
          <t>#KALK!</t>
        </is>
      </c>
      <c r="G1752" t="inlineStr">
        <is>
          <t>LASTSCHUETZ</t>
        </is>
      </c>
      <c r="H1752" t="inlineStr">
        <is>
          <t>4kW 1S</t>
        </is>
      </c>
      <c r="I1752">
        <v>366</v>
      </c>
      <c r="J1752">
        <f>GS16/145.6</f>
        <v>0</v>
      </c>
      <c r="M1752" t="inlineStr">
        <is>
          <t>-145K29.4</t>
        </is>
      </c>
    </row>
    <row r="1753">
      <c r="A1753">
        <v>1752</v>
      </c>
      <c r="B1753">
        <f>GS04</f>
        <v>0</v>
      </c>
      <c r="C1753" t="inlineStr">
        <is>
          <t>+LS2</t>
        </is>
      </c>
      <c r="D1753" t="inlineStr">
        <is>
          <t>-145K31.7</t>
        </is>
      </c>
      <c r="E1753" t="inlineStr">
        <is>
          <t>DIL_EM-10-G</t>
        </is>
      </c>
      <c r="F1753" t="inlineStr">
        <is>
          <t>#KALK!</t>
        </is>
      </c>
      <c r="G1753" t="inlineStr">
        <is>
          <t>LASTSCHUETZ</t>
        </is>
      </c>
      <c r="H1753" t="inlineStr">
        <is>
          <t>4kW 1S</t>
        </is>
      </c>
      <c r="I1753">
        <v>395</v>
      </c>
      <c r="J1753">
        <f>GS04/145.7</f>
        <v>0</v>
      </c>
      <c r="M1753" t="inlineStr">
        <is>
          <t>-145K31.7</t>
        </is>
      </c>
    </row>
    <row r="1754">
      <c r="A1754">
        <v>1753</v>
      </c>
      <c r="B1754">
        <f>GS98</f>
        <v>0</v>
      </c>
      <c r="C1754" t="inlineStr">
        <is>
          <t>+LS04</t>
        </is>
      </c>
      <c r="D1754" t="inlineStr">
        <is>
          <t>-145K40.0</t>
        </is>
      </c>
      <c r="E1754" t="inlineStr">
        <is>
          <t>DILA-40</t>
        </is>
      </c>
      <c r="F1754" t="inlineStr">
        <is>
          <t>#KALK!</t>
        </is>
      </c>
      <c r="G1754" t="inlineStr">
        <is>
          <t>HILFSSCHUETZ</t>
        </is>
      </c>
      <c r="H1754" t="inlineStr">
        <is>
          <t>4S Federzugkl.</t>
        </is>
      </c>
      <c r="I1754">
        <v>345</v>
      </c>
      <c r="J1754">
        <f>GS98/145.5</f>
        <v>0</v>
      </c>
      <c r="M1754" t="inlineStr">
        <is>
          <t>-145K40.0</t>
        </is>
      </c>
    </row>
    <row r="1755">
      <c r="A1755">
        <v>1754</v>
      </c>
      <c r="B1755">
        <f>GS37</f>
        <v>0</v>
      </c>
      <c r="C1755" t="inlineStr">
        <is>
          <t>+LS02</t>
        </is>
      </c>
      <c r="D1755" t="inlineStr">
        <is>
          <t>-145K418.0</t>
        </is>
      </c>
      <c r="E1755" t="inlineStr">
        <is>
          <t>DILA-40</t>
        </is>
      </c>
      <c r="F1755" t="inlineStr">
        <is>
          <t>#KALK!</t>
        </is>
      </c>
      <c r="G1755" t="inlineStr">
        <is>
          <t>HILFSSCHUETZ</t>
        </is>
      </c>
      <c r="H1755" t="inlineStr">
        <is>
          <t>4S Federzugkl.</t>
        </is>
      </c>
      <c r="I1755">
        <v>140</v>
      </c>
      <c r="J1755">
        <f>GS37/145.7</f>
        <v>0</v>
      </c>
      <c r="M1755" t="inlineStr">
        <is>
          <t>-145K418.0</t>
        </is>
      </c>
    </row>
    <row r="1756">
      <c r="A1756">
        <v>1755</v>
      </c>
      <c r="B1756">
        <f>GS90</f>
        <v>0</v>
      </c>
      <c r="C1756" t="inlineStr">
        <is>
          <t>+LS02</t>
        </is>
      </c>
      <c r="D1756" t="inlineStr">
        <is>
          <t>-145K440.4</t>
        </is>
      </c>
      <c r="E1756" t="inlineStr">
        <is>
          <t>DILA-40</t>
        </is>
      </c>
      <c r="F1756" t="inlineStr">
        <is>
          <t>#KALK!</t>
        </is>
      </c>
      <c r="G1756" t="inlineStr">
        <is>
          <t>HILFSSCHUETZ</t>
        </is>
      </c>
      <c r="H1756" t="inlineStr">
        <is>
          <t>4S Federzugkl.</t>
        </is>
      </c>
      <c r="I1756">
        <v>1095</v>
      </c>
      <c r="J1756">
        <f>GS90/145.7</f>
        <v>0</v>
      </c>
      <c r="M1756" t="inlineStr">
        <is>
          <t>-145K440.4</t>
        </is>
      </c>
    </row>
    <row r="1757">
      <c r="A1757">
        <v>1756</v>
      </c>
      <c r="B1757">
        <f>GS33</f>
        <v>0</v>
      </c>
      <c r="C1757" t="inlineStr">
        <is>
          <t>+LS2</t>
        </is>
      </c>
      <c r="D1757" t="inlineStr">
        <is>
          <t>-145K53.0</t>
        </is>
      </c>
      <c r="E1757" t="inlineStr">
        <is>
          <t>DIL_EM-10-G</t>
        </is>
      </c>
      <c r="F1757" t="inlineStr">
        <is>
          <t>#KALK!</t>
        </is>
      </c>
      <c r="G1757" t="inlineStr">
        <is>
          <t>LASTSCHUETZ</t>
        </is>
      </c>
      <c r="H1757" t="inlineStr">
        <is>
          <t>4kW 1S</t>
        </is>
      </c>
      <c r="I1757">
        <v>577</v>
      </c>
      <c r="J1757">
        <f>GS33/145.6</f>
        <v>0</v>
      </c>
      <c r="M1757" t="inlineStr">
        <is>
          <t>-145K53.0</t>
        </is>
      </c>
    </row>
    <row r="1758">
      <c r="A1758">
        <v>1757</v>
      </c>
      <c r="B1758">
        <f>GS23</f>
        <v>0</v>
      </c>
      <c r="C1758" t="inlineStr">
        <is>
          <t>+LS2</t>
        </is>
      </c>
      <c r="D1758" t="inlineStr">
        <is>
          <t>-145K58.5</t>
        </is>
      </c>
      <c r="E1758" t="inlineStr">
        <is>
          <t>DIL_EM-10-G</t>
        </is>
      </c>
      <c r="F1758" t="inlineStr">
        <is>
          <t>#KALK!</t>
        </is>
      </c>
      <c r="G1758" t="inlineStr">
        <is>
          <t>LASTSCHUETZ</t>
        </is>
      </c>
      <c r="H1758" t="inlineStr">
        <is>
          <t>4kW 1S</t>
        </is>
      </c>
      <c r="I1758">
        <v>444</v>
      </c>
      <c r="J1758">
        <f>GS23/145.6</f>
        <v>0</v>
      </c>
      <c r="M1758" t="inlineStr">
        <is>
          <t>-145K58.5</t>
        </is>
      </c>
    </row>
    <row r="1759">
      <c r="A1759">
        <v>1758</v>
      </c>
      <c r="B1759">
        <f>GS23</f>
        <v>0</v>
      </c>
      <c r="C1759" t="inlineStr">
        <is>
          <t>+LS2</t>
        </is>
      </c>
      <c r="D1759" t="inlineStr">
        <is>
          <t>-145K58.6</t>
        </is>
      </c>
      <c r="E1759" t="inlineStr">
        <is>
          <t>DIL_EM-10-G</t>
        </is>
      </c>
      <c r="F1759" t="inlineStr">
        <is>
          <t>#KALK!</t>
        </is>
      </c>
      <c r="G1759" t="inlineStr">
        <is>
          <t>LASTSCHUETZ</t>
        </is>
      </c>
      <c r="H1759" t="inlineStr">
        <is>
          <t>4kW 1S</t>
        </is>
      </c>
      <c r="I1759">
        <v>444</v>
      </c>
      <c r="J1759">
        <f>GS23/145.6</f>
        <v>0</v>
      </c>
      <c r="M1759" t="inlineStr">
        <is>
          <t>-145K58.6</t>
        </is>
      </c>
    </row>
    <row r="1760">
      <c r="A1760">
        <v>1759</v>
      </c>
      <c r="B1760">
        <f>GS01</f>
        <v>0</v>
      </c>
      <c r="C1760" t="inlineStr">
        <is>
          <t>+LS3</t>
        </is>
      </c>
      <c r="D1760" t="inlineStr">
        <is>
          <t>-145K91.0</t>
        </is>
      </c>
      <c r="E1760" t="inlineStr">
        <is>
          <t>DIL_EM-10-G</t>
        </is>
      </c>
      <c r="F1760" t="inlineStr">
        <is>
          <t>#KALK!</t>
        </is>
      </c>
      <c r="G1760" t="inlineStr">
        <is>
          <t>LASTSCHUETZ</t>
        </is>
      </c>
      <c r="H1760" t="inlineStr">
        <is>
          <t>4kW 1S</t>
        </is>
      </c>
      <c r="I1760">
        <v>307</v>
      </c>
      <c r="J1760">
        <f>GS01/145.6</f>
        <v>0</v>
      </c>
      <c r="M1760" t="inlineStr">
        <is>
          <t>-145K91.0</t>
        </is>
      </c>
    </row>
    <row r="1761">
      <c r="A1761">
        <v>1760</v>
      </c>
      <c r="B1761">
        <f>GS35</f>
        <v>0</v>
      </c>
      <c r="C1761" t="inlineStr">
        <is>
          <t>+LS02</t>
        </is>
      </c>
      <c r="D1761" t="inlineStr">
        <is>
          <t>-145Q1</t>
        </is>
      </c>
      <c r="E1761" t="inlineStr">
        <is>
          <t>DILA-XHI22</t>
        </is>
      </c>
      <c r="F1761" t="inlineStr">
        <is>
          <t>DILA-XHI22</t>
        </is>
      </c>
      <c r="G1761" t="inlineStr">
        <is>
          <t>HILFSKONTAKTBLOCK</t>
        </is>
      </c>
      <c r="H1761" t="inlineStr">
        <is>
          <t>2S 2OE Last+Hilfssch. Cage</t>
        </is>
      </c>
      <c r="I1761">
        <v>304</v>
      </c>
      <c r="J1761">
        <f>GS35/145.4</f>
        <v>0</v>
      </c>
      <c r="K1761" t="inlineStr">
        <is>
          <t>DIL MC25</t>
        </is>
      </c>
      <c r="M1761" t="inlineStr">
        <is>
          <t>-145Q1</t>
        </is>
      </c>
    </row>
    <row r="1762">
      <c r="A1762">
        <v>1761</v>
      </c>
      <c r="B1762">
        <f>GS35</f>
        <v>0</v>
      </c>
      <c r="C1762" t="inlineStr">
        <is>
          <t>+LS02</t>
        </is>
      </c>
      <c r="D1762" t="inlineStr">
        <is>
          <t>-145Q1</t>
        </is>
      </c>
      <c r="E1762" t="inlineStr">
        <is>
          <t>DILM-25-10</t>
        </is>
      </c>
      <c r="F1762" t="inlineStr">
        <is>
          <t>DILA-XHI22</t>
        </is>
      </c>
      <c r="G1762" t="inlineStr">
        <is>
          <t>LASTSCHUETZ</t>
        </is>
      </c>
      <c r="H1762" t="inlineStr">
        <is>
          <t>11kW 1S Federzugkl.</t>
        </is>
      </c>
      <c r="I1762">
        <v>304</v>
      </c>
      <c r="J1762">
        <f>GS35/145.4</f>
        <v>0</v>
      </c>
      <c r="K1762" t="inlineStr">
        <is>
          <t>DIL MC25</t>
        </is>
      </c>
      <c r="M1762" t="inlineStr">
        <is>
          <t>-145Q1</t>
        </is>
      </c>
    </row>
    <row r="1763">
      <c r="A1763">
        <v>1762</v>
      </c>
      <c r="B1763">
        <f>GS36</f>
        <v>0</v>
      </c>
      <c r="C1763" t="inlineStr">
        <is>
          <t>+LS02</t>
        </is>
      </c>
      <c r="D1763" t="inlineStr">
        <is>
          <t>-145Q1</t>
        </is>
      </c>
      <c r="E1763" t="inlineStr">
        <is>
          <t>DILA-XHI22</t>
        </is>
      </c>
      <c r="F1763" t="inlineStr">
        <is>
          <t>DILA-XHI22</t>
        </is>
      </c>
      <c r="G1763" t="inlineStr">
        <is>
          <t>HILFSKONTAKTBLOCK</t>
        </is>
      </c>
      <c r="H1763" t="inlineStr">
        <is>
          <t>2S 2OE Last+Hilfssch. Cage</t>
        </is>
      </c>
      <c r="I1763">
        <v>318</v>
      </c>
      <c r="J1763">
        <f>GS36/145.4</f>
        <v>0</v>
      </c>
      <c r="K1763" t="inlineStr">
        <is>
          <t>DIL MC25</t>
        </is>
      </c>
      <c r="L1763" t="inlineStr">
        <is>
          <t>HVO 03</t>
        </is>
      </c>
      <c r="M1763" t="inlineStr">
        <is>
          <t>HVO 03
-145Q1</t>
        </is>
      </c>
      <c r="N1763" t="inlineStr">
        <is>
          <t>P</t>
        </is>
      </c>
    </row>
    <row r="1764">
      <c r="A1764">
        <v>1763</v>
      </c>
      <c r="B1764">
        <f>GS36</f>
        <v>0</v>
      </c>
      <c r="C1764" t="inlineStr">
        <is>
          <t>+LS02</t>
        </is>
      </c>
      <c r="D1764" t="inlineStr">
        <is>
          <t>-145Q1</t>
        </is>
      </c>
      <c r="E1764" t="inlineStr">
        <is>
          <t>DILMC25-10(RDC24)</t>
        </is>
      </c>
      <c r="F1764" t="inlineStr">
        <is>
          <t>DILA-XHI22</t>
        </is>
      </c>
      <c r="G1764" t="inlineStr">
        <is>
          <t>LASTSCHUETZ</t>
        </is>
      </c>
      <c r="H1764" t="inlineStr">
        <is>
          <t>11kW 1S Federzugkl.</t>
        </is>
      </c>
      <c r="I1764">
        <v>318</v>
      </c>
      <c r="J1764">
        <f>GS36/145.4</f>
        <v>0</v>
      </c>
      <c r="K1764" t="inlineStr">
        <is>
          <t>DIL MC25</t>
        </is>
      </c>
      <c r="L1764" t="inlineStr">
        <is>
          <t>HVO 03</t>
        </is>
      </c>
      <c r="M1764" t="inlineStr">
        <is>
          <t>HVO 03
-145Q1</t>
        </is>
      </c>
      <c r="N1764" t="inlineStr">
        <is>
          <t>P</t>
        </is>
      </c>
    </row>
    <row r="1765">
      <c r="A1765">
        <v>1764</v>
      </c>
      <c r="B1765">
        <f>GS37</f>
        <v>0</v>
      </c>
      <c r="C1765" t="inlineStr">
        <is>
          <t>+LS02</t>
        </is>
      </c>
      <c r="D1765" t="inlineStr">
        <is>
          <t>-145Q1</t>
        </is>
      </c>
      <c r="E1765" t="inlineStr">
        <is>
          <t>DILMC25-10(RDC24)</t>
        </is>
      </c>
      <c r="F1765" t="inlineStr">
        <is>
          <t>DILA-XHI22</t>
        </is>
      </c>
      <c r="G1765" t="inlineStr">
        <is>
          <t>LASTSCHUETZ</t>
        </is>
      </c>
      <c r="H1765" t="inlineStr">
        <is>
          <t>11kW 1S Federzugkl.</t>
        </is>
      </c>
      <c r="I1765">
        <v>140</v>
      </c>
      <c r="J1765">
        <f>GS37/145.5</f>
        <v>0</v>
      </c>
      <c r="K1765" t="inlineStr">
        <is>
          <t>DIL MC25</t>
        </is>
      </c>
      <c r="M1765" t="inlineStr">
        <is>
          <t>-145Q1</t>
        </is>
      </c>
    </row>
    <row r="1766">
      <c r="A1766">
        <v>1765</v>
      </c>
      <c r="B1766">
        <f>GS37</f>
        <v>0</v>
      </c>
      <c r="C1766" t="inlineStr">
        <is>
          <t>+LS02</t>
        </is>
      </c>
      <c r="D1766" t="inlineStr">
        <is>
          <t>-145Q1</t>
        </is>
      </c>
      <c r="E1766" t="inlineStr">
        <is>
          <t>DILA-XHI22</t>
        </is>
      </c>
      <c r="F1766" t="inlineStr">
        <is>
          <t>DILA-XHI22</t>
        </is>
      </c>
      <c r="G1766" t="inlineStr">
        <is>
          <t>HILFSKONTAKTBLOCK</t>
        </is>
      </c>
      <c r="H1766" t="inlineStr">
        <is>
          <t>2S 2OE Last+Hilfssch. Cage</t>
        </is>
      </c>
      <c r="I1766">
        <v>140</v>
      </c>
      <c r="J1766">
        <f>GS37/145.5</f>
        <v>0</v>
      </c>
      <c r="K1766" t="inlineStr">
        <is>
          <t>DIL MC25</t>
        </is>
      </c>
      <c r="M1766" t="inlineStr">
        <is>
          <t>-145Q1</t>
        </is>
      </c>
    </row>
    <row r="1767">
      <c r="A1767">
        <v>1766</v>
      </c>
      <c r="B1767">
        <f>GS52</f>
        <v>0</v>
      </c>
      <c r="C1767" t="inlineStr">
        <is>
          <t>+LS02</t>
        </is>
      </c>
      <c r="D1767" t="inlineStr">
        <is>
          <t>-145Q1</t>
        </is>
      </c>
      <c r="E1767" t="inlineStr">
        <is>
          <t>DILA-XHI22</t>
        </is>
      </c>
      <c r="F1767" t="inlineStr">
        <is>
          <t>DILA-XHI22</t>
        </is>
      </c>
      <c r="G1767" t="inlineStr">
        <is>
          <t>HILFSKONTAKTBLOCK</t>
        </is>
      </c>
      <c r="H1767" t="inlineStr">
        <is>
          <t>2S 2OE Last+Hilfssch. Cage</t>
        </is>
      </c>
      <c r="I1767">
        <v>962</v>
      </c>
      <c r="J1767">
        <f>GS52/145.6</f>
        <v>0</v>
      </c>
      <c r="K1767" t="inlineStr">
        <is>
          <t>DIL MC25</t>
        </is>
      </c>
      <c r="M1767" t="inlineStr">
        <is>
          <t>-145Q1</t>
        </is>
      </c>
    </row>
    <row r="1768">
      <c r="A1768">
        <v>1767</v>
      </c>
      <c r="B1768">
        <f>GS52</f>
        <v>0</v>
      </c>
      <c r="C1768" t="inlineStr">
        <is>
          <t>+LS02</t>
        </is>
      </c>
      <c r="D1768" t="inlineStr">
        <is>
          <t>-145Q1</t>
        </is>
      </c>
      <c r="E1768" t="inlineStr">
        <is>
          <t>DILMC25-10(RDC24)</t>
        </is>
      </c>
      <c r="F1768" t="inlineStr">
        <is>
          <t>DILA-XHI22</t>
        </is>
      </c>
      <c r="G1768" t="inlineStr">
        <is>
          <t>LASTSCHUETZ</t>
        </is>
      </c>
      <c r="H1768" t="inlineStr">
        <is>
          <t>11kW 1S Federzugkl.</t>
        </is>
      </c>
      <c r="I1768">
        <v>962</v>
      </c>
      <c r="J1768">
        <f>GS52/145.6</f>
        <v>0</v>
      </c>
      <c r="K1768" t="inlineStr">
        <is>
          <t>DIL MC25</t>
        </is>
      </c>
      <c r="M1768" t="inlineStr">
        <is>
          <t>-145Q1</t>
        </is>
      </c>
    </row>
    <row r="1769">
      <c r="A1769">
        <v>1768</v>
      </c>
      <c r="B1769">
        <f>GS90</f>
        <v>0</v>
      </c>
      <c r="C1769" t="inlineStr">
        <is>
          <t>+LS02</t>
        </is>
      </c>
      <c r="D1769" t="inlineStr">
        <is>
          <t>-145Q1</t>
        </is>
      </c>
      <c r="E1769" t="inlineStr">
        <is>
          <t>DILA-XHI22</t>
        </is>
      </c>
      <c r="F1769" t="inlineStr">
        <is>
          <t>DILA-XHI22</t>
        </is>
      </c>
      <c r="G1769" t="inlineStr">
        <is>
          <t>HILFSKONTAKTBLOCK</t>
        </is>
      </c>
      <c r="H1769" t="inlineStr">
        <is>
          <t>2S 2OE Last+Hilfssch. Cage</t>
        </is>
      </c>
      <c r="I1769">
        <v>1095</v>
      </c>
      <c r="J1769">
        <f>GS90/145.4</f>
        <v>0</v>
      </c>
      <c r="K1769" t="inlineStr">
        <is>
          <t>DIL MC25</t>
        </is>
      </c>
      <c r="M1769" t="inlineStr">
        <is>
          <t>-145Q1</t>
        </is>
      </c>
    </row>
    <row r="1770">
      <c r="A1770">
        <v>1769</v>
      </c>
      <c r="B1770">
        <f>GS90</f>
        <v>0</v>
      </c>
      <c r="C1770" t="inlineStr">
        <is>
          <t>+LS02</t>
        </is>
      </c>
      <c r="D1770" t="inlineStr">
        <is>
          <t>-145Q1</t>
        </is>
      </c>
      <c r="E1770" t="inlineStr">
        <is>
          <t>DILMC25-10(RDC24)</t>
        </is>
      </c>
      <c r="F1770" t="inlineStr">
        <is>
          <t>DILA-XHI22</t>
        </is>
      </c>
      <c r="G1770" t="inlineStr">
        <is>
          <t>LASTSCHUETZ</t>
        </is>
      </c>
      <c r="H1770" t="inlineStr">
        <is>
          <t>11kW 1S Federzugkl.</t>
        </is>
      </c>
      <c r="I1770">
        <v>1095</v>
      </c>
      <c r="J1770">
        <f>GS90/145.4</f>
        <v>0</v>
      </c>
      <c r="K1770" t="inlineStr">
        <is>
          <t>DIL MC25</t>
        </is>
      </c>
      <c r="M1770" t="inlineStr">
        <is>
          <t>-145Q1</t>
        </is>
      </c>
    </row>
    <row r="1771">
      <c r="A1771">
        <v>1770</v>
      </c>
      <c r="B1771">
        <f>GS92</f>
        <v>0</v>
      </c>
      <c r="C1771" t="inlineStr">
        <is>
          <t>+LS01</t>
        </is>
      </c>
      <c r="D1771" t="inlineStr">
        <is>
          <t>-145Q155.6</t>
        </is>
      </c>
      <c r="E1771" t="inlineStr">
        <is>
          <t>DILM-9-10</t>
        </is>
      </c>
      <c r="F1771" t="inlineStr">
        <is>
          <t>#KALK!</t>
        </is>
      </c>
      <c r="G1771" t="inlineStr">
        <is>
          <t>LASTSCHUETZ</t>
        </is>
      </c>
      <c r="H1771" t="inlineStr">
        <is>
          <t>4kW 1S Federzugkl.</t>
        </is>
      </c>
      <c r="I1771">
        <v>291</v>
      </c>
      <c r="J1771">
        <f>GS92/145.5</f>
        <v>0</v>
      </c>
      <c r="M1771" t="inlineStr">
        <is>
          <t>-145Q155.6</t>
        </is>
      </c>
    </row>
    <row r="1772">
      <c r="A1772">
        <v>1771</v>
      </c>
      <c r="B1772">
        <f>GS13</f>
        <v>0</v>
      </c>
      <c r="C1772" t="inlineStr">
        <is>
          <t>+LS2</t>
        </is>
      </c>
      <c r="D1772" t="inlineStr">
        <is>
          <t>-14658.7</t>
        </is>
      </c>
      <c r="E1772" t="inlineStr">
        <is>
          <t>DIL_EM-10-G</t>
        </is>
      </c>
      <c r="F1772" t="inlineStr">
        <is>
          <t>#KALK!</t>
        </is>
      </c>
      <c r="G1772" t="inlineStr">
        <is>
          <t>LASTSCHUETZ</t>
        </is>
      </c>
      <c r="H1772" t="inlineStr">
        <is>
          <t>4kW 1S</t>
        </is>
      </c>
      <c r="I1772">
        <v>385</v>
      </c>
      <c r="J1772">
        <f>GS13/146.6</f>
        <v>0</v>
      </c>
      <c r="M1772" t="inlineStr">
        <is>
          <t>-14658.7</t>
        </is>
      </c>
    </row>
    <row r="1773">
      <c r="A1773">
        <v>1772</v>
      </c>
      <c r="B1773">
        <f>GS7x</f>
        <v>0</v>
      </c>
      <c r="C1773" t="inlineStr">
        <is>
          <t>+LS[l2]</t>
        </is>
      </c>
      <c r="D1773" t="inlineStr">
        <is>
          <t>-146K[a+1].6</t>
        </is>
      </c>
      <c r="E1773" t="inlineStr">
        <is>
          <t>DILA-40</t>
        </is>
      </c>
      <c r="F1773" t="inlineStr">
        <is>
          <t>#KALK!</t>
        </is>
      </c>
      <c r="G1773" t="inlineStr">
        <is>
          <t>HILFSSCHUETZ</t>
        </is>
      </c>
      <c r="H1773" t="inlineStr">
        <is>
          <t>4S Federzugkl.</t>
        </is>
      </c>
      <c r="I1773">
        <v>190</v>
      </c>
      <c r="J1773">
        <f>GS7x/146.7</f>
        <v>0</v>
      </c>
      <c r="M1773" t="inlineStr">
        <is>
          <t>-146K[a+1].6</t>
        </is>
      </c>
    </row>
    <row r="1774">
      <c r="A1774">
        <v>1773</v>
      </c>
      <c r="B1774">
        <f>GS02</f>
        <v>0</v>
      </c>
      <c r="C1774" t="inlineStr">
        <is>
          <t>+LS2</t>
        </is>
      </c>
      <c r="D1774" t="inlineStr">
        <is>
          <t>-146K1</t>
        </is>
      </c>
      <c r="E1774" t="inlineStr">
        <is>
          <t>22_DIL-M</t>
        </is>
      </c>
      <c r="F1774" t="inlineStr">
        <is>
          <t>22_DIL-M</t>
        </is>
      </c>
      <c r="G1774" t="inlineStr">
        <is>
          <t>HILFSKONTAKTBLOCK</t>
        </is>
      </c>
      <c r="H1774" t="inlineStr">
        <is>
          <t>2S 2OE Lastschuetz DIL M</t>
        </is>
      </c>
      <c r="I1774">
        <v>545</v>
      </c>
      <c r="J1774">
        <f>GS02/146.2</f>
        <v>0</v>
      </c>
      <c r="K1774" t="inlineStr">
        <is>
          <t>DIL0AM</t>
        </is>
      </c>
      <c r="M1774" t="inlineStr">
        <is>
          <t>-146K1</t>
        </is>
      </c>
    </row>
    <row r="1775">
      <c r="A1775">
        <v>1774</v>
      </c>
      <c r="B1775">
        <f>GS02</f>
        <v>0</v>
      </c>
      <c r="C1775" t="inlineStr">
        <is>
          <t>+LS2</t>
        </is>
      </c>
      <c r="D1775" t="inlineStr">
        <is>
          <t>-146K1</t>
        </is>
      </c>
      <c r="E1775" t="inlineStr">
        <is>
          <t>DIL_0AM</t>
        </is>
      </c>
      <c r="F1775" t="inlineStr">
        <is>
          <t>22_DIL-M</t>
        </is>
      </c>
      <c r="G1775" t="inlineStr">
        <is>
          <t>LASTSCHUETZ</t>
        </is>
      </c>
      <c r="H1775" t="inlineStr">
        <is>
          <t>11 kW</t>
        </is>
      </c>
      <c r="I1775">
        <v>545</v>
      </c>
      <c r="J1775">
        <f>GS02/146.2</f>
        <v>0</v>
      </c>
      <c r="K1775" t="inlineStr">
        <is>
          <t>DIL0AM</t>
        </is>
      </c>
      <c r="M1775" t="inlineStr">
        <is>
          <t>-146K1</t>
        </is>
      </c>
    </row>
    <row r="1776">
      <c r="A1776">
        <v>1775</v>
      </c>
      <c r="B1776">
        <f>GS33</f>
        <v>0</v>
      </c>
      <c r="C1776" t="inlineStr">
        <is>
          <t>+LS2</t>
        </is>
      </c>
      <c r="D1776" t="inlineStr">
        <is>
          <t>-146K19.1</t>
        </is>
      </c>
      <c r="E1776" t="inlineStr">
        <is>
          <t>DIL_EM-10-G</t>
        </is>
      </c>
      <c r="F1776" t="inlineStr">
        <is>
          <t>#KALK!</t>
        </is>
      </c>
      <c r="G1776" t="inlineStr">
        <is>
          <t>LASTSCHUETZ</t>
        </is>
      </c>
      <c r="H1776" t="inlineStr">
        <is>
          <t>4kW 1S</t>
        </is>
      </c>
      <c r="I1776">
        <v>578</v>
      </c>
      <c r="J1776">
        <f>GS33/146.6</f>
        <v>0</v>
      </c>
      <c r="M1776" t="inlineStr">
        <is>
          <t>-146K19.1</t>
        </is>
      </c>
    </row>
    <row r="1777">
      <c r="A1777">
        <v>1776</v>
      </c>
      <c r="B1777">
        <f>GS34</f>
        <v>0</v>
      </c>
      <c r="C1777" t="inlineStr">
        <is>
          <t>+LS2</t>
        </is>
      </c>
      <c r="D1777" t="inlineStr">
        <is>
          <t>-146K19.4</t>
        </is>
      </c>
      <c r="E1777" t="inlineStr">
        <is>
          <t>DIL_EM-10-G</t>
        </is>
      </c>
      <c r="F1777" t="inlineStr">
        <is>
          <t>#KALK!</t>
        </is>
      </c>
      <c r="G1777" t="inlineStr">
        <is>
          <t>LASTSCHUETZ</t>
        </is>
      </c>
      <c r="H1777" t="inlineStr">
        <is>
          <t>4kW 1S</t>
        </is>
      </c>
      <c r="I1777">
        <v>270</v>
      </c>
      <c r="J1777">
        <f>GS34/146.7</f>
        <v>0</v>
      </c>
      <c r="M1777" t="inlineStr">
        <is>
          <t>-146K19.4</t>
        </is>
      </c>
    </row>
    <row r="1778">
      <c r="A1778">
        <v>1777</v>
      </c>
      <c r="B1778">
        <f>GS16</f>
        <v>0</v>
      </c>
      <c r="C1778" t="inlineStr">
        <is>
          <t>+LS2</t>
        </is>
      </c>
      <c r="D1778" t="inlineStr">
        <is>
          <t>-146K29.5</t>
        </is>
      </c>
      <c r="E1778" t="inlineStr">
        <is>
          <t>DIL_EM-10-G</t>
        </is>
      </c>
      <c r="F1778" t="inlineStr">
        <is>
          <t>#KALK!</t>
        </is>
      </c>
      <c r="G1778" t="inlineStr">
        <is>
          <t>LASTSCHUETZ</t>
        </is>
      </c>
      <c r="H1778" t="inlineStr">
        <is>
          <t>4kW 1S</t>
        </is>
      </c>
      <c r="I1778">
        <v>367</v>
      </c>
      <c r="J1778">
        <f>GS16/146.6</f>
        <v>0</v>
      </c>
      <c r="M1778" t="inlineStr">
        <is>
          <t>-146K29.5</t>
        </is>
      </c>
    </row>
    <row r="1779">
      <c r="A1779">
        <v>1778</v>
      </c>
      <c r="B1779">
        <f>GS16</f>
        <v>0</v>
      </c>
      <c r="C1779" t="inlineStr">
        <is>
          <t>+LS2</t>
        </is>
      </c>
      <c r="D1779" t="inlineStr">
        <is>
          <t>-146K29.6</t>
        </is>
      </c>
      <c r="E1779" t="inlineStr">
        <is>
          <t>DIL_EM-10-G</t>
        </is>
      </c>
      <c r="F1779" t="inlineStr">
        <is>
          <t>#KALK!</t>
        </is>
      </c>
      <c r="G1779" t="inlineStr">
        <is>
          <t>LASTSCHUETZ</t>
        </is>
      </c>
      <c r="H1779" t="inlineStr">
        <is>
          <t>4kW 1S</t>
        </is>
      </c>
      <c r="I1779">
        <v>367</v>
      </c>
      <c r="J1779">
        <f>GS16/146.6</f>
        <v>0</v>
      </c>
      <c r="M1779" t="inlineStr">
        <is>
          <t>-146K29.6</t>
        </is>
      </c>
    </row>
    <row r="1780">
      <c r="A1780">
        <v>1779</v>
      </c>
      <c r="B1780">
        <f>GS04</f>
        <v>0</v>
      </c>
      <c r="C1780" t="inlineStr">
        <is>
          <t>+LS2</t>
        </is>
      </c>
      <c r="D1780" t="inlineStr">
        <is>
          <t>-146K32.3</t>
        </is>
      </c>
      <c r="E1780" t="inlineStr">
        <is>
          <t>DIL_EM-10-G</t>
        </is>
      </c>
      <c r="F1780" t="inlineStr">
        <is>
          <t>#KALK!</t>
        </is>
      </c>
      <c r="G1780" t="inlineStr">
        <is>
          <t>LASTSCHUETZ</t>
        </is>
      </c>
      <c r="H1780" t="inlineStr">
        <is>
          <t>4kW 1S</t>
        </is>
      </c>
      <c r="I1780">
        <v>396</v>
      </c>
      <c r="J1780">
        <f>GS04/146.8</f>
        <v>0</v>
      </c>
      <c r="M1780" t="inlineStr">
        <is>
          <t>-146K32.3</t>
        </is>
      </c>
    </row>
    <row r="1781">
      <c r="A1781">
        <v>1780</v>
      </c>
      <c r="B1781">
        <f>GS33</f>
        <v>0</v>
      </c>
      <c r="C1781" t="inlineStr">
        <is>
          <t>+LS2</t>
        </is>
      </c>
      <c r="D1781" t="inlineStr">
        <is>
          <t>-146K53.1</t>
        </is>
      </c>
      <c r="E1781" t="inlineStr">
        <is>
          <t>DIL_EM-10-G</t>
        </is>
      </c>
      <c r="F1781" t="inlineStr">
        <is>
          <t>#KALK!</t>
        </is>
      </c>
      <c r="G1781" t="inlineStr">
        <is>
          <t>LASTSCHUETZ</t>
        </is>
      </c>
      <c r="H1781" t="inlineStr">
        <is>
          <t>4kW 1S</t>
        </is>
      </c>
      <c r="I1781">
        <v>578</v>
      </c>
      <c r="J1781">
        <f>GS33/146.6</f>
        <v>0</v>
      </c>
      <c r="M1781" t="inlineStr">
        <is>
          <t>-146K53.1</t>
        </is>
      </c>
    </row>
    <row r="1782">
      <c r="A1782">
        <v>1781</v>
      </c>
      <c r="B1782">
        <f>GS23</f>
        <v>0</v>
      </c>
      <c r="C1782" t="inlineStr">
        <is>
          <t>+LS2</t>
        </is>
      </c>
      <c r="D1782" t="inlineStr">
        <is>
          <t>-146K58.7</t>
        </is>
      </c>
      <c r="E1782" t="inlineStr">
        <is>
          <t>DIL_EM-10-G</t>
        </is>
      </c>
      <c r="F1782" t="inlineStr">
        <is>
          <t>#KALK!</t>
        </is>
      </c>
      <c r="G1782" t="inlineStr">
        <is>
          <t>LASTSCHUETZ</t>
        </is>
      </c>
      <c r="H1782" t="inlineStr">
        <is>
          <t>4kW 1S</t>
        </is>
      </c>
      <c r="I1782">
        <v>445</v>
      </c>
      <c r="J1782">
        <f>GS23/146.6</f>
        <v>0</v>
      </c>
      <c r="M1782" t="inlineStr">
        <is>
          <t>-146K58.7</t>
        </is>
      </c>
    </row>
    <row r="1783">
      <c r="A1783">
        <v>1782</v>
      </c>
      <c r="B1783">
        <f>GS01</f>
        <v>0</v>
      </c>
      <c r="C1783" t="inlineStr">
        <is>
          <t>+LS3</t>
        </is>
      </c>
      <c r="D1783" t="inlineStr">
        <is>
          <t>-146K91.4</t>
        </is>
      </c>
      <c r="E1783" t="inlineStr">
        <is>
          <t>DIL_EM-10-G</t>
        </is>
      </c>
      <c r="F1783" t="inlineStr">
        <is>
          <t>#KALK!</t>
        </is>
      </c>
      <c r="G1783" t="inlineStr">
        <is>
          <t>LASTSCHUETZ</t>
        </is>
      </c>
      <c r="H1783" t="inlineStr">
        <is>
          <t>4kW 1S</t>
        </is>
      </c>
      <c r="I1783">
        <v>308</v>
      </c>
      <c r="J1783">
        <f>GS01/146.7</f>
        <v>0</v>
      </c>
      <c r="M1783" t="inlineStr">
        <is>
          <t>-146K91.4</t>
        </is>
      </c>
    </row>
    <row r="1784">
      <c r="A1784">
        <v>1783</v>
      </c>
      <c r="B1784">
        <f>GS7x</f>
        <v>0</v>
      </c>
      <c r="C1784" t="inlineStr">
        <is>
          <t>+LS[l2]</t>
        </is>
      </c>
      <c r="D1784" t="inlineStr">
        <is>
          <t>-146Q1</t>
        </is>
      </c>
      <c r="E1784" t="inlineStr">
        <is>
          <t>DILMC40(RDC24)</t>
        </is>
      </c>
      <c r="F1784" t="inlineStr">
        <is>
          <t>DILM150-XHIC22</t>
        </is>
      </c>
      <c r="G1784" t="inlineStr">
        <is>
          <t>LASTSCHUETZ</t>
        </is>
      </c>
      <c r="H1784" t="inlineStr">
        <is>
          <t>18,5kW Federzugkl.</t>
        </is>
      </c>
      <c r="I1784">
        <v>190</v>
      </c>
      <c r="J1784">
        <f>GS7x/146.5</f>
        <v>0</v>
      </c>
      <c r="M1784" t="inlineStr">
        <is>
          <t>-146Q1</t>
        </is>
      </c>
    </row>
    <row r="1785">
      <c r="A1785">
        <v>1784</v>
      </c>
      <c r="B1785">
        <f>GS7x</f>
        <v>0</v>
      </c>
      <c r="C1785" t="inlineStr">
        <is>
          <t>+LS[l2]</t>
        </is>
      </c>
      <c r="D1785" t="inlineStr">
        <is>
          <t>-146Q1</t>
        </is>
      </c>
      <c r="E1785" t="inlineStr">
        <is>
          <t>DILM150-XHIC22</t>
        </is>
      </c>
      <c r="F1785" t="inlineStr">
        <is>
          <t>DILM150-XHIC22</t>
        </is>
      </c>
      <c r="G1785" t="inlineStr">
        <is>
          <t>HILFSKONTAKTBLOCK</t>
        </is>
      </c>
      <c r="H1785" t="inlineStr">
        <is>
          <t>2S 2OE ab DILMC40</t>
        </is>
      </c>
      <c r="I1785">
        <v>190</v>
      </c>
      <c r="J1785">
        <f>GS7x/146.5</f>
        <v>0</v>
      </c>
      <c r="M1785" t="inlineStr">
        <is>
          <t>-146Q1</t>
        </is>
      </c>
    </row>
    <row r="1786">
      <c r="A1786">
        <v>1785</v>
      </c>
      <c r="B1786">
        <f>GS90</f>
        <v>0</v>
      </c>
      <c r="C1786" t="inlineStr">
        <is>
          <t>+LS02</t>
        </is>
      </c>
      <c r="D1786" t="inlineStr">
        <is>
          <t>-146Q440.5</t>
        </is>
      </c>
      <c r="E1786" t="inlineStr">
        <is>
          <t>DILM-9-10</t>
        </is>
      </c>
      <c r="F1786" t="inlineStr">
        <is>
          <t>#KALK!</t>
        </is>
      </c>
      <c r="G1786" t="inlineStr">
        <is>
          <t>LASTSCHUETZ</t>
        </is>
      </c>
      <c r="H1786" t="inlineStr">
        <is>
          <t>4kW 1S Federzugkl.</t>
        </is>
      </c>
      <c r="I1786">
        <v>1094</v>
      </c>
      <c r="J1786">
        <f>GS90/146.5</f>
        <v>0</v>
      </c>
      <c r="M1786" t="inlineStr">
        <is>
          <t>-146Q440.5</t>
        </is>
      </c>
    </row>
    <row r="1787">
      <c r="A1787">
        <v>1786</v>
      </c>
      <c r="B1787">
        <f>GS13</f>
        <v>0</v>
      </c>
      <c r="C1787" t="inlineStr">
        <is>
          <t>+LS2</t>
        </is>
      </c>
      <c r="D1787" t="inlineStr">
        <is>
          <t>-14759.4</t>
        </is>
      </c>
      <c r="E1787" t="inlineStr">
        <is>
          <t>DIL_EM-10-G</t>
        </is>
      </c>
      <c r="F1787" t="inlineStr">
        <is>
          <t>#KALK!</t>
        </is>
      </c>
      <c r="G1787" t="inlineStr">
        <is>
          <t>LASTSCHUETZ</t>
        </is>
      </c>
      <c r="H1787" t="inlineStr">
        <is>
          <t>4kW 1S</t>
        </is>
      </c>
      <c r="I1787">
        <v>386</v>
      </c>
      <c r="J1787">
        <f>GS13/147.6</f>
        <v>0</v>
      </c>
      <c r="M1787" t="inlineStr">
        <is>
          <t>-14759.4</t>
        </is>
      </c>
    </row>
    <row r="1788">
      <c r="A1788">
        <v>1787</v>
      </c>
      <c r="B1788">
        <f>GS13</f>
        <v>0</v>
      </c>
      <c r="C1788" t="inlineStr">
        <is>
          <t>+LS2</t>
        </is>
      </c>
      <c r="D1788" t="inlineStr">
        <is>
          <t>-14759.5</t>
        </is>
      </c>
      <c r="E1788" t="inlineStr">
        <is>
          <t>DIL_EM-10-G</t>
        </is>
      </c>
      <c r="F1788" t="inlineStr">
        <is>
          <t>#KALK!</t>
        </is>
      </c>
      <c r="G1788" t="inlineStr">
        <is>
          <t>LASTSCHUETZ</t>
        </is>
      </c>
      <c r="H1788" t="inlineStr">
        <is>
          <t>4kW 1S</t>
        </is>
      </c>
      <c r="I1788">
        <v>386</v>
      </c>
      <c r="J1788">
        <f>GS13/147.6</f>
        <v>0</v>
      </c>
      <c r="M1788" t="inlineStr">
        <is>
          <t>-14759.5</t>
        </is>
      </c>
    </row>
    <row r="1789">
      <c r="A1789">
        <v>1788</v>
      </c>
      <c r="B1789">
        <f>GS06</f>
        <v>0</v>
      </c>
      <c r="C1789" t="inlineStr">
        <is>
          <t>+LS20</t>
        </is>
      </c>
      <c r="D1789" t="inlineStr">
        <is>
          <t>-1475Q1</t>
        </is>
      </c>
      <c r="E1789" t="inlineStr">
        <is>
          <t>DILA-XHI22</t>
        </is>
      </c>
      <c r="F1789" t="inlineStr">
        <is>
          <t>DILA-XHI22</t>
        </is>
      </c>
      <c r="G1789" t="inlineStr">
        <is>
          <t>HILFSKONTAKTBLOCK</t>
        </is>
      </c>
      <c r="H1789" t="inlineStr">
        <is>
          <t>2S 2OE Last+Hilfssch. Cage</t>
        </is>
      </c>
      <c r="I1789">
        <v>218</v>
      </c>
      <c r="J1789">
        <f>GS06/1475.6</f>
        <v>0</v>
      </c>
      <c r="K1789" t="inlineStr">
        <is>
          <t>DIL MC25</t>
        </is>
      </c>
      <c r="M1789" t="inlineStr">
        <is>
          <t>-1475Q1</t>
        </is>
      </c>
    </row>
    <row r="1790">
      <c r="A1790">
        <v>1789</v>
      </c>
      <c r="B1790">
        <f>GS06</f>
        <v>0</v>
      </c>
      <c r="C1790" t="inlineStr">
        <is>
          <t>+LS20</t>
        </is>
      </c>
      <c r="D1790" t="inlineStr">
        <is>
          <t>-1475Q1</t>
        </is>
      </c>
      <c r="E1790" t="inlineStr">
        <is>
          <t>DILMC25-10(RDC24)</t>
        </is>
      </c>
      <c r="F1790" t="inlineStr">
        <is>
          <t>DILA-XHI22</t>
        </is>
      </c>
      <c r="G1790" t="inlineStr">
        <is>
          <t>LASTSCHUETZ</t>
        </is>
      </c>
      <c r="H1790" t="inlineStr">
        <is>
          <t>11kW 1S Federzugkl.</t>
        </is>
      </c>
      <c r="I1790">
        <v>218</v>
      </c>
      <c r="J1790">
        <f>GS06/1475.6</f>
        <v>0</v>
      </c>
      <c r="K1790" t="inlineStr">
        <is>
          <t>DIL MC25</t>
        </is>
      </c>
      <c r="M1790" t="inlineStr">
        <is>
          <t>-1475Q1</t>
        </is>
      </c>
    </row>
    <row r="1791">
      <c r="A1791">
        <v>1790</v>
      </c>
      <c r="B1791">
        <f>GS31</f>
        <v>0</v>
      </c>
      <c r="C1791" t="inlineStr">
        <is>
          <t>+LS2</t>
        </is>
      </c>
      <c r="D1791" t="inlineStr">
        <is>
          <t>-147K1</t>
        </is>
      </c>
      <c r="E1791" t="inlineStr">
        <is>
          <t>22_DIL-M</t>
        </is>
      </c>
      <c r="F1791" t="inlineStr">
        <is>
          <t>22_DIL-M</t>
        </is>
      </c>
      <c r="G1791" t="inlineStr">
        <is>
          <t>HILFSKONTAKTBLOCK</t>
        </is>
      </c>
      <c r="H1791" t="inlineStr">
        <is>
          <t>2S 2OE Lastschuetz DIL M</t>
        </is>
      </c>
      <c r="I1791">
        <v>431</v>
      </c>
      <c r="J1791">
        <f>GS31/147.5</f>
        <v>0</v>
      </c>
      <c r="K1791" t="inlineStr">
        <is>
          <t>DIL2AM</t>
        </is>
      </c>
      <c r="M1791" t="inlineStr">
        <is>
          <t>-147K1</t>
        </is>
      </c>
    </row>
    <row r="1792">
      <c r="A1792">
        <v>1791</v>
      </c>
      <c r="B1792">
        <f>GS31</f>
        <v>0</v>
      </c>
      <c r="C1792" t="inlineStr">
        <is>
          <t>+LS2</t>
        </is>
      </c>
      <c r="D1792" t="inlineStr">
        <is>
          <t>-147K1</t>
        </is>
      </c>
      <c r="E1792" t="inlineStr">
        <is>
          <t>DIL_2AM</t>
        </is>
      </c>
      <c r="F1792" t="inlineStr">
        <is>
          <t>22_DIL-M</t>
        </is>
      </c>
      <c r="G1792" t="inlineStr">
        <is>
          <t>LASTSCHUETZ</t>
        </is>
      </c>
      <c r="H1792" t="inlineStr">
        <is>
          <t>30 kW</t>
        </is>
      </c>
      <c r="I1792">
        <v>431</v>
      </c>
      <c r="J1792">
        <f>GS31/147.5</f>
        <v>0</v>
      </c>
      <c r="K1792" t="inlineStr">
        <is>
          <t>DIL2AM</t>
        </is>
      </c>
      <c r="M1792" t="inlineStr">
        <is>
          <t>-147K1</t>
        </is>
      </c>
    </row>
    <row r="1793">
      <c r="A1793">
        <v>1792</v>
      </c>
      <c r="B1793">
        <f>GS33</f>
        <v>0</v>
      </c>
      <c r="C1793" t="inlineStr">
        <is>
          <t>+LS2</t>
        </is>
      </c>
      <c r="D1793" t="inlineStr">
        <is>
          <t>-147K19.5</t>
        </is>
      </c>
      <c r="E1793" t="inlineStr">
        <is>
          <t>DIL_EM-10-G</t>
        </is>
      </c>
      <c r="F1793" t="inlineStr">
        <is>
          <t>#KALK!</t>
        </is>
      </c>
      <c r="G1793" t="inlineStr">
        <is>
          <t>LASTSCHUETZ</t>
        </is>
      </c>
      <c r="H1793" t="inlineStr">
        <is>
          <t>4kW 1S</t>
        </is>
      </c>
      <c r="I1793">
        <v>579</v>
      </c>
      <c r="J1793">
        <f>GS33/147.7</f>
        <v>0</v>
      </c>
      <c r="M1793" t="inlineStr">
        <is>
          <t>-147K19.5</t>
        </is>
      </c>
    </row>
    <row r="1794">
      <c r="A1794">
        <v>1793</v>
      </c>
      <c r="B1794">
        <f>GS34</f>
        <v>0</v>
      </c>
      <c r="C1794" t="inlineStr">
        <is>
          <t>+LS2</t>
        </is>
      </c>
      <c r="D1794" t="inlineStr">
        <is>
          <t>-147K19.5</t>
        </is>
      </c>
      <c r="E1794" t="inlineStr">
        <is>
          <t>DIL_EM-10-G</t>
        </is>
      </c>
      <c r="F1794" t="inlineStr">
        <is>
          <t>#KALK!</t>
        </is>
      </c>
      <c r="G1794" t="inlineStr">
        <is>
          <t>LASTSCHUETZ</t>
        </is>
      </c>
      <c r="H1794" t="inlineStr">
        <is>
          <t>4kW 1S</t>
        </is>
      </c>
      <c r="I1794">
        <v>271</v>
      </c>
      <c r="J1794">
        <f>GS34/147.6</f>
        <v>0</v>
      </c>
      <c r="M1794" t="inlineStr">
        <is>
          <t>-147K19.5</t>
        </is>
      </c>
    </row>
    <row r="1795">
      <c r="A1795">
        <v>1794</v>
      </c>
      <c r="B1795">
        <f>GS34</f>
        <v>0</v>
      </c>
      <c r="C1795" t="inlineStr">
        <is>
          <t>+LS2</t>
        </is>
      </c>
      <c r="D1795" t="inlineStr">
        <is>
          <t>-147K19.6</t>
        </is>
      </c>
      <c r="E1795" t="inlineStr">
        <is>
          <t>DIL_EM-10-G</t>
        </is>
      </c>
      <c r="F1795" t="inlineStr">
        <is>
          <t>#KALK!</t>
        </is>
      </c>
      <c r="G1795" t="inlineStr">
        <is>
          <t>LASTSCHUETZ</t>
        </is>
      </c>
      <c r="H1795" t="inlineStr">
        <is>
          <t>4kW 1S</t>
        </is>
      </c>
      <c r="I1795">
        <v>271</v>
      </c>
      <c r="J1795">
        <f>GS34/147.6</f>
        <v>0</v>
      </c>
      <c r="M1795" t="inlineStr">
        <is>
          <t>-147K19.6</t>
        </is>
      </c>
    </row>
    <row r="1796">
      <c r="A1796">
        <v>1795</v>
      </c>
      <c r="B1796">
        <f>GS02</f>
        <v>0</v>
      </c>
      <c r="C1796" t="inlineStr">
        <is>
          <t>+LS2</t>
        </is>
      </c>
      <c r="D1796" t="inlineStr">
        <is>
          <t>-147K20.0</t>
        </is>
      </c>
      <c r="E1796" t="inlineStr">
        <is>
          <t>DIL_EM-10-G</t>
        </is>
      </c>
      <c r="F1796" t="inlineStr">
        <is>
          <t>#KALK!</t>
        </is>
      </c>
      <c r="G1796" t="inlineStr">
        <is>
          <t>LASTSCHUETZ</t>
        </is>
      </c>
      <c r="H1796" t="inlineStr">
        <is>
          <t>4kW 1S</t>
        </is>
      </c>
      <c r="I1796">
        <v>546</v>
      </c>
      <c r="J1796">
        <f>GS02/147.6</f>
        <v>0</v>
      </c>
      <c r="M1796" t="inlineStr">
        <is>
          <t>-147K20.0</t>
        </is>
      </c>
    </row>
    <row r="1797">
      <c r="A1797">
        <v>1796</v>
      </c>
      <c r="B1797">
        <f>GS04</f>
        <v>0</v>
      </c>
      <c r="C1797" t="inlineStr">
        <is>
          <t>+LS2</t>
        </is>
      </c>
      <c r="D1797" t="inlineStr">
        <is>
          <t>-147K32.7</t>
        </is>
      </c>
      <c r="E1797" t="inlineStr">
        <is>
          <t>DIL_EM-10-G</t>
        </is>
      </c>
      <c r="F1797" t="inlineStr">
        <is>
          <t>#KALK!</t>
        </is>
      </c>
      <c r="G1797" t="inlineStr">
        <is>
          <t>LASTSCHUETZ</t>
        </is>
      </c>
      <c r="H1797" t="inlineStr">
        <is>
          <t>4kW 1S</t>
        </is>
      </c>
      <c r="I1797">
        <v>397</v>
      </c>
      <c r="J1797">
        <f>GS04/147.8</f>
        <v>0</v>
      </c>
      <c r="M1797" t="inlineStr">
        <is>
          <t>-147K32.7</t>
        </is>
      </c>
    </row>
    <row r="1798">
      <c r="A1798">
        <v>1797</v>
      </c>
      <c r="B1798">
        <f>GS23</f>
        <v>0</v>
      </c>
      <c r="C1798" t="inlineStr">
        <is>
          <t>+LS2</t>
        </is>
      </c>
      <c r="D1798" t="inlineStr">
        <is>
          <t>-147K59.4</t>
        </is>
      </c>
      <c r="E1798" t="inlineStr">
        <is>
          <t>DIL_EM-10-G</t>
        </is>
      </c>
      <c r="F1798" t="inlineStr">
        <is>
          <t>#KALK!</t>
        </is>
      </c>
      <c r="G1798" t="inlineStr">
        <is>
          <t>LASTSCHUETZ</t>
        </is>
      </c>
      <c r="H1798" t="inlineStr">
        <is>
          <t>4kW 1S</t>
        </is>
      </c>
      <c r="I1798">
        <v>446</v>
      </c>
      <c r="J1798">
        <f>GS23/147.6</f>
        <v>0</v>
      </c>
      <c r="M1798" t="inlineStr">
        <is>
          <t>-147K59.4</t>
        </is>
      </c>
    </row>
    <row r="1799">
      <c r="A1799">
        <v>1798</v>
      </c>
      <c r="B1799">
        <f>GS23</f>
        <v>0</v>
      </c>
      <c r="C1799" t="inlineStr">
        <is>
          <t>+LS2</t>
        </is>
      </c>
      <c r="D1799" t="inlineStr">
        <is>
          <t>-147K59.5</t>
        </is>
      </c>
      <c r="E1799" t="inlineStr">
        <is>
          <t>DIL_EM-10-G</t>
        </is>
      </c>
      <c r="F1799" t="inlineStr">
        <is>
          <t>#KALK!</t>
        </is>
      </c>
      <c r="G1799" t="inlineStr">
        <is>
          <t>LASTSCHUETZ</t>
        </is>
      </c>
      <c r="H1799" t="inlineStr">
        <is>
          <t>4kW 1S</t>
        </is>
      </c>
      <c r="I1799">
        <v>446</v>
      </c>
      <c r="J1799">
        <f>GS23/147.6</f>
        <v>0</v>
      </c>
      <c r="M1799" t="inlineStr">
        <is>
          <t>-147K59.5</t>
        </is>
      </c>
    </row>
    <row r="1800">
      <c r="A1800">
        <v>1799</v>
      </c>
      <c r="B1800">
        <f>GS01</f>
        <v>0</v>
      </c>
      <c r="C1800" t="inlineStr">
        <is>
          <t>+LS3</t>
        </is>
      </c>
      <c r="D1800" t="inlineStr">
        <is>
          <t>-147K92.0</t>
        </is>
      </c>
      <c r="E1800" t="inlineStr">
        <is>
          <t>DIL_EM-10-G</t>
        </is>
      </c>
      <c r="F1800" t="inlineStr">
        <is>
          <t>#KALK!</t>
        </is>
      </c>
      <c r="G1800" t="inlineStr">
        <is>
          <t>LASTSCHUETZ</t>
        </is>
      </c>
      <c r="H1800" t="inlineStr">
        <is>
          <t>4kW 1S</t>
        </is>
      </c>
      <c r="I1800">
        <v>309</v>
      </c>
      <c r="J1800">
        <f>GS01/147.7</f>
        <v>0</v>
      </c>
      <c r="M1800" t="inlineStr">
        <is>
          <t>-147K92.0</t>
        </is>
      </c>
    </row>
    <row r="1801">
      <c r="A1801">
        <v>1800</v>
      </c>
      <c r="B1801">
        <f>GS7x</f>
        <v>0</v>
      </c>
      <c r="C1801" t="inlineStr">
        <is>
          <t>+LS[l2]</t>
        </is>
      </c>
      <c r="D1801" t="inlineStr">
        <is>
          <t>-147Q3</t>
        </is>
      </c>
      <c r="E1801" t="inlineStr">
        <is>
          <t>DILM-9-10</t>
        </is>
      </c>
      <c r="F1801" t="inlineStr">
        <is>
          <t>#KALK!</t>
        </is>
      </c>
      <c r="G1801" t="inlineStr">
        <is>
          <t>LASTSCHUETZ</t>
        </is>
      </c>
      <c r="H1801" t="inlineStr">
        <is>
          <t>4kW 1S Federzugkl.</t>
        </is>
      </c>
      <c r="I1801">
        <v>191</v>
      </c>
      <c r="J1801">
        <f>GS7x/147.1</f>
        <v>0</v>
      </c>
      <c r="M1801" t="inlineStr">
        <is>
          <t>-147Q3</t>
        </is>
      </c>
    </row>
    <row r="1802">
      <c r="A1802">
        <v>1801</v>
      </c>
      <c r="B1802">
        <f>GS90</f>
        <v>0</v>
      </c>
      <c r="C1802" t="inlineStr">
        <is>
          <t>+LS02</t>
        </is>
      </c>
      <c r="D1802" t="inlineStr">
        <is>
          <t>-147Q440.6</t>
        </is>
      </c>
      <c r="E1802" t="inlineStr">
        <is>
          <t>DILM-9-10</t>
        </is>
      </c>
      <c r="F1802" t="inlineStr">
        <is>
          <t>#KALK!</t>
        </is>
      </c>
      <c r="G1802" t="inlineStr">
        <is>
          <t>LASTSCHUETZ</t>
        </is>
      </c>
      <c r="H1802" t="inlineStr">
        <is>
          <t>4kW 1S Federzugkl.</t>
        </is>
      </c>
      <c r="I1802">
        <v>1093</v>
      </c>
      <c r="J1802">
        <f>GS90/147.5</f>
        <v>0</v>
      </c>
      <c r="M1802" t="inlineStr">
        <is>
          <t>-147Q440.6</t>
        </is>
      </c>
    </row>
    <row r="1803">
      <c r="A1803">
        <v>1802</v>
      </c>
      <c r="B1803">
        <f>GS13</f>
        <v>0</v>
      </c>
      <c r="C1803" t="inlineStr">
        <is>
          <t>+LS2</t>
        </is>
      </c>
      <c r="D1803" t="inlineStr">
        <is>
          <t>-14856.6</t>
        </is>
      </c>
      <c r="E1803" t="inlineStr">
        <is>
          <t>DIL_EM-01-G</t>
        </is>
      </c>
      <c r="F1803" t="inlineStr">
        <is>
          <t>#KALK!</t>
        </is>
      </c>
      <c r="G1803" t="inlineStr">
        <is>
          <t>LASTSCHUETZ</t>
        </is>
      </c>
      <c r="H1803" t="inlineStr">
        <is>
          <t>4kW 1OE</t>
        </is>
      </c>
      <c r="I1803">
        <v>387</v>
      </c>
      <c r="J1803">
        <f>GS13/148.7</f>
        <v>0</v>
      </c>
      <c r="M1803" t="inlineStr">
        <is>
          <t>-14856.6</t>
        </is>
      </c>
    </row>
    <row r="1804">
      <c r="A1804">
        <v>1803</v>
      </c>
      <c r="B1804">
        <f>GS13</f>
        <v>0</v>
      </c>
      <c r="C1804" t="inlineStr">
        <is>
          <t>+LS2</t>
        </is>
      </c>
      <c r="D1804" t="inlineStr">
        <is>
          <t>-14859.6</t>
        </is>
      </c>
      <c r="E1804" t="inlineStr">
        <is>
          <t>DIL_EM-01-G</t>
        </is>
      </c>
      <c r="F1804" t="inlineStr">
        <is>
          <t>#KALK!</t>
        </is>
      </c>
      <c r="G1804" t="inlineStr">
        <is>
          <t>LASTSCHUETZ</t>
        </is>
      </c>
      <c r="H1804" t="inlineStr">
        <is>
          <t>4kW 1OE</t>
        </is>
      </c>
      <c r="I1804">
        <v>387</v>
      </c>
      <c r="J1804">
        <f>GS13/148.6</f>
        <v>0</v>
      </c>
      <c r="M1804" t="inlineStr">
        <is>
          <t>-14859.6</t>
        </is>
      </c>
    </row>
    <row r="1805">
      <c r="A1805">
        <v>1804</v>
      </c>
      <c r="B1805">
        <f>GS13</f>
        <v>0</v>
      </c>
      <c r="C1805" t="inlineStr">
        <is>
          <t>+LS2</t>
        </is>
      </c>
      <c r="D1805" t="inlineStr">
        <is>
          <t>-14859.7</t>
        </is>
      </c>
      <c r="E1805" t="inlineStr">
        <is>
          <t>DIL_EM-10-G</t>
        </is>
      </c>
      <c r="F1805" t="inlineStr">
        <is>
          <t>#KALK!</t>
        </is>
      </c>
      <c r="G1805" t="inlineStr">
        <is>
          <t>LASTSCHUETZ</t>
        </is>
      </c>
      <c r="H1805" t="inlineStr">
        <is>
          <t>4kW 1S</t>
        </is>
      </c>
      <c r="I1805">
        <v>387</v>
      </c>
      <c r="J1805">
        <f>GS13/148.6</f>
        <v>0</v>
      </c>
      <c r="M1805" t="inlineStr">
        <is>
          <t>-14859.7</t>
        </is>
      </c>
    </row>
    <row r="1806">
      <c r="A1806">
        <v>1805</v>
      </c>
      <c r="B1806">
        <f>GS55</f>
        <v>0</v>
      </c>
      <c r="C1806" t="inlineStr">
        <is>
          <t>+LS24</t>
        </is>
      </c>
      <c r="D1806" t="inlineStr">
        <is>
          <t>-1485Q1</t>
        </is>
      </c>
      <c r="E1806" t="inlineStr">
        <is>
          <t>DILA-XHI22</t>
        </is>
      </c>
      <c r="F1806" t="inlineStr">
        <is>
          <t>DILA-XHI22</t>
        </is>
      </c>
      <c r="G1806" t="inlineStr">
        <is>
          <t>HILFSKONTAKTBLOCK</t>
        </is>
      </c>
      <c r="H1806" t="inlineStr">
        <is>
          <t>2S 2OE Last+Hilfssch. Cage</t>
        </is>
      </c>
      <c r="I1806">
        <v>1700</v>
      </c>
      <c r="J1806">
        <f>GS55/1485.6</f>
        <v>0</v>
      </c>
      <c r="K1806" t="inlineStr">
        <is>
          <t>DIL MC25</t>
        </is>
      </c>
      <c r="M1806" t="inlineStr">
        <is>
          <t>-1485Q1</t>
        </is>
      </c>
    </row>
    <row r="1807">
      <c r="A1807">
        <v>1806</v>
      </c>
      <c r="B1807">
        <f>GS55</f>
        <v>0</v>
      </c>
      <c r="C1807" t="inlineStr">
        <is>
          <t>+LS24</t>
        </is>
      </c>
      <c r="D1807" t="inlineStr">
        <is>
          <t>-1485Q1</t>
        </is>
      </c>
      <c r="E1807" t="inlineStr">
        <is>
          <t>DILMC25-10(RDC24)</t>
        </is>
      </c>
      <c r="F1807" t="inlineStr">
        <is>
          <t>DILA-XHI22</t>
        </is>
      </c>
      <c r="G1807" t="inlineStr">
        <is>
          <t>LASTSCHUETZ</t>
        </is>
      </c>
      <c r="H1807" t="inlineStr">
        <is>
          <t>11kW 1S Federzugkl.</t>
        </is>
      </c>
      <c r="I1807">
        <v>1700</v>
      </c>
      <c r="J1807">
        <f>GS55/1485.6</f>
        <v>0</v>
      </c>
      <c r="K1807" t="inlineStr">
        <is>
          <t>DIL MC25</t>
        </is>
      </c>
      <c r="M1807" t="inlineStr">
        <is>
          <t>-1485Q1</t>
        </is>
      </c>
    </row>
    <row r="1808">
      <c r="A1808">
        <v>1807</v>
      </c>
      <c r="B1808">
        <f>GC22</f>
        <v>0</v>
      </c>
      <c r="C1808" t="inlineStr">
        <is>
          <t>+LS1</t>
        </is>
      </c>
      <c r="D1808" t="inlineStr">
        <is>
          <t>-148K1</t>
        </is>
      </c>
      <c r="E1808" t="inlineStr">
        <is>
          <t>DIL_0AM</t>
        </is>
      </c>
      <c r="F1808" t="inlineStr">
        <is>
          <t>22_DIL-M</t>
        </is>
      </c>
      <c r="G1808" t="inlineStr">
        <is>
          <t>LASTSCHUETZ</t>
        </is>
      </c>
      <c r="H1808" t="inlineStr">
        <is>
          <t>11 kW</t>
        </is>
      </c>
      <c r="I1808">
        <v>4015</v>
      </c>
      <c r="J1808">
        <f>GC22/148.2</f>
        <v>0</v>
      </c>
      <c r="K1808" t="inlineStr">
        <is>
          <t>DIL0AM</t>
        </is>
      </c>
      <c r="M1808" t="inlineStr">
        <is>
          <t>-148K1</t>
        </is>
      </c>
    </row>
    <row r="1809">
      <c r="A1809">
        <v>1808</v>
      </c>
      <c r="B1809">
        <f>GC22</f>
        <v>0</v>
      </c>
      <c r="C1809" t="inlineStr">
        <is>
          <t>+LS1</t>
        </is>
      </c>
      <c r="D1809" t="inlineStr">
        <is>
          <t>-148K1</t>
        </is>
      </c>
      <c r="E1809" t="inlineStr">
        <is>
          <t>22_DIL-M</t>
        </is>
      </c>
      <c r="F1809" t="inlineStr">
        <is>
          <t>22_DIL-M</t>
        </is>
      </c>
      <c r="G1809" t="inlineStr">
        <is>
          <t>HILFSKONTAKTBLOCK</t>
        </is>
      </c>
      <c r="H1809" t="inlineStr">
        <is>
          <t>2S 2OE Lastschuetz DIL M</t>
        </is>
      </c>
      <c r="I1809">
        <v>4015</v>
      </c>
      <c r="J1809">
        <f>GC22/148.2</f>
        <v>0</v>
      </c>
      <c r="K1809" t="inlineStr">
        <is>
          <t>DIL0AM</t>
        </is>
      </c>
      <c r="M1809" t="inlineStr">
        <is>
          <t>-148K1</t>
        </is>
      </c>
    </row>
    <row r="1810">
      <c r="A1810">
        <v>1809</v>
      </c>
      <c r="B1810">
        <f>GS11</f>
        <v>0</v>
      </c>
      <c r="C1810" t="inlineStr">
        <is>
          <t>+LS3</t>
        </is>
      </c>
      <c r="D1810" t="inlineStr">
        <is>
          <t>-148K1</t>
        </is>
      </c>
      <c r="E1810" t="inlineStr">
        <is>
          <t>22_DIL-M</t>
        </is>
      </c>
      <c r="F1810" t="inlineStr">
        <is>
          <t>22_DIL-M</t>
        </is>
      </c>
      <c r="G1810" t="inlineStr">
        <is>
          <t>HILFSKONTAKTBLOCK</t>
        </is>
      </c>
      <c r="H1810" t="inlineStr">
        <is>
          <t>2S 2OE Lastschuetz DIL M</t>
        </is>
      </c>
      <c r="I1810">
        <v>259</v>
      </c>
      <c r="J1810">
        <f>GS11/148.2</f>
        <v>0</v>
      </c>
      <c r="K1810" t="inlineStr">
        <is>
          <t>DIL0AM</t>
        </is>
      </c>
      <c r="M1810" t="inlineStr">
        <is>
          <t>-148K1</t>
        </is>
      </c>
    </row>
    <row r="1811">
      <c r="A1811">
        <v>1810</v>
      </c>
      <c r="B1811">
        <f>GS11</f>
        <v>0</v>
      </c>
      <c r="C1811" t="inlineStr">
        <is>
          <t>+LS3</t>
        </is>
      </c>
      <c r="D1811" t="inlineStr">
        <is>
          <t>-148K1</t>
        </is>
      </c>
      <c r="E1811" t="inlineStr">
        <is>
          <t>DIL_0AM</t>
        </is>
      </c>
      <c r="F1811" t="inlineStr">
        <is>
          <t>22_DIL-M</t>
        </is>
      </c>
      <c r="G1811" t="inlineStr">
        <is>
          <t>LASTSCHUETZ</t>
        </is>
      </c>
      <c r="H1811" t="inlineStr">
        <is>
          <t>11 kW</t>
        </is>
      </c>
      <c r="I1811">
        <v>259</v>
      </c>
      <c r="J1811">
        <f>GS11/148.2</f>
        <v>0</v>
      </c>
      <c r="K1811" t="inlineStr">
        <is>
          <t>DIL0AM</t>
        </is>
      </c>
      <c r="M1811" t="inlineStr">
        <is>
          <t>-148K1</t>
        </is>
      </c>
    </row>
    <row r="1812">
      <c r="A1812">
        <v>1811</v>
      </c>
      <c r="B1812">
        <f>GS12</f>
        <v>0</v>
      </c>
      <c r="C1812" t="inlineStr">
        <is>
          <t>+LS1</t>
        </is>
      </c>
      <c r="D1812" t="inlineStr">
        <is>
          <t>-148K1</t>
        </is>
      </c>
      <c r="E1812" t="inlineStr">
        <is>
          <t>22_DIL-M</t>
        </is>
      </c>
      <c r="F1812" t="inlineStr">
        <is>
          <t>22_DIL-M</t>
        </is>
      </c>
      <c r="G1812" t="inlineStr">
        <is>
          <t>HILFSKONTAKTBLOCK</t>
        </is>
      </c>
      <c r="H1812" t="inlineStr">
        <is>
          <t>2S 2OE Lastschuetz DIL M</t>
        </is>
      </c>
      <c r="I1812">
        <v>280</v>
      </c>
      <c r="J1812">
        <f>GS12/148.2</f>
        <v>0</v>
      </c>
      <c r="K1812" t="inlineStr">
        <is>
          <t>DIL0AM</t>
        </is>
      </c>
      <c r="M1812" t="inlineStr">
        <is>
          <t>-148K1</t>
        </is>
      </c>
    </row>
    <row r="1813">
      <c r="A1813">
        <v>1812</v>
      </c>
      <c r="B1813">
        <f>GS12</f>
        <v>0</v>
      </c>
      <c r="C1813" t="inlineStr">
        <is>
          <t>+LS1</t>
        </is>
      </c>
      <c r="D1813" t="inlineStr">
        <is>
          <t>-148K1</t>
        </is>
      </c>
      <c r="E1813" t="inlineStr">
        <is>
          <t>DIL_0AM</t>
        </is>
      </c>
      <c r="F1813" t="inlineStr">
        <is>
          <t>22_DIL-M</t>
        </is>
      </c>
      <c r="G1813" t="inlineStr">
        <is>
          <t>LASTSCHUETZ</t>
        </is>
      </c>
      <c r="H1813" t="inlineStr">
        <is>
          <t>11 kW</t>
        </is>
      </c>
      <c r="I1813">
        <v>280</v>
      </c>
      <c r="J1813">
        <f>GS12/148.2</f>
        <v>0</v>
      </c>
      <c r="K1813" t="inlineStr">
        <is>
          <t>DIL0AM</t>
        </is>
      </c>
      <c r="M1813" t="inlineStr">
        <is>
          <t>-148K1</t>
        </is>
      </c>
    </row>
    <row r="1814">
      <c r="A1814">
        <v>1813</v>
      </c>
      <c r="B1814">
        <f>GS21</f>
        <v>0</v>
      </c>
      <c r="C1814" t="inlineStr">
        <is>
          <t>+LS3</t>
        </is>
      </c>
      <c r="D1814" t="inlineStr">
        <is>
          <t>-148K1</t>
        </is>
      </c>
      <c r="E1814" t="inlineStr">
        <is>
          <t>DIL_0AM</t>
        </is>
      </c>
      <c r="F1814" t="inlineStr">
        <is>
          <t>22_DIL-M</t>
        </is>
      </c>
      <c r="G1814" t="inlineStr">
        <is>
          <t>LASTSCHUETZ</t>
        </is>
      </c>
      <c r="H1814" t="inlineStr">
        <is>
          <t>11 kW</t>
        </is>
      </c>
      <c r="I1814">
        <v>233</v>
      </c>
      <c r="J1814">
        <f>GS21/148.2</f>
        <v>0</v>
      </c>
      <c r="K1814" t="inlineStr">
        <is>
          <t>DIL0AM</t>
        </is>
      </c>
      <c r="M1814" t="inlineStr">
        <is>
          <t>-148K1</t>
        </is>
      </c>
    </row>
    <row r="1815">
      <c r="A1815">
        <v>1814</v>
      </c>
      <c r="B1815">
        <f>GS21</f>
        <v>0</v>
      </c>
      <c r="C1815" t="inlineStr">
        <is>
          <t>+LS3</t>
        </is>
      </c>
      <c r="D1815" t="inlineStr">
        <is>
          <t>-148K1</t>
        </is>
      </c>
      <c r="E1815" t="inlineStr">
        <is>
          <t>22_DIL-M</t>
        </is>
      </c>
      <c r="F1815" t="inlineStr">
        <is>
          <t>22_DIL-M</t>
        </is>
      </c>
      <c r="G1815" t="inlineStr">
        <is>
          <t>HILFSKONTAKTBLOCK</t>
        </is>
      </c>
      <c r="H1815" t="inlineStr">
        <is>
          <t>2S 2OE Lastschuetz DIL M</t>
        </is>
      </c>
      <c r="I1815">
        <v>233</v>
      </c>
      <c r="J1815">
        <f>GS21/148.2</f>
        <v>0</v>
      </c>
      <c r="K1815" t="inlineStr">
        <is>
          <t>DIL0AM</t>
        </is>
      </c>
      <c r="M1815" t="inlineStr">
        <is>
          <t>-148K1</t>
        </is>
      </c>
    </row>
    <row r="1816">
      <c r="A1816">
        <v>1815</v>
      </c>
      <c r="B1816">
        <f>GS26</f>
        <v>0</v>
      </c>
      <c r="C1816" t="inlineStr">
        <is>
          <t>+LS1</t>
        </is>
      </c>
      <c r="D1816" t="inlineStr">
        <is>
          <t>-148K1</t>
        </is>
      </c>
      <c r="E1816" t="inlineStr">
        <is>
          <t>DILA-40</t>
        </is>
      </c>
      <c r="F1816" t="inlineStr">
        <is>
          <t>DILA-XHI22</t>
        </is>
      </c>
      <c r="G1816" t="inlineStr">
        <is>
          <t>HILFSSCHUETZ</t>
        </is>
      </c>
      <c r="H1816" t="inlineStr">
        <is>
          <t>4S Federzugkl.</t>
        </is>
      </c>
      <c r="I1816">
        <v>672</v>
      </c>
      <c r="J1816">
        <f>GS26/148.6</f>
        <v>0</v>
      </c>
      <c r="M1816" t="inlineStr">
        <is>
          <t>-148K1</t>
        </is>
      </c>
    </row>
    <row r="1817">
      <c r="A1817">
        <v>1816</v>
      </c>
      <c r="B1817">
        <f>GS26</f>
        <v>0</v>
      </c>
      <c r="C1817" t="inlineStr">
        <is>
          <t>+LS1</t>
        </is>
      </c>
      <c r="D1817" t="inlineStr">
        <is>
          <t>-148K1</t>
        </is>
      </c>
      <c r="E1817" t="inlineStr">
        <is>
          <t>DILA-XHI22</t>
        </is>
      </c>
      <c r="F1817" t="inlineStr">
        <is>
          <t>DILA-XHI22</t>
        </is>
      </c>
      <c r="G1817" t="inlineStr">
        <is>
          <t>HILFSKONTAKTBLOCK</t>
        </is>
      </c>
      <c r="H1817" t="inlineStr">
        <is>
          <t>2S 2OE Last+Hilfssch. Cage</t>
        </is>
      </c>
      <c r="I1817">
        <v>672</v>
      </c>
      <c r="J1817">
        <f>GS26/148.6</f>
        <v>0</v>
      </c>
      <c r="M1817" t="inlineStr">
        <is>
          <t>-148K1</t>
        </is>
      </c>
    </row>
    <row r="1818">
      <c r="A1818">
        <v>1817</v>
      </c>
      <c r="B1818">
        <f>GS33</f>
        <v>0</v>
      </c>
      <c r="C1818" t="inlineStr">
        <is>
          <t>+LS2</t>
        </is>
      </c>
      <c r="D1818" t="inlineStr">
        <is>
          <t>-148K19.6</t>
        </is>
      </c>
      <c r="E1818" t="inlineStr">
        <is>
          <t>DIL_EM-10-G</t>
        </is>
      </c>
      <c r="F1818" t="inlineStr">
        <is>
          <t>#KALK!</t>
        </is>
      </c>
      <c r="G1818" t="inlineStr">
        <is>
          <t>LASTSCHUETZ</t>
        </is>
      </c>
      <c r="H1818" t="inlineStr">
        <is>
          <t>4kW 1S</t>
        </is>
      </c>
      <c r="I1818">
        <v>580</v>
      </c>
      <c r="J1818">
        <f>GS33/148.6</f>
        <v>0</v>
      </c>
      <c r="M1818" t="inlineStr">
        <is>
          <t>-148K19.6</t>
        </is>
      </c>
    </row>
    <row r="1819">
      <c r="A1819">
        <v>1818</v>
      </c>
      <c r="B1819">
        <f>GS11</f>
        <v>0</v>
      </c>
      <c r="C1819" t="inlineStr">
        <is>
          <t>+LS3</t>
        </is>
      </c>
      <c r="D1819" t="inlineStr">
        <is>
          <t>-148K2</t>
        </is>
      </c>
      <c r="E1819" t="inlineStr">
        <is>
          <t>22_DIL-M</t>
        </is>
      </c>
      <c r="F1819" t="inlineStr">
        <is>
          <t>22_DIL-M</t>
        </is>
      </c>
      <c r="G1819" t="inlineStr">
        <is>
          <t>HILFSKONTAKTBLOCK</t>
        </is>
      </c>
      <c r="H1819" t="inlineStr">
        <is>
          <t>2S 2OE Lastschuetz DIL M</t>
        </is>
      </c>
      <c r="I1819">
        <v>259</v>
      </c>
      <c r="J1819">
        <f>GS11/148.3</f>
        <v>0</v>
      </c>
      <c r="K1819" t="inlineStr">
        <is>
          <t>DIL0AM</t>
        </is>
      </c>
      <c r="M1819" t="inlineStr">
        <is>
          <t>-148K2</t>
        </is>
      </c>
    </row>
    <row r="1820">
      <c r="A1820">
        <v>1819</v>
      </c>
      <c r="B1820">
        <f>GS11</f>
        <v>0</v>
      </c>
      <c r="C1820" t="inlineStr">
        <is>
          <t>+LS3</t>
        </is>
      </c>
      <c r="D1820" t="inlineStr">
        <is>
          <t>-148K2</t>
        </is>
      </c>
      <c r="E1820" t="inlineStr">
        <is>
          <t>DIL_0AM</t>
        </is>
      </c>
      <c r="F1820" t="inlineStr">
        <is>
          <t>22_DIL-M</t>
        </is>
      </c>
      <c r="G1820" t="inlineStr">
        <is>
          <t>LASTSCHUETZ</t>
        </is>
      </c>
      <c r="H1820" t="inlineStr">
        <is>
          <t>11 kW</t>
        </is>
      </c>
      <c r="I1820">
        <v>259</v>
      </c>
      <c r="J1820">
        <f>GS11/148.3</f>
        <v>0</v>
      </c>
      <c r="K1820" t="inlineStr">
        <is>
          <t>DIL0AM</t>
        </is>
      </c>
      <c r="M1820" t="inlineStr">
        <is>
          <t>-148K2</t>
        </is>
      </c>
    </row>
    <row r="1821">
      <c r="A1821">
        <v>1820</v>
      </c>
      <c r="B1821">
        <f>GS26</f>
        <v>0</v>
      </c>
      <c r="C1821" t="inlineStr">
        <is>
          <t>+LS1</t>
        </is>
      </c>
      <c r="D1821" t="inlineStr">
        <is>
          <t>-148K2</t>
        </is>
      </c>
      <c r="E1821" t="inlineStr">
        <is>
          <t>DILA-40</t>
        </is>
      </c>
      <c r="F1821" t="inlineStr">
        <is>
          <t>DILA-XHI22</t>
        </is>
      </c>
      <c r="G1821" t="inlineStr">
        <is>
          <t>HILFSSCHUETZ</t>
        </is>
      </c>
      <c r="H1821" t="inlineStr">
        <is>
          <t>4S Federzugkl.</t>
        </is>
      </c>
      <c r="I1821">
        <v>672</v>
      </c>
      <c r="J1821">
        <f>GS26/148.7</f>
        <v>0</v>
      </c>
      <c r="M1821" t="inlineStr">
        <is>
          <t>-148K2</t>
        </is>
      </c>
    </row>
    <row r="1822">
      <c r="A1822">
        <v>1821</v>
      </c>
      <c r="B1822">
        <f>GS26</f>
        <v>0</v>
      </c>
      <c r="C1822" t="inlineStr">
        <is>
          <t>+LS1</t>
        </is>
      </c>
      <c r="D1822" t="inlineStr">
        <is>
          <t>-148K2</t>
        </is>
      </c>
      <c r="E1822" t="inlineStr">
        <is>
          <t>DILA-XHI22</t>
        </is>
      </c>
      <c r="F1822" t="inlineStr">
        <is>
          <t>DILA-XHI22</t>
        </is>
      </c>
      <c r="G1822" t="inlineStr">
        <is>
          <t>HILFSKONTAKTBLOCK</t>
        </is>
      </c>
      <c r="H1822" t="inlineStr">
        <is>
          <t>2S 2OE Last+Hilfssch. Cage</t>
        </is>
      </c>
      <c r="I1822">
        <v>672</v>
      </c>
      <c r="J1822">
        <f>GS26/148.7</f>
        <v>0</v>
      </c>
      <c r="M1822" t="inlineStr">
        <is>
          <t>-148K2</t>
        </is>
      </c>
    </row>
    <row r="1823">
      <c r="A1823">
        <v>1822</v>
      </c>
      <c r="B1823">
        <f>GS7x</f>
        <v>0</v>
      </c>
      <c r="C1823" t="inlineStr">
        <is>
          <t>+LS[l2]</t>
        </is>
      </c>
      <c r="D1823" t="inlineStr">
        <is>
          <t>-148K2</t>
        </is>
      </c>
      <c r="E1823" t="inlineStr">
        <is>
          <t>DILM-9-01</t>
        </is>
      </c>
      <c r="F1823" t="inlineStr">
        <is>
          <t>#KALK!</t>
        </is>
      </c>
      <c r="G1823" t="inlineStr">
        <is>
          <t>LASTSCHUETZ</t>
        </is>
      </c>
      <c r="H1823" t="inlineStr">
        <is>
          <t>4kW 1Oe Federzugkl.</t>
        </is>
      </c>
      <c r="I1823">
        <v>192</v>
      </c>
      <c r="J1823">
        <f>GS7x/148.7</f>
        <v>0</v>
      </c>
      <c r="M1823" t="inlineStr">
        <is>
          <t>-148K2</t>
        </is>
      </c>
    </row>
    <row r="1824">
      <c r="A1824">
        <v>1823</v>
      </c>
      <c r="B1824">
        <f>GS02</f>
        <v>0</v>
      </c>
      <c r="C1824" t="inlineStr">
        <is>
          <t>+LS2</t>
        </is>
      </c>
      <c r="D1824" t="inlineStr">
        <is>
          <t>-148K20.2</t>
        </is>
      </c>
      <c r="E1824" t="inlineStr">
        <is>
          <t>DIL_EM-10-G</t>
        </is>
      </c>
      <c r="F1824" t="inlineStr">
        <is>
          <t>#KALK!</t>
        </is>
      </c>
      <c r="G1824" t="inlineStr">
        <is>
          <t>LASTSCHUETZ</t>
        </is>
      </c>
      <c r="H1824" t="inlineStr">
        <is>
          <t>4kW 1S</t>
        </is>
      </c>
      <c r="I1824">
        <v>547</v>
      </c>
      <c r="J1824">
        <f>GS02/148.6</f>
        <v>0</v>
      </c>
      <c r="M1824" t="inlineStr">
        <is>
          <t>-148K20.2</t>
        </is>
      </c>
    </row>
    <row r="1825">
      <c r="A1825">
        <v>1824</v>
      </c>
      <c r="B1825">
        <f>GS04</f>
        <v>0</v>
      </c>
      <c r="C1825" t="inlineStr">
        <is>
          <t>+LS2</t>
        </is>
      </c>
      <c r="D1825" t="inlineStr">
        <is>
          <t>-148K33.3</t>
        </is>
      </c>
      <c r="E1825" t="inlineStr">
        <is>
          <t>DIL_EM-10-G</t>
        </is>
      </c>
      <c r="F1825" t="inlineStr">
        <is>
          <t>#KALK!</t>
        </is>
      </c>
      <c r="G1825" t="inlineStr">
        <is>
          <t>LASTSCHUETZ</t>
        </is>
      </c>
      <c r="H1825" t="inlineStr">
        <is>
          <t>4kW 1S</t>
        </is>
      </c>
      <c r="I1825">
        <v>398</v>
      </c>
      <c r="J1825">
        <f>GS04/148.7</f>
        <v>0</v>
      </c>
      <c r="M1825" t="inlineStr">
        <is>
          <t>-148K33.3</t>
        </is>
      </c>
    </row>
    <row r="1826">
      <c r="A1826">
        <v>1825</v>
      </c>
      <c r="B1826">
        <f>GS26</f>
        <v>0</v>
      </c>
      <c r="C1826" t="inlineStr">
        <is>
          <t>+LS1</t>
        </is>
      </c>
      <c r="D1826" t="inlineStr">
        <is>
          <t>-148K3541.0</t>
        </is>
      </c>
      <c r="E1826" t="inlineStr">
        <is>
          <t>DILA-40</t>
        </is>
      </c>
      <c r="F1826" t="inlineStr">
        <is>
          <t>#KALK!</t>
        </is>
      </c>
      <c r="G1826" t="inlineStr">
        <is>
          <t>HILFSSCHUETZ</t>
        </is>
      </c>
      <c r="H1826" t="inlineStr">
        <is>
          <t>4S Federzugkl.</t>
        </is>
      </c>
      <c r="I1826">
        <v>672</v>
      </c>
      <c r="J1826">
        <f>GS26/148.8</f>
        <v>0</v>
      </c>
      <c r="M1826" t="inlineStr">
        <is>
          <t>-148K3541.0</t>
        </is>
      </c>
    </row>
    <row r="1827">
      <c r="A1827">
        <v>1826</v>
      </c>
      <c r="B1827">
        <f>GS23</f>
        <v>0</v>
      </c>
      <c r="C1827" t="inlineStr">
        <is>
          <t>+LS2</t>
        </is>
      </c>
      <c r="D1827" t="inlineStr">
        <is>
          <t>-148K56.6</t>
        </is>
      </c>
      <c r="E1827" t="inlineStr">
        <is>
          <t>DIL_EM-01-G</t>
        </is>
      </c>
      <c r="F1827" t="inlineStr">
        <is>
          <t>#KALK!</t>
        </is>
      </c>
      <c r="G1827" t="inlineStr">
        <is>
          <t>LASTSCHUETZ</t>
        </is>
      </c>
      <c r="H1827" t="inlineStr">
        <is>
          <t>4kW 1OE</t>
        </is>
      </c>
      <c r="I1827">
        <v>447</v>
      </c>
      <c r="J1827">
        <f>GS23/148.7</f>
        <v>0</v>
      </c>
      <c r="M1827" t="inlineStr">
        <is>
          <t>-148K56.6</t>
        </is>
      </c>
    </row>
    <row r="1828">
      <c r="A1828">
        <v>1827</v>
      </c>
      <c r="B1828">
        <f>GS23</f>
        <v>0</v>
      </c>
      <c r="C1828" t="inlineStr">
        <is>
          <t>+LS2</t>
        </is>
      </c>
      <c r="D1828" t="inlineStr">
        <is>
          <t>-148K59.6</t>
        </is>
      </c>
      <c r="E1828" t="inlineStr">
        <is>
          <t>DIL_EM-01-G</t>
        </is>
      </c>
      <c r="F1828" t="inlineStr">
        <is>
          <t>#KALK!</t>
        </is>
      </c>
      <c r="G1828" t="inlineStr">
        <is>
          <t>LASTSCHUETZ</t>
        </is>
      </c>
      <c r="H1828" t="inlineStr">
        <is>
          <t>4kW 1OE</t>
        </is>
      </c>
      <c r="I1828">
        <v>447</v>
      </c>
      <c r="J1828">
        <f>GS23/148.6</f>
        <v>0</v>
      </c>
      <c r="M1828" t="inlineStr">
        <is>
          <t>-148K59.6</t>
        </is>
      </c>
    </row>
    <row r="1829">
      <c r="A1829">
        <v>1828</v>
      </c>
      <c r="B1829">
        <f>GS23</f>
        <v>0</v>
      </c>
      <c r="C1829" t="inlineStr">
        <is>
          <t>+LS2</t>
        </is>
      </c>
      <c r="D1829" t="inlineStr">
        <is>
          <t>-148K59.7</t>
        </is>
      </c>
      <c r="E1829" t="inlineStr">
        <is>
          <t>DIL_EM-10-G</t>
        </is>
      </c>
      <c r="F1829" t="inlineStr">
        <is>
          <t>#KALK!</t>
        </is>
      </c>
      <c r="G1829" t="inlineStr">
        <is>
          <t>LASTSCHUETZ</t>
        </is>
      </c>
      <c r="H1829" t="inlineStr">
        <is>
          <t>4kW 1S</t>
        </is>
      </c>
      <c r="I1829">
        <v>447</v>
      </c>
      <c r="J1829">
        <f>GS23/148.6</f>
        <v>0</v>
      </c>
      <c r="M1829" t="inlineStr">
        <is>
          <t>-148K59.7</t>
        </is>
      </c>
    </row>
    <row r="1830">
      <c r="A1830">
        <v>1829</v>
      </c>
      <c r="B1830">
        <f>GS01</f>
        <v>0</v>
      </c>
      <c r="C1830" t="inlineStr">
        <is>
          <t>+LS3</t>
        </is>
      </c>
      <c r="D1830" t="inlineStr">
        <is>
          <t>-148K92.4</t>
        </is>
      </c>
      <c r="E1830" t="inlineStr">
        <is>
          <t>DIL_EM-10-G</t>
        </is>
      </c>
      <c r="F1830" t="inlineStr">
        <is>
          <t>#KALK!</t>
        </is>
      </c>
      <c r="G1830" t="inlineStr">
        <is>
          <t>LASTSCHUETZ</t>
        </is>
      </c>
      <c r="H1830" t="inlineStr">
        <is>
          <t>4kW 1S</t>
        </is>
      </c>
      <c r="I1830">
        <v>310</v>
      </c>
      <c r="J1830">
        <f>GS01/148.7</f>
        <v>0</v>
      </c>
      <c r="M1830" t="inlineStr">
        <is>
          <t>-148K92.4</t>
        </is>
      </c>
    </row>
    <row r="1831">
      <c r="A1831">
        <v>1830</v>
      </c>
      <c r="B1831">
        <f>GS35</f>
        <v>0</v>
      </c>
      <c r="C1831" t="inlineStr">
        <is>
          <t>+LS02</t>
        </is>
      </c>
      <c r="D1831" t="inlineStr">
        <is>
          <t>-148Q103.7</t>
        </is>
      </c>
      <c r="E1831" t="inlineStr">
        <is>
          <t>DILM-12-10</t>
        </is>
      </c>
      <c r="F1831" t="inlineStr">
        <is>
          <t>#KALK!</t>
        </is>
      </c>
      <c r="G1831" t="inlineStr">
        <is>
          <t>LASTSCHUETZ</t>
        </is>
      </c>
      <c r="H1831" t="inlineStr">
        <is>
          <t>5,5kW 1S Federzugkl.</t>
        </is>
      </c>
      <c r="I1831">
        <v>307</v>
      </c>
      <c r="J1831">
        <f>GS35/148.5</f>
        <v>0</v>
      </c>
      <c r="K1831" t="inlineStr">
        <is>
          <t>DIL MC12</t>
        </is>
      </c>
      <c r="M1831" t="inlineStr">
        <is>
          <t>-148Q103.7</t>
        </is>
      </c>
    </row>
    <row r="1832">
      <c r="A1832">
        <v>1831</v>
      </c>
      <c r="B1832">
        <f>GS36</f>
        <v>0</v>
      </c>
      <c r="C1832" t="inlineStr">
        <is>
          <t>+LS02</t>
        </is>
      </c>
      <c r="D1832" t="inlineStr">
        <is>
          <t>-148Q116.7</t>
        </is>
      </c>
      <c r="E1832" t="inlineStr">
        <is>
          <t>DILMC12-10(24VDC)</t>
        </is>
      </c>
      <c r="F1832" t="inlineStr">
        <is>
          <t>#KALK!</t>
        </is>
      </c>
      <c r="G1832" t="inlineStr">
        <is>
          <t>LASTSCHUETZ</t>
        </is>
      </c>
      <c r="H1832" t="inlineStr">
        <is>
          <t>5,5kW 1S Federzugkl.</t>
        </is>
      </c>
      <c r="I1832">
        <v>321</v>
      </c>
      <c r="J1832">
        <f>GS36/148.5</f>
        <v>0</v>
      </c>
      <c r="K1832" t="inlineStr">
        <is>
          <t>DIL MC12</t>
        </is>
      </c>
      <c r="L1832" t="inlineStr">
        <is>
          <t>HT_0306</t>
        </is>
      </c>
      <c r="M1832" t="inlineStr">
        <is>
          <t>HT_0306
-148Q116.7</t>
        </is>
      </c>
      <c r="N1832" t="inlineStr">
        <is>
          <t>P</t>
        </is>
      </c>
    </row>
    <row r="1833">
      <c r="A1833">
        <v>1832</v>
      </c>
      <c r="B1833">
        <f>GS90</f>
        <v>0</v>
      </c>
      <c r="C1833" t="inlineStr">
        <is>
          <t>+LS02</t>
        </is>
      </c>
      <c r="D1833" t="inlineStr">
        <is>
          <t>-148Q440.7</t>
        </is>
      </c>
      <c r="E1833" t="inlineStr">
        <is>
          <t>DILM-9-10</t>
        </is>
      </c>
      <c r="F1833" t="inlineStr">
        <is>
          <t>#KALK!</t>
        </is>
      </c>
      <c r="G1833" t="inlineStr">
        <is>
          <t>LASTSCHUETZ</t>
        </is>
      </c>
      <c r="H1833" t="inlineStr">
        <is>
          <t>4kW 1S Federzugkl.</t>
        </is>
      </c>
      <c r="I1833">
        <v>1092</v>
      </c>
      <c r="J1833">
        <f>GS90/148.5</f>
        <v>0</v>
      </c>
      <c r="M1833" t="inlineStr">
        <is>
          <t>-148Q440.7</t>
        </is>
      </c>
    </row>
    <row r="1834">
      <c r="A1834">
        <v>1833</v>
      </c>
      <c r="B1834">
        <f>GS06</f>
        <v>0</v>
      </c>
      <c r="C1834" t="inlineStr">
        <is>
          <t>+LS20</t>
        </is>
      </c>
      <c r="D1834" t="inlineStr">
        <is>
          <t>-1490Q1</t>
        </is>
      </c>
      <c r="E1834" t="inlineStr">
        <is>
          <t>DILA-XHI22</t>
        </is>
      </c>
      <c r="F1834" t="inlineStr">
        <is>
          <t>DILA-XHI22</t>
        </is>
      </c>
      <c r="G1834" t="inlineStr">
        <is>
          <t>HILFSKONTAKTBLOCK</t>
        </is>
      </c>
      <c r="H1834" t="inlineStr">
        <is>
          <t>2S 2OE Last+Hilfssch. Cage</t>
        </is>
      </c>
      <c r="I1834">
        <v>1158</v>
      </c>
      <c r="J1834">
        <f>GS06/1490.6</f>
        <v>0</v>
      </c>
      <c r="K1834" t="inlineStr">
        <is>
          <t>DIL MC25</t>
        </is>
      </c>
      <c r="M1834" t="inlineStr">
        <is>
          <t>-1490Q1</t>
        </is>
      </c>
    </row>
    <row r="1835">
      <c r="A1835">
        <v>1834</v>
      </c>
      <c r="B1835">
        <f>GS06</f>
        <v>0</v>
      </c>
      <c r="C1835" t="inlineStr">
        <is>
          <t>+LS20</t>
        </is>
      </c>
      <c r="D1835" t="inlineStr">
        <is>
          <t>-1490Q1</t>
        </is>
      </c>
      <c r="E1835" t="inlineStr">
        <is>
          <t>DILMC25-10(RDC24)</t>
        </is>
      </c>
      <c r="F1835" t="inlineStr">
        <is>
          <t>DILA-XHI22</t>
        </is>
      </c>
      <c r="G1835" t="inlineStr">
        <is>
          <t>LASTSCHUETZ</t>
        </is>
      </c>
      <c r="H1835" t="inlineStr">
        <is>
          <t>11kW 1S Federzugkl.</t>
        </is>
      </c>
      <c r="I1835">
        <v>1158</v>
      </c>
      <c r="J1835">
        <f>GS06/1490.6</f>
        <v>0</v>
      </c>
      <c r="K1835" t="inlineStr">
        <is>
          <t>DIL MC25</t>
        </is>
      </c>
      <c r="M1835" t="inlineStr">
        <is>
          <t>-1490Q1</t>
        </is>
      </c>
    </row>
    <row r="1836">
      <c r="A1836">
        <v>1835</v>
      </c>
      <c r="B1836">
        <f>GS13</f>
        <v>0</v>
      </c>
      <c r="C1836" t="inlineStr">
        <is>
          <t>+LS2</t>
        </is>
      </c>
      <c r="D1836" t="inlineStr">
        <is>
          <t>-14956.7</t>
        </is>
      </c>
      <c r="E1836" t="inlineStr">
        <is>
          <t>DIL_EM-10-G</t>
        </is>
      </c>
      <c r="F1836" t="inlineStr">
        <is>
          <t>#KALK!</t>
        </is>
      </c>
      <c r="G1836" t="inlineStr">
        <is>
          <t>LASTSCHUETZ</t>
        </is>
      </c>
      <c r="H1836" t="inlineStr">
        <is>
          <t>4kW 1S</t>
        </is>
      </c>
      <c r="I1836">
        <v>388</v>
      </c>
      <c r="J1836">
        <f>GS13/149.6</f>
        <v>0</v>
      </c>
      <c r="M1836" t="inlineStr">
        <is>
          <t>-14956.7</t>
        </is>
      </c>
    </row>
    <row r="1837">
      <c r="A1837">
        <v>1836</v>
      </c>
      <c r="B1837">
        <f>GS55</f>
        <v>0</v>
      </c>
      <c r="C1837" t="inlineStr">
        <is>
          <t>+LS01</t>
        </is>
      </c>
      <c r="D1837" t="inlineStr">
        <is>
          <t>-149K105.2</t>
        </is>
      </c>
      <c r="E1837" t="inlineStr">
        <is>
          <t>DILA-22</t>
        </is>
      </c>
      <c r="F1837" t="inlineStr">
        <is>
          <t>#KALK!</t>
        </is>
      </c>
      <c r="G1837" t="inlineStr">
        <is>
          <t>HILFSSCHUETZ</t>
        </is>
      </c>
      <c r="H1837" t="inlineStr">
        <is>
          <t>2S 2Oe Federzugkl.</t>
        </is>
      </c>
      <c r="I1837">
        <v>464</v>
      </c>
      <c r="J1837">
        <f>GS55/149.6</f>
        <v>0</v>
      </c>
      <c r="M1837" t="inlineStr">
        <is>
          <t>-149K105.2</t>
        </is>
      </c>
    </row>
    <row r="1838">
      <c r="A1838">
        <v>1837</v>
      </c>
      <c r="B1838">
        <f>GS7x</f>
        <v>0</v>
      </c>
      <c r="C1838" t="inlineStr">
        <is>
          <t>+LS[l2]</t>
        </is>
      </c>
      <c r="D1838" t="inlineStr">
        <is>
          <t>-149K2</t>
        </is>
      </c>
      <c r="E1838" t="inlineStr">
        <is>
          <t>DILM-9-01</t>
        </is>
      </c>
      <c r="F1838" t="inlineStr">
        <is>
          <t>#KALK!</t>
        </is>
      </c>
      <c r="G1838" t="inlineStr">
        <is>
          <t>LASTSCHUETZ</t>
        </is>
      </c>
      <c r="H1838" t="inlineStr">
        <is>
          <t>4kW 1Oe Federzugkl.</t>
        </is>
      </c>
      <c r="I1838">
        <v>193</v>
      </c>
      <c r="J1838">
        <f>GS7x/149.7</f>
        <v>0</v>
      </c>
      <c r="M1838" t="inlineStr">
        <is>
          <t>-149K2</t>
        </is>
      </c>
    </row>
    <row r="1839">
      <c r="A1839">
        <v>1838</v>
      </c>
      <c r="B1839">
        <f>GS33</f>
        <v>0</v>
      </c>
      <c r="C1839" t="inlineStr">
        <is>
          <t>+LS2</t>
        </is>
      </c>
      <c r="D1839" t="inlineStr">
        <is>
          <t>-149K20.3</t>
        </is>
      </c>
      <c r="E1839" t="inlineStr">
        <is>
          <t>DIL_EM-10-G</t>
        </is>
      </c>
      <c r="F1839" t="inlineStr">
        <is>
          <t>#KALK!</t>
        </is>
      </c>
      <c r="G1839" t="inlineStr">
        <is>
          <t>LASTSCHUETZ</t>
        </is>
      </c>
      <c r="H1839" t="inlineStr">
        <is>
          <t>4kW 1S</t>
        </is>
      </c>
      <c r="I1839">
        <v>581</v>
      </c>
      <c r="J1839">
        <f>GS33/149.7</f>
        <v>0</v>
      </c>
      <c r="M1839" t="inlineStr">
        <is>
          <t>-149K20.3</t>
        </is>
      </c>
    </row>
    <row r="1840">
      <c r="A1840">
        <v>1839</v>
      </c>
      <c r="B1840">
        <f>GS34</f>
        <v>0</v>
      </c>
      <c r="C1840" t="inlineStr">
        <is>
          <t>+LS2</t>
        </is>
      </c>
      <c r="D1840" t="inlineStr">
        <is>
          <t>-149K20.4</t>
        </is>
      </c>
      <c r="E1840" t="inlineStr">
        <is>
          <t>DIL_EM-10-G</t>
        </is>
      </c>
      <c r="F1840" t="inlineStr">
        <is>
          <t>#KALK!</t>
        </is>
      </c>
      <c r="G1840" t="inlineStr">
        <is>
          <t>LASTSCHUETZ</t>
        </is>
      </c>
      <c r="H1840" t="inlineStr">
        <is>
          <t>4kW 1S</t>
        </is>
      </c>
      <c r="I1840">
        <v>273</v>
      </c>
      <c r="J1840">
        <f>GS34/149.7</f>
        <v>0</v>
      </c>
      <c r="M1840" t="inlineStr">
        <is>
          <t>-149K20.4</t>
        </is>
      </c>
    </row>
    <row r="1841">
      <c r="A1841">
        <v>1840</v>
      </c>
      <c r="B1841">
        <f>GS02</f>
        <v>0</v>
      </c>
      <c r="C1841" t="inlineStr">
        <is>
          <t>+LS2</t>
        </is>
      </c>
      <c r="D1841" t="inlineStr">
        <is>
          <t>-149K20.6</t>
        </is>
      </c>
      <c r="E1841" t="inlineStr">
        <is>
          <t>DIL_EM-10-G</t>
        </is>
      </c>
      <c r="F1841" t="inlineStr">
        <is>
          <t>#KALK!</t>
        </is>
      </c>
      <c r="G1841" t="inlineStr">
        <is>
          <t>LASTSCHUETZ</t>
        </is>
      </c>
      <c r="H1841" t="inlineStr">
        <is>
          <t>4kW 1S</t>
        </is>
      </c>
      <c r="I1841">
        <v>548</v>
      </c>
      <c r="J1841">
        <f>GS02/149.6</f>
        <v>0</v>
      </c>
      <c r="M1841" t="inlineStr">
        <is>
          <t>-149K20.6</t>
        </is>
      </c>
    </row>
    <row r="1842">
      <c r="A1842">
        <v>1841</v>
      </c>
      <c r="B1842">
        <f>GS04</f>
        <v>0</v>
      </c>
      <c r="C1842" t="inlineStr">
        <is>
          <t>+LS2</t>
        </is>
      </c>
      <c r="D1842" t="inlineStr">
        <is>
          <t>-149K33.7</t>
        </is>
      </c>
      <c r="E1842" t="inlineStr">
        <is>
          <t>DIL_EM-10-G</t>
        </is>
      </c>
      <c r="F1842" t="inlineStr">
        <is>
          <t>#KALK!</t>
        </is>
      </c>
      <c r="G1842" t="inlineStr">
        <is>
          <t>LASTSCHUETZ</t>
        </is>
      </c>
      <c r="H1842" t="inlineStr">
        <is>
          <t>4kW 1S</t>
        </is>
      </c>
      <c r="I1842">
        <v>399</v>
      </c>
      <c r="J1842">
        <f>GS04/149.7</f>
        <v>0</v>
      </c>
      <c r="M1842" t="inlineStr">
        <is>
          <t>-149K33.7</t>
        </is>
      </c>
    </row>
    <row r="1843">
      <c r="A1843">
        <v>1842</v>
      </c>
      <c r="B1843">
        <f>GS23</f>
        <v>0</v>
      </c>
      <c r="C1843" t="inlineStr">
        <is>
          <t>+LS2</t>
        </is>
      </c>
      <c r="D1843" t="inlineStr">
        <is>
          <t>-149K56.7</t>
        </is>
      </c>
      <c r="E1843" t="inlineStr">
        <is>
          <t>DIL_EM-10-G</t>
        </is>
      </c>
      <c r="F1843" t="inlineStr">
        <is>
          <t>#KALK!</t>
        </is>
      </c>
      <c r="G1843" t="inlineStr">
        <is>
          <t>LASTSCHUETZ</t>
        </is>
      </c>
      <c r="H1843" t="inlineStr">
        <is>
          <t>4kW 1S</t>
        </is>
      </c>
      <c r="I1843">
        <v>448</v>
      </c>
      <c r="J1843">
        <f>GS23/149.6</f>
        <v>0</v>
      </c>
      <c r="M1843" t="inlineStr">
        <is>
          <t>-149K56.7</t>
        </is>
      </c>
    </row>
    <row r="1844">
      <c r="A1844">
        <v>1843</v>
      </c>
      <c r="B1844">
        <f>GS15</f>
        <v>0</v>
      </c>
      <c r="C1844" t="inlineStr">
        <is>
          <t>+LS2</t>
        </is>
      </c>
      <c r="D1844" t="inlineStr">
        <is>
          <t>-149K93.2</t>
        </is>
      </c>
      <c r="E1844" t="inlineStr">
        <is>
          <t>DILM-9-10</t>
        </is>
      </c>
      <c r="F1844" t="inlineStr">
        <is>
          <t>#KALK!</t>
        </is>
      </c>
      <c r="G1844" t="inlineStr">
        <is>
          <t>LASTSCHUETZ</t>
        </is>
      </c>
      <c r="H1844" t="inlineStr">
        <is>
          <t>4kW 1S Federzugkl.</t>
        </is>
      </c>
      <c r="I1844">
        <v>637</v>
      </c>
      <c r="J1844">
        <f>GS15/149.6</f>
        <v>0</v>
      </c>
      <c r="K1844" t="inlineStr">
        <is>
          <t>DIL MC9</t>
        </is>
      </c>
      <c r="M1844" t="inlineStr">
        <is>
          <t>-149K93.2</t>
        </is>
      </c>
    </row>
    <row r="1845">
      <c r="A1845">
        <v>1844</v>
      </c>
      <c r="B1845">
        <f>GS55</f>
        <v>0</v>
      </c>
      <c r="C1845" t="inlineStr">
        <is>
          <t>+LS01</t>
        </is>
      </c>
      <c r="D1845" t="inlineStr">
        <is>
          <t>-149Q1</t>
        </is>
      </c>
      <c r="E1845" t="inlineStr">
        <is>
          <t>DILA-XHI22</t>
        </is>
      </c>
      <c r="F1845" t="inlineStr">
        <is>
          <t>DILA-XHI22</t>
        </is>
      </c>
      <c r="G1845" t="inlineStr">
        <is>
          <t>HILFSKONTAKTBLOCK</t>
        </is>
      </c>
      <c r="H1845" t="inlineStr">
        <is>
          <t>2S 2OE Last+Hilfssch. Cage</t>
        </is>
      </c>
      <c r="I1845">
        <v>464</v>
      </c>
      <c r="J1845">
        <f>GS55/149.4</f>
        <v>0</v>
      </c>
      <c r="K1845" t="inlineStr">
        <is>
          <t>DIL MC9</t>
        </is>
      </c>
      <c r="M1845" t="inlineStr">
        <is>
          <t>-149Q1</t>
        </is>
      </c>
    </row>
    <row r="1846">
      <c r="A1846">
        <v>1845</v>
      </c>
      <c r="B1846">
        <f>GS55</f>
        <v>0</v>
      </c>
      <c r="C1846" t="inlineStr">
        <is>
          <t>+LS01</t>
        </is>
      </c>
      <c r="D1846" t="inlineStr">
        <is>
          <t>-149Q1</t>
        </is>
      </c>
      <c r="E1846" t="inlineStr">
        <is>
          <t>DILM-9-10</t>
        </is>
      </c>
      <c r="F1846" t="inlineStr">
        <is>
          <t>DILA-XHI22</t>
        </is>
      </c>
      <c r="G1846" t="inlineStr">
        <is>
          <t>LASTSCHUETZ</t>
        </is>
      </c>
      <c r="H1846" t="inlineStr">
        <is>
          <t>4kW 1S Federzugkl.</t>
        </is>
      </c>
      <c r="I1846">
        <v>464</v>
      </c>
      <c r="J1846">
        <f>GS55/149.4</f>
        <v>0</v>
      </c>
      <c r="K1846" t="inlineStr">
        <is>
          <t>DIL MC9</t>
        </is>
      </c>
      <c r="M1846" t="inlineStr">
        <is>
          <t>-149Q1</t>
        </is>
      </c>
    </row>
    <row r="1847">
      <c r="A1847">
        <v>1846</v>
      </c>
      <c r="B1847">
        <f>GS90</f>
        <v>0</v>
      </c>
      <c r="C1847" t="inlineStr">
        <is>
          <t>+LS02</t>
        </is>
      </c>
      <c r="D1847" t="inlineStr">
        <is>
          <t>-149Q441.0</t>
        </is>
      </c>
      <c r="E1847" t="inlineStr">
        <is>
          <t>DILM-9-10</t>
        </is>
      </c>
      <c r="F1847" t="inlineStr">
        <is>
          <t>#KALK!</t>
        </is>
      </c>
      <c r="G1847" t="inlineStr">
        <is>
          <t>LASTSCHUETZ</t>
        </is>
      </c>
      <c r="H1847" t="inlineStr">
        <is>
          <t>4kW 1S Federzugkl.</t>
        </is>
      </c>
      <c r="I1847">
        <v>1091</v>
      </c>
      <c r="J1847">
        <f>GS90/149.5</f>
        <v>0</v>
      </c>
      <c r="M1847" t="inlineStr">
        <is>
          <t>-149Q441.0</t>
        </is>
      </c>
    </row>
    <row r="1848">
      <c r="A1848">
        <v>1847</v>
      </c>
      <c r="B1848">
        <f>GS08</f>
        <v>0</v>
      </c>
      <c r="C1848" t="inlineStr">
        <is>
          <t>+LS[p1]</t>
        </is>
      </c>
      <c r="D1848" t="inlineStr">
        <is>
          <t>-14K[a+2].5</t>
        </is>
      </c>
      <c r="E1848" t="inlineStr">
        <is>
          <t>DILA-22</t>
        </is>
      </c>
      <c r="F1848" t="inlineStr">
        <is>
          <t>#KALK!</t>
        </is>
      </c>
      <c r="G1848" t="inlineStr">
        <is>
          <t>HILFSSCHUETZ</t>
        </is>
      </c>
      <c r="H1848" t="inlineStr">
        <is>
          <t>2S 2Oe Federzugkl.</t>
        </is>
      </c>
      <c r="I1848">
        <v>183</v>
      </c>
      <c r="J1848">
        <f>GS08/14.6</f>
        <v>0</v>
      </c>
      <c r="M1848" t="inlineStr">
        <is>
          <t>-14K[a+2].5</t>
        </is>
      </c>
    </row>
    <row r="1849">
      <c r="A1849">
        <v>1848</v>
      </c>
      <c r="B1849">
        <f>GS9x</f>
        <v>0</v>
      </c>
      <c r="C1849" t="inlineStr">
        <is>
          <t>+QVW[h1]01</t>
        </is>
      </c>
      <c r="D1849" t="inlineStr">
        <is>
          <t>-14Q[a+1].4</t>
        </is>
      </c>
      <c r="E1849" t="inlineStr">
        <is>
          <t>DILM-9-10</t>
        </is>
      </c>
      <c r="F1849" t="inlineStr">
        <is>
          <t>#KALK!</t>
        </is>
      </c>
      <c r="G1849" t="inlineStr">
        <is>
          <t>LASTSCHUETZ</t>
        </is>
      </c>
      <c r="H1849" t="inlineStr">
        <is>
          <t>4kW 1S Federzugkl.</t>
        </is>
      </c>
      <c r="I1849">
        <v>195</v>
      </c>
      <c r="J1849">
        <f>GS9x/14.5</f>
        <v>0</v>
      </c>
      <c r="M1849" t="inlineStr">
        <is>
          <t>-14Q[a+1].4</t>
        </is>
      </c>
    </row>
    <row r="1850">
      <c r="A1850">
        <v>1849</v>
      </c>
      <c r="B1850">
        <f>GS08</f>
        <v>0</v>
      </c>
      <c r="C1850" t="inlineStr">
        <is>
          <t>+LS[p1]</t>
        </is>
      </c>
      <c r="D1850" t="inlineStr">
        <is>
          <t>-14Q[a+2].6</t>
        </is>
      </c>
      <c r="E1850" t="inlineStr">
        <is>
          <t>DILM-9-10</t>
        </is>
      </c>
      <c r="F1850" t="inlineStr">
        <is>
          <t>#KALK!</t>
        </is>
      </c>
      <c r="G1850" t="inlineStr">
        <is>
          <t>LASTSCHUETZ</t>
        </is>
      </c>
      <c r="H1850" t="inlineStr">
        <is>
          <t>4kW 1S Federzugkl.</t>
        </is>
      </c>
      <c r="I1850">
        <v>183</v>
      </c>
      <c r="J1850">
        <f>GS08/14.7</f>
        <v>0</v>
      </c>
      <c r="M1850" t="inlineStr">
        <is>
          <t>-14Q[a+2].6</t>
        </is>
      </c>
    </row>
    <row r="1851">
      <c r="A1851">
        <v>1850</v>
      </c>
      <c r="B1851">
        <f>GS13</f>
        <v>0</v>
      </c>
      <c r="C1851" t="inlineStr">
        <is>
          <t>+LS2</t>
        </is>
      </c>
      <c r="D1851" t="inlineStr">
        <is>
          <t>-15056.2</t>
        </is>
      </c>
      <c r="E1851" t="inlineStr">
        <is>
          <t>DIL_EM-10-G</t>
        </is>
      </c>
      <c r="F1851" t="inlineStr">
        <is>
          <t>#KALK!</t>
        </is>
      </c>
      <c r="G1851" t="inlineStr">
        <is>
          <t>LASTSCHUETZ</t>
        </is>
      </c>
      <c r="H1851" t="inlineStr">
        <is>
          <t>4kW 1S</t>
        </is>
      </c>
      <c r="I1851">
        <v>389</v>
      </c>
      <c r="J1851">
        <f>GS13/150.6</f>
        <v>0</v>
      </c>
      <c r="M1851" t="inlineStr">
        <is>
          <t>-15056.2</t>
        </is>
      </c>
    </row>
    <row r="1852">
      <c r="A1852">
        <v>1851</v>
      </c>
      <c r="B1852">
        <f>GS13</f>
        <v>0</v>
      </c>
      <c r="C1852" t="inlineStr">
        <is>
          <t>+LS2</t>
        </is>
      </c>
      <c r="D1852" t="inlineStr">
        <is>
          <t>-15056.3</t>
        </is>
      </c>
      <c r="E1852" t="inlineStr">
        <is>
          <t>DIL_EM-10-G</t>
        </is>
      </c>
      <c r="F1852" t="inlineStr">
        <is>
          <t>#KALK!</t>
        </is>
      </c>
      <c r="G1852" t="inlineStr">
        <is>
          <t>LASTSCHUETZ</t>
        </is>
      </c>
      <c r="H1852" t="inlineStr">
        <is>
          <t>4kW 1S</t>
        </is>
      </c>
      <c r="I1852">
        <v>389</v>
      </c>
      <c r="J1852">
        <f>GS13/150.6</f>
        <v>0</v>
      </c>
      <c r="M1852" t="inlineStr">
        <is>
          <t>-15056.3</t>
        </is>
      </c>
    </row>
    <row r="1853">
      <c r="A1853">
        <v>1852</v>
      </c>
      <c r="B1853">
        <f>GS25</f>
        <v>0</v>
      </c>
      <c r="C1853" t="inlineStr">
        <is>
          <t>+LS3</t>
        </is>
      </c>
      <c r="D1853" t="inlineStr">
        <is>
          <t>-150K1</t>
        </is>
      </c>
      <c r="E1853" t="inlineStr">
        <is>
          <t>DIL_0AM</t>
        </is>
      </c>
      <c r="F1853" t="inlineStr">
        <is>
          <t>22_DIL-M</t>
        </is>
      </c>
      <c r="G1853" t="inlineStr">
        <is>
          <t>LASTSCHUETZ</t>
        </is>
      </c>
      <c r="H1853" t="inlineStr">
        <is>
          <t>11 kW</t>
        </is>
      </c>
      <c r="I1853">
        <v>271</v>
      </c>
      <c r="J1853">
        <f>GS25/150.2</f>
        <v>0</v>
      </c>
      <c r="K1853" t="inlineStr">
        <is>
          <t>DIL0AM</t>
        </is>
      </c>
      <c r="M1853" t="inlineStr">
        <is>
          <t>-150K1</t>
        </is>
      </c>
    </row>
    <row r="1854">
      <c r="A1854">
        <v>1853</v>
      </c>
      <c r="B1854">
        <f>GS25</f>
        <v>0</v>
      </c>
      <c r="C1854" t="inlineStr">
        <is>
          <t>+LS3</t>
        </is>
      </c>
      <c r="D1854" t="inlineStr">
        <is>
          <t>-150K1</t>
        </is>
      </c>
      <c r="E1854" t="inlineStr">
        <is>
          <t>22_DIL-M</t>
        </is>
      </c>
      <c r="F1854" t="inlineStr">
        <is>
          <t>22_DIL-M</t>
        </is>
      </c>
      <c r="G1854" t="inlineStr">
        <is>
          <t>HILFSKONTAKTBLOCK</t>
        </is>
      </c>
      <c r="H1854" t="inlineStr">
        <is>
          <t>2S 2OE Lastschuetz DIL M</t>
        </is>
      </c>
      <c r="I1854">
        <v>271</v>
      </c>
      <c r="J1854">
        <f>GS25/150.2</f>
        <v>0</v>
      </c>
      <c r="K1854" t="inlineStr">
        <is>
          <t>DIL0AM</t>
        </is>
      </c>
      <c r="M1854" t="inlineStr">
        <is>
          <t>-150K1</t>
        </is>
      </c>
    </row>
    <row r="1855">
      <c r="A1855">
        <v>1854</v>
      </c>
      <c r="B1855">
        <f>GC22</f>
        <v>0</v>
      </c>
      <c r="C1855" t="inlineStr">
        <is>
          <t>+LS1</t>
        </is>
      </c>
      <c r="D1855" t="inlineStr">
        <is>
          <t>-150K15.3</t>
        </is>
      </c>
      <c r="E1855" t="inlineStr">
        <is>
          <t>DIL_EM-10-G</t>
        </is>
      </c>
      <c r="F1855" t="inlineStr">
        <is>
          <t>#KALK!</t>
        </is>
      </c>
      <c r="G1855" t="inlineStr">
        <is>
          <t>LASTSCHUETZ</t>
        </is>
      </c>
      <c r="H1855" t="inlineStr">
        <is>
          <t>4kW 1S</t>
        </is>
      </c>
      <c r="I1855">
        <v>302</v>
      </c>
      <c r="J1855">
        <f>GC22/150.7</f>
        <v>0</v>
      </c>
      <c r="M1855" t="inlineStr">
        <is>
          <t>-150K15.3</t>
        </is>
      </c>
    </row>
    <row r="1856">
      <c r="A1856">
        <v>1855</v>
      </c>
      <c r="B1856">
        <f>GS12</f>
        <v>0</v>
      </c>
      <c r="C1856" t="inlineStr">
        <is>
          <t>+LS1</t>
        </is>
      </c>
      <c r="D1856" t="inlineStr">
        <is>
          <t>-150K15.3</t>
        </is>
      </c>
      <c r="E1856" t="inlineStr">
        <is>
          <t>DIL_EM-10-G</t>
        </is>
      </c>
      <c r="F1856" t="inlineStr">
        <is>
          <t>#KALK!</t>
        </is>
      </c>
      <c r="G1856" t="inlineStr">
        <is>
          <t>LASTSCHUETZ</t>
        </is>
      </c>
      <c r="H1856" t="inlineStr">
        <is>
          <t>4kW 1S</t>
        </is>
      </c>
      <c r="I1856">
        <v>282</v>
      </c>
      <c r="J1856">
        <f>GS12/150.7</f>
        <v>0</v>
      </c>
      <c r="M1856" t="inlineStr">
        <is>
          <t>-150K15.3</t>
        </is>
      </c>
    </row>
    <row r="1857">
      <c r="A1857">
        <v>1856</v>
      </c>
      <c r="B1857">
        <f>GS02</f>
        <v>0</v>
      </c>
      <c r="C1857" t="inlineStr">
        <is>
          <t>+LS2</t>
        </is>
      </c>
      <c r="D1857" t="inlineStr">
        <is>
          <t>-150K20.3</t>
        </is>
      </c>
      <c r="E1857" t="inlineStr">
        <is>
          <t>DIL_EM-10-G</t>
        </is>
      </c>
      <c r="F1857" t="inlineStr">
        <is>
          <t>#KALK!</t>
        </is>
      </c>
      <c r="G1857" t="inlineStr">
        <is>
          <t>LASTSCHUETZ</t>
        </is>
      </c>
      <c r="H1857" t="inlineStr">
        <is>
          <t>4kW 1S</t>
        </is>
      </c>
      <c r="I1857">
        <v>549</v>
      </c>
      <c r="J1857">
        <f>GS02/150.6</f>
        <v>0</v>
      </c>
      <c r="M1857" t="inlineStr">
        <is>
          <t>-150K20.3</t>
        </is>
      </c>
    </row>
    <row r="1858">
      <c r="A1858">
        <v>1857</v>
      </c>
      <c r="B1858">
        <f>GS02</f>
        <v>0</v>
      </c>
      <c r="C1858" t="inlineStr">
        <is>
          <t>+LS2</t>
        </is>
      </c>
      <c r="D1858" t="inlineStr">
        <is>
          <t>-150K20.4</t>
        </is>
      </c>
      <c r="E1858" t="inlineStr">
        <is>
          <t>DIL_EM-10-G</t>
        </is>
      </c>
      <c r="F1858" t="inlineStr">
        <is>
          <t>#KALK!</t>
        </is>
      </c>
      <c r="G1858" t="inlineStr">
        <is>
          <t>LASTSCHUETZ</t>
        </is>
      </c>
      <c r="H1858" t="inlineStr">
        <is>
          <t>4kW 1S</t>
        </is>
      </c>
      <c r="I1858">
        <v>549</v>
      </c>
      <c r="J1858">
        <f>GS02/150.6</f>
        <v>0</v>
      </c>
      <c r="M1858" t="inlineStr">
        <is>
          <t>-150K20.4</t>
        </is>
      </c>
    </row>
    <row r="1859">
      <c r="A1859">
        <v>1858</v>
      </c>
      <c r="B1859">
        <f>GS33</f>
        <v>0</v>
      </c>
      <c r="C1859" t="inlineStr">
        <is>
          <t>+LS2</t>
        </is>
      </c>
      <c r="D1859" t="inlineStr">
        <is>
          <t>-150K20.4</t>
        </is>
      </c>
      <c r="E1859" t="inlineStr">
        <is>
          <t>DIL_EM-10-G</t>
        </is>
      </c>
      <c r="F1859" t="inlineStr">
        <is>
          <t>#KALK!</t>
        </is>
      </c>
      <c r="G1859" t="inlineStr">
        <is>
          <t>LASTSCHUETZ</t>
        </is>
      </c>
      <c r="H1859" t="inlineStr">
        <is>
          <t>4kW 1S</t>
        </is>
      </c>
      <c r="I1859">
        <v>582</v>
      </c>
      <c r="J1859">
        <f>GS33/150.6</f>
        <v>0</v>
      </c>
      <c r="M1859" t="inlineStr">
        <is>
          <t>-150K20.4</t>
        </is>
      </c>
    </row>
    <row r="1860">
      <c r="A1860">
        <v>1859</v>
      </c>
      <c r="B1860">
        <f>GS34</f>
        <v>0</v>
      </c>
      <c r="C1860" t="inlineStr">
        <is>
          <t>+LS2</t>
        </is>
      </c>
      <c r="D1860" t="inlineStr">
        <is>
          <t>-150K21.0</t>
        </is>
      </c>
      <c r="E1860" t="inlineStr">
        <is>
          <t>DIL_EM-10-G</t>
        </is>
      </c>
      <c r="F1860" t="inlineStr">
        <is>
          <t>#KALK!</t>
        </is>
      </c>
      <c r="G1860" t="inlineStr">
        <is>
          <t>LASTSCHUETZ</t>
        </is>
      </c>
      <c r="H1860" t="inlineStr">
        <is>
          <t>4kW 1S</t>
        </is>
      </c>
      <c r="I1860">
        <v>274</v>
      </c>
      <c r="J1860">
        <f>GS34/150.7</f>
        <v>0</v>
      </c>
      <c r="M1860" t="inlineStr">
        <is>
          <t>-150K21.0</t>
        </is>
      </c>
    </row>
    <row r="1861">
      <c r="A1861">
        <v>1860</v>
      </c>
      <c r="B1861">
        <f>GS11</f>
        <v>0</v>
      </c>
      <c r="C1861" t="inlineStr">
        <is>
          <t>+LS3</t>
        </is>
      </c>
      <c r="D1861" t="inlineStr">
        <is>
          <t>-150K36.3</t>
        </is>
      </c>
      <c r="E1861" t="inlineStr">
        <is>
          <t>DIL_EM-10-G</t>
        </is>
      </c>
      <c r="F1861" t="inlineStr">
        <is>
          <t>#KALK!</t>
        </is>
      </c>
      <c r="G1861" t="inlineStr">
        <is>
          <t>LASTSCHUETZ</t>
        </is>
      </c>
      <c r="H1861" t="inlineStr">
        <is>
          <t>4kW 1S</t>
        </is>
      </c>
      <c r="I1861">
        <v>261</v>
      </c>
      <c r="J1861">
        <f>GS11/150.7</f>
        <v>0</v>
      </c>
      <c r="M1861" t="inlineStr">
        <is>
          <t>-150K36.3</t>
        </is>
      </c>
    </row>
    <row r="1862">
      <c r="A1862">
        <v>1861</v>
      </c>
      <c r="B1862">
        <f>GS21</f>
        <v>0</v>
      </c>
      <c r="C1862" t="inlineStr">
        <is>
          <t>+LS3</t>
        </is>
      </c>
      <c r="D1862" t="inlineStr">
        <is>
          <t>-150K36.3</t>
        </is>
      </c>
      <c r="E1862" t="inlineStr">
        <is>
          <t>DIL_EM-10-G</t>
        </is>
      </c>
      <c r="F1862" t="inlineStr">
        <is>
          <t>#KALK!</t>
        </is>
      </c>
      <c r="G1862" t="inlineStr">
        <is>
          <t>LASTSCHUETZ</t>
        </is>
      </c>
      <c r="H1862" t="inlineStr">
        <is>
          <t>4kW 1S</t>
        </is>
      </c>
      <c r="I1862">
        <v>235</v>
      </c>
      <c r="J1862">
        <f>GS21/150.7</f>
        <v>0</v>
      </c>
      <c r="M1862" t="inlineStr">
        <is>
          <t>-150K36.3</t>
        </is>
      </c>
    </row>
    <row r="1863">
      <c r="A1863">
        <v>1862</v>
      </c>
      <c r="B1863">
        <f>GS33</f>
        <v>0</v>
      </c>
      <c r="C1863" t="inlineStr">
        <is>
          <t>+LS2</t>
        </is>
      </c>
      <c r="D1863" t="inlineStr">
        <is>
          <t>-150K53.2</t>
        </is>
      </c>
      <c r="E1863" t="inlineStr">
        <is>
          <t>DIL_EM-10-G</t>
        </is>
      </c>
      <c r="F1863" t="inlineStr">
        <is>
          <t>#KALK!</t>
        </is>
      </c>
      <c r="G1863" t="inlineStr">
        <is>
          <t>LASTSCHUETZ</t>
        </is>
      </c>
      <c r="H1863" t="inlineStr">
        <is>
          <t>4kW 1S</t>
        </is>
      </c>
      <c r="I1863">
        <v>582</v>
      </c>
      <c r="J1863">
        <f>GS33/150.6</f>
        <v>0</v>
      </c>
      <c r="M1863" t="inlineStr">
        <is>
          <t>-150K53.2</t>
        </is>
      </c>
    </row>
    <row r="1864">
      <c r="A1864">
        <v>1863</v>
      </c>
      <c r="B1864">
        <f>GS23</f>
        <v>0</v>
      </c>
      <c r="C1864" t="inlineStr">
        <is>
          <t>+LS2</t>
        </is>
      </c>
      <c r="D1864" t="inlineStr">
        <is>
          <t>-150K56.2</t>
        </is>
      </c>
      <c r="E1864" t="inlineStr">
        <is>
          <t>DIL_EM-10-G</t>
        </is>
      </c>
      <c r="F1864" t="inlineStr">
        <is>
          <t>#KALK!</t>
        </is>
      </c>
      <c r="G1864" t="inlineStr">
        <is>
          <t>LASTSCHUETZ</t>
        </is>
      </c>
      <c r="H1864" t="inlineStr">
        <is>
          <t>4kW 1S</t>
        </is>
      </c>
      <c r="I1864">
        <v>449</v>
      </c>
      <c r="J1864">
        <f>GS23/150.6</f>
        <v>0</v>
      </c>
      <c r="M1864" t="inlineStr">
        <is>
          <t>-150K56.2</t>
        </is>
      </c>
    </row>
    <row r="1865">
      <c r="A1865">
        <v>1864</v>
      </c>
      <c r="B1865">
        <f>GS23</f>
        <v>0</v>
      </c>
      <c r="C1865" t="inlineStr">
        <is>
          <t>+LS2</t>
        </is>
      </c>
      <c r="D1865" t="inlineStr">
        <is>
          <t>-150K56.3</t>
        </is>
      </c>
      <c r="E1865" t="inlineStr">
        <is>
          <t>DIL_EM-10-G</t>
        </is>
      </c>
      <c r="F1865" t="inlineStr">
        <is>
          <t>#KALK!</t>
        </is>
      </c>
      <c r="G1865" t="inlineStr">
        <is>
          <t>LASTSCHUETZ</t>
        </is>
      </c>
      <c r="H1865" t="inlineStr">
        <is>
          <t>4kW 1S</t>
        </is>
      </c>
      <c r="I1865">
        <v>449</v>
      </c>
      <c r="J1865">
        <f>GS23/150.6</f>
        <v>0</v>
      </c>
      <c r="M1865" t="inlineStr">
        <is>
          <t>-150K56.3</t>
        </is>
      </c>
    </row>
    <row r="1866">
      <c r="A1866">
        <v>1865</v>
      </c>
      <c r="B1866">
        <f>GS36</f>
        <v>0</v>
      </c>
      <c r="C1866" t="inlineStr">
        <is>
          <t>+LS02</t>
        </is>
      </c>
      <c r="D1866" t="inlineStr">
        <is>
          <t>-150Q117.1</t>
        </is>
      </c>
      <c r="E1866" t="inlineStr">
        <is>
          <t>DILM-9-10</t>
        </is>
      </c>
      <c r="F1866" t="inlineStr">
        <is>
          <t>#KALK!</t>
        </is>
      </c>
      <c r="G1866" t="inlineStr">
        <is>
          <t>LASTSCHUETZ</t>
        </is>
      </c>
      <c r="H1866" t="inlineStr">
        <is>
          <t>4kW 1S Federzugkl.</t>
        </is>
      </c>
      <c r="I1866">
        <v>323</v>
      </c>
      <c r="J1866">
        <f>GS36/150.5</f>
        <v>0</v>
      </c>
      <c r="L1866" t="inlineStr">
        <is>
          <t>KF_0308</t>
        </is>
      </c>
      <c r="M1866" t="inlineStr">
        <is>
          <t>KF_0308
-150Q117.1</t>
        </is>
      </c>
      <c r="N1866" t="inlineStr">
        <is>
          <t>P</t>
        </is>
      </c>
    </row>
    <row r="1867">
      <c r="A1867">
        <v>1866</v>
      </c>
      <c r="B1867">
        <f>GS21</f>
        <v>0</v>
      </c>
      <c r="C1867" t="inlineStr">
        <is>
          <t>+LS3</t>
        </is>
      </c>
      <c r="D1867" t="inlineStr">
        <is>
          <t>-151.1K36.4</t>
        </is>
      </c>
      <c r="E1867" t="inlineStr">
        <is>
          <t>DIL_EM-10-G</t>
        </is>
      </c>
      <c r="F1867" t="inlineStr">
        <is>
          <t>#KALK!</t>
        </is>
      </c>
      <c r="G1867" t="inlineStr">
        <is>
          <t>LASTSCHUETZ</t>
        </is>
      </c>
      <c r="H1867" t="inlineStr">
        <is>
          <t>4kW 1S</t>
        </is>
      </c>
      <c r="I1867">
        <v>1010</v>
      </c>
      <c r="J1867">
        <f>GS21/151.1.6</f>
        <v>0</v>
      </c>
      <c r="M1867" t="inlineStr">
        <is>
          <t>-151.1K36.4</t>
        </is>
      </c>
    </row>
    <row r="1868">
      <c r="A1868">
        <v>1867</v>
      </c>
      <c r="B1868">
        <f>GC22</f>
        <v>0</v>
      </c>
      <c r="C1868" t="inlineStr">
        <is>
          <t>+LS1</t>
        </is>
      </c>
      <c r="D1868" t="inlineStr">
        <is>
          <t>-151K15.4</t>
        </is>
      </c>
      <c r="E1868" t="inlineStr">
        <is>
          <t>DILM-9-01</t>
        </is>
      </c>
      <c r="F1868" t="inlineStr">
        <is>
          <t>#KALK!</t>
        </is>
      </c>
      <c r="G1868" t="inlineStr">
        <is>
          <t>LASTSCHUETZ</t>
        </is>
      </c>
      <c r="H1868" t="inlineStr">
        <is>
          <t>4kW 1Oe Federzugkl.</t>
        </is>
      </c>
      <c r="I1868">
        <v>301</v>
      </c>
      <c r="J1868">
        <f>GC22/151.6</f>
        <v>0</v>
      </c>
      <c r="M1868" t="inlineStr">
        <is>
          <t>-151K15.4</t>
        </is>
      </c>
    </row>
    <row r="1869">
      <c r="A1869">
        <v>1868</v>
      </c>
      <c r="B1869">
        <f>GS12</f>
        <v>0</v>
      </c>
      <c r="C1869" t="inlineStr">
        <is>
          <t>+LS1</t>
        </is>
      </c>
      <c r="D1869" t="inlineStr">
        <is>
          <t>-151K15.4</t>
        </is>
      </c>
      <c r="E1869" t="inlineStr">
        <is>
          <t>DILM-9-01</t>
        </is>
      </c>
      <c r="F1869" t="inlineStr">
        <is>
          <t>#KALK!</t>
        </is>
      </c>
      <c r="G1869" t="inlineStr">
        <is>
          <t>LASTSCHUETZ</t>
        </is>
      </c>
      <c r="H1869" t="inlineStr">
        <is>
          <t>4kW 1Oe Federzugkl.</t>
        </is>
      </c>
      <c r="I1869">
        <v>283</v>
      </c>
      <c r="J1869">
        <f>GS12/151.6</f>
        <v>0</v>
      </c>
      <c r="M1869" t="inlineStr">
        <is>
          <t>-151K15.4</t>
        </is>
      </c>
    </row>
    <row r="1870">
      <c r="A1870">
        <v>1869</v>
      </c>
      <c r="B1870">
        <f>GC22</f>
        <v>0</v>
      </c>
      <c r="C1870" t="inlineStr">
        <is>
          <t>+LS1</t>
        </is>
      </c>
      <c r="D1870" t="inlineStr">
        <is>
          <t>-151K15.5</t>
        </is>
      </c>
      <c r="E1870" t="inlineStr">
        <is>
          <t>DIL_EM-10-G</t>
        </is>
      </c>
      <c r="F1870" t="inlineStr">
        <is>
          <t>#KALK!</t>
        </is>
      </c>
      <c r="G1870" t="inlineStr">
        <is>
          <t>LASTSCHUETZ</t>
        </is>
      </c>
      <c r="H1870" t="inlineStr">
        <is>
          <t>4kW 1S</t>
        </is>
      </c>
      <c r="I1870">
        <v>301</v>
      </c>
      <c r="J1870">
        <f>GC22/151.7</f>
        <v>0</v>
      </c>
      <c r="M1870" t="inlineStr">
        <is>
          <t>-151K15.5</t>
        </is>
      </c>
    </row>
    <row r="1871">
      <c r="A1871">
        <v>1870</v>
      </c>
      <c r="B1871">
        <f>GS12</f>
        <v>0</v>
      </c>
      <c r="C1871" t="inlineStr">
        <is>
          <t>+LS1</t>
        </is>
      </c>
      <c r="D1871" t="inlineStr">
        <is>
          <t>-151K15.5</t>
        </is>
      </c>
      <c r="E1871" t="inlineStr">
        <is>
          <t>DIL_EM-10-G</t>
        </is>
      </c>
      <c r="F1871" t="inlineStr">
        <is>
          <t>#KALK!</t>
        </is>
      </c>
      <c r="G1871" t="inlineStr">
        <is>
          <t>LASTSCHUETZ</t>
        </is>
      </c>
      <c r="H1871" t="inlineStr">
        <is>
          <t>4kW 1S</t>
        </is>
      </c>
      <c r="I1871">
        <v>283</v>
      </c>
      <c r="J1871">
        <f>GS12/151.7</f>
        <v>0</v>
      </c>
      <c r="M1871" t="inlineStr">
        <is>
          <t>-151K15.5</t>
        </is>
      </c>
    </row>
    <row r="1872">
      <c r="A1872">
        <v>1871</v>
      </c>
      <c r="B1872">
        <f>GC22</f>
        <v>0</v>
      </c>
      <c r="C1872" t="inlineStr">
        <is>
          <t>+LS1</t>
        </is>
      </c>
      <c r="D1872" t="inlineStr">
        <is>
          <t>-151K17.6</t>
        </is>
      </c>
      <c r="E1872" t="inlineStr">
        <is>
          <t>DILM-9-01</t>
        </is>
      </c>
      <c r="F1872" t="inlineStr">
        <is>
          <t>#KALK!</t>
        </is>
      </c>
      <c r="G1872" t="inlineStr">
        <is>
          <t>LASTSCHUETZ</t>
        </is>
      </c>
      <c r="H1872" t="inlineStr">
        <is>
          <t>4kW 1Oe Federzugkl.</t>
        </is>
      </c>
      <c r="I1872">
        <v>301</v>
      </c>
      <c r="J1872">
        <f>GC22/151.6</f>
        <v>0</v>
      </c>
      <c r="M1872" t="inlineStr">
        <is>
          <t>-151K17.6</t>
        </is>
      </c>
    </row>
    <row r="1873">
      <c r="A1873">
        <v>1872</v>
      </c>
      <c r="B1873">
        <f>GS12</f>
        <v>0</v>
      </c>
      <c r="C1873" t="inlineStr">
        <is>
          <t>+LS1</t>
        </is>
      </c>
      <c r="D1873" t="inlineStr">
        <is>
          <t>-151K17.6</t>
        </is>
      </c>
      <c r="E1873" t="inlineStr">
        <is>
          <t>DILM-9-01</t>
        </is>
      </c>
      <c r="F1873" t="inlineStr">
        <is>
          <t>#KALK!</t>
        </is>
      </c>
      <c r="G1873" t="inlineStr">
        <is>
          <t>LASTSCHUETZ</t>
        </is>
      </c>
      <c r="H1873" t="inlineStr">
        <is>
          <t>4kW 1Oe Federzugkl.</t>
        </is>
      </c>
      <c r="I1873">
        <v>283</v>
      </c>
      <c r="J1873">
        <f>GS12/151.6</f>
        <v>0</v>
      </c>
      <c r="M1873" t="inlineStr">
        <is>
          <t>-151K17.6</t>
        </is>
      </c>
    </row>
    <row r="1874">
      <c r="A1874">
        <v>1873</v>
      </c>
      <c r="B1874">
        <f>GS33</f>
        <v>0</v>
      </c>
      <c r="C1874" t="inlineStr">
        <is>
          <t>+LS2</t>
        </is>
      </c>
      <c r="D1874" t="inlineStr">
        <is>
          <t>-151K20.5</t>
        </is>
      </c>
      <c r="E1874" t="inlineStr">
        <is>
          <t>DIL_EM-10-G</t>
        </is>
      </c>
      <c r="F1874" t="inlineStr">
        <is>
          <t>#KALK!</t>
        </is>
      </c>
      <c r="G1874" t="inlineStr">
        <is>
          <t>LASTSCHUETZ</t>
        </is>
      </c>
      <c r="H1874" t="inlineStr">
        <is>
          <t>4kW 1S</t>
        </is>
      </c>
      <c r="I1874">
        <v>583</v>
      </c>
      <c r="J1874">
        <f>GS33/151.6</f>
        <v>0</v>
      </c>
      <c r="M1874" t="inlineStr">
        <is>
          <t>-151K20.5</t>
        </is>
      </c>
    </row>
    <row r="1875">
      <c r="A1875">
        <v>1874</v>
      </c>
      <c r="B1875">
        <f>GS02</f>
        <v>0</v>
      </c>
      <c r="C1875" t="inlineStr">
        <is>
          <t>+LS2</t>
        </is>
      </c>
      <c r="D1875" t="inlineStr">
        <is>
          <t>-151K20.7</t>
        </is>
      </c>
      <c r="E1875" t="inlineStr">
        <is>
          <t>DIL_ER-22-G</t>
        </is>
      </c>
      <c r="F1875" t="inlineStr">
        <is>
          <t>#KALK!</t>
        </is>
      </c>
      <c r="G1875" t="inlineStr">
        <is>
          <t>HILFSSCHUETZ</t>
        </is>
      </c>
      <c r="H1875" t="inlineStr">
        <is>
          <t>2S 2OE</t>
        </is>
      </c>
      <c r="I1875">
        <v>550</v>
      </c>
      <c r="J1875">
        <f>GS02/151.5</f>
        <v>0</v>
      </c>
      <c r="M1875" t="inlineStr">
        <is>
          <t>-151K20.7</t>
        </is>
      </c>
    </row>
    <row r="1876">
      <c r="A1876">
        <v>1875</v>
      </c>
      <c r="B1876">
        <f>GS34</f>
        <v>0</v>
      </c>
      <c r="C1876" t="inlineStr">
        <is>
          <t>+LS2</t>
        </is>
      </c>
      <c r="D1876" t="inlineStr">
        <is>
          <t>-151K21.1</t>
        </is>
      </c>
      <c r="E1876" t="inlineStr">
        <is>
          <t>DIL_EM-10-G</t>
        </is>
      </c>
      <c r="F1876" t="inlineStr">
        <is>
          <t>#KALK!</t>
        </is>
      </c>
      <c r="G1876" t="inlineStr">
        <is>
          <t>LASTSCHUETZ</t>
        </is>
      </c>
      <c r="H1876" t="inlineStr">
        <is>
          <t>4kW 1S</t>
        </is>
      </c>
      <c r="I1876">
        <v>275</v>
      </c>
      <c r="J1876">
        <f>GS34/151.6</f>
        <v>0</v>
      </c>
      <c r="M1876" t="inlineStr">
        <is>
          <t>-151K21.1</t>
        </is>
      </c>
    </row>
    <row r="1877">
      <c r="A1877">
        <v>1876</v>
      </c>
      <c r="B1877">
        <f>GS11</f>
        <v>0</v>
      </c>
      <c r="C1877" t="inlineStr">
        <is>
          <t>+LS3</t>
        </is>
      </c>
      <c r="D1877" t="inlineStr">
        <is>
          <t>-151K36.4</t>
        </is>
      </c>
      <c r="E1877" t="inlineStr">
        <is>
          <t>DIL_EM-10-G</t>
        </is>
      </c>
      <c r="F1877" t="inlineStr">
        <is>
          <t>#KALK!</t>
        </is>
      </c>
      <c r="G1877" t="inlineStr">
        <is>
          <t>LASTSCHUETZ</t>
        </is>
      </c>
      <c r="H1877" t="inlineStr">
        <is>
          <t>4kW 1S</t>
        </is>
      </c>
      <c r="I1877">
        <v>262</v>
      </c>
      <c r="J1877">
        <f>GS11/151.6</f>
        <v>0</v>
      </c>
      <c r="M1877" t="inlineStr">
        <is>
          <t>-151K36.4</t>
        </is>
      </c>
    </row>
    <row r="1878">
      <c r="A1878">
        <v>1877</v>
      </c>
      <c r="B1878">
        <f>GS33</f>
        <v>0</v>
      </c>
      <c r="C1878" t="inlineStr">
        <is>
          <t>+LS2</t>
        </is>
      </c>
      <c r="D1878" t="inlineStr">
        <is>
          <t>-151K53.3</t>
        </is>
      </c>
      <c r="E1878" t="inlineStr">
        <is>
          <t>DIL_EM-10-G</t>
        </is>
      </c>
      <c r="F1878" t="inlineStr">
        <is>
          <t>#KALK!</t>
        </is>
      </c>
      <c r="G1878" t="inlineStr">
        <is>
          <t>LASTSCHUETZ</t>
        </is>
      </c>
      <c r="H1878" t="inlineStr">
        <is>
          <t>4kW 1S</t>
        </is>
      </c>
      <c r="I1878">
        <v>583</v>
      </c>
      <c r="J1878">
        <f>GS33/151.6</f>
        <v>0</v>
      </c>
      <c r="M1878" t="inlineStr">
        <is>
          <t>-151K53.3</t>
        </is>
      </c>
    </row>
    <row r="1879">
      <c r="A1879">
        <v>1878</v>
      </c>
      <c r="B1879">
        <f>GS11</f>
        <v>0</v>
      </c>
      <c r="C1879" t="inlineStr">
        <is>
          <t>+LS3</t>
        </is>
      </c>
      <c r="D1879" t="inlineStr">
        <is>
          <t>-151K80.0</t>
        </is>
      </c>
      <c r="E1879" t="inlineStr">
        <is>
          <t>DIL_EM-10-G</t>
        </is>
      </c>
      <c r="F1879" t="inlineStr">
        <is>
          <t>#KALK!</t>
        </is>
      </c>
      <c r="G1879" t="inlineStr">
        <is>
          <t>LASTSCHUETZ</t>
        </is>
      </c>
      <c r="H1879" t="inlineStr">
        <is>
          <t>4kW 1S</t>
        </is>
      </c>
      <c r="I1879">
        <v>262</v>
      </c>
      <c r="J1879">
        <f>GS11/151.6</f>
        <v>0</v>
      </c>
      <c r="M1879" t="inlineStr">
        <is>
          <t>-151K80.0</t>
        </is>
      </c>
    </row>
    <row r="1880">
      <c r="A1880">
        <v>1879</v>
      </c>
      <c r="B1880">
        <f>GS21</f>
        <v>0</v>
      </c>
      <c r="C1880" t="inlineStr">
        <is>
          <t>+LS3</t>
        </is>
      </c>
      <c r="D1880" t="inlineStr">
        <is>
          <t>-151K80.0</t>
        </is>
      </c>
      <c r="E1880" t="inlineStr">
        <is>
          <t>DIL_EM-10-G</t>
        </is>
      </c>
      <c r="F1880" t="inlineStr">
        <is>
          <t>#KALK!</t>
        </is>
      </c>
      <c r="G1880" t="inlineStr">
        <is>
          <t>LASTSCHUETZ</t>
        </is>
      </c>
      <c r="H1880" t="inlineStr">
        <is>
          <t>4kW 1S</t>
        </is>
      </c>
      <c r="I1880">
        <v>236</v>
      </c>
      <c r="J1880">
        <f>GS21/151.7</f>
        <v>0</v>
      </c>
      <c r="M1880" t="inlineStr">
        <is>
          <t>-151K80.0</t>
        </is>
      </c>
    </row>
    <row r="1881">
      <c r="A1881">
        <v>1880</v>
      </c>
      <c r="B1881">
        <f>GS36</f>
        <v>0</v>
      </c>
      <c r="C1881" t="inlineStr">
        <is>
          <t>+LS02</t>
        </is>
      </c>
      <c r="D1881" t="inlineStr">
        <is>
          <t>-151Q117.2</t>
        </is>
      </c>
      <c r="E1881" t="inlineStr">
        <is>
          <t>DILMC12-10(24VDC)</t>
        </is>
      </c>
      <c r="F1881" t="inlineStr">
        <is>
          <t>#KALK!</t>
        </is>
      </c>
      <c r="G1881" t="inlineStr">
        <is>
          <t>LASTSCHUETZ</t>
        </is>
      </c>
      <c r="H1881" t="inlineStr">
        <is>
          <t>5,5kW 1S Federzugkl.</t>
        </is>
      </c>
      <c r="I1881">
        <v>324</v>
      </c>
      <c r="J1881">
        <f>GS36/151.5</f>
        <v>0</v>
      </c>
      <c r="K1881" t="inlineStr">
        <is>
          <t>DIL MC12</t>
        </is>
      </c>
      <c r="L1881" t="inlineStr">
        <is>
          <t>HT_0308</t>
        </is>
      </c>
      <c r="M1881" t="inlineStr">
        <is>
          <t>HT_0308
-151Q117.2</t>
        </is>
      </c>
      <c r="N1881" t="inlineStr">
        <is>
          <t>P</t>
        </is>
      </c>
    </row>
    <row r="1882">
      <c r="A1882">
        <v>1881</v>
      </c>
      <c r="B1882">
        <f>GS90</f>
        <v>0</v>
      </c>
      <c r="C1882" t="inlineStr">
        <is>
          <t>+LS02</t>
        </is>
      </c>
      <c r="D1882" t="inlineStr">
        <is>
          <t>-151Q441.2</t>
        </is>
      </c>
      <c r="E1882" t="inlineStr">
        <is>
          <t>DILM-9-10</t>
        </is>
      </c>
      <c r="F1882" t="inlineStr">
        <is>
          <t>#KALK!</t>
        </is>
      </c>
      <c r="G1882" t="inlineStr">
        <is>
          <t>LASTSCHUETZ</t>
        </is>
      </c>
      <c r="H1882" t="inlineStr">
        <is>
          <t>4kW 1S Federzugkl.</t>
        </is>
      </c>
      <c r="I1882">
        <v>1089</v>
      </c>
      <c r="J1882">
        <f>GS90/151.5</f>
        <v>0</v>
      </c>
      <c r="M1882" t="inlineStr">
        <is>
          <t>-151Q441.2</t>
        </is>
      </c>
    </row>
    <row r="1883">
      <c r="A1883">
        <v>1882</v>
      </c>
      <c r="B1883">
        <f>GS02</f>
        <v>0</v>
      </c>
      <c r="C1883" t="inlineStr">
        <is>
          <t>+LS2</t>
        </is>
      </c>
      <c r="D1883" t="inlineStr">
        <is>
          <t>-152.1K29.0</t>
        </is>
      </c>
      <c r="E1883" t="inlineStr">
        <is>
          <t>DIL_ER-22-G</t>
        </is>
      </c>
      <c r="F1883" t="inlineStr">
        <is>
          <t>#KALK!</t>
        </is>
      </c>
      <c r="G1883" t="inlineStr">
        <is>
          <t>HILFSSCHUETZ</t>
        </is>
      </c>
      <c r="H1883" t="inlineStr">
        <is>
          <t>2S 2OE</t>
        </is>
      </c>
      <c r="I1883">
        <v>552</v>
      </c>
      <c r="J1883">
        <f>GS02/152.1.5</f>
        <v>0</v>
      </c>
      <c r="M1883" t="inlineStr">
        <is>
          <t>-152.1K29.0</t>
        </is>
      </c>
    </row>
    <row r="1884">
      <c r="A1884">
        <v>1883</v>
      </c>
      <c r="B1884">
        <f>GS55</f>
        <v>0</v>
      </c>
      <c r="C1884" t="inlineStr">
        <is>
          <t>+LS25</t>
        </is>
      </c>
      <c r="D1884" t="inlineStr">
        <is>
          <t>-1525Q1</t>
        </is>
      </c>
      <c r="E1884" t="inlineStr">
        <is>
          <t>DILA-XHI22</t>
        </is>
      </c>
      <c r="F1884" t="inlineStr">
        <is>
          <t>DILA-XHI22</t>
        </is>
      </c>
      <c r="G1884" t="inlineStr">
        <is>
          <t>HILFSKONTAKTBLOCK</t>
        </is>
      </c>
      <c r="H1884" t="inlineStr">
        <is>
          <t>2S 2OE Last+Hilfssch. Cage</t>
        </is>
      </c>
      <c r="I1884">
        <v>1730</v>
      </c>
      <c r="J1884">
        <f>GS55/1525.6</f>
        <v>0</v>
      </c>
      <c r="K1884" t="inlineStr">
        <is>
          <t>DIL MC25</t>
        </is>
      </c>
      <c r="M1884" t="inlineStr">
        <is>
          <t>-1525Q1</t>
        </is>
      </c>
    </row>
    <row r="1885">
      <c r="A1885">
        <v>1884</v>
      </c>
      <c r="B1885">
        <f>GS55</f>
        <v>0</v>
      </c>
      <c r="C1885" t="inlineStr">
        <is>
          <t>+LS25</t>
        </is>
      </c>
      <c r="D1885" t="inlineStr">
        <is>
          <t>-1525Q1</t>
        </is>
      </c>
      <c r="E1885" t="inlineStr">
        <is>
          <t>DILMC25-10(RDC24)</t>
        </is>
      </c>
      <c r="F1885" t="inlineStr">
        <is>
          <t>DILA-XHI22</t>
        </is>
      </c>
      <c r="G1885" t="inlineStr">
        <is>
          <t>LASTSCHUETZ</t>
        </is>
      </c>
      <c r="H1885" t="inlineStr">
        <is>
          <t>11kW 1S Federzugkl.</t>
        </is>
      </c>
      <c r="I1885">
        <v>1730</v>
      </c>
      <c r="J1885">
        <f>GS55/1525.6</f>
        <v>0</v>
      </c>
      <c r="K1885" t="inlineStr">
        <is>
          <t>DIL MC25</t>
        </is>
      </c>
      <c r="M1885" t="inlineStr">
        <is>
          <t>-1525Q1</t>
        </is>
      </c>
    </row>
    <row r="1886">
      <c r="A1886">
        <v>1885</v>
      </c>
      <c r="B1886">
        <f>GS55</f>
        <v>0</v>
      </c>
      <c r="C1886" t="inlineStr">
        <is>
          <t>+LS25</t>
        </is>
      </c>
      <c r="D1886" t="inlineStr">
        <is>
          <t>-1527Q1629.1</t>
        </is>
      </c>
      <c r="E1886" t="inlineStr">
        <is>
          <t>DILM-9-10</t>
        </is>
      </c>
      <c r="F1886" t="inlineStr">
        <is>
          <t>#KALK!</t>
        </is>
      </c>
      <c r="G1886" t="inlineStr">
        <is>
          <t>LASTSCHUETZ</t>
        </is>
      </c>
      <c r="H1886" t="inlineStr">
        <is>
          <t>4kW 1S Federzugkl.</t>
        </is>
      </c>
      <c r="I1886">
        <v>1732</v>
      </c>
      <c r="J1886">
        <f>GS55/1527.6</f>
        <v>0</v>
      </c>
      <c r="K1886" t="inlineStr">
        <is>
          <t>DIL MC9</t>
        </is>
      </c>
      <c r="M1886" t="inlineStr">
        <is>
          <t>-1527Q1629.1</t>
        </is>
      </c>
    </row>
    <row r="1887">
      <c r="A1887">
        <v>1886</v>
      </c>
      <c r="B1887">
        <f>GS55</f>
        <v>0</v>
      </c>
      <c r="C1887" t="inlineStr">
        <is>
          <t>+LS25</t>
        </is>
      </c>
      <c r="D1887" t="inlineStr">
        <is>
          <t>-1529Q1629.2</t>
        </is>
      </c>
      <c r="E1887" t="inlineStr">
        <is>
          <t>DILM-9-10</t>
        </is>
      </c>
      <c r="F1887" t="inlineStr">
        <is>
          <t>#KALK!</t>
        </is>
      </c>
      <c r="G1887" t="inlineStr">
        <is>
          <t>LASTSCHUETZ</t>
        </is>
      </c>
      <c r="H1887" t="inlineStr">
        <is>
          <t>4kW 1S Federzugkl.</t>
        </is>
      </c>
      <c r="I1887">
        <v>1734</v>
      </c>
      <c r="J1887">
        <f>GS55/1529.6</f>
        <v>0</v>
      </c>
      <c r="K1887" t="inlineStr">
        <is>
          <t>DIL MC9</t>
        </is>
      </c>
      <c r="M1887" t="inlineStr">
        <is>
          <t>-1529Q1629.2</t>
        </is>
      </c>
    </row>
    <row r="1888">
      <c r="A1888">
        <v>1887</v>
      </c>
      <c r="B1888">
        <f>GS02</f>
        <v>0</v>
      </c>
      <c r="C1888" t="inlineStr">
        <is>
          <t>+LS2</t>
        </is>
      </c>
      <c r="D1888" t="inlineStr">
        <is>
          <t>-152K1</t>
        </is>
      </c>
      <c r="E1888" t="inlineStr">
        <is>
          <t>DIL_EM-10-G</t>
        </is>
      </c>
      <c r="F1888" t="inlineStr">
        <is>
          <t>22_DIL-E</t>
        </is>
      </c>
      <c r="G1888" t="inlineStr">
        <is>
          <t>LASTSCHUETZ</t>
        </is>
      </c>
      <c r="H1888" t="inlineStr">
        <is>
          <t>4kW 1S</t>
        </is>
      </c>
      <c r="I1888">
        <v>551</v>
      </c>
      <c r="J1888">
        <f>GS02/152.7</f>
        <v>0</v>
      </c>
      <c r="M1888" t="inlineStr">
        <is>
          <t>-152K1</t>
        </is>
      </c>
    </row>
    <row r="1889">
      <c r="A1889">
        <v>1888</v>
      </c>
      <c r="B1889">
        <f>GS02</f>
        <v>0</v>
      </c>
      <c r="C1889" t="inlineStr">
        <is>
          <t>+LS2</t>
        </is>
      </c>
      <c r="D1889" t="inlineStr">
        <is>
          <t>-152K1</t>
        </is>
      </c>
      <c r="E1889" t="inlineStr">
        <is>
          <t>22_DIL-E</t>
        </is>
      </c>
      <c r="F1889" t="inlineStr">
        <is>
          <t>22_DIL-E</t>
        </is>
      </c>
      <c r="G1889" t="inlineStr">
        <is>
          <t>HILFSKONTAKTBLOCK</t>
        </is>
      </c>
      <c r="H1889" t="inlineStr">
        <is>
          <t>2S 2OE Last+Hilfsschuetz</t>
        </is>
      </c>
      <c r="I1889">
        <v>551</v>
      </c>
      <c r="J1889">
        <f>GS02/152.7</f>
        <v>0</v>
      </c>
      <c r="M1889" t="inlineStr">
        <is>
          <t>-152K1</t>
        </is>
      </c>
    </row>
    <row r="1890">
      <c r="A1890">
        <v>1889</v>
      </c>
      <c r="B1890">
        <f>GS16</f>
        <v>0</v>
      </c>
      <c r="C1890" t="inlineStr">
        <is>
          <t>+LS2</t>
        </is>
      </c>
      <c r="D1890" t="inlineStr">
        <is>
          <t>-152K1</t>
        </is>
      </c>
      <c r="E1890" t="inlineStr">
        <is>
          <t>22_DIL-M</t>
        </is>
      </c>
      <c r="F1890" t="inlineStr">
        <is>
          <t>22_DIL-M</t>
        </is>
      </c>
      <c r="G1890" t="inlineStr">
        <is>
          <t>HILFSKONTAKTBLOCK</t>
        </is>
      </c>
      <c r="H1890" t="inlineStr">
        <is>
          <t>2S 2OE Lastschuetz DIL M</t>
        </is>
      </c>
      <c r="I1890">
        <v>373</v>
      </c>
      <c r="J1890">
        <f>GS16/152.2</f>
        <v>0</v>
      </c>
      <c r="K1890" t="inlineStr">
        <is>
          <t>DIL0AM</t>
        </is>
      </c>
      <c r="M1890" t="inlineStr">
        <is>
          <t>-152K1</t>
        </is>
      </c>
    </row>
    <row r="1891">
      <c r="A1891">
        <v>1890</v>
      </c>
      <c r="B1891">
        <f>GS16</f>
        <v>0</v>
      </c>
      <c r="C1891" t="inlineStr">
        <is>
          <t>+LS2</t>
        </is>
      </c>
      <c r="D1891" t="inlineStr">
        <is>
          <t>-152K1</t>
        </is>
      </c>
      <c r="E1891" t="inlineStr">
        <is>
          <t>DIL_0AM</t>
        </is>
      </c>
      <c r="F1891" t="inlineStr">
        <is>
          <t>22_DIL-M</t>
        </is>
      </c>
      <c r="G1891" t="inlineStr">
        <is>
          <t>LASTSCHUETZ</t>
        </is>
      </c>
      <c r="H1891" t="inlineStr">
        <is>
          <t>11 kW</t>
        </is>
      </c>
      <c r="I1891">
        <v>373</v>
      </c>
      <c r="J1891">
        <f>GS16/152.2</f>
        <v>0</v>
      </c>
      <c r="K1891" t="inlineStr">
        <is>
          <t>DIL0AM</t>
        </is>
      </c>
      <c r="M1891" t="inlineStr">
        <is>
          <t>-152K1</t>
        </is>
      </c>
    </row>
    <row r="1892">
      <c r="A1892">
        <v>1891</v>
      </c>
      <c r="B1892">
        <f>GC22</f>
        <v>0</v>
      </c>
      <c r="C1892" t="inlineStr">
        <is>
          <t>+LS1</t>
        </is>
      </c>
      <c r="D1892" t="inlineStr">
        <is>
          <t>-152K16.3</t>
        </is>
      </c>
      <c r="E1892" t="inlineStr">
        <is>
          <t>DIL_EM-10-G</t>
        </is>
      </c>
      <c r="F1892" t="inlineStr">
        <is>
          <t>#KALK!</t>
        </is>
      </c>
      <c r="G1892" t="inlineStr">
        <is>
          <t>LASTSCHUETZ</t>
        </is>
      </c>
      <c r="H1892" t="inlineStr">
        <is>
          <t>4kW 1S</t>
        </is>
      </c>
      <c r="I1892">
        <v>300</v>
      </c>
      <c r="J1892">
        <f>GC22/152.7</f>
        <v>0</v>
      </c>
      <c r="M1892" t="inlineStr">
        <is>
          <t>-152K16.3</t>
        </is>
      </c>
    </row>
    <row r="1893">
      <c r="A1893">
        <v>1892</v>
      </c>
      <c r="B1893">
        <f>GS12</f>
        <v>0</v>
      </c>
      <c r="C1893" t="inlineStr">
        <is>
          <t>+LS1</t>
        </is>
      </c>
      <c r="D1893" t="inlineStr">
        <is>
          <t>-152K16.3</t>
        </is>
      </c>
      <c r="E1893" t="inlineStr">
        <is>
          <t>DIL_EM-10-G</t>
        </is>
      </c>
      <c r="F1893" t="inlineStr">
        <is>
          <t>#KALK!</t>
        </is>
      </c>
      <c r="G1893" t="inlineStr">
        <is>
          <t>LASTSCHUETZ</t>
        </is>
      </c>
      <c r="H1893" t="inlineStr">
        <is>
          <t>4kW 1S</t>
        </is>
      </c>
      <c r="I1893">
        <v>284</v>
      </c>
      <c r="J1893">
        <f>GS12/152.7</f>
        <v>0</v>
      </c>
      <c r="M1893" t="inlineStr">
        <is>
          <t>-152K16.3</t>
        </is>
      </c>
    </row>
    <row r="1894">
      <c r="A1894">
        <v>1893</v>
      </c>
      <c r="B1894">
        <f>GS02</f>
        <v>0</v>
      </c>
      <c r="C1894" t="inlineStr">
        <is>
          <t>+LS2</t>
        </is>
      </c>
      <c r="D1894" t="inlineStr">
        <is>
          <t>-152K2</t>
        </is>
      </c>
      <c r="E1894" t="inlineStr">
        <is>
          <t>DIL_EM-10-G</t>
        </is>
      </c>
      <c r="F1894" t="inlineStr">
        <is>
          <t>22_DIL-E</t>
        </is>
      </c>
      <c r="G1894" t="inlineStr">
        <is>
          <t>LASTSCHUETZ</t>
        </is>
      </c>
      <c r="H1894" t="inlineStr">
        <is>
          <t>4kW 1S</t>
        </is>
      </c>
      <c r="I1894">
        <v>551</v>
      </c>
      <c r="J1894">
        <f>GS02/152.7</f>
        <v>0</v>
      </c>
      <c r="M1894" t="inlineStr">
        <is>
          <t>-152K2</t>
        </is>
      </c>
    </row>
    <row r="1895">
      <c r="A1895">
        <v>1894</v>
      </c>
      <c r="B1895">
        <f>GS02</f>
        <v>0</v>
      </c>
      <c r="C1895" t="inlineStr">
        <is>
          <t>+LS2</t>
        </is>
      </c>
      <c r="D1895" t="inlineStr">
        <is>
          <t>-152K2</t>
        </is>
      </c>
      <c r="E1895" t="inlineStr">
        <is>
          <t>22_DIL-E</t>
        </is>
      </c>
      <c r="F1895" t="inlineStr">
        <is>
          <t>22_DIL-E</t>
        </is>
      </c>
      <c r="G1895" t="inlineStr">
        <is>
          <t>HILFSKONTAKTBLOCK</t>
        </is>
      </c>
      <c r="H1895" t="inlineStr">
        <is>
          <t>2S 2OE Last+Hilfsschuetz</t>
        </is>
      </c>
      <c r="I1895">
        <v>551</v>
      </c>
      <c r="J1895">
        <f>GS02/152.7</f>
        <v>0</v>
      </c>
      <c r="M1895" t="inlineStr">
        <is>
          <t>-152K2</t>
        </is>
      </c>
    </row>
    <row r="1896">
      <c r="A1896">
        <v>1895</v>
      </c>
      <c r="B1896">
        <f>GS33</f>
        <v>0</v>
      </c>
      <c r="C1896" t="inlineStr">
        <is>
          <t>+LS2</t>
        </is>
      </c>
      <c r="D1896" t="inlineStr">
        <is>
          <t>-152K21.1</t>
        </is>
      </c>
      <c r="E1896" t="inlineStr">
        <is>
          <t>DIL_EM-10-G</t>
        </is>
      </c>
      <c r="F1896" t="inlineStr">
        <is>
          <t>#KALK!</t>
        </is>
      </c>
      <c r="G1896" t="inlineStr">
        <is>
          <t>LASTSCHUETZ</t>
        </is>
      </c>
      <c r="H1896" t="inlineStr">
        <is>
          <t>4kW 1S</t>
        </is>
      </c>
      <c r="I1896">
        <v>584</v>
      </c>
      <c r="J1896">
        <f>GS33/152.7</f>
        <v>0</v>
      </c>
      <c r="M1896" t="inlineStr">
        <is>
          <t>-152K21.1</t>
        </is>
      </c>
    </row>
    <row r="1897">
      <c r="A1897">
        <v>1896</v>
      </c>
      <c r="B1897">
        <f>GS34</f>
        <v>0</v>
      </c>
      <c r="C1897" t="inlineStr">
        <is>
          <t>+LS2</t>
        </is>
      </c>
      <c r="D1897" t="inlineStr">
        <is>
          <t>-152K21.2</t>
        </is>
      </c>
      <c r="E1897" t="inlineStr">
        <is>
          <t>DIL_EM-10-G</t>
        </is>
      </c>
      <c r="F1897" t="inlineStr">
        <is>
          <t>#KALK!</t>
        </is>
      </c>
      <c r="G1897" t="inlineStr">
        <is>
          <t>LASTSCHUETZ</t>
        </is>
      </c>
      <c r="H1897" t="inlineStr">
        <is>
          <t>4kW 1S</t>
        </is>
      </c>
      <c r="I1897">
        <v>276</v>
      </c>
      <c r="J1897">
        <f>GS34/152.6</f>
        <v>0</v>
      </c>
      <c r="M1897" t="inlineStr">
        <is>
          <t>-152K21.2</t>
        </is>
      </c>
    </row>
    <row r="1898">
      <c r="A1898">
        <v>1897</v>
      </c>
      <c r="B1898">
        <f>GS34</f>
        <v>0</v>
      </c>
      <c r="C1898" t="inlineStr">
        <is>
          <t>+LS2</t>
        </is>
      </c>
      <c r="D1898" t="inlineStr">
        <is>
          <t>-152K21.3</t>
        </is>
      </c>
      <c r="E1898" t="inlineStr">
        <is>
          <t>DIL_EM-10-G</t>
        </is>
      </c>
      <c r="F1898" t="inlineStr">
        <is>
          <t>#KALK!</t>
        </is>
      </c>
      <c r="G1898" t="inlineStr">
        <is>
          <t>LASTSCHUETZ</t>
        </is>
      </c>
      <c r="H1898" t="inlineStr">
        <is>
          <t>4kW 1S</t>
        </is>
      </c>
      <c r="I1898">
        <v>276</v>
      </c>
      <c r="J1898">
        <f>GS34/152.6</f>
        <v>0</v>
      </c>
      <c r="M1898" t="inlineStr">
        <is>
          <t>-152K21.3</t>
        </is>
      </c>
    </row>
    <row r="1899">
      <c r="A1899">
        <v>1898</v>
      </c>
      <c r="B1899">
        <f>GS11</f>
        <v>0</v>
      </c>
      <c r="C1899" t="inlineStr">
        <is>
          <t>+LS3</t>
        </is>
      </c>
      <c r="D1899" t="inlineStr">
        <is>
          <t>-152K36.5</t>
        </is>
      </c>
      <c r="E1899" t="inlineStr">
        <is>
          <t>DIL_EM-10-G</t>
        </is>
      </c>
      <c r="F1899" t="inlineStr">
        <is>
          <t>#KALK!</t>
        </is>
      </c>
      <c r="G1899" t="inlineStr">
        <is>
          <t>LASTSCHUETZ</t>
        </is>
      </c>
      <c r="H1899" t="inlineStr">
        <is>
          <t>4kW 1S</t>
        </is>
      </c>
      <c r="I1899">
        <v>263</v>
      </c>
      <c r="J1899">
        <f>GS11/152.6</f>
        <v>0</v>
      </c>
      <c r="M1899" t="inlineStr">
        <is>
          <t>-152K36.5</t>
        </is>
      </c>
    </row>
    <row r="1900">
      <c r="A1900">
        <v>1899</v>
      </c>
      <c r="B1900">
        <f>GS21</f>
        <v>0</v>
      </c>
      <c r="C1900" t="inlineStr">
        <is>
          <t>+LS3</t>
        </is>
      </c>
      <c r="D1900" t="inlineStr">
        <is>
          <t>-152K36.5</t>
        </is>
      </c>
      <c r="E1900" t="inlineStr">
        <is>
          <t>DIL_EM-10-G</t>
        </is>
      </c>
      <c r="F1900" t="inlineStr">
        <is>
          <t>#KALK!</t>
        </is>
      </c>
      <c r="G1900" t="inlineStr">
        <is>
          <t>LASTSCHUETZ</t>
        </is>
      </c>
      <c r="H1900" t="inlineStr">
        <is>
          <t>4kW 1S</t>
        </is>
      </c>
      <c r="I1900">
        <v>237</v>
      </c>
      <c r="J1900">
        <f>GS21/152.6</f>
        <v>0</v>
      </c>
      <c r="M1900" t="inlineStr">
        <is>
          <t>-152K36.5</t>
        </is>
      </c>
    </row>
    <row r="1901">
      <c r="A1901">
        <v>1900</v>
      </c>
      <c r="B1901">
        <f>GS25</f>
        <v>0</v>
      </c>
      <c r="C1901" t="inlineStr">
        <is>
          <t>+LS3</t>
        </is>
      </c>
      <c r="D1901" t="inlineStr">
        <is>
          <t>-152K62.0</t>
        </is>
      </c>
      <c r="E1901" t="inlineStr">
        <is>
          <t>DIL_EM-10-G</t>
        </is>
      </c>
      <c r="F1901" t="inlineStr">
        <is>
          <t>#KALK!</t>
        </is>
      </c>
      <c r="G1901" t="inlineStr">
        <is>
          <t>LASTSCHUETZ</t>
        </is>
      </c>
      <c r="H1901" t="inlineStr">
        <is>
          <t>4kW 1S</t>
        </is>
      </c>
      <c r="I1901">
        <v>273</v>
      </c>
      <c r="J1901">
        <f>GS25/152.6</f>
        <v>0</v>
      </c>
      <c r="M1901" t="inlineStr">
        <is>
          <t>-152K62.0</t>
        </is>
      </c>
    </row>
    <row r="1902">
      <c r="A1902">
        <v>1901</v>
      </c>
      <c r="B1902">
        <f>GS25</f>
        <v>0</v>
      </c>
      <c r="C1902" t="inlineStr">
        <is>
          <t>+LS3</t>
        </is>
      </c>
      <c r="D1902" t="inlineStr">
        <is>
          <t>-152K62.1</t>
        </is>
      </c>
      <c r="E1902" t="inlineStr">
        <is>
          <t>DIL_EM-10-G</t>
        </is>
      </c>
      <c r="F1902" t="inlineStr">
        <is>
          <t>#KALK!</t>
        </is>
      </c>
      <c r="G1902" t="inlineStr">
        <is>
          <t>LASTSCHUETZ</t>
        </is>
      </c>
      <c r="H1902" t="inlineStr">
        <is>
          <t>4kW 1S</t>
        </is>
      </c>
      <c r="I1902">
        <v>273</v>
      </c>
      <c r="J1902">
        <f>GS25/152.6</f>
        <v>0</v>
      </c>
      <c r="M1902" t="inlineStr">
        <is>
          <t>-152K62.1</t>
        </is>
      </c>
    </row>
    <row r="1903">
      <c r="A1903">
        <v>1902</v>
      </c>
      <c r="B1903">
        <f>GS11</f>
        <v>0</v>
      </c>
      <c r="C1903" t="inlineStr">
        <is>
          <t>+LS3</t>
        </is>
      </c>
      <c r="D1903" t="inlineStr">
        <is>
          <t>-152K80.1</t>
        </is>
      </c>
      <c r="E1903" t="inlineStr">
        <is>
          <t>DIL_EM-10-G</t>
        </is>
      </c>
      <c r="F1903" t="inlineStr">
        <is>
          <t>#KALK!</t>
        </is>
      </c>
      <c r="G1903" t="inlineStr">
        <is>
          <t>LASTSCHUETZ</t>
        </is>
      </c>
      <c r="H1903" t="inlineStr">
        <is>
          <t>4kW 1S</t>
        </is>
      </c>
      <c r="I1903">
        <v>263</v>
      </c>
      <c r="J1903">
        <f>GS11/152.6</f>
        <v>0</v>
      </c>
      <c r="M1903" t="inlineStr">
        <is>
          <t>-152K80.1</t>
        </is>
      </c>
    </row>
    <row r="1904">
      <c r="A1904">
        <v>1903</v>
      </c>
      <c r="B1904">
        <f>GS21</f>
        <v>0</v>
      </c>
      <c r="C1904" t="inlineStr">
        <is>
          <t>+LS3</t>
        </is>
      </c>
      <c r="D1904" t="inlineStr">
        <is>
          <t>-152K80.1</t>
        </is>
      </c>
      <c r="E1904" t="inlineStr">
        <is>
          <t>DIL_EM-10-G</t>
        </is>
      </c>
      <c r="F1904" t="inlineStr">
        <is>
          <t>#KALK!</t>
        </is>
      </c>
      <c r="G1904" t="inlineStr">
        <is>
          <t>LASTSCHUETZ</t>
        </is>
      </c>
      <c r="H1904" t="inlineStr">
        <is>
          <t>4kW 1S</t>
        </is>
      </c>
      <c r="I1904">
        <v>237</v>
      </c>
      <c r="J1904">
        <f>GS21/152.6</f>
        <v>0</v>
      </c>
      <c r="M1904" t="inlineStr">
        <is>
          <t>-152K80.1</t>
        </is>
      </c>
    </row>
    <row r="1905">
      <c r="A1905">
        <v>1904</v>
      </c>
      <c r="B1905">
        <f>GS90</f>
        <v>0</v>
      </c>
      <c r="C1905" t="inlineStr">
        <is>
          <t>+LS02</t>
        </is>
      </c>
      <c r="D1905" t="inlineStr">
        <is>
          <t>-152Q441.3</t>
        </is>
      </c>
      <c r="E1905" t="inlineStr">
        <is>
          <t>DILM-9-10</t>
        </is>
      </c>
      <c r="F1905" t="inlineStr">
        <is>
          <t>#KALK!</t>
        </is>
      </c>
      <c r="G1905" t="inlineStr">
        <is>
          <t>LASTSCHUETZ</t>
        </is>
      </c>
      <c r="H1905" t="inlineStr">
        <is>
          <t>4kW 1S Federzugkl.</t>
        </is>
      </c>
      <c r="I1905">
        <v>1088</v>
      </c>
      <c r="J1905">
        <f>GS90/152.5</f>
        <v>0</v>
      </c>
      <c r="M1905" t="inlineStr">
        <is>
          <t>-152Q441.3</t>
        </is>
      </c>
    </row>
    <row r="1906">
      <c r="A1906">
        <v>1905</v>
      </c>
      <c r="B1906">
        <f>GS06</f>
        <v>0</v>
      </c>
      <c r="C1906" t="inlineStr">
        <is>
          <t>+LS21</t>
        </is>
      </c>
      <c r="D1906" t="inlineStr">
        <is>
          <t>-1535Q1</t>
        </is>
      </c>
      <c r="E1906" t="inlineStr">
        <is>
          <t>DILA-XHI22</t>
        </is>
      </c>
      <c r="F1906" t="inlineStr">
        <is>
          <t>DILA-XHI22</t>
        </is>
      </c>
      <c r="G1906" t="inlineStr">
        <is>
          <t>HILFSKONTAKTBLOCK</t>
        </is>
      </c>
      <c r="H1906" t="inlineStr">
        <is>
          <t>2S 2OE Last+Hilfssch. Cage</t>
        </is>
      </c>
      <c r="I1906">
        <v>1825</v>
      </c>
      <c r="J1906">
        <f>GS06/1535.6</f>
        <v>0</v>
      </c>
      <c r="K1906" t="inlineStr">
        <is>
          <t>DIL MC25</t>
        </is>
      </c>
      <c r="M1906" t="inlineStr">
        <is>
          <t>-1535Q1</t>
        </is>
      </c>
    </row>
    <row r="1907">
      <c r="A1907">
        <v>1906</v>
      </c>
      <c r="B1907">
        <f>GS06</f>
        <v>0</v>
      </c>
      <c r="C1907" t="inlineStr">
        <is>
          <t>+LS21</t>
        </is>
      </c>
      <c r="D1907" t="inlineStr">
        <is>
          <t>-1535Q1</t>
        </is>
      </c>
      <c r="E1907" t="inlineStr">
        <is>
          <t>DILMC25-10(RDC24)</t>
        </is>
      </c>
      <c r="F1907" t="inlineStr">
        <is>
          <t>DILA-XHI22</t>
        </is>
      </c>
      <c r="G1907" t="inlineStr">
        <is>
          <t>LASTSCHUETZ</t>
        </is>
      </c>
      <c r="H1907" t="inlineStr">
        <is>
          <t>11kW 1S Federzugkl.</t>
        </is>
      </c>
      <c r="I1907">
        <v>1825</v>
      </c>
      <c r="J1907">
        <f>GS06/1535.6</f>
        <v>0</v>
      </c>
      <c r="K1907" t="inlineStr">
        <is>
          <t>DIL MC25</t>
        </is>
      </c>
      <c r="M1907" t="inlineStr">
        <is>
          <t>-1535Q1</t>
        </is>
      </c>
    </row>
    <row r="1908">
      <c r="A1908">
        <v>1907</v>
      </c>
      <c r="B1908">
        <f>GS55</f>
        <v>0</v>
      </c>
      <c r="C1908" t="inlineStr">
        <is>
          <t>+LS25</t>
        </is>
      </c>
      <c r="D1908" t="inlineStr">
        <is>
          <t>-1539K1629.4</t>
        </is>
      </c>
      <c r="E1908" t="inlineStr">
        <is>
          <t>DILA-22</t>
        </is>
      </c>
      <c r="F1908" t="inlineStr">
        <is>
          <t>#KALK!</t>
        </is>
      </c>
      <c r="G1908" t="inlineStr">
        <is>
          <t>HILFSSCHUETZ</t>
        </is>
      </c>
      <c r="H1908" t="inlineStr">
        <is>
          <t>2S 2Oe Federzugkl.</t>
        </is>
      </c>
      <c r="I1908">
        <v>1748</v>
      </c>
      <c r="J1908">
        <f>GS55/1539.6</f>
        <v>0</v>
      </c>
      <c r="M1908" t="inlineStr">
        <is>
          <t>-1539K1629.4</t>
        </is>
      </c>
    </row>
    <row r="1909">
      <c r="A1909">
        <v>1908</v>
      </c>
      <c r="B1909">
        <f>GS55</f>
        <v>0</v>
      </c>
      <c r="C1909" t="inlineStr">
        <is>
          <t>+LS25</t>
        </is>
      </c>
      <c r="D1909" t="inlineStr">
        <is>
          <t>-1539Q1</t>
        </is>
      </c>
      <c r="E1909" t="inlineStr">
        <is>
          <t>DILM-9-10</t>
        </is>
      </c>
      <c r="F1909" t="inlineStr">
        <is>
          <t>DILA-XHI22</t>
        </is>
      </c>
      <c r="G1909" t="inlineStr">
        <is>
          <t>LASTSCHUETZ</t>
        </is>
      </c>
      <c r="H1909" t="inlineStr">
        <is>
          <t>4kW 1S Federzugkl.</t>
        </is>
      </c>
      <c r="I1909">
        <v>1748</v>
      </c>
      <c r="J1909">
        <f>GS55/1539.4</f>
        <v>0</v>
      </c>
      <c r="K1909" t="inlineStr">
        <is>
          <t>DIL MC9</t>
        </is>
      </c>
      <c r="M1909" t="inlineStr">
        <is>
          <t>-1539Q1</t>
        </is>
      </c>
    </row>
    <row r="1910">
      <c r="A1910">
        <v>1909</v>
      </c>
      <c r="B1910">
        <f>GS55</f>
        <v>0</v>
      </c>
      <c r="C1910" t="inlineStr">
        <is>
          <t>+LS25</t>
        </is>
      </c>
      <c r="D1910" t="inlineStr">
        <is>
          <t>-1539Q1</t>
        </is>
      </c>
      <c r="E1910" t="inlineStr">
        <is>
          <t>DILA-XHI22</t>
        </is>
      </c>
      <c r="F1910" t="inlineStr">
        <is>
          <t>DILA-XHI22</t>
        </is>
      </c>
      <c r="G1910" t="inlineStr">
        <is>
          <t>HILFSKONTAKTBLOCK</t>
        </is>
      </c>
      <c r="H1910" t="inlineStr">
        <is>
          <t>2S 2OE Last+Hilfssch. Cage</t>
        </is>
      </c>
      <c r="I1910">
        <v>1748</v>
      </c>
      <c r="J1910">
        <f>GS55/1539.4</f>
        <v>0</v>
      </c>
      <c r="K1910" t="inlineStr">
        <is>
          <t>DIL MC9</t>
        </is>
      </c>
      <c r="M1910" t="inlineStr">
        <is>
          <t>-1539Q1</t>
        </is>
      </c>
    </row>
    <row r="1911">
      <c r="A1911">
        <v>1910</v>
      </c>
      <c r="B1911">
        <f>GS37</f>
        <v>0</v>
      </c>
      <c r="C1911" t="inlineStr">
        <is>
          <t>+LS02</t>
        </is>
      </c>
      <c r="D1911" t="inlineStr">
        <is>
          <t>-153K1</t>
        </is>
      </c>
      <c r="E1911" t="inlineStr">
        <is>
          <t>DILM-9-01</t>
        </is>
      </c>
      <c r="F1911" t="inlineStr">
        <is>
          <t>#KALK!</t>
        </is>
      </c>
      <c r="G1911" t="inlineStr">
        <is>
          <t>LASTSCHUETZ</t>
        </is>
      </c>
      <c r="H1911" t="inlineStr">
        <is>
          <t>4kW 1Oe Federzugkl.</t>
        </is>
      </c>
      <c r="I1911">
        <v>302</v>
      </c>
      <c r="J1911">
        <f>GS37/153.6</f>
        <v>0</v>
      </c>
      <c r="M1911" t="inlineStr">
        <is>
          <t>-153K1</t>
        </is>
      </c>
    </row>
    <row r="1912">
      <c r="A1912">
        <v>1911</v>
      </c>
      <c r="B1912">
        <f>GC22</f>
        <v>0</v>
      </c>
      <c r="C1912" t="inlineStr">
        <is>
          <t>+LS1</t>
        </is>
      </c>
      <c r="D1912" t="inlineStr">
        <is>
          <t>-153K16.4</t>
        </is>
      </c>
      <c r="E1912" t="inlineStr">
        <is>
          <t>DILM-9-01</t>
        </is>
      </c>
      <c r="F1912" t="inlineStr">
        <is>
          <t>#KALK!</t>
        </is>
      </c>
      <c r="G1912" t="inlineStr">
        <is>
          <t>LASTSCHUETZ</t>
        </is>
      </c>
      <c r="H1912" t="inlineStr">
        <is>
          <t>4kW 1Oe Federzugkl.</t>
        </is>
      </c>
      <c r="I1912">
        <v>299</v>
      </c>
      <c r="J1912">
        <f>GC22/153.6</f>
        <v>0</v>
      </c>
      <c r="M1912" t="inlineStr">
        <is>
          <t>-153K16.4</t>
        </is>
      </c>
    </row>
    <row r="1913">
      <c r="A1913">
        <v>1912</v>
      </c>
      <c r="B1913">
        <f>GS12</f>
        <v>0</v>
      </c>
      <c r="C1913" t="inlineStr">
        <is>
          <t>+LS1</t>
        </is>
      </c>
      <c r="D1913" t="inlineStr">
        <is>
          <t>-153K16.4</t>
        </is>
      </c>
      <c r="E1913" t="inlineStr">
        <is>
          <t>DILM-9-01</t>
        </is>
      </c>
      <c r="F1913" t="inlineStr">
        <is>
          <t>#KALK!</t>
        </is>
      </c>
      <c r="G1913" t="inlineStr">
        <is>
          <t>LASTSCHUETZ</t>
        </is>
      </c>
      <c r="H1913" t="inlineStr">
        <is>
          <t>4kW 1Oe Federzugkl.</t>
        </is>
      </c>
      <c r="I1913">
        <v>285</v>
      </c>
      <c r="J1913">
        <f>GS12/153.6</f>
        <v>0</v>
      </c>
      <c r="M1913" t="inlineStr">
        <is>
          <t>-153K16.4</t>
        </is>
      </c>
    </row>
    <row r="1914">
      <c r="A1914">
        <v>1913</v>
      </c>
      <c r="B1914">
        <f>GC22</f>
        <v>0</v>
      </c>
      <c r="C1914" t="inlineStr">
        <is>
          <t>+LS1</t>
        </is>
      </c>
      <c r="D1914" t="inlineStr">
        <is>
          <t>-153K16.5</t>
        </is>
      </c>
      <c r="E1914" t="inlineStr">
        <is>
          <t>DIL_EM-10-G</t>
        </is>
      </c>
      <c r="F1914" t="inlineStr">
        <is>
          <t>#KALK!</t>
        </is>
      </c>
      <c r="G1914" t="inlineStr">
        <is>
          <t>LASTSCHUETZ</t>
        </is>
      </c>
      <c r="H1914" t="inlineStr">
        <is>
          <t>4kW 1S</t>
        </is>
      </c>
      <c r="I1914">
        <v>299</v>
      </c>
      <c r="J1914">
        <f>GC22/153.7</f>
        <v>0</v>
      </c>
      <c r="M1914" t="inlineStr">
        <is>
          <t>-153K16.5</t>
        </is>
      </c>
    </row>
    <row r="1915">
      <c r="A1915">
        <v>1914</v>
      </c>
      <c r="B1915">
        <f>GS12</f>
        <v>0</v>
      </c>
      <c r="C1915" t="inlineStr">
        <is>
          <t>+LS1</t>
        </is>
      </c>
      <c r="D1915" t="inlineStr">
        <is>
          <t>-153K16.5</t>
        </is>
      </c>
      <c r="E1915" t="inlineStr">
        <is>
          <t>DIL_EM-10-G</t>
        </is>
      </c>
      <c r="F1915" t="inlineStr">
        <is>
          <t>#KALK!</t>
        </is>
      </c>
      <c r="G1915" t="inlineStr">
        <is>
          <t>LASTSCHUETZ</t>
        </is>
      </c>
      <c r="H1915" t="inlineStr">
        <is>
          <t>4kW 1S</t>
        </is>
      </c>
      <c r="I1915">
        <v>285</v>
      </c>
      <c r="J1915">
        <f>GS12/153.7</f>
        <v>0</v>
      </c>
      <c r="M1915" t="inlineStr">
        <is>
          <t>-153K16.5</t>
        </is>
      </c>
    </row>
    <row r="1916">
      <c r="A1916">
        <v>1915</v>
      </c>
      <c r="B1916">
        <f>GC22</f>
        <v>0</v>
      </c>
      <c r="C1916" t="inlineStr">
        <is>
          <t>+LS1</t>
        </is>
      </c>
      <c r="D1916" t="inlineStr">
        <is>
          <t>-153K17.7</t>
        </is>
      </c>
      <c r="E1916" t="inlineStr">
        <is>
          <t>DILM-9-01</t>
        </is>
      </c>
      <c r="F1916" t="inlineStr">
        <is>
          <t>#KALK!</t>
        </is>
      </c>
      <c r="G1916" t="inlineStr">
        <is>
          <t>LASTSCHUETZ</t>
        </is>
      </c>
      <c r="H1916" t="inlineStr">
        <is>
          <t>4kW 1Oe Federzugkl.</t>
        </is>
      </c>
      <c r="I1916">
        <v>299</v>
      </c>
      <c r="J1916">
        <f>GC22/153.6</f>
        <v>0</v>
      </c>
      <c r="M1916" t="inlineStr">
        <is>
          <t>-153K17.7</t>
        </is>
      </c>
    </row>
    <row r="1917">
      <c r="A1917">
        <v>1916</v>
      </c>
      <c r="B1917">
        <f>GS12</f>
        <v>0</v>
      </c>
      <c r="C1917" t="inlineStr">
        <is>
          <t>+LS1</t>
        </is>
      </c>
      <c r="D1917" t="inlineStr">
        <is>
          <t>-153K17.7</t>
        </is>
      </c>
      <c r="E1917" t="inlineStr">
        <is>
          <t>DILM-9-01</t>
        </is>
      </c>
      <c r="F1917" t="inlineStr">
        <is>
          <t>#KALK!</t>
        </is>
      </c>
      <c r="G1917" t="inlineStr">
        <is>
          <t>LASTSCHUETZ</t>
        </is>
      </c>
      <c r="H1917" t="inlineStr">
        <is>
          <t>4kW 1Oe Federzugkl.</t>
        </is>
      </c>
      <c r="I1917">
        <v>285</v>
      </c>
      <c r="J1917">
        <f>GS12/153.6</f>
        <v>0</v>
      </c>
      <c r="M1917" t="inlineStr">
        <is>
          <t>-153K17.7</t>
        </is>
      </c>
    </row>
    <row r="1918">
      <c r="A1918">
        <v>1917</v>
      </c>
      <c r="B1918">
        <f>GS37</f>
        <v>0</v>
      </c>
      <c r="C1918" t="inlineStr">
        <is>
          <t>+LS02</t>
        </is>
      </c>
      <c r="D1918" t="inlineStr">
        <is>
          <t>-153K2</t>
        </is>
      </c>
      <c r="E1918" t="inlineStr">
        <is>
          <t>DILM-9-01</t>
        </is>
      </c>
      <c r="F1918" t="inlineStr">
        <is>
          <t>#KALK!</t>
        </is>
      </c>
      <c r="G1918" t="inlineStr">
        <is>
          <t>LASTSCHUETZ</t>
        </is>
      </c>
      <c r="H1918" t="inlineStr">
        <is>
          <t>4kW 1Oe Federzugkl.</t>
        </is>
      </c>
      <c r="I1918">
        <v>302</v>
      </c>
      <c r="J1918">
        <f>GS37/153.7</f>
        <v>0</v>
      </c>
      <c r="M1918" t="inlineStr">
        <is>
          <t>-153K2</t>
        </is>
      </c>
    </row>
    <row r="1919">
      <c r="A1919">
        <v>1918</v>
      </c>
      <c r="B1919">
        <f>GS33</f>
        <v>0</v>
      </c>
      <c r="C1919" t="inlineStr">
        <is>
          <t>+LS2</t>
        </is>
      </c>
      <c r="D1919" t="inlineStr">
        <is>
          <t>-153K21.2</t>
        </is>
      </c>
      <c r="E1919" t="inlineStr">
        <is>
          <t>DIL_EM-10-G</t>
        </is>
      </c>
      <c r="F1919" t="inlineStr">
        <is>
          <t>#KALK!</t>
        </is>
      </c>
      <c r="G1919" t="inlineStr">
        <is>
          <t>LASTSCHUETZ</t>
        </is>
      </c>
      <c r="H1919" t="inlineStr">
        <is>
          <t>4kW 1S</t>
        </is>
      </c>
      <c r="I1919">
        <v>585</v>
      </c>
      <c r="J1919">
        <f>GS33/153.6</f>
        <v>0</v>
      </c>
      <c r="M1919" t="inlineStr">
        <is>
          <t>-153K21.2</t>
        </is>
      </c>
    </row>
    <row r="1920">
      <c r="A1920">
        <v>1919</v>
      </c>
      <c r="B1920">
        <f>GS34</f>
        <v>0</v>
      </c>
      <c r="C1920" t="inlineStr">
        <is>
          <t>+LS2</t>
        </is>
      </c>
      <c r="D1920" t="inlineStr">
        <is>
          <t>-153K21.7</t>
        </is>
      </c>
      <c r="E1920" t="inlineStr">
        <is>
          <t>DIL_EM-10-G</t>
        </is>
      </c>
      <c r="F1920" t="inlineStr">
        <is>
          <t>#KALK!</t>
        </is>
      </c>
      <c r="G1920" t="inlineStr">
        <is>
          <t>LASTSCHUETZ</t>
        </is>
      </c>
      <c r="H1920" t="inlineStr">
        <is>
          <t>4kW 1S</t>
        </is>
      </c>
      <c r="I1920">
        <v>277</v>
      </c>
      <c r="J1920">
        <f>GS34/153.7</f>
        <v>0</v>
      </c>
      <c r="M1920" t="inlineStr">
        <is>
          <t>-153K21.7</t>
        </is>
      </c>
    </row>
    <row r="1921">
      <c r="A1921">
        <v>1920</v>
      </c>
      <c r="B1921">
        <f>GS16</f>
        <v>0</v>
      </c>
      <c r="C1921" t="inlineStr">
        <is>
          <t>+LS2</t>
        </is>
      </c>
      <c r="D1921" t="inlineStr">
        <is>
          <t>-153K32.0</t>
        </is>
      </c>
      <c r="E1921" t="inlineStr">
        <is>
          <t>DIL_EM-10-G</t>
        </is>
      </c>
      <c r="F1921" t="inlineStr">
        <is>
          <t>#KALK!</t>
        </is>
      </c>
      <c r="G1921" t="inlineStr">
        <is>
          <t>LASTSCHUETZ</t>
        </is>
      </c>
      <c r="H1921" t="inlineStr">
        <is>
          <t>4kW 1S</t>
        </is>
      </c>
      <c r="I1921">
        <v>374</v>
      </c>
      <c r="J1921">
        <f>GS16/153.6</f>
        <v>0</v>
      </c>
      <c r="M1921" t="inlineStr">
        <is>
          <t>-153K32.0</t>
        </is>
      </c>
    </row>
    <row r="1922">
      <c r="A1922">
        <v>1921</v>
      </c>
      <c r="B1922">
        <f>GS16</f>
        <v>0</v>
      </c>
      <c r="C1922" t="inlineStr">
        <is>
          <t>+LS2</t>
        </is>
      </c>
      <c r="D1922" t="inlineStr">
        <is>
          <t>-153K32.1</t>
        </is>
      </c>
      <c r="E1922" t="inlineStr">
        <is>
          <t>DIL_EM-10-G</t>
        </is>
      </c>
      <c r="F1922" t="inlineStr">
        <is>
          <t>#KALK!</t>
        </is>
      </c>
      <c r="G1922" t="inlineStr">
        <is>
          <t>LASTSCHUETZ</t>
        </is>
      </c>
      <c r="H1922" t="inlineStr">
        <is>
          <t>4kW 1S</t>
        </is>
      </c>
      <c r="I1922">
        <v>374</v>
      </c>
      <c r="J1922">
        <f>GS16/153.6</f>
        <v>0</v>
      </c>
      <c r="M1922" t="inlineStr">
        <is>
          <t>-153K32.1</t>
        </is>
      </c>
    </row>
    <row r="1923">
      <c r="A1923">
        <v>1922</v>
      </c>
      <c r="B1923">
        <f>GS21</f>
        <v>0</v>
      </c>
      <c r="C1923" t="inlineStr">
        <is>
          <t>+LS3</t>
        </is>
      </c>
      <c r="D1923" t="inlineStr">
        <is>
          <t>-153K36.6</t>
        </is>
      </c>
      <c r="E1923" t="inlineStr">
        <is>
          <t>DIL_EM-10-G</t>
        </is>
      </c>
      <c r="F1923" t="inlineStr">
        <is>
          <t>#KALK!</t>
        </is>
      </c>
      <c r="G1923" t="inlineStr">
        <is>
          <t>LASTSCHUETZ</t>
        </is>
      </c>
      <c r="H1923" t="inlineStr">
        <is>
          <t>4kW 1S</t>
        </is>
      </c>
      <c r="I1923">
        <v>238</v>
      </c>
      <c r="J1923">
        <f>GS21/153.6</f>
        <v>0</v>
      </c>
      <c r="M1923" t="inlineStr">
        <is>
          <t>-153K36.6</t>
        </is>
      </c>
    </row>
    <row r="1924">
      <c r="A1924">
        <v>1923</v>
      </c>
      <c r="B1924">
        <f>GS90</f>
        <v>0</v>
      </c>
      <c r="C1924" t="inlineStr">
        <is>
          <t>+LS02</t>
        </is>
      </c>
      <c r="D1924" t="inlineStr">
        <is>
          <t>-153K443.0</t>
        </is>
      </c>
      <c r="E1924" t="inlineStr">
        <is>
          <t>DILA-40</t>
        </is>
      </c>
      <c r="F1924" t="inlineStr">
        <is>
          <t>#KALK!</t>
        </is>
      </c>
      <c r="G1924" t="inlineStr">
        <is>
          <t>HILFSSCHUETZ</t>
        </is>
      </c>
      <c r="H1924" t="inlineStr">
        <is>
          <t>4S Federzugkl.</t>
        </is>
      </c>
      <c r="I1924">
        <v>1101</v>
      </c>
      <c r="J1924">
        <f>GS90/153.7</f>
        <v>0</v>
      </c>
      <c r="M1924" t="inlineStr">
        <is>
          <t>-153K443.0</t>
        </is>
      </c>
    </row>
    <row r="1925">
      <c r="A1925">
        <v>1924</v>
      </c>
      <c r="B1925">
        <f>GS25</f>
        <v>0</v>
      </c>
      <c r="C1925" t="inlineStr">
        <is>
          <t>+LS3</t>
        </is>
      </c>
      <c r="D1925" t="inlineStr">
        <is>
          <t>-153K62.2</t>
        </is>
      </c>
      <c r="E1925" t="inlineStr">
        <is>
          <t>DIL_EM-10-G</t>
        </is>
      </c>
      <c r="F1925" t="inlineStr">
        <is>
          <t>#KALK!</t>
        </is>
      </c>
      <c r="G1925" t="inlineStr">
        <is>
          <t>LASTSCHUETZ</t>
        </is>
      </c>
      <c r="H1925" t="inlineStr">
        <is>
          <t>4kW 1S</t>
        </is>
      </c>
      <c r="I1925">
        <v>274</v>
      </c>
      <c r="J1925">
        <f>GS25/153.6</f>
        <v>0</v>
      </c>
      <c r="M1925" t="inlineStr">
        <is>
          <t>-153K62.2</t>
        </is>
      </c>
    </row>
    <row r="1926">
      <c r="A1926">
        <v>1925</v>
      </c>
      <c r="B1926">
        <f>GS25</f>
        <v>0</v>
      </c>
      <c r="C1926" t="inlineStr">
        <is>
          <t>+LS3</t>
        </is>
      </c>
      <c r="D1926" t="inlineStr">
        <is>
          <t>-153K62.3</t>
        </is>
      </c>
      <c r="E1926" t="inlineStr">
        <is>
          <t>DIL_EM-10-G</t>
        </is>
      </c>
      <c r="F1926" t="inlineStr">
        <is>
          <t>#KALK!</t>
        </is>
      </c>
      <c r="G1926" t="inlineStr">
        <is>
          <t>LASTSCHUETZ</t>
        </is>
      </c>
      <c r="H1926" t="inlineStr">
        <is>
          <t>4kW 1S</t>
        </is>
      </c>
      <c r="I1926">
        <v>274</v>
      </c>
      <c r="J1926">
        <f>GS25/153.6</f>
        <v>0</v>
      </c>
      <c r="M1926" t="inlineStr">
        <is>
          <t>-153K62.3</t>
        </is>
      </c>
    </row>
    <row r="1927">
      <c r="A1927">
        <v>1926</v>
      </c>
      <c r="B1927">
        <f>GS21</f>
        <v>0</v>
      </c>
      <c r="C1927" t="inlineStr">
        <is>
          <t>+LS3</t>
        </is>
      </c>
      <c r="D1927" t="inlineStr">
        <is>
          <t>-153K80.2</t>
        </is>
      </c>
      <c r="E1927" t="inlineStr">
        <is>
          <t>DIL_EM-10-G</t>
        </is>
      </c>
      <c r="F1927" t="inlineStr">
        <is>
          <t>#KALK!</t>
        </is>
      </c>
      <c r="G1927" t="inlineStr">
        <is>
          <t>LASTSCHUETZ</t>
        </is>
      </c>
      <c r="H1927" t="inlineStr">
        <is>
          <t>4kW 1S</t>
        </is>
      </c>
      <c r="I1927">
        <v>238</v>
      </c>
      <c r="J1927">
        <f>GS21/153.6</f>
        <v>0</v>
      </c>
      <c r="M1927" t="inlineStr">
        <is>
          <t>-153K80.2</t>
        </is>
      </c>
    </row>
    <row r="1928">
      <c r="A1928">
        <v>1927</v>
      </c>
      <c r="B1928">
        <f>GS11</f>
        <v>0</v>
      </c>
      <c r="C1928" t="inlineStr">
        <is>
          <t>+LS3</t>
        </is>
      </c>
      <c r="D1928" t="inlineStr">
        <is>
          <t>-153K81.3</t>
        </is>
      </c>
      <c r="E1928" t="inlineStr">
        <is>
          <t>DIL_EM-10-G</t>
        </is>
      </c>
      <c r="F1928" t="inlineStr">
        <is>
          <t>#KALK!</t>
        </is>
      </c>
      <c r="G1928" t="inlineStr">
        <is>
          <t>LASTSCHUETZ</t>
        </is>
      </c>
      <c r="H1928" t="inlineStr">
        <is>
          <t>4kW 1S</t>
        </is>
      </c>
      <c r="I1928">
        <v>264</v>
      </c>
      <c r="J1928">
        <f>GS11/153.7</f>
        <v>0</v>
      </c>
      <c r="M1928" t="inlineStr">
        <is>
          <t>-153K81.3</t>
        </is>
      </c>
    </row>
    <row r="1929">
      <c r="A1929">
        <v>1928</v>
      </c>
      <c r="B1929">
        <f>GS90</f>
        <v>0</v>
      </c>
      <c r="C1929" t="inlineStr">
        <is>
          <t>+LS02</t>
        </is>
      </c>
      <c r="D1929" t="inlineStr">
        <is>
          <t>-153Q1</t>
        </is>
      </c>
      <c r="E1929" t="inlineStr">
        <is>
          <t>DILA-XHI22</t>
        </is>
      </c>
      <c r="F1929" t="inlineStr">
        <is>
          <t>DILA-XHI22</t>
        </is>
      </c>
      <c r="G1929" t="inlineStr">
        <is>
          <t>HILFSKONTAKTBLOCK</t>
        </is>
      </c>
      <c r="H1929" t="inlineStr">
        <is>
          <t>2S 2OE Last+Hilfssch. Cage</t>
        </is>
      </c>
      <c r="I1929">
        <v>1101</v>
      </c>
      <c r="J1929">
        <f>GS90/153.4</f>
        <v>0</v>
      </c>
      <c r="K1929" t="inlineStr">
        <is>
          <t>DIL MC25</t>
        </is>
      </c>
      <c r="M1929" t="inlineStr">
        <is>
          <t>-153Q1</t>
        </is>
      </c>
    </row>
    <row r="1930">
      <c r="A1930">
        <v>1929</v>
      </c>
      <c r="B1930">
        <f>GS90</f>
        <v>0</v>
      </c>
      <c r="C1930" t="inlineStr">
        <is>
          <t>+LS02</t>
        </is>
      </c>
      <c r="D1930" t="inlineStr">
        <is>
          <t>-153Q1</t>
        </is>
      </c>
      <c r="E1930" t="inlineStr">
        <is>
          <t>DILMC25-10(RDC24)</t>
        </is>
      </c>
      <c r="F1930" t="inlineStr">
        <is>
          <t>DILA-XHI22</t>
        </is>
      </c>
      <c r="G1930" t="inlineStr">
        <is>
          <t>LASTSCHUETZ</t>
        </is>
      </c>
      <c r="H1930" t="inlineStr">
        <is>
          <t>11kW 1S Federzugkl.</t>
        </is>
      </c>
      <c r="I1930">
        <v>1101</v>
      </c>
      <c r="J1930">
        <f>GS90/153.4</f>
        <v>0</v>
      </c>
      <c r="K1930" t="inlineStr">
        <is>
          <t>DIL MC25</t>
        </is>
      </c>
      <c r="M1930" t="inlineStr">
        <is>
          <t>-153Q1</t>
        </is>
      </c>
    </row>
    <row r="1931">
      <c r="A1931">
        <v>1930</v>
      </c>
      <c r="B1931">
        <f>GS55</f>
        <v>0</v>
      </c>
      <c r="C1931" t="inlineStr">
        <is>
          <t>+LS25</t>
        </is>
      </c>
      <c r="D1931" t="inlineStr">
        <is>
          <t>-1545Q1</t>
        </is>
      </c>
      <c r="E1931" t="inlineStr">
        <is>
          <t>DILA-XHI22</t>
        </is>
      </c>
      <c r="F1931" t="inlineStr">
        <is>
          <t>DILA-XHI22</t>
        </is>
      </c>
      <c r="G1931" t="inlineStr">
        <is>
          <t>HILFSKONTAKTBLOCK</t>
        </is>
      </c>
      <c r="H1931" t="inlineStr">
        <is>
          <t>2S 2OE Last+Hilfssch. Cage</t>
        </is>
      </c>
      <c r="I1931">
        <v>1750</v>
      </c>
      <c r="J1931">
        <f>GS55/1545.6</f>
        <v>0</v>
      </c>
      <c r="K1931" t="inlineStr">
        <is>
          <t>DIL MC25</t>
        </is>
      </c>
      <c r="M1931" t="inlineStr">
        <is>
          <t>-1545Q1</t>
        </is>
      </c>
    </row>
    <row r="1932">
      <c r="A1932">
        <v>1931</v>
      </c>
      <c r="B1932">
        <f>GS55</f>
        <v>0</v>
      </c>
      <c r="C1932" t="inlineStr">
        <is>
          <t>+LS25</t>
        </is>
      </c>
      <c r="D1932" t="inlineStr">
        <is>
          <t>-1545Q1</t>
        </is>
      </c>
      <c r="E1932" t="inlineStr">
        <is>
          <t>DILMC25-10(RDC24)</t>
        </is>
      </c>
      <c r="F1932" t="inlineStr">
        <is>
          <t>DILA-XHI22</t>
        </is>
      </c>
      <c r="G1932" t="inlineStr">
        <is>
          <t>LASTSCHUETZ</t>
        </is>
      </c>
      <c r="H1932" t="inlineStr">
        <is>
          <t>11kW 1S Federzugkl.</t>
        </is>
      </c>
      <c r="I1932">
        <v>1750</v>
      </c>
      <c r="J1932">
        <f>GS55/1545.6</f>
        <v>0</v>
      </c>
      <c r="K1932" t="inlineStr">
        <is>
          <t>DIL MC25</t>
        </is>
      </c>
      <c r="M1932" t="inlineStr">
        <is>
          <t>-1545Q1</t>
        </is>
      </c>
    </row>
    <row r="1933">
      <c r="A1933">
        <v>1932</v>
      </c>
      <c r="B1933">
        <f>GS79</f>
        <v>0</v>
      </c>
      <c r="C1933" t="inlineStr">
        <is>
          <t>+LS[l2]</t>
        </is>
      </c>
      <c r="D1933" t="inlineStr">
        <is>
          <t>-154K[a+165].7</t>
        </is>
      </c>
      <c r="E1933" t="inlineStr">
        <is>
          <t>DILA-22</t>
        </is>
      </c>
      <c r="F1933" t="inlineStr">
        <is>
          <t>#KALK!</t>
        </is>
      </c>
      <c r="G1933" t="inlineStr">
        <is>
          <t>HILFSSCHUETZ</t>
        </is>
      </c>
      <c r="H1933" t="inlineStr">
        <is>
          <t>2S 2Oe Federzugkl.</t>
        </is>
      </c>
      <c r="I1933">
        <v>246</v>
      </c>
      <c r="J1933">
        <f>GS79/154.7</f>
        <v>0</v>
      </c>
      <c r="M1933" t="inlineStr">
        <is>
          <t>-154K[a+165].7</t>
        </is>
      </c>
    </row>
    <row r="1934">
      <c r="A1934">
        <v>1933</v>
      </c>
      <c r="B1934">
        <f>GS79</f>
        <v>0</v>
      </c>
      <c r="C1934" t="inlineStr">
        <is>
          <t>+LS[l2]</t>
        </is>
      </c>
      <c r="D1934" t="inlineStr">
        <is>
          <t>-154K[a+165].7</t>
        </is>
      </c>
      <c r="E1934" t="inlineStr">
        <is>
          <t>DILA-22</t>
        </is>
      </c>
      <c r="F1934" t="inlineStr">
        <is>
          <t>#KALK!</t>
        </is>
      </c>
      <c r="G1934" t="inlineStr">
        <is>
          <t>HILFSSCHUETZ</t>
        </is>
      </c>
      <c r="H1934" t="inlineStr">
        <is>
          <t>2S 2Oe Federzugkl.</t>
        </is>
      </c>
      <c r="I1934">
        <v>195</v>
      </c>
      <c r="J1934">
        <f>GS79/154.7</f>
        <v>0</v>
      </c>
      <c r="M1934" t="inlineStr">
        <is>
          <t>-154K[a+165].7</t>
        </is>
      </c>
    </row>
    <row r="1935">
      <c r="A1935">
        <v>1934</v>
      </c>
      <c r="B1935">
        <f>GC22</f>
        <v>0</v>
      </c>
      <c r="C1935" t="inlineStr">
        <is>
          <t>+LS1</t>
        </is>
      </c>
      <c r="D1935" t="inlineStr">
        <is>
          <t>-154K17.1</t>
        </is>
      </c>
      <c r="E1935" t="inlineStr">
        <is>
          <t>DIL_EM-10-G</t>
        </is>
      </c>
      <c r="F1935" t="inlineStr">
        <is>
          <t>#KALK!</t>
        </is>
      </c>
      <c r="G1935" t="inlineStr">
        <is>
          <t>LASTSCHUETZ</t>
        </is>
      </c>
      <c r="H1935" t="inlineStr">
        <is>
          <t>4kW 1S</t>
        </is>
      </c>
      <c r="I1935">
        <v>238</v>
      </c>
      <c r="J1935">
        <f>GC22/154.7</f>
        <v>0</v>
      </c>
      <c r="M1935" t="inlineStr">
        <is>
          <t>-154K17.1</t>
        </is>
      </c>
    </row>
    <row r="1936">
      <c r="A1936">
        <v>1935</v>
      </c>
      <c r="B1936">
        <f>GS12</f>
        <v>0</v>
      </c>
      <c r="C1936" t="inlineStr">
        <is>
          <t>+LS1</t>
        </is>
      </c>
      <c r="D1936" t="inlineStr">
        <is>
          <t>-154K17.1</t>
        </is>
      </c>
      <c r="E1936" t="inlineStr">
        <is>
          <t>DIL_EM-10-G</t>
        </is>
      </c>
      <c r="F1936" t="inlineStr">
        <is>
          <t>#KALK!</t>
        </is>
      </c>
      <c r="G1936" t="inlineStr">
        <is>
          <t>LASTSCHUETZ</t>
        </is>
      </c>
      <c r="H1936" t="inlineStr">
        <is>
          <t>4kW 1S</t>
        </is>
      </c>
      <c r="I1936">
        <v>286</v>
      </c>
      <c r="J1936">
        <f>GS12/154.7</f>
        <v>0</v>
      </c>
      <c r="M1936" t="inlineStr">
        <is>
          <t>-154K17.1</t>
        </is>
      </c>
    </row>
    <row r="1937">
      <c r="A1937">
        <v>1936</v>
      </c>
      <c r="B1937">
        <f>GS33</f>
        <v>0</v>
      </c>
      <c r="C1937" t="inlineStr">
        <is>
          <t>+LS2</t>
        </is>
      </c>
      <c r="D1937" t="inlineStr">
        <is>
          <t>-154K21.7</t>
        </is>
      </c>
      <c r="E1937" t="inlineStr">
        <is>
          <t>DIL_EM-10-G</t>
        </is>
      </c>
      <c r="F1937" t="inlineStr">
        <is>
          <t>#KALK!</t>
        </is>
      </c>
      <c r="G1937" t="inlineStr">
        <is>
          <t>LASTSCHUETZ</t>
        </is>
      </c>
      <c r="H1937" t="inlineStr">
        <is>
          <t>4kW 1S</t>
        </is>
      </c>
      <c r="I1937">
        <v>586</v>
      </c>
      <c r="J1937">
        <f>GS33/154.7</f>
        <v>0</v>
      </c>
      <c r="M1937" t="inlineStr">
        <is>
          <t>-154K21.7</t>
        </is>
      </c>
    </row>
    <row r="1938">
      <c r="A1938">
        <v>1937</v>
      </c>
      <c r="B1938">
        <f>GS34</f>
        <v>0</v>
      </c>
      <c r="C1938" t="inlineStr">
        <is>
          <t>+LS2</t>
        </is>
      </c>
      <c r="D1938" t="inlineStr">
        <is>
          <t>-154K22.3</t>
        </is>
      </c>
      <c r="E1938" t="inlineStr">
        <is>
          <t>DIL_EM-10-G</t>
        </is>
      </c>
      <c r="F1938" t="inlineStr">
        <is>
          <t>#KALK!</t>
        </is>
      </c>
      <c r="G1938" t="inlineStr">
        <is>
          <t>LASTSCHUETZ</t>
        </is>
      </c>
      <c r="H1938" t="inlineStr">
        <is>
          <t>4kW 1S</t>
        </is>
      </c>
      <c r="I1938">
        <v>278</v>
      </c>
      <c r="J1938">
        <f>GS34/154.7</f>
        <v>0</v>
      </c>
      <c r="M1938" t="inlineStr">
        <is>
          <t>-154K22.3</t>
        </is>
      </c>
    </row>
    <row r="1939">
      <c r="A1939">
        <v>1938</v>
      </c>
      <c r="B1939">
        <f>GS16</f>
        <v>0</v>
      </c>
      <c r="C1939" t="inlineStr">
        <is>
          <t>+LS2</t>
        </is>
      </c>
      <c r="D1939" t="inlineStr">
        <is>
          <t>-154K32.2</t>
        </is>
      </c>
      <c r="E1939" t="inlineStr">
        <is>
          <t>DIL_EM-10-G</t>
        </is>
      </c>
      <c r="F1939" t="inlineStr">
        <is>
          <t>#KALK!</t>
        </is>
      </c>
      <c r="G1939" t="inlineStr">
        <is>
          <t>LASTSCHUETZ</t>
        </is>
      </c>
      <c r="H1939" t="inlineStr">
        <is>
          <t>4kW 1S</t>
        </is>
      </c>
      <c r="I1939">
        <v>375</v>
      </c>
      <c r="J1939">
        <f>GS16/154.6</f>
        <v>0</v>
      </c>
      <c r="M1939" t="inlineStr">
        <is>
          <t>-154K32.2</t>
        </is>
      </c>
    </row>
    <row r="1940">
      <c r="A1940">
        <v>1939</v>
      </c>
      <c r="B1940">
        <f>GS16</f>
        <v>0</v>
      </c>
      <c r="C1940" t="inlineStr">
        <is>
          <t>+LS2</t>
        </is>
      </c>
      <c r="D1940" t="inlineStr">
        <is>
          <t>-154K32.3</t>
        </is>
      </c>
      <c r="E1940" t="inlineStr">
        <is>
          <t>DIL_EM-10-G</t>
        </is>
      </c>
      <c r="F1940" t="inlineStr">
        <is>
          <t>#KALK!</t>
        </is>
      </c>
      <c r="G1940" t="inlineStr">
        <is>
          <t>LASTSCHUETZ</t>
        </is>
      </c>
      <c r="H1940" t="inlineStr">
        <is>
          <t>4kW 1S</t>
        </is>
      </c>
      <c r="I1940">
        <v>375</v>
      </c>
      <c r="J1940">
        <f>GS16/154.6</f>
        <v>0</v>
      </c>
      <c r="M1940" t="inlineStr">
        <is>
          <t>-154K32.3</t>
        </is>
      </c>
    </row>
    <row r="1941">
      <c r="A1941">
        <v>1940</v>
      </c>
      <c r="B1941">
        <f>GS21</f>
        <v>0</v>
      </c>
      <c r="C1941" t="inlineStr">
        <is>
          <t>+LS3</t>
        </is>
      </c>
      <c r="D1941" t="inlineStr">
        <is>
          <t>-154K36.7</t>
        </is>
      </c>
      <c r="E1941" t="inlineStr">
        <is>
          <t>DIL_EM-10-G</t>
        </is>
      </c>
      <c r="F1941" t="inlineStr">
        <is>
          <t>#KALK!</t>
        </is>
      </c>
      <c r="G1941" t="inlineStr">
        <is>
          <t>LASTSCHUETZ</t>
        </is>
      </c>
      <c r="H1941" t="inlineStr">
        <is>
          <t>4kW 1S</t>
        </is>
      </c>
      <c r="I1941">
        <v>239</v>
      </c>
      <c r="J1941">
        <f>GS21/154.6</f>
        <v>0</v>
      </c>
      <c r="M1941" t="inlineStr">
        <is>
          <t>-154K36.7</t>
        </is>
      </c>
    </row>
    <row r="1942">
      <c r="A1942">
        <v>1941</v>
      </c>
      <c r="B1942">
        <f>GS25</f>
        <v>0</v>
      </c>
      <c r="C1942" t="inlineStr">
        <is>
          <t>+LS3</t>
        </is>
      </c>
      <c r="D1942" t="inlineStr">
        <is>
          <t>-154K63.3</t>
        </is>
      </c>
      <c r="E1942" t="inlineStr">
        <is>
          <t>DIL_EM-10-G</t>
        </is>
      </c>
      <c r="F1942" t="inlineStr">
        <is>
          <t>#KALK!</t>
        </is>
      </c>
      <c r="G1942" t="inlineStr">
        <is>
          <t>LASTSCHUETZ</t>
        </is>
      </c>
      <c r="H1942" t="inlineStr">
        <is>
          <t>4kW 1S</t>
        </is>
      </c>
      <c r="I1942">
        <v>275</v>
      </c>
      <c r="J1942">
        <f>GS25/154.7</f>
        <v>0</v>
      </c>
      <c r="M1942" t="inlineStr">
        <is>
          <t>-154K63.3</t>
        </is>
      </c>
    </row>
    <row r="1943">
      <c r="A1943">
        <v>1942</v>
      </c>
      <c r="B1943">
        <f>GS21</f>
        <v>0</v>
      </c>
      <c r="C1943" t="inlineStr">
        <is>
          <t>+LS3</t>
        </is>
      </c>
      <c r="D1943" t="inlineStr">
        <is>
          <t>-154K80.3</t>
        </is>
      </c>
      <c r="E1943" t="inlineStr">
        <is>
          <t>DIL_EM-10-G</t>
        </is>
      </c>
      <c r="F1943" t="inlineStr">
        <is>
          <t>#KALK!</t>
        </is>
      </c>
      <c r="G1943" t="inlineStr">
        <is>
          <t>LASTSCHUETZ</t>
        </is>
      </c>
      <c r="H1943" t="inlineStr">
        <is>
          <t>4kW 1S</t>
        </is>
      </c>
      <c r="I1943">
        <v>239</v>
      </c>
      <c r="J1943">
        <f>GS21/154.6</f>
        <v>0</v>
      </c>
      <c r="M1943" t="inlineStr">
        <is>
          <t>-154K80.3</t>
        </is>
      </c>
    </row>
    <row r="1944">
      <c r="A1944">
        <v>1943</v>
      </c>
      <c r="B1944">
        <f>GS11</f>
        <v>0</v>
      </c>
      <c r="C1944" t="inlineStr">
        <is>
          <t>+LS3</t>
        </is>
      </c>
      <c r="D1944" t="inlineStr">
        <is>
          <t>-154K82.1</t>
        </is>
      </c>
      <c r="E1944" t="inlineStr">
        <is>
          <t>DIL_EM-10-G</t>
        </is>
      </c>
      <c r="F1944" t="inlineStr">
        <is>
          <t>#KALK!</t>
        </is>
      </c>
      <c r="G1944" t="inlineStr">
        <is>
          <t>LASTSCHUETZ</t>
        </is>
      </c>
      <c r="H1944" t="inlineStr">
        <is>
          <t>4kW 1S</t>
        </is>
      </c>
      <c r="I1944">
        <v>265</v>
      </c>
      <c r="J1944">
        <f>GS11/154.7</f>
        <v>0</v>
      </c>
      <c r="M1944" t="inlineStr">
        <is>
          <t>-154K82.1</t>
        </is>
      </c>
    </row>
    <row r="1945">
      <c r="A1945">
        <v>1944</v>
      </c>
      <c r="B1945">
        <f>GS7x</f>
        <v>0</v>
      </c>
      <c r="C1945" t="inlineStr">
        <is>
          <t>+LS[l2]</t>
        </is>
      </c>
      <c r="D1945" t="inlineStr">
        <is>
          <t>-154Q[a+2].1</t>
        </is>
      </c>
      <c r="E1945" t="inlineStr">
        <is>
          <t>DILM-9-10</t>
        </is>
      </c>
      <c r="F1945" t="inlineStr">
        <is>
          <t>#KALK!</t>
        </is>
      </c>
      <c r="G1945" t="inlineStr">
        <is>
          <t>LASTSCHUETZ</t>
        </is>
      </c>
      <c r="H1945" t="inlineStr">
        <is>
          <t>4kW 1S Federzugkl.</t>
        </is>
      </c>
      <c r="I1945">
        <v>198</v>
      </c>
      <c r="J1945">
        <f>GS7x/154.6</f>
        <v>0</v>
      </c>
      <c r="M1945" t="inlineStr">
        <is>
          <t>-154Q[a+2].1</t>
        </is>
      </c>
    </row>
    <row r="1946">
      <c r="A1946">
        <v>1945</v>
      </c>
      <c r="B1946">
        <f>GS46</f>
        <v>0</v>
      </c>
      <c r="C1946" t="inlineStr">
        <is>
          <t>+LS01</t>
        </is>
      </c>
      <c r="D1946" t="inlineStr">
        <is>
          <t>-155.1K1</t>
        </is>
      </c>
      <c r="E1946" t="inlineStr">
        <is>
          <t>DILA-22</t>
        </is>
      </c>
      <c r="F1946" t="inlineStr">
        <is>
          <t>#KALK!</t>
        </is>
      </c>
      <c r="G1946" t="inlineStr">
        <is>
          <t>HILFSSCHUETZ</t>
        </is>
      </c>
      <c r="H1946" t="inlineStr">
        <is>
          <t>2S 2Oe Federzugkl.</t>
        </is>
      </c>
      <c r="I1946">
        <v>1331</v>
      </c>
      <c r="J1946">
        <f>GS46/155.1.5</f>
        <v>0</v>
      </c>
      <c r="M1946" t="inlineStr">
        <is>
          <t>-155.1K1</t>
        </is>
      </c>
    </row>
    <row r="1947">
      <c r="A1947">
        <v>1946</v>
      </c>
      <c r="B1947">
        <f>GS47</f>
        <v>0</v>
      </c>
      <c r="C1947" t="inlineStr">
        <is>
          <t>+LS01</t>
        </is>
      </c>
      <c r="D1947" t="inlineStr">
        <is>
          <t>-155.1K1</t>
        </is>
      </c>
      <c r="E1947" t="inlineStr">
        <is>
          <t>DILA-22</t>
        </is>
      </c>
      <c r="F1947" t="inlineStr">
        <is>
          <t>#KALK!</t>
        </is>
      </c>
      <c r="G1947" t="inlineStr">
        <is>
          <t>HILFSSCHUETZ</t>
        </is>
      </c>
      <c r="H1947" t="inlineStr">
        <is>
          <t>2S 2Oe Federzugkl.</t>
        </is>
      </c>
      <c r="I1947">
        <v>1184</v>
      </c>
      <c r="J1947">
        <f>GS47/155.1.5</f>
        <v>0</v>
      </c>
      <c r="M1947" t="inlineStr">
        <is>
          <t>-155.1K1</t>
        </is>
      </c>
    </row>
    <row r="1948">
      <c r="A1948">
        <v>1947</v>
      </c>
      <c r="B1948">
        <f>GS48</f>
        <v>0</v>
      </c>
      <c r="C1948" t="inlineStr">
        <is>
          <t>+LS01</t>
        </is>
      </c>
      <c r="D1948" t="inlineStr">
        <is>
          <t>-155.1K1</t>
        </is>
      </c>
      <c r="E1948" t="inlineStr">
        <is>
          <t>DILA-22</t>
        </is>
      </c>
      <c r="F1948" t="inlineStr">
        <is>
          <t>#KALK!</t>
        </is>
      </c>
      <c r="G1948" t="inlineStr">
        <is>
          <t>HILFSSCHUETZ</t>
        </is>
      </c>
      <c r="H1948" t="inlineStr">
        <is>
          <t>2S 2Oe Federzugkl.</t>
        </is>
      </c>
      <c r="I1948">
        <v>1232</v>
      </c>
      <c r="J1948">
        <f>GS48/155.1.5</f>
        <v>0</v>
      </c>
      <c r="M1948" t="inlineStr">
        <is>
          <t>-155.1K1</t>
        </is>
      </c>
    </row>
    <row r="1949">
      <c r="A1949">
        <v>1948</v>
      </c>
      <c r="B1949">
        <f>GS46</f>
        <v>0</v>
      </c>
      <c r="C1949" t="inlineStr">
        <is>
          <t>+LS01</t>
        </is>
      </c>
      <c r="D1949" t="inlineStr">
        <is>
          <t>-155.1K2</t>
        </is>
      </c>
      <c r="E1949" t="inlineStr">
        <is>
          <t>DILA-22</t>
        </is>
      </c>
      <c r="F1949" t="inlineStr">
        <is>
          <t>#KALK!</t>
        </is>
      </c>
      <c r="G1949" t="inlineStr">
        <is>
          <t>HILFSSCHUETZ</t>
        </is>
      </c>
      <c r="H1949" t="inlineStr">
        <is>
          <t>2S 2Oe Federzugkl.</t>
        </is>
      </c>
      <c r="I1949">
        <v>1331</v>
      </c>
      <c r="J1949">
        <f>GS46/155.1.6</f>
        <v>0</v>
      </c>
      <c r="M1949" t="inlineStr">
        <is>
          <t>-155.1K2</t>
        </is>
      </c>
    </row>
    <row r="1950">
      <c r="A1950">
        <v>1949</v>
      </c>
      <c r="B1950">
        <f>GS47</f>
        <v>0</v>
      </c>
      <c r="C1950" t="inlineStr">
        <is>
          <t>+LS01</t>
        </is>
      </c>
      <c r="D1950" t="inlineStr">
        <is>
          <t>-155.1K2</t>
        </is>
      </c>
      <c r="E1950" t="inlineStr">
        <is>
          <t>DILA-22</t>
        </is>
      </c>
      <c r="F1950" t="inlineStr">
        <is>
          <t>#KALK!</t>
        </is>
      </c>
      <c r="G1950" t="inlineStr">
        <is>
          <t>HILFSSCHUETZ</t>
        </is>
      </c>
      <c r="H1950" t="inlineStr">
        <is>
          <t>2S 2Oe Federzugkl.</t>
        </is>
      </c>
      <c r="I1950">
        <v>1184</v>
      </c>
      <c r="J1950">
        <f>GS47/155.1.6</f>
        <v>0</v>
      </c>
      <c r="M1950" t="inlineStr">
        <is>
          <t>-155.1K2</t>
        </is>
      </c>
    </row>
    <row r="1951">
      <c r="A1951">
        <v>1950</v>
      </c>
      <c r="B1951">
        <f>GS48</f>
        <v>0</v>
      </c>
      <c r="C1951" t="inlineStr">
        <is>
          <t>+LS01</t>
        </is>
      </c>
      <c r="D1951" t="inlineStr">
        <is>
          <t>-155.1K2</t>
        </is>
      </c>
      <c r="E1951" t="inlineStr">
        <is>
          <t>DILA-22</t>
        </is>
      </c>
      <c r="F1951" t="inlineStr">
        <is>
          <t>#KALK!</t>
        </is>
      </c>
      <c r="G1951" t="inlineStr">
        <is>
          <t>HILFSSCHUETZ</t>
        </is>
      </c>
      <c r="H1951" t="inlineStr">
        <is>
          <t>2S 2Oe Federzugkl.</t>
        </is>
      </c>
      <c r="I1951">
        <v>1232</v>
      </c>
      <c r="J1951">
        <f>GS48/155.1.6</f>
        <v>0</v>
      </c>
      <c r="M1951" t="inlineStr">
        <is>
          <t>-155.1K2</t>
        </is>
      </c>
    </row>
    <row r="1952">
      <c r="A1952">
        <v>1951</v>
      </c>
      <c r="B1952">
        <f>GS06</f>
        <v>0</v>
      </c>
      <c r="C1952" t="inlineStr">
        <is>
          <t>+LS21</t>
        </is>
      </c>
      <c r="D1952" t="inlineStr">
        <is>
          <t>-1550Q1</t>
        </is>
      </c>
      <c r="E1952" t="inlineStr">
        <is>
          <t>DILA-XHI22</t>
        </is>
      </c>
      <c r="F1952" t="inlineStr">
        <is>
          <t>DILA-XHI22</t>
        </is>
      </c>
      <c r="G1952" t="inlineStr">
        <is>
          <t>HILFSKONTAKTBLOCK</t>
        </is>
      </c>
      <c r="H1952" t="inlineStr">
        <is>
          <t>2S 2OE Last+Hilfssch. Cage</t>
        </is>
      </c>
      <c r="I1952">
        <v>593</v>
      </c>
      <c r="J1952">
        <f>GS06/1550.6</f>
        <v>0</v>
      </c>
      <c r="K1952" t="inlineStr">
        <is>
          <t>DIL MC25</t>
        </is>
      </c>
      <c r="M1952" t="inlineStr">
        <is>
          <t>-1550Q1</t>
        </is>
      </c>
    </row>
    <row r="1953">
      <c r="A1953">
        <v>1952</v>
      </c>
      <c r="B1953">
        <f>GS06</f>
        <v>0</v>
      </c>
      <c r="C1953" t="inlineStr">
        <is>
          <t>+LS21</t>
        </is>
      </c>
      <c r="D1953" t="inlineStr">
        <is>
          <t>-1550Q1</t>
        </is>
      </c>
      <c r="E1953" t="inlineStr">
        <is>
          <t>DILMC25-10(RDC24)</t>
        </is>
      </c>
      <c r="F1953" t="inlineStr">
        <is>
          <t>DILA-XHI22</t>
        </is>
      </c>
      <c r="G1953" t="inlineStr">
        <is>
          <t>LASTSCHUETZ</t>
        </is>
      </c>
      <c r="H1953" t="inlineStr">
        <is>
          <t>11kW 1S Federzugkl.</t>
        </is>
      </c>
      <c r="I1953">
        <v>593</v>
      </c>
      <c r="J1953">
        <f>GS06/1550.6</f>
        <v>0</v>
      </c>
      <c r="K1953" t="inlineStr">
        <is>
          <t>DIL MC25</t>
        </is>
      </c>
      <c r="M1953" t="inlineStr">
        <is>
          <t>-1550Q1</t>
        </is>
      </c>
    </row>
    <row r="1954">
      <c r="A1954">
        <v>1953</v>
      </c>
      <c r="B1954">
        <f>GC03</f>
        <v>0</v>
      </c>
      <c r="C1954" t="inlineStr">
        <is>
          <t>+LS3</t>
        </is>
      </c>
      <c r="D1954" t="inlineStr">
        <is>
          <t>-155K1</t>
        </is>
      </c>
      <c r="E1954" t="inlineStr">
        <is>
          <t>22_DIL-M</t>
        </is>
      </c>
      <c r="F1954" t="inlineStr">
        <is>
          <t>22_DIL-M</t>
        </is>
      </c>
      <c r="G1954" t="inlineStr">
        <is>
          <t>HILFSKONTAKTBLOCK</t>
        </is>
      </c>
      <c r="H1954" t="inlineStr">
        <is>
          <t>2S 2OE Lastschuetz DIL M</t>
        </is>
      </c>
      <c r="I1954">
        <v>731</v>
      </c>
      <c r="J1954">
        <f>GC03/155.2</f>
        <v>0</v>
      </c>
      <c r="K1954" t="inlineStr">
        <is>
          <t>DIL0AM</t>
        </is>
      </c>
      <c r="M1954" t="inlineStr">
        <is>
          <t>-155K1</t>
        </is>
      </c>
    </row>
    <row r="1955">
      <c r="A1955">
        <v>1954</v>
      </c>
      <c r="B1955">
        <f>GC03</f>
        <v>0</v>
      </c>
      <c r="C1955" t="inlineStr">
        <is>
          <t>+LS3</t>
        </is>
      </c>
      <c r="D1955" t="inlineStr">
        <is>
          <t>-155K1</t>
        </is>
      </c>
      <c r="E1955" t="inlineStr">
        <is>
          <t>DIL_0AM</t>
        </is>
      </c>
      <c r="F1955" t="inlineStr">
        <is>
          <t>22_DIL-M</t>
        </is>
      </c>
      <c r="G1955" t="inlineStr">
        <is>
          <t>LASTSCHUETZ</t>
        </is>
      </c>
      <c r="H1955" t="inlineStr">
        <is>
          <t>11 kW</t>
        </is>
      </c>
      <c r="I1955">
        <v>731</v>
      </c>
      <c r="J1955">
        <f>GC03/155.2</f>
        <v>0</v>
      </c>
      <c r="K1955" t="inlineStr">
        <is>
          <t>DIL0AM</t>
        </is>
      </c>
      <c r="M1955" t="inlineStr">
        <is>
          <t>-155K1</t>
        </is>
      </c>
    </row>
    <row r="1956">
      <c r="A1956">
        <v>1955</v>
      </c>
      <c r="B1956">
        <f>GS01</f>
        <v>0</v>
      </c>
      <c r="C1956" t="inlineStr">
        <is>
          <t>+LS3</t>
        </is>
      </c>
      <c r="D1956" t="inlineStr">
        <is>
          <t>-155K1</t>
        </is>
      </c>
      <c r="E1956" t="inlineStr">
        <is>
          <t>DIL_2AM</t>
        </is>
      </c>
      <c r="F1956" t="inlineStr">
        <is>
          <t>22_DIL-M</t>
        </is>
      </c>
      <c r="G1956" t="inlineStr">
        <is>
          <t>LASTSCHUETZ</t>
        </is>
      </c>
      <c r="H1956" t="inlineStr">
        <is>
          <t>30 kW</t>
        </is>
      </c>
      <c r="I1956">
        <v>317</v>
      </c>
      <c r="J1956">
        <f>GS01/155.2</f>
        <v>0</v>
      </c>
      <c r="K1956" t="inlineStr">
        <is>
          <t>DIL2AM</t>
        </is>
      </c>
      <c r="M1956" t="inlineStr">
        <is>
          <t>-155K1</t>
        </is>
      </c>
    </row>
    <row r="1957">
      <c r="A1957">
        <v>1956</v>
      </c>
      <c r="B1957">
        <f>GS01</f>
        <v>0</v>
      </c>
      <c r="C1957" t="inlineStr">
        <is>
          <t>+LS3</t>
        </is>
      </c>
      <c r="D1957" t="inlineStr">
        <is>
          <t>-155K1</t>
        </is>
      </c>
      <c r="E1957" t="inlineStr">
        <is>
          <t>22_DIL-M</t>
        </is>
      </c>
      <c r="F1957" t="inlineStr">
        <is>
          <t>22_DIL-M</t>
        </is>
      </c>
      <c r="G1957" t="inlineStr">
        <is>
          <t>HILFSKONTAKTBLOCK</t>
        </is>
      </c>
      <c r="H1957" t="inlineStr">
        <is>
          <t>2S 2OE Lastschuetz DIL M</t>
        </is>
      </c>
      <c r="I1957">
        <v>317</v>
      </c>
      <c r="J1957">
        <f>GS01/155.2</f>
        <v>0</v>
      </c>
      <c r="K1957" t="inlineStr">
        <is>
          <t>DIL2AM</t>
        </is>
      </c>
      <c r="M1957" t="inlineStr">
        <is>
          <t>-155K1</t>
        </is>
      </c>
    </row>
    <row r="1958">
      <c r="A1958">
        <v>1957</v>
      </c>
      <c r="B1958">
        <f>GS02</f>
        <v>0</v>
      </c>
      <c r="C1958" t="inlineStr">
        <is>
          <t>+LS2</t>
        </is>
      </c>
      <c r="D1958" t="inlineStr">
        <is>
          <t>-155K1</t>
        </is>
      </c>
      <c r="E1958" t="inlineStr">
        <is>
          <t>22_DIL-M</t>
        </is>
      </c>
      <c r="F1958" t="inlineStr">
        <is>
          <t>22_DIL-M</t>
        </is>
      </c>
      <c r="G1958" t="inlineStr">
        <is>
          <t>HILFSKONTAKTBLOCK</t>
        </is>
      </c>
      <c r="H1958" t="inlineStr">
        <is>
          <t>2S 2OE Lastschuetz DIL M</t>
        </is>
      </c>
      <c r="I1958">
        <v>555</v>
      </c>
      <c r="J1958">
        <f>GS02/155.2</f>
        <v>0</v>
      </c>
      <c r="K1958" t="inlineStr">
        <is>
          <t>DIL0AM</t>
        </is>
      </c>
      <c r="M1958" t="inlineStr">
        <is>
          <t>-155K1</t>
        </is>
      </c>
    </row>
    <row r="1959">
      <c r="A1959">
        <v>1958</v>
      </c>
      <c r="B1959">
        <f>GS02</f>
        <v>0</v>
      </c>
      <c r="C1959" t="inlineStr">
        <is>
          <t>+LS2</t>
        </is>
      </c>
      <c r="D1959" t="inlineStr">
        <is>
          <t>-155K1</t>
        </is>
      </c>
      <c r="E1959" t="inlineStr">
        <is>
          <t>DIL_0AM</t>
        </is>
      </c>
      <c r="F1959" t="inlineStr">
        <is>
          <t>22_DIL-M</t>
        </is>
      </c>
      <c r="G1959" t="inlineStr">
        <is>
          <t>LASTSCHUETZ</t>
        </is>
      </c>
      <c r="H1959" t="inlineStr">
        <is>
          <t>11 kW</t>
        </is>
      </c>
      <c r="I1959">
        <v>555</v>
      </c>
      <c r="J1959">
        <f>GS02/155.2</f>
        <v>0</v>
      </c>
      <c r="K1959" t="inlineStr">
        <is>
          <t>DIL0AM</t>
        </is>
      </c>
      <c r="M1959" t="inlineStr">
        <is>
          <t>-155K1</t>
        </is>
      </c>
    </row>
    <row r="1960">
      <c r="A1960">
        <v>1959</v>
      </c>
      <c r="B1960">
        <f>GS13</f>
        <v>0</v>
      </c>
      <c r="C1960" t="inlineStr">
        <is>
          <t>+LS2</t>
        </is>
      </c>
      <c r="D1960" t="inlineStr">
        <is>
          <t>-155K1</t>
        </is>
      </c>
      <c r="E1960" t="inlineStr">
        <is>
          <t>DIL_0AM</t>
        </is>
      </c>
      <c r="F1960" t="inlineStr">
        <is>
          <t>22_DIL-M</t>
        </is>
      </c>
      <c r="G1960" t="inlineStr">
        <is>
          <t>LASTSCHUETZ</t>
        </is>
      </c>
      <c r="H1960" t="inlineStr">
        <is>
          <t>11 kW</t>
        </is>
      </c>
      <c r="I1960">
        <v>394</v>
      </c>
      <c r="J1960">
        <f>GS13/155.2</f>
        <v>0</v>
      </c>
      <c r="K1960" t="inlineStr">
        <is>
          <t>DIL0AM</t>
        </is>
      </c>
      <c r="M1960" t="inlineStr">
        <is>
          <t>-155K1</t>
        </is>
      </c>
    </row>
    <row r="1961">
      <c r="A1961">
        <v>1960</v>
      </c>
      <c r="B1961">
        <f>GS13</f>
        <v>0</v>
      </c>
      <c r="C1961" t="inlineStr">
        <is>
          <t>+LS2</t>
        </is>
      </c>
      <c r="D1961" t="inlineStr">
        <is>
          <t>-155K1</t>
        </is>
      </c>
      <c r="E1961" t="inlineStr">
        <is>
          <t>22_DIL-M</t>
        </is>
      </c>
      <c r="F1961" t="inlineStr">
        <is>
          <t>22_DIL-M</t>
        </is>
      </c>
      <c r="G1961" t="inlineStr">
        <is>
          <t>HILFSKONTAKTBLOCK</t>
        </is>
      </c>
      <c r="H1961" t="inlineStr">
        <is>
          <t>2S 2OE Lastschuetz DIL M</t>
        </is>
      </c>
      <c r="I1961">
        <v>394</v>
      </c>
      <c r="J1961">
        <f>GS13/155.2</f>
        <v>0</v>
      </c>
      <c r="K1961" t="inlineStr">
        <is>
          <t>DIL0AM</t>
        </is>
      </c>
      <c r="M1961" t="inlineStr">
        <is>
          <t>-155K1</t>
        </is>
      </c>
    </row>
    <row r="1962">
      <c r="A1962">
        <v>1961</v>
      </c>
      <c r="B1962">
        <f>GS14</f>
        <v>0</v>
      </c>
      <c r="C1962" t="inlineStr">
        <is>
          <t>+LS3</t>
        </is>
      </c>
      <c r="D1962" t="inlineStr">
        <is>
          <t>-155K1</t>
        </is>
      </c>
      <c r="E1962" t="inlineStr">
        <is>
          <t>DIL_0AM</t>
        </is>
      </c>
      <c r="F1962" t="inlineStr">
        <is>
          <t>22_DIL-M</t>
        </is>
      </c>
      <c r="G1962" t="inlineStr">
        <is>
          <t>LASTSCHUETZ</t>
        </is>
      </c>
      <c r="H1962" t="inlineStr">
        <is>
          <t>11 kW</t>
        </is>
      </c>
      <c r="I1962">
        <v>281</v>
      </c>
      <c r="J1962">
        <f>GS14/155.2</f>
        <v>0</v>
      </c>
      <c r="K1962" t="inlineStr">
        <is>
          <t>DIL0AM</t>
        </is>
      </c>
      <c r="M1962" t="inlineStr">
        <is>
          <t>-155K1</t>
        </is>
      </c>
    </row>
    <row r="1963">
      <c r="A1963">
        <v>1962</v>
      </c>
      <c r="B1963">
        <f>GS14</f>
        <v>0</v>
      </c>
      <c r="C1963" t="inlineStr">
        <is>
          <t>+LS3</t>
        </is>
      </c>
      <c r="D1963" t="inlineStr">
        <is>
          <t>-155K1</t>
        </is>
      </c>
      <c r="E1963" t="inlineStr">
        <is>
          <t>22_DIL-M</t>
        </is>
      </c>
      <c r="F1963" t="inlineStr">
        <is>
          <t>22_DIL-M</t>
        </is>
      </c>
      <c r="G1963" t="inlineStr">
        <is>
          <t>HILFSKONTAKTBLOCK</t>
        </is>
      </c>
      <c r="H1963" t="inlineStr">
        <is>
          <t>2S 2OE Lastschuetz DIL M</t>
        </is>
      </c>
      <c r="I1963">
        <v>281</v>
      </c>
      <c r="J1963">
        <f>GS14/155.2</f>
        <v>0</v>
      </c>
      <c r="K1963" t="inlineStr">
        <is>
          <t>DIL0AM</t>
        </is>
      </c>
      <c r="M1963" t="inlineStr">
        <is>
          <t>-155K1</t>
        </is>
      </c>
    </row>
    <row r="1964">
      <c r="A1964">
        <v>1963</v>
      </c>
      <c r="B1964">
        <f>GS23</f>
        <v>0</v>
      </c>
      <c r="C1964" t="inlineStr">
        <is>
          <t>+LS2</t>
        </is>
      </c>
      <c r="D1964" t="inlineStr">
        <is>
          <t>-155K1</t>
        </is>
      </c>
      <c r="E1964" t="inlineStr">
        <is>
          <t>22_DIL-M</t>
        </is>
      </c>
      <c r="F1964" t="inlineStr">
        <is>
          <t>22_DIL-M</t>
        </is>
      </c>
      <c r="G1964" t="inlineStr">
        <is>
          <t>HILFSKONTAKTBLOCK</t>
        </is>
      </c>
      <c r="H1964" t="inlineStr">
        <is>
          <t>2S 2OE Lastschuetz DIL M</t>
        </is>
      </c>
      <c r="I1964">
        <v>454</v>
      </c>
      <c r="J1964">
        <f>GS23/155.2</f>
        <v>0</v>
      </c>
      <c r="K1964" t="inlineStr">
        <is>
          <t>DIL0AM</t>
        </is>
      </c>
      <c r="M1964" t="inlineStr">
        <is>
          <t>-155K1</t>
        </is>
      </c>
    </row>
    <row r="1965">
      <c r="A1965">
        <v>1964</v>
      </c>
      <c r="B1965">
        <f>GS23</f>
        <v>0</v>
      </c>
      <c r="C1965" t="inlineStr">
        <is>
          <t>+LS2</t>
        </is>
      </c>
      <c r="D1965" t="inlineStr">
        <is>
          <t>-155K1</t>
        </is>
      </c>
      <c r="E1965" t="inlineStr">
        <is>
          <t>DIL_0AM</t>
        </is>
      </c>
      <c r="F1965" t="inlineStr">
        <is>
          <t>22_DIL-M</t>
        </is>
      </c>
      <c r="G1965" t="inlineStr">
        <is>
          <t>LASTSCHUETZ</t>
        </is>
      </c>
      <c r="H1965" t="inlineStr">
        <is>
          <t>11 kW</t>
        </is>
      </c>
      <c r="I1965">
        <v>454</v>
      </c>
      <c r="J1965">
        <f>GS23/155.2</f>
        <v>0</v>
      </c>
      <c r="K1965" t="inlineStr">
        <is>
          <t>DIL0AM</t>
        </is>
      </c>
      <c r="M1965" t="inlineStr">
        <is>
          <t>-155K1</t>
        </is>
      </c>
    </row>
    <row r="1966">
      <c r="A1966">
        <v>1965</v>
      </c>
      <c r="B1966">
        <f>GS24</f>
        <v>0</v>
      </c>
      <c r="C1966" t="inlineStr">
        <is>
          <t>+LS3</t>
        </is>
      </c>
      <c r="D1966" t="inlineStr">
        <is>
          <t>-155K1</t>
        </is>
      </c>
      <c r="E1966" t="inlineStr">
        <is>
          <t>22_DIL-M</t>
        </is>
      </c>
      <c r="F1966" t="inlineStr">
        <is>
          <t>22_DIL-M</t>
        </is>
      </c>
      <c r="G1966" t="inlineStr">
        <is>
          <t>HILFSKONTAKTBLOCK</t>
        </is>
      </c>
      <c r="H1966" t="inlineStr">
        <is>
          <t>2S 2OE Lastschuetz DIL M</t>
        </is>
      </c>
      <c r="I1966">
        <v>924</v>
      </c>
      <c r="J1966">
        <f>GS24/155.2</f>
        <v>0</v>
      </c>
      <c r="K1966" t="inlineStr">
        <is>
          <t>DIL0AM</t>
        </is>
      </c>
      <c r="M1966" t="inlineStr">
        <is>
          <t>-155K1</t>
        </is>
      </c>
    </row>
    <row r="1967">
      <c r="A1967">
        <v>1966</v>
      </c>
      <c r="B1967">
        <f>GS24</f>
        <v>0</v>
      </c>
      <c r="C1967" t="inlineStr">
        <is>
          <t>+LS3</t>
        </is>
      </c>
      <c r="D1967" t="inlineStr">
        <is>
          <t>-155K1</t>
        </is>
      </c>
      <c r="E1967" t="inlineStr">
        <is>
          <t>DIL_0AM</t>
        </is>
      </c>
      <c r="F1967" t="inlineStr">
        <is>
          <t>22_DIL-M</t>
        </is>
      </c>
      <c r="G1967" t="inlineStr">
        <is>
          <t>LASTSCHUETZ</t>
        </is>
      </c>
      <c r="H1967" t="inlineStr">
        <is>
          <t>11 kW</t>
        </is>
      </c>
      <c r="I1967">
        <v>924</v>
      </c>
      <c r="J1967">
        <f>GS24/155.2</f>
        <v>0</v>
      </c>
      <c r="K1967" t="inlineStr">
        <is>
          <t>DIL0AM</t>
        </is>
      </c>
      <c r="M1967" t="inlineStr">
        <is>
          <t>-155K1</t>
        </is>
      </c>
    </row>
    <row r="1968">
      <c r="A1968">
        <v>1967</v>
      </c>
      <c r="B1968">
        <f>GS32</f>
        <v>0</v>
      </c>
      <c r="C1968" t="inlineStr">
        <is>
          <t>+LS3</t>
        </is>
      </c>
      <c r="D1968" t="inlineStr">
        <is>
          <t>-155K1</t>
        </is>
      </c>
      <c r="E1968" t="inlineStr">
        <is>
          <t>22_DIL-M</t>
        </is>
      </c>
      <c r="F1968" t="inlineStr">
        <is>
          <t>22_DIL-M</t>
        </is>
      </c>
      <c r="G1968" t="inlineStr">
        <is>
          <t>HILFSKONTAKTBLOCK</t>
        </is>
      </c>
      <c r="H1968" t="inlineStr">
        <is>
          <t>2S 2OE Lastschuetz DIL M</t>
        </is>
      </c>
      <c r="I1968">
        <v>1194</v>
      </c>
      <c r="J1968">
        <f>GS32/155.2</f>
        <v>0</v>
      </c>
      <c r="K1968" t="inlineStr">
        <is>
          <t>DIL0AM</t>
        </is>
      </c>
      <c r="M1968" t="inlineStr">
        <is>
          <t>-155K1</t>
        </is>
      </c>
    </row>
    <row r="1969">
      <c r="A1969">
        <v>1968</v>
      </c>
      <c r="B1969">
        <f>GS32</f>
        <v>0</v>
      </c>
      <c r="C1969" t="inlineStr">
        <is>
          <t>+LS3</t>
        </is>
      </c>
      <c r="D1969" t="inlineStr">
        <is>
          <t>-155K1</t>
        </is>
      </c>
      <c r="E1969" t="inlineStr">
        <is>
          <t>DIL_0AM</t>
        </is>
      </c>
      <c r="F1969" t="inlineStr">
        <is>
          <t>22_DIL-M</t>
        </is>
      </c>
      <c r="G1969" t="inlineStr">
        <is>
          <t>LASTSCHUETZ</t>
        </is>
      </c>
      <c r="H1969" t="inlineStr">
        <is>
          <t>11 kW</t>
        </is>
      </c>
      <c r="I1969">
        <v>1194</v>
      </c>
      <c r="J1969">
        <f>GS32/155.2</f>
        <v>0</v>
      </c>
      <c r="K1969" t="inlineStr">
        <is>
          <t>DIL0AM</t>
        </is>
      </c>
      <c r="M1969" t="inlineStr">
        <is>
          <t>-155K1</t>
        </is>
      </c>
    </row>
    <row r="1970">
      <c r="A1970">
        <v>1969</v>
      </c>
      <c r="B1970">
        <f>GS37</f>
        <v>0</v>
      </c>
      <c r="C1970" t="inlineStr">
        <is>
          <t>+LS02</t>
        </is>
      </c>
      <c r="D1970" t="inlineStr">
        <is>
          <t>-155K1</t>
        </is>
      </c>
      <c r="E1970" t="inlineStr">
        <is>
          <t>DILA-31</t>
        </is>
      </c>
      <c r="F1970" t="inlineStr">
        <is>
          <t>#KALK!</t>
        </is>
      </c>
      <c r="G1970" t="inlineStr">
        <is>
          <t>HILFSSCHUETZ</t>
        </is>
      </c>
      <c r="H1970" t="inlineStr">
        <is>
          <t>3S 1Oe Federzugkl.</t>
        </is>
      </c>
      <c r="I1970">
        <v>301</v>
      </c>
      <c r="J1970">
        <f>GS37/155.5</f>
        <v>0</v>
      </c>
      <c r="M1970" t="inlineStr">
        <is>
          <t>-155K1</t>
        </is>
      </c>
    </row>
    <row r="1971">
      <c r="A1971">
        <v>1970</v>
      </c>
      <c r="B1971">
        <f>GS38</f>
        <v>0</v>
      </c>
      <c r="C1971" t="inlineStr">
        <is>
          <t>+LS02</t>
        </is>
      </c>
      <c r="D1971" t="inlineStr">
        <is>
          <t>-155K1</t>
        </is>
      </c>
      <c r="E1971" t="inlineStr">
        <is>
          <t>DILA-XHIC40</t>
        </is>
      </c>
      <c r="F1971" t="inlineStr">
        <is>
          <t>DILA-XHIC40</t>
        </is>
      </c>
      <c r="G1971" t="inlineStr">
        <is>
          <t>HILFSKONTAKTBLOCK</t>
        </is>
      </c>
      <c r="H1971" t="inlineStr">
        <is>
          <t>4S Last+Hilfssch. Cage</t>
        </is>
      </c>
      <c r="I1971">
        <v>291</v>
      </c>
      <c r="J1971">
        <f>GS38/155.5</f>
        <v>0</v>
      </c>
      <c r="M1971" t="inlineStr">
        <is>
          <t>-155K1</t>
        </is>
      </c>
    </row>
    <row r="1972">
      <c r="A1972">
        <v>1971</v>
      </c>
      <c r="B1972">
        <f>GS38</f>
        <v>0</v>
      </c>
      <c r="C1972" t="inlineStr">
        <is>
          <t>+LS02</t>
        </is>
      </c>
      <c r="D1972" t="inlineStr">
        <is>
          <t>-155K1</t>
        </is>
      </c>
      <c r="E1972" t="inlineStr">
        <is>
          <t>DILA-40</t>
        </is>
      </c>
      <c r="F1972" t="inlineStr">
        <is>
          <t>DILA-XHIC40</t>
        </is>
      </c>
      <c r="G1972" t="inlineStr">
        <is>
          <t>HILFSSCHUETZ</t>
        </is>
      </c>
      <c r="H1972" t="inlineStr">
        <is>
          <t>4S Federzugkl.</t>
        </is>
      </c>
      <c r="I1972">
        <v>291</v>
      </c>
      <c r="J1972">
        <f>GS38/155.5</f>
        <v>0</v>
      </c>
      <c r="M1972" t="inlineStr">
        <is>
          <t>-155K1</t>
        </is>
      </c>
    </row>
    <row r="1973">
      <c r="A1973">
        <v>1972</v>
      </c>
      <c r="B1973">
        <f>GS39</f>
        <v>0</v>
      </c>
      <c r="C1973" t="inlineStr">
        <is>
          <t>+LS02</t>
        </is>
      </c>
      <c r="D1973" t="inlineStr">
        <is>
          <t>-155K1</t>
        </is>
      </c>
      <c r="E1973" t="inlineStr">
        <is>
          <t>DILA-40</t>
        </is>
      </c>
      <c r="F1973" t="inlineStr">
        <is>
          <t>DILA-XHIC40</t>
        </is>
      </c>
      <c r="G1973" t="inlineStr">
        <is>
          <t>HILFSSCHUETZ</t>
        </is>
      </c>
      <c r="H1973" t="inlineStr">
        <is>
          <t>4S Federzugkl.</t>
        </is>
      </c>
      <c r="I1973">
        <v>341</v>
      </c>
      <c r="J1973">
        <f>GS39/155.5</f>
        <v>0</v>
      </c>
      <c r="M1973" t="inlineStr">
        <is>
          <t>-155K1</t>
        </is>
      </c>
    </row>
    <row r="1974">
      <c r="A1974">
        <v>1973</v>
      </c>
      <c r="B1974">
        <f>GS39</f>
        <v>0</v>
      </c>
      <c r="C1974" t="inlineStr">
        <is>
          <t>+LS02</t>
        </is>
      </c>
      <c r="D1974" t="inlineStr">
        <is>
          <t>-155K1</t>
        </is>
      </c>
      <c r="E1974" t="inlineStr">
        <is>
          <t>DILA-XHIC40</t>
        </is>
      </c>
      <c r="F1974" t="inlineStr">
        <is>
          <t>DILA-XHIC40</t>
        </is>
      </c>
      <c r="G1974" t="inlineStr">
        <is>
          <t>HILFSKONTAKTBLOCK</t>
        </is>
      </c>
      <c r="H1974" t="inlineStr">
        <is>
          <t>4S Last+Hilfssch. Cage</t>
        </is>
      </c>
      <c r="I1974">
        <v>341</v>
      </c>
      <c r="J1974">
        <f>GS39/155.5</f>
        <v>0</v>
      </c>
      <c r="M1974" t="inlineStr">
        <is>
          <t>-155K1</t>
        </is>
      </c>
    </row>
    <row r="1975">
      <c r="A1975">
        <v>1974</v>
      </c>
      <c r="B1975">
        <f>GS46</f>
        <v>0</v>
      </c>
      <c r="C1975" t="inlineStr">
        <is>
          <t>+LS01</t>
        </is>
      </c>
      <c r="D1975" t="inlineStr">
        <is>
          <t>-155K1</t>
        </is>
      </c>
      <c r="E1975" t="inlineStr">
        <is>
          <t>DILA-22</t>
        </is>
      </c>
      <c r="F1975" t="inlineStr">
        <is>
          <t>#KALK!</t>
        </is>
      </c>
      <c r="G1975" t="inlineStr">
        <is>
          <t>HILFSSCHUETZ</t>
        </is>
      </c>
      <c r="H1975" t="inlineStr">
        <is>
          <t>2S 2Oe Federzugkl.</t>
        </is>
      </c>
      <c r="I1975">
        <v>469</v>
      </c>
      <c r="J1975">
        <f>GS46/155.5</f>
        <v>0</v>
      </c>
      <c r="M1975" t="inlineStr">
        <is>
          <t>-155K1</t>
        </is>
      </c>
    </row>
    <row r="1976">
      <c r="A1976">
        <v>1975</v>
      </c>
      <c r="B1976">
        <f>GS47</f>
        <v>0</v>
      </c>
      <c r="C1976" t="inlineStr">
        <is>
          <t>+LS01</t>
        </is>
      </c>
      <c r="D1976" t="inlineStr">
        <is>
          <t>-155K1</t>
        </is>
      </c>
      <c r="E1976" t="inlineStr">
        <is>
          <t>DILA-22</t>
        </is>
      </c>
      <c r="F1976" t="inlineStr">
        <is>
          <t>#KALK!</t>
        </is>
      </c>
      <c r="G1976" t="inlineStr">
        <is>
          <t>HILFSSCHUETZ</t>
        </is>
      </c>
      <c r="H1976" t="inlineStr">
        <is>
          <t>2S 2Oe Federzugkl.</t>
        </is>
      </c>
      <c r="I1976">
        <v>469</v>
      </c>
      <c r="J1976">
        <f>GS47/155.5</f>
        <v>0</v>
      </c>
      <c r="M1976" t="inlineStr">
        <is>
          <t>-155K1</t>
        </is>
      </c>
    </row>
    <row r="1977">
      <c r="A1977">
        <v>1976</v>
      </c>
      <c r="B1977">
        <f>GS48</f>
        <v>0</v>
      </c>
      <c r="C1977" t="inlineStr">
        <is>
          <t>+LS01</t>
        </is>
      </c>
      <c r="D1977" t="inlineStr">
        <is>
          <t>-155K1</t>
        </is>
      </c>
      <c r="E1977" t="inlineStr">
        <is>
          <t>DILA-22</t>
        </is>
      </c>
      <c r="F1977" t="inlineStr">
        <is>
          <t>#KALK!</t>
        </is>
      </c>
      <c r="G1977" t="inlineStr">
        <is>
          <t>HILFSSCHUETZ</t>
        </is>
      </c>
      <c r="H1977" t="inlineStr">
        <is>
          <t>2S 2Oe Federzugkl.</t>
        </is>
      </c>
      <c r="I1977">
        <v>307</v>
      </c>
      <c r="J1977">
        <f>GS48/155.5</f>
        <v>0</v>
      </c>
      <c r="M1977" t="inlineStr">
        <is>
          <t>-155K1</t>
        </is>
      </c>
    </row>
    <row r="1978">
      <c r="A1978">
        <v>1977</v>
      </c>
      <c r="B1978">
        <f>GS92</f>
        <v>0</v>
      </c>
      <c r="C1978" t="inlineStr">
        <is>
          <t>+LS02</t>
        </is>
      </c>
      <c r="D1978" t="inlineStr">
        <is>
          <t>-155K159.4</t>
        </is>
      </c>
      <c r="E1978" t="inlineStr">
        <is>
          <t>DILA-40</t>
        </is>
      </c>
      <c r="F1978" t="inlineStr">
        <is>
          <t>#KALK!</t>
        </is>
      </c>
      <c r="G1978" t="inlineStr">
        <is>
          <t>HILFSSCHUETZ</t>
        </is>
      </c>
      <c r="H1978" t="inlineStr">
        <is>
          <t>4S Federzugkl.</t>
        </is>
      </c>
      <c r="I1978">
        <v>302</v>
      </c>
      <c r="J1978">
        <f>GS92/155.7</f>
        <v>0</v>
      </c>
      <c r="M1978" t="inlineStr">
        <is>
          <t>-155K159.4</t>
        </is>
      </c>
    </row>
    <row r="1979">
      <c r="A1979">
        <v>1978</v>
      </c>
      <c r="B1979">
        <f>GS93</f>
        <v>0</v>
      </c>
      <c r="C1979" t="inlineStr">
        <is>
          <t>+LS02</t>
        </is>
      </c>
      <c r="D1979" t="inlineStr">
        <is>
          <t>-155K159.4</t>
        </is>
      </c>
      <c r="E1979" t="inlineStr">
        <is>
          <t>DILA-40</t>
        </is>
      </c>
      <c r="F1979" t="inlineStr">
        <is>
          <t>#KALK!</t>
        </is>
      </c>
      <c r="G1979" t="inlineStr">
        <is>
          <t>HILFSSCHUETZ</t>
        </is>
      </c>
      <c r="H1979" t="inlineStr">
        <is>
          <t>4S Federzugkl.</t>
        </is>
      </c>
      <c r="I1979">
        <v>714</v>
      </c>
      <c r="J1979">
        <f>GS93/155.7</f>
        <v>0</v>
      </c>
      <c r="M1979" t="inlineStr">
        <is>
          <t>-155K159.4</t>
        </is>
      </c>
    </row>
    <row r="1980">
      <c r="A1980">
        <v>1979</v>
      </c>
      <c r="B1980">
        <f>GS94</f>
        <v>0</v>
      </c>
      <c r="C1980" t="inlineStr">
        <is>
          <t>+LS15</t>
        </is>
      </c>
      <c r="D1980" t="inlineStr">
        <is>
          <t>-155K171.4</t>
        </is>
      </c>
      <c r="E1980" t="inlineStr">
        <is>
          <t>DILA-40</t>
        </is>
      </c>
      <c r="F1980" t="inlineStr">
        <is>
          <t>#KALK!</t>
        </is>
      </c>
      <c r="G1980" t="inlineStr">
        <is>
          <t>HILFSSCHUETZ</t>
        </is>
      </c>
      <c r="H1980" t="inlineStr">
        <is>
          <t>4S Federzugkl.</t>
        </is>
      </c>
      <c r="I1980">
        <v>245</v>
      </c>
      <c r="J1980">
        <f>GS94/155.7</f>
        <v>0</v>
      </c>
      <c r="M1980" t="inlineStr">
        <is>
          <t>-155K171.4</t>
        </is>
      </c>
    </row>
    <row r="1981">
      <c r="A1981">
        <v>1980</v>
      </c>
      <c r="B1981">
        <f>GS95</f>
        <v>0</v>
      </c>
      <c r="C1981" t="inlineStr">
        <is>
          <t>+LS15</t>
        </is>
      </c>
      <c r="D1981" t="inlineStr">
        <is>
          <t>-155K171.4</t>
        </is>
      </c>
      <c r="E1981" t="inlineStr">
        <is>
          <t>DILA-40</t>
        </is>
      </c>
      <c r="F1981" t="inlineStr">
        <is>
          <t>#KALK!</t>
        </is>
      </c>
      <c r="G1981" t="inlineStr">
        <is>
          <t>HILFSSCHUETZ</t>
        </is>
      </c>
      <c r="H1981" t="inlineStr">
        <is>
          <t>4S Federzugkl.</t>
        </is>
      </c>
      <c r="I1981">
        <v>245</v>
      </c>
      <c r="J1981">
        <f>GS95/155.7</f>
        <v>0</v>
      </c>
      <c r="M1981" t="inlineStr">
        <is>
          <t>-155K171.4</t>
        </is>
      </c>
    </row>
    <row r="1982">
      <c r="A1982">
        <v>1981</v>
      </c>
      <c r="B1982">
        <f>GS96</f>
        <v>0</v>
      </c>
      <c r="C1982" t="inlineStr">
        <is>
          <t>+LS15</t>
        </is>
      </c>
      <c r="D1982" t="inlineStr">
        <is>
          <t>-155K171.4</t>
        </is>
      </c>
      <c r="E1982" t="inlineStr">
        <is>
          <t>DILA-40</t>
        </is>
      </c>
      <c r="F1982" t="inlineStr">
        <is>
          <t>#KALK!</t>
        </is>
      </c>
      <c r="G1982" t="inlineStr">
        <is>
          <t>HILFSSCHUETZ</t>
        </is>
      </c>
      <c r="H1982" t="inlineStr">
        <is>
          <t>4S Federzugkl.</t>
        </is>
      </c>
      <c r="I1982">
        <v>245</v>
      </c>
      <c r="J1982">
        <f>GS96/155.7</f>
        <v>0</v>
      </c>
      <c r="M1982" t="inlineStr">
        <is>
          <t>-155K171.4</t>
        </is>
      </c>
    </row>
    <row r="1983">
      <c r="A1983">
        <v>1982</v>
      </c>
      <c r="B1983">
        <f>GS97</f>
        <v>0</v>
      </c>
      <c r="C1983" t="inlineStr">
        <is>
          <t>+LS15</t>
        </is>
      </c>
      <c r="D1983" t="inlineStr">
        <is>
          <t>-155K171.4</t>
        </is>
      </c>
      <c r="E1983" t="inlineStr">
        <is>
          <t>DILA-40</t>
        </is>
      </c>
      <c r="F1983" t="inlineStr">
        <is>
          <t>#KALK!</t>
        </is>
      </c>
      <c r="G1983" t="inlineStr">
        <is>
          <t>HILFSSCHUETZ</t>
        </is>
      </c>
      <c r="H1983" t="inlineStr">
        <is>
          <t>4S Federzugkl.</t>
        </is>
      </c>
      <c r="I1983">
        <v>245</v>
      </c>
      <c r="J1983">
        <f>GS97/155.7</f>
        <v>0</v>
      </c>
      <c r="M1983" t="inlineStr">
        <is>
          <t>-155K171.4</t>
        </is>
      </c>
    </row>
    <row r="1984">
      <c r="A1984">
        <v>1983</v>
      </c>
      <c r="B1984">
        <f>GS13</f>
        <v>0</v>
      </c>
      <c r="C1984" t="inlineStr">
        <is>
          <t>+LS2</t>
        </is>
      </c>
      <c r="D1984" t="inlineStr">
        <is>
          <t>-155K2</t>
        </is>
      </c>
      <c r="E1984" t="inlineStr">
        <is>
          <t>DIL_0AM</t>
        </is>
      </c>
      <c r="F1984" t="inlineStr">
        <is>
          <t>22_DIL-M</t>
        </is>
      </c>
      <c r="G1984" t="inlineStr">
        <is>
          <t>LASTSCHUETZ</t>
        </is>
      </c>
      <c r="H1984" t="inlineStr">
        <is>
          <t>11 kW</t>
        </is>
      </c>
      <c r="I1984">
        <v>394</v>
      </c>
      <c r="J1984">
        <f>GS13/155.3</f>
        <v>0</v>
      </c>
      <c r="K1984" t="inlineStr">
        <is>
          <t>DIL0AM</t>
        </is>
      </c>
      <c r="M1984" t="inlineStr">
        <is>
          <t>-155K2</t>
        </is>
      </c>
    </row>
    <row r="1985">
      <c r="A1985">
        <v>1984</v>
      </c>
      <c r="B1985">
        <f>GS13</f>
        <v>0</v>
      </c>
      <c r="C1985" t="inlineStr">
        <is>
          <t>+LS2</t>
        </is>
      </c>
      <c r="D1985" t="inlineStr">
        <is>
          <t>-155K2</t>
        </is>
      </c>
      <c r="E1985" t="inlineStr">
        <is>
          <t>22_DIL-M</t>
        </is>
      </c>
      <c r="F1985" t="inlineStr">
        <is>
          <t>22_DIL-M</t>
        </is>
      </c>
      <c r="G1985" t="inlineStr">
        <is>
          <t>HILFSKONTAKTBLOCK</t>
        </is>
      </c>
      <c r="H1985" t="inlineStr">
        <is>
          <t>2S 2OE Lastschuetz DIL M</t>
        </is>
      </c>
      <c r="I1985">
        <v>394</v>
      </c>
      <c r="J1985">
        <f>GS13/155.3</f>
        <v>0</v>
      </c>
      <c r="K1985" t="inlineStr">
        <is>
          <t>DIL0AM</t>
        </is>
      </c>
      <c r="M1985" t="inlineStr">
        <is>
          <t>-155K2</t>
        </is>
      </c>
    </row>
    <row r="1986">
      <c r="A1986">
        <v>1985</v>
      </c>
      <c r="B1986">
        <f>GS23</f>
        <v>0</v>
      </c>
      <c r="C1986" t="inlineStr">
        <is>
          <t>+LS2</t>
        </is>
      </c>
      <c r="D1986" t="inlineStr">
        <is>
          <t>-155K2</t>
        </is>
      </c>
      <c r="E1986" t="inlineStr">
        <is>
          <t>22_DIL-M</t>
        </is>
      </c>
      <c r="F1986" t="inlineStr">
        <is>
          <t>22_DIL-M</t>
        </is>
      </c>
      <c r="G1986" t="inlineStr">
        <is>
          <t>HILFSKONTAKTBLOCK</t>
        </is>
      </c>
      <c r="H1986" t="inlineStr">
        <is>
          <t>2S 2OE Lastschuetz DIL M</t>
        </is>
      </c>
      <c r="I1986">
        <v>454</v>
      </c>
      <c r="J1986">
        <f>GS23/155.3</f>
        <v>0</v>
      </c>
      <c r="K1986" t="inlineStr">
        <is>
          <t>DIL0AM</t>
        </is>
      </c>
      <c r="M1986" t="inlineStr">
        <is>
          <t>-155K2</t>
        </is>
      </c>
    </row>
    <row r="1987">
      <c r="A1987">
        <v>1986</v>
      </c>
      <c r="B1987">
        <f>GS23</f>
        <v>0</v>
      </c>
      <c r="C1987" t="inlineStr">
        <is>
          <t>+LS2</t>
        </is>
      </c>
      <c r="D1987" t="inlineStr">
        <is>
          <t>-155K2</t>
        </is>
      </c>
      <c r="E1987" t="inlineStr">
        <is>
          <t>DIL_0AM</t>
        </is>
      </c>
      <c r="F1987" t="inlineStr">
        <is>
          <t>22_DIL-M</t>
        </is>
      </c>
      <c r="G1987" t="inlineStr">
        <is>
          <t>LASTSCHUETZ</t>
        </is>
      </c>
      <c r="H1987" t="inlineStr">
        <is>
          <t>11 kW</t>
        </is>
      </c>
      <c r="I1987">
        <v>454</v>
      </c>
      <c r="J1987">
        <f>GS23/155.3</f>
        <v>0</v>
      </c>
      <c r="K1987" t="inlineStr">
        <is>
          <t>DIL0AM</t>
        </is>
      </c>
      <c r="M1987" t="inlineStr">
        <is>
          <t>-155K2</t>
        </is>
      </c>
    </row>
    <row r="1988">
      <c r="A1988">
        <v>1987</v>
      </c>
      <c r="B1988">
        <f>GS46</f>
        <v>0</v>
      </c>
      <c r="C1988" t="inlineStr">
        <is>
          <t>+LS01</t>
        </is>
      </c>
      <c r="D1988" t="inlineStr">
        <is>
          <t>-155K2</t>
        </is>
      </c>
      <c r="E1988" t="inlineStr">
        <is>
          <t>DILA-22</t>
        </is>
      </c>
      <c r="F1988" t="inlineStr">
        <is>
          <t>#KALK!</t>
        </is>
      </c>
      <c r="G1988" t="inlineStr">
        <is>
          <t>HILFSSCHUETZ</t>
        </is>
      </c>
      <c r="H1988" t="inlineStr">
        <is>
          <t>2S 2Oe Federzugkl.</t>
        </is>
      </c>
      <c r="I1988">
        <v>469</v>
      </c>
      <c r="J1988">
        <f>GS46/155.6</f>
        <v>0</v>
      </c>
      <c r="M1988" t="inlineStr">
        <is>
          <t>-155K2</t>
        </is>
      </c>
    </row>
    <row r="1989">
      <c r="A1989">
        <v>1988</v>
      </c>
      <c r="B1989">
        <f>GS47</f>
        <v>0</v>
      </c>
      <c r="C1989" t="inlineStr">
        <is>
          <t>+LS01</t>
        </is>
      </c>
      <c r="D1989" t="inlineStr">
        <is>
          <t>-155K2</t>
        </is>
      </c>
      <c r="E1989" t="inlineStr">
        <is>
          <t>DILA-22</t>
        </is>
      </c>
      <c r="F1989" t="inlineStr">
        <is>
          <t>#KALK!</t>
        </is>
      </c>
      <c r="G1989" t="inlineStr">
        <is>
          <t>HILFSSCHUETZ</t>
        </is>
      </c>
      <c r="H1989" t="inlineStr">
        <is>
          <t>2S 2Oe Federzugkl.</t>
        </is>
      </c>
      <c r="I1989">
        <v>469</v>
      </c>
      <c r="J1989">
        <f>GS47/155.6</f>
        <v>0</v>
      </c>
      <c r="M1989" t="inlineStr">
        <is>
          <t>-155K2</t>
        </is>
      </c>
    </row>
    <row r="1990">
      <c r="A1990">
        <v>1989</v>
      </c>
      <c r="B1990">
        <f>GS48</f>
        <v>0</v>
      </c>
      <c r="C1990" t="inlineStr">
        <is>
          <t>+LS01</t>
        </is>
      </c>
      <c r="D1990" t="inlineStr">
        <is>
          <t>-155K2</t>
        </is>
      </c>
      <c r="E1990" t="inlineStr">
        <is>
          <t>DILA-22</t>
        </is>
      </c>
      <c r="F1990" t="inlineStr">
        <is>
          <t>#KALK!</t>
        </is>
      </c>
      <c r="G1990" t="inlineStr">
        <is>
          <t>HILFSSCHUETZ</t>
        </is>
      </c>
      <c r="H1990" t="inlineStr">
        <is>
          <t>2S 2Oe Federzugkl.</t>
        </is>
      </c>
      <c r="I1990">
        <v>307</v>
      </c>
      <c r="J1990">
        <f>GS48/155.6</f>
        <v>0</v>
      </c>
      <c r="M1990" t="inlineStr">
        <is>
          <t>-155K2</t>
        </is>
      </c>
    </row>
    <row r="1991">
      <c r="A1991">
        <v>1990</v>
      </c>
      <c r="B1991">
        <f>GS33</f>
        <v>0</v>
      </c>
      <c r="C1991" t="inlineStr">
        <is>
          <t>+LS2</t>
        </is>
      </c>
      <c r="D1991" t="inlineStr">
        <is>
          <t>-155K22.0</t>
        </is>
      </c>
      <c r="E1991" t="inlineStr">
        <is>
          <t>DIL_EM-10-G</t>
        </is>
      </c>
      <c r="F1991" t="inlineStr">
        <is>
          <t>#KALK!</t>
        </is>
      </c>
      <c r="G1991" t="inlineStr">
        <is>
          <t>LASTSCHUETZ</t>
        </is>
      </c>
      <c r="H1991" t="inlineStr">
        <is>
          <t>4kW 1S</t>
        </is>
      </c>
      <c r="I1991">
        <v>587</v>
      </c>
      <c r="J1991">
        <f>GS33/155.6</f>
        <v>0</v>
      </c>
      <c r="M1991" t="inlineStr">
        <is>
          <t>-155K22.0</t>
        </is>
      </c>
    </row>
    <row r="1992">
      <c r="A1992">
        <v>1991</v>
      </c>
      <c r="B1992">
        <f>GS34</f>
        <v>0</v>
      </c>
      <c r="C1992" t="inlineStr">
        <is>
          <t>+LS2</t>
        </is>
      </c>
      <c r="D1992" t="inlineStr">
        <is>
          <t>-155K22.4</t>
        </is>
      </c>
      <c r="E1992" t="inlineStr">
        <is>
          <t>DIL_EM-10-G</t>
        </is>
      </c>
      <c r="F1992" t="inlineStr">
        <is>
          <t>#KALK!</t>
        </is>
      </c>
      <c r="G1992" t="inlineStr">
        <is>
          <t>LASTSCHUETZ</t>
        </is>
      </c>
      <c r="H1992" t="inlineStr">
        <is>
          <t>4kW 1S</t>
        </is>
      </c>
      <c r="I1992">
        <v>279</v>
      </c>
      <c r="J1992">
        <f>GS34/155.6</f>
        <v>0</v>
      </c>
      <c r="M1992" t="inlineStr">
        <is>
          <t>-155K22.4</t>
        </is>
      </c>
    </row>
    <row r="1993">
      <c r="A1993">
        <v>1992</v>
      </c>
      <c r="B1993">
        <f>GS34</f>
        <v>0</v>
      </c>
      <c r="C1993" t="inlineStr">
        <is>
          <t>+LS2</t>
        </is>
      </c>
      <c r="D1993" t="inlineStr">
        <is>
          <t>-155K22.5</t>
        </is>
      </c>
      <c r="E1993" t="inlineStr">
        <is>
          <t>DIL_EM-10-G</t>
        </is>
      </c>
      <c r="F1993" t="inlineStr">
        <is>
          <t>#KALK!</t>
        </is>
      </c>
      <c r="G1993" t="inlineStr">
        <is>
          <t>LASTSCHUETZ</t>
        </is>
      </c>
      <c r="H1993" t="inlineStr">
        <is>
          <t>4kW 1S</t>
        </is>
      </c>
      <c r="I1993">
        <v>279</v>
      </c>
      <c r="J1993">
        <f>GS34/155.6</f>
        <v>0</v>
      </c>
      <c r="M1993" t="inlineStr">
        <is>
          <t>-155K22.5</t>
        </is>
      </c>
    </row>
    <row r="1994">
      <c r="A1994">
        <v>1993</v>
      </c>
      <c r="B1994">
        <f>GS16</f>
        <v>0</v>
      </c>
      <c r="C1994" t="inlineStr">
        <is>
          <t>+LS2</t>
        </is>
      </c>
      <c r="D1994" t="inlineStr">
        <is>
          <t>-155K32.4</t>
        </is>
      </c>
      <c r="E1994" t="inlineStr">
        <is>
          <t>DIL_EM-10-G</t>
        </is>
      </c>
      <c r="F1994" t="inlineStr">
        <is>
          <t>#KALK!</t>
        </is>
      </c>
      <c r="G1994" t="inlineStr">
        <is>
          <t>LASTSCHUETZ</t>
        </is>
      </c>
      <c r="H1994" t="inlineStr">
        <is>
          <t>4kW 1S</t>
        </is>
      </c>
      <c r="I1994">
        <v>376</v>
      </c>
      <c r="J1994">
        <f>GS16/155.6</f>
        <v>0</v>
      </c>
      <c r="M1994" t="inlineStr">
        <is>
          <t>-155K32.4</t>
        </is>
      </c>
    </row>
    <row r="1995">
      <c r="A1995">
        <v>1994</v>
      </c>
      <c r="B1995">
        <f>GS16</f>
        <v>0</v>
      </c>
      <c r="C1995" t="inlineStr">
        <is>
          <t>+LS2</t>
        </is>
      </c>
      <c r="D1995" t="inlineStr">
        <is>
          <t>-155K32.5</t>
        </is>
      </c>
      <c r="E1995" t="inlineStr">
        <is>
          <t>DIL_EM-10-G</t>
        </is>
      </c>
      <c r="F1995" t="inlineStr">
        <is>
          <t>#KALK!</t>
        </is>
      </c>
      <c r="G1995" t="inlineStr">
        <is>
          <t>LASTSCHUETZ</t>
        </is>
      </c>
      <c r="H1995" t="inlineStr">
        <is>
          <t>4kW 1S</t>
        </is>
      </c>
      <c r="I1995">
        <v>376</v>
      </c>
      <c r="J1995">
        <f>GS16/155.6</f>
        <v>0</v>
      </c>
      <c r="M1995" t="inlineStr">
        <is>
          <t>-155K32.5</t>
        </is>
      </c>
    </row>
    <row r="1996">
      <c r="A1996">
        <v>1995</v>
      </c>
      <c r="B1996">
        <f>GS11</f>
        <v>0</v>
      </c>
      <c r="C1996" t="inlineStr">
        <is>
          <t>+LS3</t>
        </is>
      </c>
      <c r="D1996" t="inlineStr">
        <is>
          <t>-155K37.3</t>
        </is>
      </c>
      <c r="E1996" t="inlineStr">
        <is>
          <t>DIL_EM-10-G</t>
        </is>
      </c>
      <c r="F1996" t="inlineStr">
        <is>
          <t>#KALK!</t>
        </is>
      </c>
      <c r="G1996" t="inlineStr">
        <is>
          <t>LASTSCHUETZ</t>
        </is>
      </c>
      <c r="H1996" t="inlineStr">
        <is>
          <t>4kW 1S</t>
        </is>
      </c>
      <c r="I1996">
        <v>266</v>
      </c>
      <c r="J1996">
        <f>GS11/155.7</f>
        <v>0</v>
      </c>
      <c r="M1996" t="inlineStr">
        <is>
          <t>-155K37.3</t>
        </is>
      </c>
    </row>
    <row r="1997">
      <c r="A1997">
        <v>1996</v>
      </c>
      <c r="B1997">
        <f>GS21</f>
        <v>0</v>
      </c>
      <c r="C1997" t="inlineStr">
        <is>
          <t>+LS3</t>
        </is>
      </c>
      <c r="D1997" t="inlineStr">
        <is>
          <t>-155K37.3</t>
        </is>
      </c>
      <c r="E1997" t="inlineStr">
        <is>
          <t>DIL_EM-10-G</t>
        </is>
      </c>
      <c r="F1997" t="inlineStr">
        <is>
          <t>#KALK!</t>
        </is>
      </c>
      <c r="G1997" t="inlineStr">
        <is>
          <t>LASTSCHUETZ</t>
        </is>
      </c>
      <c r="H1997" t="inlineStr">
        <is>
          <t>4kW 1S</t>
        </is>
      </c>
      <c r="I1997">
        <v>240</v>
      </c>
      <c r="J1997">
        <f>GS21/155.7</f>
        <v>0</v>
      </c>
      <c r="M1997" t="inlineStr">
        <is>
          <t>-155K37.3</t>
        </is>
      </c>
    </row>
    <row r="1998">
      <c r="A1998">
        <v>1997</v>
      </c>
      <c r="B1998">
        <f>GS37</f>
        <v>0</v>
      </c>
      <c r="C1998" t="inlineStr">
        <is>
          <t>+LS02</t>
        </is>
      </c>
      <c r="D1998" t="inlineStr">
        <is>
          <t>-155K422.0</t>
        </is>
      </c>
      <c r="E1998" t="inlineStr">
        <is>
          <t>DILA-40</t>
        </is>
      </c>
      <c r="F1998" t="inlineStr">
        <is>
          <t>#KALK!</t>
        </is>
      </c>
      <c r="G1998" t="inlineStr">
        <is>
          <t>HILFSSCHUETZ</t>
        </is>
      </c>
      <c r="H1998" t="inlineStr">
        <is>
          <t>4S Federzugkl.</t>
        </is>
      </c>
      <c r="I1998">
        <v>301</v>
      </c>
      <c r="J1998">
        <f>GS37/155.6</f>
        <v>0</v>
      </c>
      <c r="M1998" t="inlineStr">
        <is>
          <t>-155K422.0</t>
        </is>
      </c>
    </row>
    <row r="1999">
      <c r="A1999">
        <v>1998</v>
      </c>
      <c r="B1999">
        <f>GS91</f>
        <v>0</v>
      </c>
      <c r="C1999" t="inlineStr">
        <is>
          <t>+LS02</t>
        </is>
      </c>
      <c r="D1999" t="inlineStr">
        <is>
          <t>-155K442.0</t>
        </is>
      </c>
      <c r="E1999" t="inlineStr">
        <is>
          <t>DILA-40</t>
        </is>
      </c>
      <c r="F1999" t="inlineStr">
        <is>
          <t>#KALK!</t>
        </is>
      </c>
      <c r="G1999" t="inlineStr">
        <is>
          <t>HILFSSCHUETZ</t>
        </is>
      </c>
      <c r="H1999" t="inlineStr">
        <is>
          <t>4S Federzugkl.</t>
        </is>
      </c>
      <c r="I1999">
        <v>343</v>
      </c>
      <c r="J1999">
        <f>GS91/155.7</f>
        <v>0</v>
      </c>
      <c r="M1999" t="inlineStr">
        <is>
          <t>-155K442.0</t>
        </is>
      </c>
    </row>
    <row r="2000">
      <c r="A2000">
        <v>1999</v>
      </c>
      <c r="B2000">
        <f>GS33</f>
        <v>0</v>
      </c>
      <c r="C2000" t="inlineStr">
        <is>
          <t>+LS2</t>
        </is>
      </c>
      <c r="D2000" t="inlineStr">
        <is>
          <t>-155K53.4</t>
        </is>
      </c>
      <c r="E2000" t="inlineStr">
        <is>
          <t>DIL_EM-10-G</t>
        </is>
      </c>
      <c r="F2000" t="inlineStr">
        <is>
          <t>#KALK!</t>
        </is>
      </c>
      <c r="G2000" t="inlineStr">
        <is>
          <t>LASTSCHUETZ</t>
        </is>
      </c>
      <c r="H2000" t="inlineStr">
        <is>
          <t>4kW 1S</t>
        </is>
      </c>
      <c r="I2000">
        <v>587</v>
      </c>
      <c r="J2000">
        <f>GS33/155.6</f>
        <v>0</v>
      </c>
      <c r="M2000" t="inlineStr">
        <is>
          <t>-155K53.4</t>
        </is>
      </c>
    </row>
    <row r="2001">
      <c r="A2001">
        <v>2000</v>
      </c>
      <c r="B2001">
        <f>GS25</f>
        <v>0</v>
      </c>
      <c r="C2001" t="inlineStr">
        <is>
          <t>+LS3</t>
        </is>
      </c>
      <c r="D2001" t="inlineStr">
        <is>
          <t>-155K63.4</t>
        </is>
      </c>
      <c r="E2001" t="inlineStr">
        <is>
          <t>DIL_EM-10-G</t>
        </is>
      </c>
      <c r="F2001" t="inlineStr">
        <is>
          <t>#KALK!</t>
        </is>
      </c>
      <c r="G2001" t="inlineStr">
        <is>
          <t>LASTSCHUETZ</t>
        </is>
      </c>
      <c r="H2001" t="inlineStr">
        <is>
          <t>4kW 1S</t>
        </is>
      </c>
      <c r="I2001">
        <v>276</v>
      </c>
      <c r="J2001">
        <f>GS25/155.6</f>
        <v>0</v>
      </c>
      <c r="M2001" t="inlineStr">
        <is>
          <t>-155K63.4</t>
        </is>
      </c>
    </row>
    <row r="2002">
      <c r="A2002">
        <v>2001</v>
      </c>
      <c r="B2002">
        <f>GS38</f>
        <v>0</v>
      </c>
      <c r="C2002" t="inlineStr">
        <is>
          <t>+LS02</t>
        </is>
      </c>
      <c r="D2002" t="inlineStr">
        <is>
          <t>-155K713.4</t>
        </is>
      </c>
      <c r="E2002" t="inlineStr">
        <is>
          <t>DILA-40</t>
        </is>
      </c>
      <c r="F2002" t="inlineStr">
        <is>
          <t>#KALK!</t>
        </is>
      </c>
      <c r="G2002" t="inlineStr">
        <is>
          <t>HILFSSCHUETZ</t>
        </is>
      </c>
      <c r="H2002" t="inlineStr">
        <is>
          <t>4S Federzugkl.</t>
        </is>
      </c>
      <c r="I2002">
        <v>291</v>
      </c>
      <c r="J2002">
        <f>GS38/155.7</f>
        <v>0</v>
      </c>
      <c r="M2002" t="inlineStr">
        <is>
          <t>-155K713.4</t>
        </is>
      </c>
    </row>
    <row r="2003">
      <c r="A2003">
        <v>2002</v>
      </c>
      <c r="B2003">
        <f>GS39</f>
        <v>0</v>
      </c>
      <c r="C2003" t="inlineStr">
        <is>
          <t>+LS02</t>
        </is>
      </c>
      <c r="D2003" t="inlineStr">
        <is>
          <t>-155K713.4</t>
        </is>
      </c>
      <c r="E2003" t="inlineStr">
        <is>
          <t>DILA-40</t>
        </is>
      </c>
      <c r="F2003" t="inlineStr">
        <is>
          <t>#KALK!</t>
        </is>
      </c>
      <c r="G2003" t="inlineStr">
        <is>
          <t>HILFSSCHUETZ</t>
        </is>
      </c>
      <c r="H2003" t="inlineStr">
        <is>
          <t>4S Federzugkl.</t>
        </is>
      </c>
      <c r="I2003">
        <v>341</v>
      </c>
      <c r="J2003">
        <f>GS39/155.7</f>
        <v>0</v>
      </c>
      <c r="M2003" t="inlineStr">
        <is>
          <t>-155K713.4</t>
        </is>
      </c>
    </row>
    <row r="2004">
      <c r="A2004">
        <v>2003</v>
      </c>
      <c r="B2004">
        <f>GS06</f>
        <v>0</v>
      </c>
      <c r="C2004" t="inlineStr">
        <is>
          <t>+LS02</t>
        </is>
      </c>
      <c r="D2004" t="inlineStr">
        <is>
          <t>-155Q1</t>
        </is>
      </c>
      <c r="E2004" t="inlineStr">
        <is>
          <t>DILA-XHI22</t>
        </is>
      </c>
      <c r="F2004" t="inlineStr">
        <is>
          <t>DILA-XHI22</t>
        </is>
      </c>
      <c r="G2004" t="inlineStr">
        <is>
          <t>HILFSKONTAKTBLOCK</t>
        </is>
      </c>
      <c r="H2004" t="inlineStr">
        <is>
          <t>2S 2OE Last+Hilfssch. Cage</t>
        </is>
      </c>
      <c r="I2004">
        <v>1351</v>
      </c>
      <c r="J2004">
        <f>GS06/155.6</f>
        <v>0</v>
      </c>
      <c r="K2004" t="inlineStr">
        <is>
          <t>DIL MC25</t>
        </is>
      </c>
      <c r="M2004" t="inlineStr">
        <is>
          <t>-155Q1</t>
        </is>
      </c>
    </row>
    <row r="2005">
      <c r="A2005">
        <v>2004</v>
      </c>
      <c r="B2005">
        <f>GS06</f>
        <v>0</v>
      </c>
      <c r="C2005" t="inlineStr">
        <is>
          <t>+LS02</t>
        </is>
      </c>
      <c r="D2005" t="inlineStr">
        <is>
          <t>-155Q1</t>
        </is>
      </c>
      <c r="E2005" t="inlineStr">
        <is>
          <t>DILMC25-10(RDC24)</t>
        </is>
      </c>
      <c r="F2005" t="inlineStr">
        <is>
          <t>DILA-XHI22</t>
        </is>
      </c>
      <c r="G2005" t="inlineStr">
        <is>
          <t>LASTSCHUETZ</t>
        </is>
      </c>
      <c r="H2005" t="inlineStr">
        <is>
          <t>11kW 1S Federzugkl.</t>
        </is>
      </c>
      <c r="I2005">
        <v>1351</v>
      </c>
      <c r="J2005">
        <f>GS06/155.6</f>
        <v>0</v>
      </c>
      <c r="K2005" t="inlineStr">
        <is>
          <t>DIL MC25</t>
        </is>
      </c>
      <c r="M2005" t="inlineStr">
        <is>
          <t>-155Q1</t>
        </is>
      </c>
    </row>
    <row r="2006">
      <c r="A2006">
        <v>2005</v>
      </c>
      <c r="B2006">
        <f>GS37</f>
        <v>0</v>
      </c>
      <c r="C2006" t="inlineStr">
        <is>
          <t>+LS02</t>
        </is>
      </c>
      <c r="D2006" t="inlineStr">
        <is>
          <t>-155Q1</t>
        </is>
      </c>
      <c r="E2006" t="inlineStr">
        <is>
          <t>DILMC25-10(RDC24)</t>
        </is>
      </c>
      <c r="F2006" t="inlineStr">
        <is>
          <t>DILA-XHI22</t>
        </is>
      </c>
      <c r="G2006" t="inlineStr">
        <is>
          <t>LASTSCHUETZ</t>
        </is>
      </c>
      <c r="H2006" t="inlineStr">
        <is>
          <t>11kW 1S Federzugkl.</t>
        </is>
      </c>
      <c r="I2006">
        <v>301</v>
      </c>
      <c r="J2006">
        <f>GS37/155.3</f>
        <v>0</v>
      </c>
      <c r="K2006" t="inlineStr">
        <is>
          <t>DIL MC25</t>
        </is>
      </c>
      <c r="M2006" t="inlineStr">
        <is>
          <t>-155Q1</t>
        </is>
      </c>
    </row>
    <row r="2007">
      <c r="A2007">
        <v>2006</v>
      </c>
      <c r="B2007">
        <f>GS37</f>
        <v>0</v>
      </c>
      <c r="C2007" t="inlineStr">
        <is>
          <t>+LS02</t>
        </is>
      </c>
      <c r="D2007" t="inlineStr">
        <is>
          <t>-155Q1</t>
        </is>
      </c>
      <c r="E2007" t="inlineStr">
        <is>
          <t>DILA-XHI22</t>
        </is>
      </c>
      <c r="F2007" t="inlineStr">
        <is>
          <t>DILA-XHI22</t>
        </is>
      </c>
      <c r="G2007" t="inlineStr">
        <is>
          <t>HILFSKONTAKTBLOCK</t>
        </is>
      </c>
      <c r="H2007" t="inlineStr">
        <is>
          <t>2S 2OE Last+Hilfssch. Cage</t>
        </is>
      </c>
      <c r="I2007">
        <v>301</v>
      </c>
      <c r="J2007">
        <f>GS37/155.3</f>
        <v>0</v>
      </c>
      <c r="K2007" t="inlineStr">
        <is>
          <t>DIL MC25</t>
        </is>
      </c>
      <c r="M2007" t="inlineStr">
        <is>
          <t>-155Q1</t>
        </is>
      </c>
    </row>
    <row r="2008">
      <c r="A2008">
        <v>2007</v>
      </c>
      <c r="B2008">
        <f>GS38</f>
        <v>0</v>
      </c>
      <c r="C2008" t="inlineStr">
        <is>
          <t>+LS02</t>
        </is>
      </c>
      <c r="D2008" t="inlineStr">
        <is>
          <t>-155Q1</t>
        </is>
      </c>
      <c r="E2008" t="inlineStr">
        <is>
          <t>DILA-XHI22</t>
        </is>
      </c>
      <c r="F2008" t="inlineStr">
        <is>
          <t>DILA-XHI22</t>
        </is>
      </c>
      <c r="G2008" t="inlineStr">
        <is>
          <t>HILFSKONTAKTBLOCK</t>
        </is>
      </c>
      <c r="H2008" t="inlineStr">
        <is>
          <t>2S 2OE Last+Hilfssch. Cage</t>
        </is>
      </c>
      <c r="I2008">
        <v>291</v>
      </c>
      <c r="J2008">
        <f>GS38/155.3</f>
        <v>0</v>
      </c>
      <c r="K2008" t="inlineStr">
        <is>
          <t>DIL MC25</t>
        </is>
      </c>
      <c r="M2008" t="inlineStr">
        <is>
          <t>-155Q1</t>
        </is>
      </c>
    </row>
    <row r="2009">
      <c r="A2009">
        <v>2008</v>
      </c>
      <c r="B2009">
        <f>GS38</f>
        <v>0</v>
      </c>
      <c r="C2009" t="inlineStr">
        <is>
          <t>+LS02</t>
        </is>
      </c>
      <c r="D2009" t="inlineStr">
        <is>
          <t>-155Q1</t>
        </is>
      </c>
      <c r="E2009" t="inlineStr">
        <is>
          <t>DILMC25-10(RDC24)</t>
        </is>
      </c>
      <c r="F2009" t="inlineStr">
        <is>
          <t>DILA-XHI22</t>
        </is>
      </c>
      <c r="G2009" t="inlineStr">
        <is>
          <t>LASTSCHUETZ</t>
        </is>
      </c>
      <c r="H2009" t="inlineStr">
        <is>
          <t>11kW 1S Federzugkl.</t>
        </is>
      </c>
      <c r="I2009">
        <v>291</v>
      </c>
      <c r="J2009">
        <f>GS38/155.3</f>
        <v>0</v>
      </c>
      <c r="K2009" t="inlineStr">
        <is>
          <t>DIL MC25</t>
        </is>
      </c>
      <c r="M2009" t="inlineStr">
        <is>
          <t>-155Q1</t>
        </is>
      </c>
    </row>
    <row r="2010">
      <c r="A2010">
        <v>2009</v>
      </c>
      <c r="B2010">
        <f>GS39</f>
        <v>0</v>
      </c>
      <c r="C2010" t="inlineStr">
        <is>
          <t>+LS02</t>
        </is>
      </c>
      <c r="D2010" t="inlineStr">
        <is>
          <t>-155Q1</t>
        </is>
      </c>
      <c r="E2010" t="inlineStr">
        <is>
          <t>DILMC25-10(RDC24)</t>
        </is>
      </c>
      <c r="F2010" t="inlineStr">
        <is>
          <t>DILA-XHI22</t>
        </is>
      </c>
      <c r="G2010" t="inlineStr">
        <is>
          <t>LASTSCHUETZ</t>
        </is>
      </c>
      <c r="H2010" t="inlineStr">
        <is>
          <t>11kW 1S Federzugkl.</t>
        </is>
      </c>
      <c r="I2010">
        <v>341</v>
      </c>
      <c r="J2010">
        <f>GS39/155.3</f>
        <v>0</v>
      </c>
      <c r="K2010" t="inlineStr">
        <is>
          <t>DIL MC25</t>
        </is>
      </c>
      <c r="M2010" t="inlineStr">
        <is>
          <t>-155Q1</t>
        </is>
      </c>
    </row>
    <row r="2011">
      <c r="A2011">
        <v>2010</v>
      </c>
      <c r="B2011">
        <f>GS39</f>
        <v>0</v>
      </c>
      <c r="C2011" t="inlineStr">
        <is>
          <t>+LS02</t>
        </is>
      </c>
      <c r="D2011" t="inlineStr">
        <is>
          <t>-155Q1</t>
        </is>
      </c>
      <c r="E2011" t="inlineStr">
        <is>
          <t>DILA-XHI22</t>
        </is>
      </c>
      <c r="F2011" t="inlineStr">
        <is>
          <t>DILA-XHI22</t>
        </is>
      </c>
      <c r="G2011" t="inlineStr">
        <is>
          <t>HILFSKONTAKTBLOCK</t>
        </is>
      </c>
      <c r="H2011" t="inlineStr">
        <is>
          <t>2S 2OE Last+Hilfssch. Cage</t>
        </is>
      </c>
      <c r="I2011">
        <v>341</v>
      </c>
      <c r="J2011">
        <f>GS39/155.3</f>
        <v>0</v>
      </c>
      <c r="K2011" t="inlineStr">
        <is>
          <t>DIL MC25</t>
        </is>
      </c>
      <c r="M2011" t="inlineStr">
        <is>
          <t>-155Q1</t>
        </is>
      </c>
    </row>
    <row r="2012">
      <c r="A2012">
        <v>2011</v>
      </c>
      <c r="B2012">
        <f>GS69</f>
        <v>0</v>
      </c>
      <c r="C2012" t="inlineStr">
        <is>
          <t>+LS02</t>
        </is>
      </c>
      <c r="D2012" t="inlineStr">
        <is>
          <t>-155Q1</t>
        </is>
      </c>
      <c r="E2012" t="inlineStr">
        <is>
          <t>DILA-XHI22</t>
        </is>
      </c>
      <c r="F2012" t="inlineStr">
        <is>
          <t>DILA-XHI22</t>
        </is>
      </c>
      <c r="G2012" t="inlineStr">
        <is>
          <t>HILFSKONTAKTBLOCK</t>
        </is>
      </c>
      <c r="H2012" t="inlineStr">
        <is>
          <t>2S 2OE Last+Hilfssch. Cage</t>
        </is>
      </c>
      <c r="I2012">
        <v>326</v>
      </c>
      <c r="J2012">
        <f>GS69/155.6</f>
        <v>0</v>
      </c>
      <c r="K2012" t="inlineStr">
        <is>
          <t>DIL MC25</t>
        </is>
      </c>
      <c r="M2012" t="inlineStr">
        <is>
          <t>-155Q1</t>
        </is>
      </c>
    </row>
    <row r="2013">
      <c r="A2013">
        <v>2012</v>
      </c>
      <c r="B2013">
        <f>GS69</f>
        <v>0</v>
      </c>
      <c r="C2013" t="inlineStr">
        <is>
          <t>+LS02</t>
        </is>
      </c>
      <c r="D2013" t="inlineStr">
        <is>
          <t>-155Q1</t>
        </is>
      </c>
      <c r="E2013" t="inlineStr">
        <is>
          <t>DILMC25-10(RDC24)</t>
        </is>
      </c>
      <c r="F2013" t="inlineStr">
        <is>
          <t>DILA-XHI22</t>
        </is>
      </c>
      <c r="G2013" t="inlineStr">
        <is>
          <t>LASTSCHUETZ</t>
        </is>
      </c>
      <c r="H2013" t="inlineStr">
        <is>
          <t>11kW 1S Federzugkl.</t>
        </is>
      </c>
      <c r="I2013">
        <v>326</v>
      </c>
      <c r="J2013">
        <f>GS69/155.6</f>
        <v>0</v>
      </c>
      <c r="K2013" t="inlineStr">
        <is>
          <t>DIL MC25</t>
        </is>
      </c>
      <c r="M2013" t="inlineStr">
        <is>
          <t>-155Q1</t>
        </is>
      </c>
    </row>
    <row r="2014">
      <c r="A2014">
        <v>2013</v>
      </c>
      <c r="B2014">
        <f>GS91</f>
        <v>0</v>
      </c>
      <c r="C2014" t="inlineStr">
        <is>
          <t>+LS02</t>
        </is>
      </c>
      <c r="D2014" t="inlineStr">
        <is>
          <t>-155Q1</t>
        </is>
      </c>
      <c r="E2014" t="inlineStr">
        <is>
          <t>DILA-XHI22</t>
        </is>
      </c>
      <c r="F2014" t="inlineStr">
        <is>
          <t>DILA-XHI22</t>
        </is>
      </c>
      <c r="G2014" t="inlineStr">
        <is>
          <t>HILFSKONTAKTBLOCK</t>
        </is>
      </c>
      <c r="H2014" t="inlineStr">
        <is>
          <t>2S 2OE Last+Hilfssch. Cage</t>
        </is>
      </c>
      <c r="I2014">
        <v>343</v>
      </c>
      <c r="J2014">
        <f>GS91/155.4</f>
        <v>0</v>
      </c>
      <c r="K2014" t="inlineStr">
        <is>
          <t>DIL MC25</t>
        </is>
      </c>
      <c r="M2014" t="inlineStr">
        <is>
          <t>-155Q1</t>
        </is>
      </c>
    </row>
    <row r="2015">
      <c r="A2015">
        <v>2014</v>
      </c>
      <c r="B2015">
        <f>GS91</f>
        <v>0</v>
      </c>
      <c r="C2015" t="inlineStr">
        <is>
          <t>+LS02</t>
        </is>
      </c>
      <c r="D2015" t="inlineStr">
        <is>
          <t>-155Q1</t>
        </is>
      </c>
      <c r="E2015" t="inlineStr">
        <is>
          <t>DILMC25-10(RDC24)</t>
        </is>
      </c>
      <c r="F2015" t="inlineStr">
        <is>
          <t>DILA-XHI22</t>
        </is>
      </c>
      <c r="G2015" t="inlineStr">
        <is>
          <t>LASTSCHUETZ</t>
        </is>
      </c>
      <c r="H2015" t="inlineStr">
        <is>
          <t>11kW 1S Federzugkl.</t>
        </is>
      </c>
      <c r="I2015">
        <v>343</v>
      </c>
      <c r="J2015">
        <f>GS91/155.4</f>
        <v>0</v>
      </c>
      <c r="K2015" t="inlineStr">
        <is>
          <t>DIL MC25</t>
        </is>
      </c>
      <c r="M2015" t="inlineStr">
        <is>
          <t>-155Q1</t>
        </is>
      </c>
    </row>
    <row r="2016">
      <c r="A2016">
        <v>2015</v>
      </c>
      <c r="B2016">
        <f>GS92</f>
        <v>0</v>
      </c>
      <c r="C2016" t="inlineStr">
        <is>
          <t>+LS02</t>
        </is>
      </c>
      <c r="D2016" t="inlineStr">
        <is>
          <t>-155Q1</t>
        </is>
      </c>
      <c r="E2016" t="inlineStr">
        <is>
          <t>DILA-XHIC31</t>
        </is>
      </c>
      <c r="F2016" t="inlineStr">
        <is>
          <t>DILA-XHIC31</t>
        </is>
      </c>
      <c r="G2016" t="inlineStr">
        <is>
          <t>HILFSKONTAKTBLOCK</t>
        </is>
      </c>
      <c r="H2016" t="inlineStr">
        <is>
          <t>3S 1OE Last+Hilfssch. Cage</t>
        </is>
      </c>
      <c r="I2016">
        <v>302</v>
      </c>
      <c r="J2016">
        <f>GS92/155.4</f>
        <v>0</v>
      </c>
      <c r="K2016" t="inlineStr">
        <is>
          <t>DIL MC25</t>
        </is>
      </c>
      <c r="M2016" t="inlineStr">
        <is>
          <t>-155Q1</t>
        </is>
      </c>
    </row>
    <row r="2017">
      <c r="A2017">
        <v>2016</v>
      </c>
      <c r="B2017">
        <f>GS92</f>
        <v>0</v>
      </c>
      <c r="C2017" t="inlineStr">
        <is>
          <t>+LS02</t>
        </is>
      </c>
      <c r="D2017" t="inlineStr">
        <is>
          <t>-155Q1</t>
        </is>
      </c>
      <c r="E2017" t="inlineStr">
        <is>
          <t>DILMC25-10(RDC24)</t>
        </is>
      </c>
      <c r="F2017" t="inlineStr">
        <is>
          <t>DILA-XHIC31</t>
        </is>
      </c>
      <c r="G2017" t="inlineStr">
        <is>
          <t>LASTSCHUETZ</t>
        </is>
      </c>
      <c r="H2017" t="inlineStr">
        <is>
          <t>11kW 1S Federzugkl.</t>
        </is>
      </c>
      <c r="I2017">
        <v>302</v>
      </c>
      <c r="J2017">
        <f>GS92/155.4</f>
        <v>0</v>
      </c>
      <c r="K2017" t="inlineStr">
        <is>
          <t>DIL MC25</t>
        </is>
      </c>
      <c r="M2017" t="inlineStr">
        <is>
          <t>-155Q1</t>
        </is>
      </c>
    </row>
    <row r="2018">
      <c r="A2018">
        <v>2017</v>
      </c>
      <c r="B2018">
        <f>GS93</f>
        <v>0</v>
      </c>
      <c r="C2018" t="inlineStr">
        <is>
          <t>+LS02</t>
        </is>
      </c>
      <c r="D2018" t="inlineStr">
        <is>
          <t>-155Q1</t>
        </is>
      </c>
      <c r="E2018" t="inlineStr">
        <is>
          <t>DILMC25-10(RDC24)</t>
        </is>
      </c>
      <c r="F2018" t="inlineStr">
        <is>
          <t>DILA-XHIC31</t>
        </is>
      </c>
      <c r="G2018" t="inlineStr">
        <is>
          <t>LASTSCHUETZ</t>
        </is>
      </c>
      <c r="H2018" t="inlineStr">
        <is>
          <t>11kW 1S Federzugkl.</t>
        </is>
      </c>
      <c r="I2018">
        <v>714</v>
      </c>
      <c r="J2018">
        <f>GS93/155.4</f>
        <v>0</v>
      </c>
      <c r="K2018" t="inlineStr">
        <is>
          <t>DIL MC25</t>
        </is>
      </c>
      <c r="M2018" t="inlineStr">
        <is>
          <t>-155Q1</t>
        </is>
      </c>
    </row>
    <row r="2019">
      <c r="A2019">
        <v>2018</v>
      </c>
      <c r="B2019">
        <f>GS93</f>
        <v>0</v>
      </c>
      <c r="C2019" t="inlineStr">
        <is>
          <t>+LS02</t>
        </is>
      </c>
      <c r="D2019" t="inlineStr">
        <is>
          <t>-155Q1</t>
        </is>
      </c>
      <c r="E2019" t="inlineStr">
        <is>
          <t>DILA-XHIC31</t>
        </is>
      </c>
      <c r="F2019" t="inlineStr">
        <is>
          <t>DILA-XHIC31</t>
        </is>
      </c>
      <c r="G2019" t="inlineStr">
        <is>
          <t>HILFSKONTAKTBLOCK</t>
        </is>
      </c>
      <c r="H2019" t="inlineStr">
        <is>
          <t>3S 1OE Last+Hilfssch. Cage</t>
        </is>
      </c>
      <c r="I2019">
        <v>714</v>
      </c>
      <c r="J2019">
        <f>GS93/155.4</f>
        <v>0</v>
      </c>
      <c r="K2019" t="inlineStr">
        <is>
          <t>DIL MC25</t>
        </is>
      </c>
      <c r="M2019" t="inlineStr">
        <is>
          <t>-155Q1</t>
        </is>
      </c>
    </row>
    <row r="2020">
      <c r="A2020">
        <v>2019</v>
      </c>
      <c r="B2020">
        <f>GS94</f>
        <v>0</v>
      </c>
      <c r="C2020" t="inlineStr">
        <is>
          <t>+LS15</t>
        </is>
      </c>
      <c r="D2020" t="inlineStr">
        <is>
          <t>-155Q1</t>
        </is>
      </c>
      <c r="E2020" t="inlineStr">
        <is>
          <t>DILA-XHI22</t>
        </is>
      </c>
      <c r="F2020" t="inlineStr">
        <is>
          <t>DILA-XHI22</t>
        </is>
      </c>
      <c r="G2020" t="inlineStr">
        <is>
          <t>HILFSKONTAKTBLOCK</t>
        </is>
      </c>
      <c r="H2020" t="inlineStr">
        <is>
          <t>2S 2OE Last+Hilfssch. Cage</t>
        </is>
      </c>
      <c r="I2020">
        <v>245</v>
      </c>
      <c r="J2020">
        <f>GS94/155.4</f>
        <v>0</v>
      </c>
      <c r="K2020" t="inlineStr">
        <is>
          <t>DIL MC25</t>
        </is>
      </c>
      <c r="M2020" t="inlineStr">
        <is>
          <t>-155Q1</t>
        </is>
      </c>
    </row>
    <row r="2021">
      <c r="A2021">
        <v>2020</v>
      </c>
      <c r="B2021">
        <f>GS94</f>
        <v>0</v>
      </c>
      <c r="C2021" t="inlineStr">
        <is>
          <t>+LS15</t>
        </is>
      </c>
      <c r="D2021" t="inlineStr">
        <is>
          <t>-155Q1</t>
        </is>
      </c>
      <c r="E2021" t="inlineStr">
        <is>
          <t>DILMC25-10(RDC24)</t>
        </is>
      </c>
      <c r="F2021" t="inlineStr">
        <is>
          <t>DILA-XHI22</t>
        </is>
      </c>
      <c r="G2021" t="inlineStr">
        <is>
          <t>LASTSCHUETZ</t>
        </is>
      </c>
      <c r="H2021" t="inlineStr">
        <is>
          <t>11kW 1S Federzugkl.</t>
        </is>
      </c>
      <c r="I2021">
        <v>245</v>
      </c>
      <c r="J2021">
        <f>GS94/155.4</f>
        <v>0</v>
      </c>
      <c r="K2021" t="inlineStr">
        <is>
          <t>DIL MC25</t>
        </is>
      </c>
      <c r="M2021" t="inlineStr">
        <is>
          <t>-155Q1</t>
        </is>
      </c>
    </row>
    <row r="2022">
      <c r="A2022">
        <v>2021</v>
      </c>
      <c r="B2022">
        <f>GS95</f>
        <v>0</v>
      </c>
      <c r="C2022" t="inlineStr">
        <is>
          <t>+LS15</t>
        </is>
      </c>
      <c r="D2022" t="inlineStr">
        <is>
          <t>-155Q1</t>
        </is>
      </c>
      <c r="E2022" t="inlineStr">
        <is>
          <t>DILA-XHI22</t>
        </is>
      </c>
      <c r="F2022" t="inlineStr">
        <is>
          <t>DILA-XHI22</t>
        </is>
      </c>
      <c r="G2022" t="inlineStr">
        <is>
          <t>HILFSKONTAKTBLOCK</t>
        </is>
      </c>
      <c r="H2022" t="inlineStr">
        <is>
          <t>2S 2OE Last+Hilfssch. Cage</t>
        </is>
      </c>
      <c r="I2022">
        <v>245</v>
      </c>
      <c r="J2022">
        <f>GS95/155.4</f>
        <v>0</v>
      </c>
      <c r="K2022" t="inlineStr">
        <is>
          <t>DIL MC25</t>
        </is>
      </c>
      <c r="M2022" t="inlineStr">
        <is>
          <t>-155Q1</t>
        </is>
      </c>
    </row>
    <row r="2023">
      <c r="A2023">
        <v>2022</v>
      </c>
      <c r="B2023">
        <f>GS95</f>
        <v>0</v>
      </c>
      <c r="C2023" t="inlineStr">
        <is>
          <t>+LS15</t>
        </is>
      </c>
      <c r="D2023" t="inlineStr">
        <is>
          <t>-155Q1</t>
        </is>
      </c>
      <c r="E2023" t="inlineStr">
        <is>
          <t>DILMC25-10(RDC24)</t>
        </is>
      </c>
      <c r="F2023" t="inlineStr">
        <is>
          <t>DILA-XHI22</t>
        </is>
      </c>
      <c r="G2023" t="inlineStr">
        <is>
          <t>LASTSCHUETZ</t>
        </is>
      </c>
      <c r="H2023" t="inlineStr">
        <is>
          <t>11kW 1S Federzugkl.</t>
        </is>
      </c>
      <c r="I2023">
        <v>245</v>
      </c>
      <c r="J2023">
        <f>GS95/155.4</f>
        <v>0</v>
      </c>
      <c r="K2023" t="inlineStr">
        <is>
          <t>DIL MC25</t>
        </is>
      </c>
      <c r="M2023" t="inlineStr">
        <is>
          <t>-155Q1</t>
        </is>
      </c>
    </row>
    <row r="2024">
      <c r="A2024">
        <v>2023</v>
      </c>
      <c r="B2024">
        <f>GS96</f>
        <v>0</v>
      </c>
      <c r="C2024" t="inlineStr">
        <is>
          <t>+LS15</t>
        </is>
      </c>
      <c r="D2024" t="inlineStr">
        <is>
          <t>-155Q1</t>
        </is>
      </c>
      <c r="E2024" t="inlineStr">
        <is>
          <t>DILA-XHI22</t>
        </is>
      </c>
      <c r="F2024" t="inlineStr">
        <is>
          <t>DILA-XHI22</t>
        </is>
      </c>
      <c r="G2024" t="inlineStr">
        <is>
          <t>HILFSKONTAKTBLOCK</t>
        </is>
      </c>
      <c r="H2024" t="inlineStr">
        <is>
          <t>2S 2OE Last+Hilfssch. Cage</t>
        </is>
      </c>
      <c r="I2024">
        <v>245</v>
      </c>
      <c r="J2024">
        <f>GS96/155.4</f>
        <v>0</v>
      </c>
      <c r="K2024" t="inlineStr">
        <is>
          <t>DIL MC25</t>
        </is>
      </c>
      <c r="M2024" t="inlineStr">
        <is>
          <t>-155Q1</t>
        </is>
      </c>
    </row>
    <row r="2025">
      <c r="A2025">
        <v>2024</v>
      </c>
      <c r="B2025">
        <f>GS96</f>
        <v>0</v>
      </c>
      <c r="C2025" t="inlineStr">
        <is>
          <t>+LS15</t>
        </is>
      </c>
      <c r="D2025" t="inlineStr">
        <is>
          <t>-155Q1</t>
        </is>
      </c>
      <c r="E2025" t="inlineStr">
        <is>
          <t>DILMC25-10(RDC24)</t>
        </is>
      </c>
      <c r="F2025" t="inlineStr">
        <is>
          <t>DILA-XHI22</t>
        </is>
      </c>
      <c r="G2025" t="inlineStr">
        <is>
          <t>LASTSCHUETZ</t>
        </is>
      </c>
      <c r="H2025" t="inlineStr">
        <is>
          <t>11kW 1S Federzugkl.</t>
        </is>
      </c>
      <c r="I2025">
        <v>245</v>
      </c>
      <c r="J2025">
        <f>GS96/155.4</f>
        <v>0</v>
      </c>
      <c r="K2025" t="inlineStr">
        <is>
          <t>DIL MC25</t>
        </is>
      </c>
      <c r="M2025" t="inlineStr">
        <is>
          <t>-155Q1</t>
        </is>
      </c>
    </row>
    <row r="2026">
      <c r="A2026">
        <v>2025</v>
      </c>
      <c r="B2026">
        <f>GS97</f>
        <v>0</v>
      </c>
      <c r="C2026" t="inlineStr">
        <is>
          <t>+LS15</t>
        </is>
      </c>
      <c r="D2026" t="inlineStr">
        <is>
          <t>-155Q1</t>
        </is>
      </c>
      <c r="E2026" t="inlineStr">
        <is>
          <t>DILA-XHI22</t>
        </is>
      </c>
      <c r="F2026" t="inlineStr">
        <is>
          <t>DILA-XHI22</t>
        </is>
      </c>
      <c r="G2026" t="inlineStr">
        <is>
          <t>HILFSKONTAKTBLOCK</t>
        </is>
      </c>
      <c r="H2026" t="inlineStr">
        <is>
          <t>2S 2OE Last+Hilfssch. Cage</t>
        </is>
      </c>
      <c r="I2026">
        <v>245</v>
      </c>
      <c r="J2026">
        <f>GS97/155.4</f>
        <v>0</v>
      </c>
      <c r="K2026" t="inlineStr">
        <is>
          <t>DIL MC25</t>
        </is>
      </c>
      <c r="M2026" t="inlineStr">
        <is>
          <t>-155Q1</t>
        </is>
      </c>
    </row>
    <row r="2027">
      <c r="A2027">
        <v>2026</v>
      </c>
      <c r="B2027">
        <f>GS97</f>
        <v>0</v>
      </c>
      <c r="C2027" t="inlineStr">
        <is>
          <t>+LS15</t>
        </is>
      </c>
      <c r="D2027" t="inlineStr">
        <is>
          <t>-155Q1</t>
        </is>
      </c>
      <c r="E2027" t="inlineStr">
        <is>
          <t>DILMC25-10(RDC24)</t>
        </is>
      </c>
      <c r="F2027" t="inlineStr">
        <is>
          <t>DILA-XHI22</t>
        </is>
      </c>
      <c r="G2027" t="inlineStr">
        <is>
          <t>LASTSCHUETZ</t>
        </is>
      </c>
      <c r="H2027" t="inlineStr">
        <is>
          <t>11kW 1S Federzugkl.</t>
        </is>
      </c>
      <c r="I2027">
        <v>245</v>
      </c>
      <c r="J2027">
        <f>GS97/155.4</f>
        <v>0</v>
      </c>
      <c r="K2027" t="inlineStr">
        <is>
          <t>DIL MC25</t>
        </is>
      </c>
      <c r="M2027" t="inlineStr">
        <is>
          <t>-155Q1</t>
        </is>
      </c>
    </row>
    <row r="2028">
      <c r="A2028">
        <v>2027</v>
      </c>
      <c r="B2028">
        <f>GS36</f>
        <v>0</v>
      </c>
      <c r="C2028" t="inlineStr">
        <is>
          <t>+LS02</t>
        </is>
      </c>
      <c r="D2028" t="inlineStr">
        <is>
          <t>-155Q117.7</t>
        </is>
      </c>
      <c r="E2028" t="inlineStr">
        <is>
          <t>DILMC12-10(24VDC)</t>
        </is>
      </c>
      <c r="F2028" t="inlineStr">
        <is>
          <t>#KALK!</t>
        </is>
      </c>
      <c r="G2028" t="inlineStr">
        <is>
          <t>LASTSCHUETZ</t>
        </is>
      </c>
      <c r="H2028" t="inlineStr">
        <is>
          <t>5,5kW 1S Federzugkl.</t>
        </is>
      </c>
      <c r="I2028">
        <v>328</v>
      </c>
      <c r="J2028">
        <f>GS36/155.5</f>
        <v>0</v>
      </c>
      <c r="K2028" t="inlineStr">
        <is>
          <t>DIL MC12</t>
        </is>
      </c>
      <c r="L2028" t="inlineStr">
        <is>
          <t>HT_0311</t>
        </is>
      </c>
      <c r="M2028" t="inlineStr">
        <is>
          <t>HT_0311
-155Q117.7</t>
        </is>
      </c>
      <c r="N2028" t="inlineStr">
        <is>
          <t>P</t>
        </is>
      </c>
    </row>
    <row r="2029">
      <c r="A2029">
        <v>2028</v>
      </c>
      <c r="B2029">
        <f>GS06</f>
        <v>0</v>
      </c>
      <c r="C2029" t="inlineStr">
        <is>
          <t>+LS02</t>
        </is>
      </c>
      <c r="D2029" t="inlineStr">
        <is>
          <t>-155Q3</t>
        </is>
      </c>
      <c r="E2029" t="inlineStr">
        <is>
          <t>DILA-XHI22</t>
        </is>
      </c>
      <c r="F2029" t="inlineStr">
        <is>
          <t>DILA-XHI22</t>
        </is>
      </c>
      <c r="G2029" t="inlineStr">
        <is>
          <t>HILFSKONTAKTBLOCK</t>
        </is>
      </c>
      <c r="H2029" t="inlineStr">
        <is>
          <t>2S 2OE Last+Hilfssch. Cage</t>
        </is>
      </c>
      <c r="I2029">
        <v>1351</v>
      </c>
      <c r="J2029">
        <f>GS06/155.7</f>
        <v>0</v>
      </c>
      <c r="K2029" t="inlineStr">
        <is>
          <t>DIL MC25</t>
        </is>
      </c>
      <c r="M2029" t="inlineStr">
        <is>
          <t>-155Q3</t>
        </is>
      </c>
    </row>
    <row r="2030">
      <c r="A2030">
        <v>2029</v>
      </c>
      <c r="B2030">
        <f>GS06</f>
        <v>0</v>
      </c>
      <c r="C2030" t="inlineStr">
        <is>
          <t>+LS02</t>
        </is>
      </c>
      <c r="D2030" t="inlineStr">
        <is>
          <t>-155Q3</t>
        </is>
      </c>
      <c r="E2030" t="inlineStr">
        <is>
          <t>DILMC25-10(RDC24)</t>
        </is>
      </c>
      <c r="F2030" t="inlineStr">
        <is>
          <t>DILA-XHI22</t>
        </is>
      </c>
      <c r="G2030" t="inlineStr">
        <is>
          <t>LASTSCHUETZ</t>
        </is>
      </c>
      <c r="H2030" t="inlineStr">
        <is>
          <t>11kW 1S Federzugkl.</t>
        </is>
      </c>
      <c r="I2030">
        <v>1351</v>
      </c>
      <c r="J2030">
        <f>GS06/155.7</f>
        <v>0</v>
      </c>
      <c r="K2030" t="inlineStr">
        <is>
          <t>DIL MC25</t>
        </is>
      </c>
      <c r="M2030" t="inlineStr">
        <is>
          <t>-155Q3</t>
        </is>
      </c>
    </row>
    <row r="2031">
      <c r="A2031">
        <v>2030</v>
      </c>
      <c r="B2031">
        <f>GS90</f>
        <v>0</v>
      </c>
      <c r="C2031" t="inlineStr">
        <is>
          <t>+LS02</t>
        </is>
      </c>
      <c r="D2031" t="inlineStr">
        <is>
          <t>-155Q443.2</t>
        </is>
      </c>
      <c r="E2031" t="inlineStr">
        <is>
          <t>DILM-9-10</t>
        </is>
      </c>
      <c r="F2031" t="inlineStr">
        <is>
          <t>#KALK!</t>
        </is>
      </c>
      <c r="G2031" t="inlineStr">
        <is>
          <t>LASTSCHUETZ</t>
        </is>
      </c>
      <c r="H2031" t="inlineStr">
        <is>
          <t>4kW 1S Federzugkl.</t>
        </is>
      </c>
      <c r="I2031">
        <v>1062</v>
      </c>
      <c r="J2031">
        <f>GS90/155.5</f>
        <v>0</v>
      </c>
      <c r="M2031" t="inlineStr">
        <is>
          <t>-155Q443.2</t>
        </is>
      </c>
    </row>
    <row r="2032">
      <c r="A2032">
        <v>2031</v>
      </c>
      <c r="B2032">
        <f>GS06</f>
        <v>0</v>
      </c>
      <c r="C2032" t="inlineStr">
        <is>
          <t>+LS21</t>
        </is>
      </c>
      <c r="D2032" t="inlineStr">
        <is>
          <t>-1565Q1</t>
        </is>
      </c>
      <c r="E2032" t="inlineStr">
        <is>
          <t>DILA-XHI22</t>
        </is>
      </c>
      <c r="F2032" t="inlineStr">
        <is>
          <t>DILA-XHI22</t>
        </is>
      </c>
      <c r="G2032" t="inlineStr">
        <is>
          <t>HILFSKONTAKTBLOCK</t>
        </is>
      </c>
      <c r="H2032" t="inlineStr">
        <is>
          <t>2S 2OE Last+Hilfssch. Cage</t>
        </is>
      </c>
      <c r="I2032">
        <v>1465</v>
      </c>
      <c r="J2032">
        <f>GS06/1565.6</f>
        <v>0</v>
      </c>
      <c r="K2032" t="inlineStr">
        <is>
          <t>DIL MC25</t>
        </is>
      </c>
      <c r="M2032" t="inlineStr">
        <is>
          <t>-1565Q1</t>
        </is>
      </c>
    </row>
    <row r="2033">
      <c r="A2033">
        <v>2032</v>
      </c>
      <c r="B2033">
        <f>GS06</f>
        <v>0</v>
      </c>
      <c r="C2033" t="inlineStr">
        <is>
          <t>+LS21</t>
        </is>
      </c>
      <c r="D2033" t="inlineStr">
        <is>
          <t>-1565Q1</t>
        </is>
      </c>
      <c r="E2033" t="inlineStr">
        <is>
          <t>DILMC25-10(RDC24)</t>
        </is>
      </c>
      <c r="F2033" t="inlineStr">
        <is>
          <t>DILA-XHI22</t>
        </is>
      </c>
      <c r="G2033" t="inlineStr">
        <is>
          <t>LASTSCHUETZ</t>
        </is>
      </c>
      <c r="H2033" t="inlineStr">
        <is>
          <t>11kW 1S Federzugkl.</t>
        </is>
      </c>
      <c r="I2033">
        <v>1465</v>
      </c>
      <c r="J2033">
        <f>GS06/1565.6</f>
        <v>0</v>
      </c>
      <c r="K2033" t="inlineStr">
        <is>
          <t>DIL MC25</t>
        </is>
      </c>
      <c r="M2033" t="inlineStr">
        <is>
          <t>-1565Q1</t>
        </is>
      </c>
    </row>
    <row r="2034">
      <c r="A2034">
        <v>2033</v>
      </c>
      <c r="B2034">
        <f>GS26</f>
        <v>0</v>
      </c>
      <c r="C2034" t="inlineStr">
        <is>
          <t>+LS2</t>
        </is>
      </c>
      <c r="D2034" t="inlineStr">
        <is>
          <t>-156K1</t>
        </is>
      </c>
      <c r="E2034" t="inlineStr">
        <is>
          <t>DILMC25-10230V50HZ</t>
        </is>
      </c>
      <c r="F2034" t="inlineStr">
        <is>
          <t>DILA-XHI22</t>
        </is>
      </c>
      <c r="G2034" t="inlineStr">
        <is>
          <t>LASTSCHUETZ</t>
        </is>
      </c>
      <c r="H2034" t="inlineStr">
        <is>
          <t>11kW 1S Federzugkl.</t>
        </is>
      </c>
      <c r="I2034">
        <v>660</v>
      </c>
      <c r="J2034">
        <f>GS26/156.2</f>
        <v>0</v>
      </c>
      <c r="K2034" t="inlineStr">
        <is>
          <t>DIL MC 25</t>
        </is>
      </c>
      <c r="M2034" t="inlineStr">
        <is>
          <t>-156K1</t>
        </is>
      </c>
    </row>
    <row r="2035">
      <c r="A2035">
        <v>2034</v>
      </c>
      <c r="B2035">
        <f>GS26</f>
        <v>0</v>
      </c>
      <c r="C2035" t="inlineStr">
        <is>
          <t>+LS2</t>
        </is>
      </c>
      <c r="D2035" t="inlineStr">
        <is>
          <t>-156K1</t>
        </is>
      </c>
      <c r="E2035" t="inlineStr">
        <is>
          <t>DILA-XHI22</t>
        </is>
      </c>
      <c r="F2035" t="inlineStr">
        <is>
          <t>DILA-XHI22</t>
        </is>
      </c>
      <c r="G2035" t="inlineStr">
        <is>
          <t>HILFSKONTAKTBLOCK</t>
        </is>
      </c>
      <c r="H2035" t="inlineStr">
        <is>
          <t>2S 2OE Last+Hilfssch. Cage</t>
        </is>
      </c>
      <c r="I2035">
        <v>660</v>
      </c>
      <c r="J2035">
        <f>GS26/156.2</f>
        <v>0</v>
      </c>
      <c r="K2035" t="inlineStr">
        <is>
          <t>DIL MC 25</t>
        </is>
      </c>
      <c r="M2035" t="inlineStr">
        <is>
          <t>-156K1</t>
        </is>
      </c>
    </row>
    <row r="2036">
      <c r="A2036">
        <v>2035</v>
      </c>
      <c r="B2036">
        <f>GS31</f>
        <v>0</v>
      </c>
      <c r="C2036" t="inlineStr">
        <is>
          <t>+LS2</t>
        </is>
      </c>
      <c r="D2036" t="inlineStr">
        <is>
          <t>-156K1</t>
        </is>
      </c>
      <c r="E2036" t="inlineStr">
        <is>
          <t>22_DIL-M</t>
        </is>
      </c>
      <c r="F2036" t="inlineStr">
        <is>
          <t>22_DIL-M</t>
        </is>
      </c>
      <c r="G2036" t="inlineStr">
        <is>
          <t>HILFSKONTAKTBLOCK</t>
        </is>
      </c>
      <c r="H2036" t="inlineStr">
        <is>
          <t>2S 2OE Lastschuetz DIL M</t>
        </is>
      </c>
      <c r="I2036">
        <v>440</v>
      </c>
      <c r="J2036">
        <f>GS31/156.2</f>
        <v>0</v>
      </c>
      <c r="K2036" t="inlineStr">
        <is>
          <t>DIL0AM</t>
        </is>
      </c>
      <c r="M2036" t="inlineStr">
        <is>
          <t>-156K1</t>
        </is>
      </c>
    </row>
    <row r="2037">
      <c r="A2037">
        <v>2036</v>
      </c>
      <c r="B2037">
        <f>GS31</f>
        <v>0</v>
      </c>
      <c r="C2037" t="inlineStr">
        <is>
          <t>+LS2</t>
        </is>
      </c>
      <c r="D2037" t="inlineStr">
        <is>
          <t>-156K1</t>
        </is>
      </c>
      <c r="E2037" t="inlineStr">
        <is>
          <t>DIL_0AM</t>
        </is>
      </c>
      <c r="F2037" t="inlineStr">
        <is>
          <t>22_DIL-M</t>
        </is>
      </c>
      <c r="G2037" t="inlineStr">
        <is>
          <t>LASTSCHUETZ</t>
        </is>
      </c>
      <c r="H2037" t="inlineStr">
        <is>
          <t>11 kW</t>
        </is>
      </c>
      <c r="I2037">
        <v>440</v>
      </c>
      <c r="J2037">
        <f>GS31/156.2</f>
        <v>0</v>
      </c>
      <c r="K2037" t="inlineStr">
        <is>
          <t>DIL0AM</t>
        </is>
      </c>
      <c r="M2037" t="inlineStr">
        <is>
          <t>-156K1</t>
        </is>
      </c>
    </row>
    <row r="2038">
      <c r="A2038">
        <v>2037</v>
      </c>
      <c r="B2038">
        <f>GS46</f>
        <v>0</v>
      </c>
      <c r="C2038" t="inlineStr">
        <is>
          <t>+LS01</t>
        </is>
      </c>
      <c r="D2038" t="inlineStr">
        <is>
          <t>-156K1</t>
        </is>
      </c>
      <c r="E2038" t="inlineStr">
        <is>
          <t>DILM-9-01</t>
        </is>
      </c>
      <c r="F2038" t="inlineStr">
        <is>
          <t>DILA-XHI22</t>
        </is>
      </c>
      <c r="G2038" t="inlineStr">
        <is>
          <t>LASTSCHUETZ</t>
        </is>
      </c>
      <c r="H2038" t="inlineStr">
        <is>
          <t>4kW 1Oe Federzugkl.</t>
        </is>
      </c>
      <c r="I2038">
        <v>470</v>
      </c>
      <c r="J2038">
        <f>GS46/156.2</f>
        <v>0</v>
      </c>
      <c r="M2038" t="inlineStr">
        <is>
          <t>-156K1</t>
        </is>
      </c>
    </row>
    <row r="2039">
      <c r="A2039">
        <v>2038</v>
      </c>
      <c r="B2039">
        <f>GS46</f>
        <v>0</v>
      </c>
      <c r="C2039" t="inlineStr">
        <is>
          <t>+LS01</t>
        </is>
      </c>
      <c r="D2039" t="inlineStr">
        <is>
          <t>-156K1</t>
        </is>
      </c>
      <c r="E2039" t="inlineStr">
        <is>
          <t>DILA-XHI22</t>
        </is>
      </c>
      <c r="F2039" t="inlineStr">
        <is>
          <t>DILA-XHI22</t>
        </is>
      </c>
      <c r="G2039" t="inlineStr">
        <is>
          <t>HILFSKONTAKTBLOCK</t>
        </is>
      </c>
      <c r="H2039" t="inlineStr">
        <is>
          <t>2S 2OE Last+Hilfssch. Cage</t>
        </is>
      </c>
      <c r="I2039">
        <v>470</v>
      </c>
      <c r="J2039">
        <f>GS46/156.2</f>
        <v>0</v>
      </c>
      <c r="M2039" t="inlineStr">
        <is>
          <t>-156K1</t>
        </is>
      </c>
    </row>
    <row r="2040">
      <c r="A2040">
        <v>2039</v>
      </c>
      <c r="B2040">
        <f>GS47</f>
        <v>0</v>
      </c>
      <c r="C2040" t="inlineStr">
        <is>
          <t>+LS01</t>
        </is>
      </c>
      <c r="D2040" t="inlineStr">
        <is>
          <t>-156K1</t>
        </is>
      </c>
      <c r="E2040" t="inlineStr">
        <is>
          <t>DILM-9-01</t>
        </is>
      </c>
      <c r="F2040" t="inlineStr">
        <is>
          <t>DILA-XHI22</t>
        </is>
      </c>
      <c r="G2040" t="inlineStr">
        <is>
          <t>LASTSCHUETZ</t>
        </is>
      </c>
      <c r="H2040" t="inlineStr">
        <is>
          <t>4kW 1Oe Federzugkl.</t>
        </is>
      </c>
      <c r="I2040">
        <v>470</v>
      </c>
      <c r="J2040">
        <f>GS47/156.2</f>
        <v>0</v>
      </c>
      <c r="M2040" t="inlineStr">
        <is>
          <t>-156K1</t>
        </is>
      </c>
    </row>
    <row r="2041">
      <c r="A2041">
        <v>2040</v>
      </c>
      <c r="B2041">
        <f>GS47</f>
        <v>0</v>
      </c>
      <c r="C2041" t="inlineStr">
        <is>
          <t>+LS01</t>
        </is>
      </c>
      <c r="D2041" t="inlineStr">
        <is>
          <t>-156K1</t>
        </is>
      </c>
      <c r="E2041" t="inlineStr">
        <is>
          <t>DILA-XHI22</t>
        </is>
      </c>
      <c r="F2041" t="inlineStr">
        <is>
          <t>DILA-XHI22</t>
        </is>
      </c>
      <c r="G2041" t="inlineStr">
        <is>
          <t>HILFSKONTAKTBLOCK</t>
        </is>
      </c>
      <c r="H2041" t="inlineStr">
        <is>
          <t>2S 2OE Last+Hilfssch. Cage</t>
        </is>
      </c>
      <c r="I2041">
        <v>470</v>
      </c>
      <c r="J2041">
        <f>GS47/156.2</f>
        <v>0</v>
      </c>
      <c r="M2041" t="inlineStr">
        <is>
          <t>-156K1</t>
        </is>
      </c>
    </row>
    <row r="2042">
      <c r="A2042">
        <v>2041</v>
      </c>
      <c r="B2042">
        <f>GS48</f>
        <v>0</v>
      </c>
      <c r="C2042" t="inlineStr">
        <is>
          <t>+LS01</t>
        </is>
      </c>
      <c r="D2042" t="inlineStr">
        <is>
          <t>-156K1</t>
        </is>
      </c>
      <c r="E2042" t="inlineStr">
        <is>
          <t>DILA-XHI22</t>
        </is>
      </c>
      <c r="F2042" t="inlineStr">
        <is>
          <t>DILA-XHI22</t>
        </is>
      </c>
      <c r="G2042" t="inlineStr">
        <is>
          <t>HILFSKONTAKTBLOCK</t>
        </is>
      </c>
      <c r="H2042" t="inlineStr">
        <is>
          <t>2S 2OE Last+Hilfssch. Cage</t>
        </is>
      </c>
      <c r="I2042">
        <v>308</v>
      </c>
      <c r="J2042">
        <f>GS48/156.2</f>
        <v>0</v>
      </c>
      <c r="M2042" t="inlineStr">
        <is>
          <t>-156K1</t>
        </is>
      </c>
    </row>
    <row r="2043">
      <c r="A2043">
        <v>2042</v>
      </c>
      <c r="B2043">
        <f>GS48</f>
        <v>0</v>
      </c>
      <c r="C2043" t="inlineStr">
        <is>
          <t>+LS01</t>
        </is>
      </c>
      <c r="D2043" t="inlineStr">
        <is>
          <t>-156K1</t>
        </is>
      </c>
      <c r="E2043" t="inlineStr">
        <is>
          <t>DILM-9-01</t>
        </is>
      </c>
      <c r="F2043" t="inlineStr">
        <is>
          <t>DILA-XHI22</t>
        </is>
      </c>
      <c r="G2043" t="inlineStr">
        <is>
          <t>LASTSCHUETZ</t>
        </is>
      </c>
      <c r="H2043" t="inlineStr">
        <is>
          <t>4kW 1Oe Federzugkl.</t>
        </is>
      </c>
      <c r="I2043">
        <v>308</v>
      </c>
      <c r="J2043">
        <f>GS48/156.2</f>
        <v>0</v>
      </c>
      <c r="M2043" t="inlineStr">
        <is>
          <t>-156K1</t>
        </is>
      </c>
    </row>
    <row r="2044">
      <c r="A2044">
        <v>2043</v>
      </c>
      <c r="B2044">
        <f>GS46</f>
        <v>0</v>
      </c>
      <c r="C2044" t="inlineStr">
        <is>
          <t>+LS01</t>
        </is>
      </c>
      <c r="D2044" t="inlineStr">
        <is>
          <t>-156K147.4</t>
        </is>
      </c>
      <c r="E2044" t="inlineStr">
        <is>
          <t>DILA-31</t>
        </is>
      </c>
      <c r="F2044" t="inlineStr">
        <is>
          <t>#KALK!</t>
        </is>
      </c>
      <c r="G2044" t="inlineStr">
        <is>
          <t>HILFSSCHUETZ</t>
        </is>
      </c>
      <c r="H2044" t="inlineStr">
        <is>
          <t>3S 1Oe Federzugkl.</t>
        </is>
      </c>
      <c r="I2044">
        <v>470</v>
      </c>
      <c r="J2044">
        <f>GS46/156.5</f>
        <v>0</v>
      </c>
      <c r="M2044" t="inlineStr">
        <is>
          <t>-156K147.4</t>
        </is>
      </c>
    </row>
    <row r="2045">
      <c r="A2045">
        <v>2044</v>
      </c>
      <c r="B2045">
        <f>GS47</f>
        <v>0</v>
      </c>
      <c r="C2045" t="inlineStr">
        <is>
          <t>+LS01</t>
        </is>
      </c>
      <c r="D2045" t="inlineStr">
        <is>
          <t>-156K147.4</t>
        </is>
      </c>
      <c r="E2045" t="inlineStr">
        <is>
          <t>DILA-31</t>
        </is>
      </c>
      <c r="F2045" t="inlineStr">
        <is>
          <t>#KALK!</t>
        </is>
      </c>
      <c r="G2045" t="inlineStr">
        <is>
          <t>HILFSSCHUETZ</t>
        </is>
      </c>
      <c r="H2045" t="inlineStr">
        <is>
          <t>3S 1Oe Federzugkl.</t>
        </is>
      </c>
      <c r="I2045">
        <v>470</v>
      </c>
      <c r="J2045">
        <f>GS47/156.5</f>
        <v>0</v>
      </c>
      <c r="M2045" t="inlineStr">
        <is>
          <t>-156K147.4</t>
        </is>
      </c>
    </row>
    <row r="2046">
      <c r="A2046">
        <v>2045</v>
      </c>
      <c r="B2046">
        <f>GS48</f>
        <v>0</v>
      </c>
      <c r="C2046" t="inlineStr">
        <is>
          <t>+LS01</t>
        </is>
      </c>
      <c r="D2046" t="inlineStr">
        <is>
          <t>-156K147.4</t>
        </is>
      </c>
      <c r="E2046" t="inlineStr">
        <is>
          <t>DILA-31</t>
        </is>
      </c>
      <c r="F2046" t="inlineStr">
        <is>
          <t>#KALK!</t>
        </is>
      </c>
      <c r="G2046" t="inlineStr">
        <is>
          <t>HILFSSCHUETZ</t>
        </is>
      </c>
      <c r="H2046" t="inlineStr">
        <is>
          <t>3S 1Oe Federzugkl.</t>
        </is>
      </c>
      <c r="I2046">
        <v>308</v>
      </c>
      <c r="J2046">
        <f>GS48/156.5</f>
        <v>0</v>
      </c>
      <c r="M2046" t="inlineStr">
        <is>
          <t>-156K147.4</t>
        </is>
      </c>
    </row>
    <row r="2047">
      <c r="A2047">
        <v>2046</v>
      </c>
      <c r="B2047">
        <f>GS46</f>
        <v>0</v>
      </c>
      <c r="C2047" t="inlineStr">
        <is>
          <t>+LS01</t>
        </is>
      </c>
      <c r="D2047" t="inlineStr">
        <is>
          <t>-156K2</t>
        </is>
      </c>
      <c r="E2047" t="inlineStr">
        <is>
          <t>DILM-9-01</t>
        </is>
      </c>
      <c r="F2047" t="inlineStr">
        <is>
          <t>DILA-XHI22</t>
        </is>
      </c>
      <c r="G2047" t="inlineStr">
        <is>
          <t>LASTSCHUETZ</t>
        </is>
      </c>
      <c r="H2047" t="inlineStr">
        <is>
          <t>4kW 1Oe Federzugkl.</t>
        </is>
      </c>
      <c r="I2047">
        <v>470</v>
      </c>
      <c r="J2047">
        <f>GS46/156.3</f>
        <v>0</v>
      </c>
      <c r="M2047" t="inlineStr">
        <is>
          <t>-156K2</t>
        </is>
      </c>
    </row>
    <row r="2048">
      <c r="A2048">
        <v>2047</v>
      </c>
      <c r="B2048">
        <f>GS46</f>
        <v>0</v>
      </c>
      <c r="C2048" t="inlineStr">
        <is>
          <t>+LS01</t>
        </is>
      </c>
      <c r="D2048" t="inlineStr">
        <is>
          <t>-156K2</t>
        </is>
      </c>
      <c r="E2048" t="inlineStr">
        <is>
          <t>DILA-XHI22</t>
        </is>
      </c>
      <c r="F2048" t="inlineStr">
        <is>
          <t>DILA-XHI22</t>
        </is>
      </c>
      <c r="G2048" t="inlineStr">
        <is>
          <t>HILFSKONTAKTBLOCK</t>
        </is>
      </c>
      <c r="H2048" t="inlineStr">
        <is>
          <t>2S 2OE Last+Hilfssch. Cage</t>
        </is>
      </c>
      <c r="I2048">
        <v>470</v>
      </c>
      <c r="J2048">
        <f>GS46/156.3</f>
        <v>0</v>
      </c>
      <c r="M2048" t="inlineStr">
        <is>
          <t>-156K2</t>
        </is>
      </c>
    </row>
    <row r="2049">
      <c r="A2049">
        <v>2048</v>
      </c>
      <c r="B2049">
        <f>GS47</f>
        <v>0</v>
      </c>
      <c r="C2049" t="inlineStr">
        <is>
          <t>+LS01</t>
        </is>
      </c>
      <c r="D2049" t="inlineStr">
        <is>
          <t>-156K2</t>
        </is>
      </c>
      <c r="E2049" t="inlineStr">
        <is>
          <t>DILM-9-01</t>
        </is>
      </c>
      <c r="F2049" t="inlineStr">
        <is>
          <t>DILA-XHI22</t>
        </is>
      </c>
      <c r="G2049" t="inlineStr">
        <is>
          <t>LASTSCHUETZ</t>
        </is>
      </c>
      <c r="H2049" t="inlineStr">
        <is>
          <t>4kW 1Oe Federzugkl.</t>
        </is>
      </c>
      <c r="I2049">
        <v>470</v>
      </c>
      <c r="J2049">
        <f>GS47/156.3</f>
        <v>0</v>
      </c>
      <c r="M2049" t="inlineStr">
        <is>
          <t>-156K2</t>
        </is>
      </c>
    </row>
    <row r="2050">
      <c r="A2050">
        <v>2049</v>
      </c>
      <c r="B2050">
        <f>GS47</f>
        <v>0</v>
      </c>
      <c r="C2050" t="inlineStr">
        <is>
          <t>+LS01</t>
        </is>
      </c>
      <c r="D2050" t="inlineStr">
        <is>
          <t>-156K2</t>
        </is>
      </c>
      <c r="E2050" t="inlineStr">
        <is>
          <t>DILA-XHI22</t>
        </is>
      </c>
      <c r="F2050" t="inlineStr">
        <is>
          <t>DILA-XHI22</t>
        </is>
      </c>
      <c r="G2050" t="inlineStr">
        <is>
          <t>HILFSKONTAKTBLOCK</t>
        </is>
      </c>
      <c r="H2050" t="inlineStr">
        <is>
          <t>2S 2OE Last+Hilfssch. Cage</t>
        </is>
      </c>
      <c r="I2050">
        <v>470</v>
      </c>
      <c r="J2050">
        <f>GS47/156.3</f>
        <v>0</v>
      </c>
      <c r="M2050" t="inlineStr">
        <is>
          <t>-156K2</t>
        </is>
      </c>
    </row>
    <row r="2051">
      <c r="A2051">
        <v>2050</v>
      </c>
      <c r="B2051">
        <f>GS48</f>
        <v>0</v>
      </c>
      <c r="C2051" t="inlineStr">
        <is>
          <t>+LS01</t>
        </is>
      </c>
      <c r="D2051" t="inlineStr">
        <is>
          <t>-156K2</t>
        </is>
      </c>
      <c r="E2051" t="inlineStr">
        <is>
          <t>DILA-XHI22</t>
        </is>
      </c>
      <c r="F2051" t="inlineStr">
        <is>
          <t>DILA-XHI22</t>
        </is>
      </c>
      <c r="G2051" t="inlineStr">
        <is>
          <t>HILFSKONTAKTBLOCK</t>
        </is>
      </c>
      <c r="H2051" t="inlineStr">
        <is>
          <t>2S 2OE Last+Hilfssch. Cage</t>
        </is>
      </c>
      <c r="I2051">
        <v>308</v>
      </c>
      <c r="J2051">
        <f>GS48/156.3</f>
        <v>0</v>
      </c>
      <c r="M2051" t="inlineStr">
        <is>
          <t>-156K2</t>
        </is>
      </c>
    </row>
    <row r="2052">
      <c r="A2052">
        <v>2051</v>
      </c>
      <c r="B2052">
        <f>GS48</f>
        <v>0</v>
      </c>
      <c r="C2052" t="inlineStr">
        <is>
          <t>+LS01</t>
        </is>
      </c>
      <c r="D2052" t="inlineStr">
        <is>
          <t>-156K2</t>
        </is>
      </c>
      <c r="E2052" t="inlineStr">
        <is>
          <t>DILM-9-01</t>
        </is>
      </c>
      <c r="F2052" t="inlineStr">
        <is>
          <t>DILA-XHI22</t>
        </is>
      </c>
      <c r="G2052" t="inlineStr">
        <is>
          <t>LASTSCHUETZ</t>
        </is>
      </c>
      <c r="H2052" t="inlineStr">
        <is>
          <t>4kW 1Oe Federzugkl.</t>
        </is>
      </c>
      <c r="I2052">
        <v>308</v>
      </c>
      <c r="J2052">
        <f>GS48/156.3</f>
        <v>0</v>
      </c>
      <c r="M2052" t="inlineStr">
        <is>
          <t>-156K2</t>
        </is>
      </c>
    </row>
    <row r="2053">
      <c r="A2053">
        <v>2052</v>
      </c>
      <c r="B2053">
        <f>GS02</f>
        <v>0</v>
      </c>
      <c r="C2053" t="inlineStr">
        <is>
          <t>+LS2</t>
        </is>
      </c>
      <c r="D2053" t="inlineStr">
        <is>
          <t>-156K21.5</t>
        </is>
      </c>
      <c r="E2053" t="inlineStr">
        <is>
          <t>DIL_EM-10-G</t>
        </is>
      </c>
      <c r="F2053" t="inlineStr">
        <is>
          <t>#KALK!</t>
        </is>
      </c>
      <c r="G2053" t="inlineStr">
        <is>
          <t>LASTSCHUETZ</t>
        </is>
      </c>
      <c r="H2053" t="inlineStr">
        <is>
          <t>4kW 1S</t>
        </is>
      </c>
      <c r="I2053">
        <v>556</v>
      </c>
      <c r="J2053">
        <f>GS02/156.7</f>
        <v>0</v>
      </c>
      <c r="M2053" t="inlineStr">
        <is>
          <t>-156K21.5</t>
        </is>
      </c>
    </row>
    <row r="2054">
      <c r="A2054">
        <v>2053</v>
      </c>
      <c r="B2054">
        <f>GS33</f>
        <v>0</v>
      </c>
      <c r="C2054" t="inlineStr">
        <is>
          <t>+LS2</t>
        </is>
      </c>
      <c r="D2054" t="inlineStr">
        <is>
          <t>-156K22.1</t>
        </is>
      </c>
      <c r="E2054" t="inlineStr">
        <is>
          <t>DIL_EM-10-G</t>
        </is>
      </c>
      <c r="F2054" t="inlineStr">
        <is>
          <t>#KALK!</t>
        </is>
      </c>
      <c r="G2054" t="inlineStr">
        <is>
          <t>LASTSCHUETZ</t>
        </is>
      </c>
      <c r="H2054" t="inlineStr">
        <is>
          <t>4kW 1S</t>
        </is>
      </c>
      <c r="I2054">
        <v>588</v>
      </c>
      <c r="J2054">
        <f>GS33/156.6</f>
        <v>0</v>
      </c>
      <c r="M2054" t="inlineStr">
        <is>
          <t>-156K22.1</t>
        </is>
      </c>
    </row>
    <row r="2055">
      <c r="A2055">
        <v>2054</v>
      </c>
      <c r="B2055">
        <f>GS34</f>
        <v>0</v>
      </c>
      <c r="C2055" t="inlineStr">
        <is>
          <t>+LS2</t>
        </is>
      </c>
      <c r="D2055" t="inlineStr">
        <is>
          <t>-156K23.1</t>
        </is>
      </c>
      <c r="E2055" t="inlineStr">
        <is>
          <t>DIL_EM-10-G</t>
        </is>
      </c>
      <c r="F2055" t="inlineStr">
        <is>
          <t>#KALK!</t>
        </is>
      </c>
      <c r="G2055" t="inlineStr">
        <is>
          <t>LASTSCHUETZ</t>
        </is>
      </c>
      <c r="H2055" t="inlineStr">
        <is>
          <t>4kW 1S</t>
        </is>
      </c>
      <c r="I2055">
        <v>280</v>
      </c>
      <c r="J2055">
        <f>GS34/156.7</f>
        <v>0</v>
      </c>
      <c r="M2055" t="inlineStr">
        <is>
          <t>-156K23.1</t>
        </is>
      </c>
    </row>
    <row r="2056">
      <c r="A2056">
        <v>2055</v>
      </c>
      <c r="B2056">
        <f>GS46</f>
        <v>0</v>
      </c>
      <c r="C2056" t="inlineStr">
        <is>
          <t>+LS01</t>
        </is>
      </c>
      <c r="D2056" t="inlineStr">
        <is>
          <t>-156K3</t>
        </is>
      </c>
      <c r="E2056" t="inlineStr">
        <is>
          <t>DILA-40</t>
        </is>
      </c>
      <c r="F2056" t="inlineStr">
        <is>
          <t>#KALK!</t>
        </is>
      </c>
      <c r="G2056" t="inlineStr">
        <is>
          <t>HILFSSCHUETZ</t>
        </is>
      </c>
      <c r="H2056" t="inlineStr">
        <is>
          <t>4S Federzugkl.</t>
        </is>
      </c>
      <c r="I2056">
        <v>470</v>
      </c>
      <c r="J2056">
        <f>GS46/156.6</f>
        <v>0</v>
      </c>
      <c r="M2056" t="inlineStr">
        <is>
          <t>-156K3</t>
        </is>
      </c>
    </row>
    <row r="2057">
      <c r="A2057">
        <v>2056</v>
      </c>
      <c r="B2057">
        <f>GS47</f>
        <v>0</v>
      </c>
      <c r="C2057" t="inlineStr">
        <is>
          <t>+LS01</t>
        </is>
      </c>
      <c r="D2057" t="inlineStr">
        <is>
          <t>-156K3</t>
        </is>
      </c>
      <c r="E2057" t="inlineStr">
        <is>
          <t>DILA-40</t>
        </is>
      </c>
      <c r="F2057" t="inlineStr">
        <is>
          <t>#KALK!</t>
        </is>
      </c>
      <c r="G2057" t="inlineStr">
        <is>
          <t>HILFSSCHUETZ</t>
        </is>
      </c>
      <c r="H2057" t="inlineStr">
        <is>
          <t>4S Federzugkl.</t>
        </is>
      </c>
      <c r="I2057">
        <v>470</v>
      </c>
      <c r="J2057">
        <f>GS47/156.6</f>
        <v>0</v>
      </c>
      <c r="M2057" t="inlineStr">
        <is>
          <t>-156K3</t>
        </is>
      </c>
    </row>
    <row r="2058">
      <c r="A2058">
        <v>2057</v>
      </c>
      <c r="B2058">
        <f>GS48</f>
        <v>0</v>
      </c>
      <c r="C2058" t="inlineStr">
        <is>
          <t>+LS01</t>
        </is>
      </c>
      <c r="D2058" t="inlineStr">
        <is>
          <t>-156K3</t>
        </is>
      </c>
      <c r="E2058" t="inlineStr">
        <is>
          <t>DILA-40</t>
        </is>
      </c>
      <c r="F2058" t="inlineStr">
        <is>
          <t>#KALK!</t>
        </is>
      </c>
      <c r="G2058" t="inlineStr">
        <is>
          <t>HILFSSCHUETZ</t>
        </is>
      </c>
      <c r="H2058" t="inlineStr">
        <is>
          <t>4S Federzugkl.</t>
        </is>
      </c>
      <c r="I2058">
        <v>308</v>
      </c>
      <c r="J2058">
        <f>GS48/156.6</f>
        <v>0</v>
      </c>
      <c r="M2058" t="inlineStr">
        <is>
          <t>-156K3</t>
        </is>
      </c>
    </row>
    <row r="2059">
      <c r="A2059">
        <v>2058</v>
      </c>
      <c r="B2059">
        <f>GS49</f>
        <v>0</v>
      </c>
      <c r="C2059" t="inlineStr">
        <is>
          <t>+LS01</t>
        </is>
      </c>
      <c r="D2059" t="inlineStr">
        <is>
          <t>-156K3</t>
        </is>
      </c>
      <c r="E2059" t="inlineStr">
        <is>
          <t>DILA-40</t>
        </is>
      </c>
      <c r="F2059" t="inlineStr">
        <is>
          <t>#KALK!</t>
        </is>
      </c>
      <c r="G2059" t="inlineStr">
        <is>
          <t>HILFSSCHUETZ</t>
        </is>
      </c>
      <c r="H2059" t="inlineStr">
        <is>
          <t>4S Federzugkl.</t>
        </is>
      </c>
      <c r="I2059">
        <v>307</v>
      </c>
      <c r="J2059">
        <f>GS49/156.6</f>
        <v>0</v>
      </c>
      <c r="M2059" t="inlineStr">
        <is>
          <t>-156K3</t>
        </is>
      </c>
    </row>
    <row r="2060">
      <c r="A2060">
        <v>2059</v>
      </c>
      <c r="B2060">
        <f>GS11</f>
        <v>0</v>
      </c>
      <c r="C2060" t="inlineStr">
        <is>
          <t>+LS3</t>
        </is>
      </c>
      <c r="D2060" t="inlineStr">
        <is>
          <t>-156K37.4</t>
        </is>
      </c>
      <c r="E2060" t="inlineStr">
        <is>
          <t>DIL_EM-10-G</t>
        </is>
      </c>
      <c r="F2060" t="inlineStr">
        <is>
          <t>#KALK!</t>
        </is>
      </c>
      <c r="G2060" t="inlineStr">
        <is>
          <t>LASTSCHUETZ</t>
        </is>
      </c>
      <c r="H2060" t="inlineStr">
        <is>
          <t>4kW 1S</t>
        </is>
      </c>
      <c r="I2060">
        <v>267</v>
      </c>
      <c r="J2060">
        <f>GS11/156.6</f>
        <v>0</v>
      </c>
      <c r="M2060" t="inlineStr">
        <is>
          <t>-156K37.4</t>
        </is>
      </c>
    </row>
    <row r="2061">
      <c r="A2061">
        <v>2060</v>
      </c>
      <c r="B2061">
        <f>GS21</f>
        <v>0</v>
      </c>
      <c r="C2061" t="inlineStr">
        <is>
          <t>+LS3</t>
        </is>
      </c>
      <c r="D2061" t="inlineStr">
        <is>
          <t>-156K37.4</t>
        </is>
      </c>
      <c r="E2061" t="inlineStr">
        <is>
          <t>DIL_EM-10-G</t>
        </is>
      </c>
      <c r="F2061" t="inlineStr">
        <is>
          <t>#KALK!</t>
        </is>
      </c>
      <c r="G2061" t="inlineStr">
        <is>
          <t>LASTSCHUETZ</t>
        </is>
      </c>
      <c r="H2061" t="inlineStr">
        <is>
          <t>4kW 1S</t>
        </is>
      </c>
      <c r="I2061">
        <v>241</v>
      </c>
      <c r="J2061">
        <f>GS21/156.6</f>
        <v>0</v>
      </c>
      <c r="M2061" t="inlineStr">
        <is>
          <t>-156K37.4</t>
        </is>
      </c>
    </row>
    <row r="2062">
      <c r="A2062">
        <v>2061</v>
      </c>
      <c r="B2062">
        <f>GS33</f>
        <v>0</v>
      </c>
      <c r="C2062" t="inlineStr">
        <is>
          <t>+LS2</t>
        </is>
      </c>
      <c r="D2062" t="inlineStr">
        <is>
          <t>-156K53.5</t>
        </is>
      </c>
      <c r="E2062" t="inlineStr">
        <is>
          <t>DIL_EM-10-G</t>
        </is>
      </c>
      <c r="F2062" t="inlineStr">
        <is>
          <t>#KALK!</t>
        </is>
      </c>
      <c r="G2062" t="inlineStr">
        <is>
          <t>LASTSCHUETZ</t>
        </is>
      </c>
      <c r="H2062" t="inlineStr">
        <is>
          <t>4kW 1S</t>
        </is>
      </c>
      <c r="I2062">
        <v>588</v>
      </c>
      <c r="J2062">
        <f>GS33/156.6</f>
        <v>0</v>
      </c>
      <c r="M2062" t="inlineStr">
        <is>
          <t>-156K53.5</t>
        </is>
      </c>
    </row>
    <row r="2063">
      <c r="A2063">
        <v>2062</v>
      </c>
      <c r="B2063">
        <f>GC03</f>
        <v>0</v>
      </c>
      <c r="C2063" t="inlineStr">
        <is>
          <t>+LS3</t>
        </is>
      </c>
      <c r="D2063" t="inlineStr">
        <is>
          <t>-156K56.7</t>
        </is>
      </c>
      <c r="E2063" t="inlineStr">
        <is>
          <t>DIL_ER-22-G</t>
        </is>
      </c>
      <c r="F2063" t="inlineStr">
        <is>
          <t>#KALK!</t>
        </is>
      </c>
      <c r="G2063" t="inlineStr">
        <is>
          <t>HILFSSCHUETZ</t>
        </is>
      </c>
      <c r="H2063" t="inlineStr">
        <is>
          <t>2S 2OE</t>
        </is>
      </c>
      <c r="I2063">
        <v>732</v>
      </c>
      <c r="J2063">
        <f>GC03/156.7</f>
        <v>0</v>
      </c>
      <c r="M2063" t="inlineStr">
        <is>
          <t>-156K56.7</t>
        </is>
      </c>
    </row>
    <row r="2064">
      <c r="A2064">
        <v>2063</v>
      </c>
      <c r="B2064">
        <f>GS25</f>
        <v>0</v>
      </c>
      <c r="C2064" t="inlineStr">
        <is>
          <t>+LS3</t>
        </is>
      </c>
      <c r="D2064" t="inlineStr">
        <is>
          <t>-156K63.5</t>
        </is>
      </c>
      <c r="E2064" t="inlineStr">
        <is>
          <t>DIL_EM-10-G</t>
        </is>
      </c>
      <c r="F2064" t="inlineStr">
        <is>
          <t>#KALK!</t>
        </is>
      </c>
      <c r="G2064" t="inlineStr">
        <is>
          <t>LASTSCHUETZ</t>
        </is>
      </c>
      <c r="H2064" t="inlineStr">
        <is>
          <t>4kW 1S</t>
        </is>
      </c>
      <c r="I2064">
        <v>277</v>
      </c>
      <c r="J2064">
        <f>GS25/156.6</f>
        <v>0</v>
      </c>
      <c r="M2064" t="inlineStr">
        <is>
          <t>-156K63.5</t>
        </is>
      </c>
    </row>
    <row r="2065">
      <c r="A2065">
        <v>2064</v>
      </c>
      <c r="B2065">
        <f>GS25</f>
        <v>0</v>
      </c>
      <c r="C2065" t="inlineStr">
        <is>
          <t>+LS3</t>
        </is>
      </c>
      <c r="D2065" t="inlineStr">
        <is>
          <t>-156K64.0</t>
        </is>
      </c>
      <c r="E2065" t="inlineStr">
        <is>
          <t>DIL_EM-10-G</t>
        </is>
      </c>
      <c r="F2065" t="inlineStr">
        <is>
          <t>#KALK!</t>
        </is>
      </c>
      <c r="G2065" t="inlineStr">
        <is>
          <t>LASTSCHUETZ</t>
        </is>
      </c>
      <c r="H2065" t="inlineStr">
        <is>
          <t>4kW 1S</t>
        </is>
      </c>
      <c r="I2065">
        <v>277</v>
      </c>
      <c r="J2065">
        <f>GS25/156.6</f>
        <v>0</v>
      </c>
      <c r="M2065" t="inlineStr">
        <is>
          <t>-156K64.0</t>
        </is>
      </c>
    </row>
    <row r="2066">
      <c r="A2066">
        <v>2065</v>
      </c>
      <c r="B2066">
        <f>GS52</f>
        <v>0</v>
      </c>
      <c r="C2066" t="inlineStr">
        <is>
          <t>+LS02</t>
        </is>
      </c>
      <c r="D2066" t="inlineStr">
        <is>
          <t>-156Q112.7</t>
        </is>
      </c>
      <c r="E2066" t="inlineStr">
        <is>
          <t>DILM-9-10</t>
        </is>
      </c>
      <c r="F2066" t="inlineStr">
        <is>
          <t>#KALK!</t>
        </is>
      </c>
      <c r="G2066" t="inlineStr">
        <is>
          <t>LASTSCHUETZ</t>
        </is>
      </c>
      <c r="H2066" t="inlineStr">
        <is>
          <t>4kW 1S Federzugkl.</t>
        </is>
      </c>
      <c r="I2066">
        <v>973</v>
      </c>
      <c r="J2066">
        <f>GS52/156.6</f>
        <v>0</v>
      </c>
      <c r="K2066" t="inlineStr">
        <is>
          <t>DIL MC9</t>
        </is>
      </c>
      <c r="M2066" t="inlineStr">
        <is>
          <t>-156Q112.7</t>
        </is>
      </c>
    </row>
    <row r="2067">
      <c r="A2067">
        <v>2066</v>
      </c>
      <c r="B2067">
        <f>GS90</f>
        <v>0</v>
      </c>
      <c r="C2067" t="inlineStr">
        <is>
          <t>+LS02</t>
        </is>
      </c>
      <c r="D2067" t="inlineStr">
        <is>
          <t>-156Q443.3</t>
        </is>
      </c>
      <c r="E2067" t="inlineStr">
        <is>
          <t>DILM-9-10</t>
        </is>
      </c>
      <c r="F2067" t="inlineStr">
        <is>
          <t>#KALK!</t>
        </is>
      </c>
      <c r="G2067" t="inlineStr">
        <is>
          <t>LASTSCHUETZ</t>
        </is>
      </c>
      <c r="H2067" t="inlineStr">
        <is>
          <t>4kW 1S Federzugkl.</t>
        </is>
      </c>
      <c r="I2067">
        <v>1060</v>
      </c>
      <c r="J2067">
        <f>GS90/156.5</f>
        <v>0</v>
      </c>
      <c r="M2067" t="inlineStr">
        <is>
          <t>-156Q443.3</t>
        </is>
      </c>
    </row>
    <row r="2068">
      <c r="A2068">
        <v>2067</v>
      </c>
      <c r="B2068">
        <f>GS38</f>
        <v>0</v>
      </c>
      <c r="C2068" t="inlineStr">
        <is>
          <t>+LS02</t>
        </is>
      </c>
      <c r="D2068" t="inlineStr">
        <is>
          <t>-156Q713.6</t>
        </is>
      </c>
      <c r="E2068" t="inlineStr">
        <is>
          <t>DILM-9-10</t>
        </is>
      </c>
      <c r="F2068" t="inlineStr">
        <is>
          <t>#KALK!</t>
        </is>
      </c>
      <c r="G2068" t="inlineStr">
        <is>
          <t>LASTSCHUETZ</t>
        </is>
      </c>
      <c r="H2068" t="inlineStr">
        <is>
          <t>4kW 1S Federzugkl.</t>
        </is>
      </c>
      <c r="I2068">
        <v>292</v>
      </c>
      <c r="J2068">
        <f>GS38/156.6</f>
        <v>0</v>
      </c>
      <c r="M2068" t="inlineStr">
        <is>
          <t>-156Q713.6</t>
        </is>
      </c>
    </row>
    <row r="2069">
      <c r="A2069">
        <v>2068</v>
      </c>
      <c r="B2069">
        <f>GS39</f>
        <v>0</v>
      </c>
      <c r="C2069" t="inlineStr">
        <is>
          <t>+LS02</t>
        </is>
      </c>
      <c r="D2069" t="inlineStr">
        <is>
          <t>-156Q713.6</t>
        </is>
      </c>
      <c r="E2069" t="inlineStr">
        <is>
          <t>DILM-9-10</t>
        </is>
      </c>
      <c r="F2069" t="inlineStr">
        <is>
          <t>#KALK!</t>
        </is>
      </c>
      <c r="G2069" t="inlineStr">
        <is>
          <t>LASTSCHUETZ</t>
        </is>
      </c>
      <c r="H2069" t="inlineStr">
        <is>
          <t>4kW 1S Federzugkl.</t>
        </is>
      </c>
      <c r="I2069">
        <v>342</v>
      </c>
      <c r="J2069">
        <f>GS39/156.6</f>
        <v>0</v>
      </c>
      <c r="M2069" t="inlineStr">
        <is>
          <t>-156Q713.6</t>
        </is>
      </c>
    </row>
    <row r="2070">
      <c r="A2070">
        <v>2069</v>
      </c>
      <c r="B2070">
        <f>GS13</f>
        <v>0</v>
      </c>
      <c r="C2070" t="inlineStr">
        <is>
          <t>+LS2</t>
        </is>
      </c>
      <c r="D2070" t="inlineStr">
        <is>
          <t>-15760.3</t>
        </is>
      </c>
      <c r="E2070" t="inlineStr">
        <is>
          <t>DIL_EM-10-G</t>
        </is>
      </c>
      <c r="F2070" t="inlineStr">
        <is>
          <t>#KALK!</t>
        </is>
      </c>
      <c r="G2070" t="inlineStr">
        <is>
          <t>LASTSCHUETZ</t>
        </is>
      </c>
      <c r="H2070" t="inlineStr">
        <is>
          <t>4kW 1S</t>
        </is>
      </c>
      <c r="I2070">
        <v>396</v>
      </c>
      <c r="J2070">
        <f>GS13/157.7</f>
        <v>0</v>
      </c>
      <c r="M2070" t="inlineStr">
        <is>
          <t>-15760.3</t>
        </is>
      </c>
    </row>
    <row r="2071">
      <c r="A2071">
        <v>2070</v>
      </c>
      <c r="B2071">
        <f>GS02</f>
        <v>0</v>
      </c>
      <c r="C2071" t="inlineStr">
        <is>
          <t>+LS2</t>
        </is>
      </c>
      <c r="D2071" t="inlineStr">
        <is>
          <t>-157K22.5</t>
        </is>
      </c>
      <c r="E2071" t="inlineStr">
        <is>
          <t>DIL_EM-10-G</t>
        </is>
      </c>
      <c r="F2071" t="inlineStr">
        <is>
          <t>#KALK!</t>
        </is>
      </c>
      <c r="G2071" t="inlineStr">
        <is>
          <t>LASTSCHUETZ</t>
        </is>
      </c>
      <c r="H2071" t="inlineStr">
        <is>
          <t>4kW 1S</t>
        </is>
      </c>
      <c r="I2071">
        <v>557</v>
      </c>
      <c r="J2071">
        <f>GS02/157.7</f>
        <v>0</v>
      </c>
      <c r="M2071" t="inlineStr">
        <is>
          <t>-157K22.5</t>
        </is>
      </c>
    </row>
    <row r="2072">
      <c r="A2072">
        <v>2071</v>
      </c>
      <c r="B2072">
        <f>GS33</f>
        <v>0</v>
      </c>
      <c r="C2072" t="inlineStr">
        <is>
          <t>+LS2</t>
        </is>
      </c>
      <c r="D2072" t="inlineStr">
        <is>
          <t>-157K22.5</t>
        </is>
      </c>
      <c r="E2072" t="inlineStr">
        <is>
          <t>DIL_EM-10-G</t>
        </is>
      </c>
      <c r="F2072" t="inlineStr">
        <is>
          <t>#KALK!</t>
        </is>
      </c>
      <c r="G2072" t="inlineStr">
        <is>
          <t>LASTSCHUETZ</t>
        </is>
      </c>
      <c r="H2072" t="inlineStr">
        <is>
          <t>4kW 1S</t>
        </is>
      </c>
      <c r="I2072">
        <v>589</v>
      </c>
      <c r="J2072">
        <f>GS33/157.7</f>
        <v>0</v>
      </c>
      <c r="M2072" t="inlineStr">
        <is>
          <t>-157K22.5</t>
        </is>
      </c>
    </row>
    <row r="2073">
      <c r="A2073">
        <v>2072</v>
      </c>
      <c r="B2073">
        <f>GS34</f>
        <v>0</v>
      </c>
      <c r="C2073" t="inlineStr">
        <is>
          <t>+LS2</t>
        </is>
      </c>
      <c r="D2073" t="inlineStr">
        <is>
          <t>-157K23.2</t>
        </is>
      </c>
      <c r="E2073" t="inlineStr">
        <is>
          <t>DIL_EM-10-G</t>
        </is>
      </c>
      <c r="F2073" t="inlineStr">
        <is>
          <t>#KALK!</t>
        </is>
      </c>
      <c r="G2073" t="inlineStr">
        <is>
          <t>LASTSCHUETZ</t>
        </is>
      </c>
      <c r="H2073" t="inlineStr">
        <is>
          <t>4kW 1S</t>
        </is>
      </c>
      <c r="I2073">
        <v>281</v>
      </c>
      <c r="J2073">
        <f>GS34/157.6</f>
        <v>0</v>
      </c>
      <c r="M2073" t="inlineStr">
        <is>
          <t>-157K23.2</t>
        </is>
      </c>
    </row>
    <row r="2074">
      <c r="A2074">
        <v>2073</v>
      </c>
      <c r="B2074">
        <f>GS34</f>
        <v>0</v>
      </c>
      <c r="C2074" t="inlineStr">
        <is>
          <t>+LS2</t>
        </is>
      </c>
      <c r="D2074" t="inlineStr">
        <is>
          <t>-157K23.3</t>
        </is>
      </c>
      <c r="E2074" t="inlineStr">
        <is>
          <t>DIL_EM-10-G</t>
        </is>
      </c>
      <c r="F2074" t="inlineStr">
        <is>
          <t>#KALK!</t>
        </is>
      </c>
      <c r="G2074" t="inlineStr">
        <is>
          <t>LASTSCHUETZ</t>
        </is>
      </c>
      <c r="H2074" t="inlineStr">
        <is>
          <t>4kW 1S</t>
        </is>
      </c>
      <c r="I2074">
        <v>281</v>
      </c>
      <c r="J2074">
        <f>GS34/157.6</f>
        <v>0</v>
      </c>
      <c r="M2074" t="inlineStr">
        <is>
          <t>-157K23.3</t>
        </is>
      </c>
    </row>
    <row r="2075">
      <c r="A2075">
        <v>2074</v>
      </c>
      <c r="B2075">
        <f>GS32</f>
        <v>0</v>
      </c>
      <c r="C2075" t="inlineStr">
        <is>
          <t>+LS3</t>
        </is>
      </c>
      <c r="D2075" t="inlineStr">
        <is>
          <t>-157K28.0</t>
        </is>
      </c>
      <c r="E2075" t="inlineStr">
        <is>
          <t>DIL_EM-10-G</t>
        </is>
      </c>
      <c r="F2075" t="inlineStr">
        <is>
          <t>#KALK!</t>
        </is>
      </c>
      <c r="G2075" t="inlineStr">
        <is>
          <t>LASTSCHUETZ</t>
        </is>
      </c>
      <c r="H2075" t="inlineStr">
        <is>
          <t>4kW 1S</t>
        </is>
      </c>
      <c r="I2075">
        <v>1193</v>
      </c>
      <c r="J2075">
        <f>GS32/157.6</f>
        <v>0</v>
      </c>
      <c r="M2075" t="inlineStr">
        <is>
          <t>-157K28.0</t>
        </is>
      </c>
    </row>
    <row r="2076">
      <c r="A2076">
        <v>2075</v>
      </c>
      <c r="B2076">
        <f>GS32</f>
        <v>0</v>
      </c>
      <c r="C2076" t="inlineStr">
        <is>
          <t>+LS3</t>
        </is>
      </c>
      <c r="D2076" t="inlineStr">
        <is>
          <t>-157K28.1</t>
        </is>
      </c>
      <c r="E2076" t="inlineStr">
        <is>
          <t>DIL_EM-10-G</t>
        </is>
      </c>
      <c r="F2076" t="inlineStr">
        <is>
          <t>#KALK!</t>
        </is>
      </c>
      <c r="G2076" t="inlineStr">
        <is>
          <t>LASTSCHUETZ</t>
        </is>
      </c>
      <c r="H2076" t="inlineStr">
        <is>
          <t>4kW 1S</t>
        </is>
      </c>
      <c r="I2076">
        <v>1193</v>
      </c>
      <c r="J2076">
        <f>GS32/157.6</f>
        <v>0</v>
      </c>
      <c r="M2076" t="inlineStr">
        <is>
          <t>-157K28.1</t>
        </is>
      </c>
    </row>
    <row r="2077">
      <c r="A2077">
        <v>2076</v>
      </c>
      <c r="B2077">
        <f>GS11</f>
        <v>0</v>
      </c>
      <c r="C2077" t="inlineStr">
        <is>
          <t>+LS3</t>
        </is>
      </c>
      <c r="D2077" t="inlineStr">
        <is>
          <t>-157K38.1</t>
        </is>
      </c>
      <c r="E2077" t="inlineStr">
        <is>
          <t>DIL_EM-10-G</t>
        </is>
      </c>
      <c r="F2077" t="inlineStr">
        <is>
          <t>#KALK!</t>
        </is>
      </c>
      <c r="G2077" t="inlineStr">
        <is>
          <t>LASTSCHUETZ</t>
        </is>
      </c>
      <c r="H2077" t="inlineStr">
        <is>
          <t>4kW 1S</t>
        </is>
      </c>
      <c r="I2077">
        <v>268</v>
      </c>
      <c r="J2077">
        <f>GS11/157.7</f>
        <v>0</v>
      </c>
      <c r="M2077" t="inlineStr">
        <is>
          <t>-157K38.1</t>
        </is>
      </c>
    </row>
    <row r="2078">
      <c r="A2078">
        <v>2077</v>
      </c>
      <c r="B2078">
        <f>GS21</f>
        <v>0</v>
      </c>
      <c r="C2078" t="inlineStr">
        <is>
          <t>+LS3</t>
        </is>
      </c>
      <c r="D2078" t="inlineStr">
        <is>
          <t>-157K38.1</t>
        </is>
      </c>
      <c r="E2078" t="inlineStr">
        <is>
          <t>DIL_EM-10-G</t>
        </is>
      </c>
      <c r="F2078" t="inlineStr">
        <is>
          <t>#KALK!</t>
        </is>
      </c>
      <c r="G2078" t="inlineStr">
        <is>
          <t>LASTSCHUETZ</t>
        </is>
      </c>
      <c r="H2078" t="inlineStr">
        <is>
          <t>4kW 1S</t>
        </is>
      </c>
      <c r="I2078">
        <v>242</v>
      </c>
      <c r="J2078">
        <f>GS21/157.7</f>
        <v>0</v>
      </c>
      <c r="M2078" t="inlineStr">
        <is>
          <t>-157K38.1</t>
        </is>
      </c>
    </row>
    <row r="2079">
      <c r="A2079">
        <v>2078</v>
      </c>
      <c r="B2079">
        <f>GC03</f>
        <v>0</v>
      </c>
      <c r="C2079" t="inlineStr">
        <is>
          <t>+LS3</t>
        </is>
      </c>
      <c r="D2079" t="inlineStr">
        <is>
          <t>-157K57.4</t>
        </is>
      </c>
      <c r="E2079" t="inlineStr">
        <is>
          <t>DIL_EM-10-G</t>
        </is>
      </c>
      <c r="F2079" t="inlineStr">
        <is>
          <t>#KALK!</t>
        </is>
      </c>
      <c r="G2079" t="inlineStr">
        <is>
          <t>LASTSCHUETZ</t>
        </is>
      </c>
      <c r="H2079" t="inlineStr">
        <is>
          <t>4kW 1S</t>
        </is>
      </c>
      <c r="I2079">
        <v>720</v>
      </c>
      <c r="J2079">
        <f>GC03/157.7</f>
        <v>0</v>
      </c>
      <c r="M2079" t="inlineStr">
        <is>
          <t>-157K57.4</t>
        </is>
      </c>
    </row>
    <row r="2080">
      <c r="A2080">
        <v>2079</v>
      </c>
      <c r="B2080">
        <f>GS23</f>
        <v>0</v>
      </c>
      <c r="C2080" t="inlineStr">
        <is>
          <t>+LS2</t>
        </is>
      </c>
      <c r="D2080" t="inlineStr">
        <is>
          <t>-157K60.3</t>
        </is>
      </c>
      <c r="E2080" t="inlineStr">
        <is>
          <t>DIL_EM-10-G</t>
        </is>
      </c>
      <c r="F2080" t="inlineStr">
        <is>
          <t>#KALK!</t>
        </is>
      </c>
      <c r="G2080" t="inlineStr">
        <is>
          <t>LASTSCHUETZ</t>
        </is>
      </c>
      <c r="H2080" t="inlineStr">
        <is>
          <t>4kW 1S</t>
        </is>
      </c>
      <c r="I2080">
        <v>456</v>
      </c>
      <c r="J2080">
        <f>GS23/157.7</f>
        <v>0</v>
      </c>
      <c r="M2080" t="inlineStr">
        <is>
          <t>-157K60.3</t>
        </is>
      </c>
    </row>
    <row r="2081">
      <c r="A2081">
        <v>2080</v>
      </c>
      <c r="B2081">
        <f>GS25</f>
        <v>0</v>
      </c>
      <c r="C2081" t="inlineStr">
        <is>
          <t>+LS3</t>
        </is>
      </c>
      <c r="D2081" t="inlineStr">
        <is>
          <t>-157K64.1</t>
        </is>
      </c>
      <c r="E2081" t="inlineStr">
        <is>
          <t>DIL_EM-10-G</t>
        </is>
      </c>
      <c r="F2081" t="inlineStr">
        <is>
          <t>#KALK!</t>
        </is>
      </c>
      <c r="G2081" t="inlineStr">
        <is>
          <t>LASTSCHUETZ</t>
        </is>
      </c>
      <c r="H2081" t="inlineStr">
        <is>
          <t>4kW 1S</t>
        </is>
      </c>
      <c r="I2081">
        <v>278</v>
      </c>
      <c r="J2081">
        <f>GS25/157.6</f>
        <v>0</v>
      </c>
      <c r="M2081" t="inlineStr">
        <is>
          <t>-157K64.1</t>
        </is>
      </c>
    </row>
    <row r="2082">
      <c r="A2082">
        <v>2081</v>
      </c>
      <c r="B2082">
        <f>GS25</f>
        <v>0</v>
      </c>
      <c r="C2082" t="inlineStr">
        <is>
          <t>+LS3</t>
        </is>
      </c>
      <c r="D2082" t="inlineStr">
        <is>
          <t>-157K64.2</t>
        </is>
      </c>
      <c r="E2082" t="inlineStr">
        <is>
          <t>DIL_EM-10-G</t>
        </is>
      </c>
      <c r="F2082" t="inlineStr">
        <is>
          <t>#KALK!</t>
        </is>
      </c>
      <c r="G2082" t="inlineStr">
        <is>
          <t>LASTSCHUETZ</t>
        </is>
      </c>
      <c r="H2082" t="inlineStr">
        <is>
          <t>4kW 1S</t>
        </is>
      </c>
      <c r="I2082">
        <v>278</v>
      </c>
      <c r="J2082">
        <f>GS25/157.6</f>
        <v>0</v>
      </c>
      <c r="M2082" t="inlineStr">
        <is>
          <t>-157K64.2</t>
        </is>
      </c>
    </row>
    <row r="2083">
      <c r="A2083">
        <v>2082</v>
      </c>
      <c r="B2083">
        <f>GS14</f>
        <v>0</v>
      </c>
      <c r="C2083" t="inlineStr">
        <is>
          <t>+LS3</t>
        </is>
      </c>
      <c r="D2083" t="inlineStr">
        <is>
          <t>-157K66.0</t>
        </is>
      </c>
      <c r="E2083" t="inlineStr">
        <is>
          <t>DIL_EM-10-G</t>
        </is>
      </c>
      <c r="F2083" t="inlineStr">
        <is>
          <t>#KALK!</t>
        </is>
      </c>
      <c r="G2083" t="inlineStr">
        <is>
          <t>LASTSCHUETZ</t>
        </is>
      </c>
      <c r="H2083" t="inlineStr">
        <is>
          <t>4kW 1S</t>
        </is>
      </c>
      <c r="I2083">
        <v>283</v>
      </c>
      <c r="J2083">
        <f>GS14/157.6</f>
        <v>0</v>
      </c>
      <c r="M2083" t="inlineStr">
        <is>
          <t>-157K66.0</t>
        </is>
      </c>
    </row>
    <row r="2084">
      <c r="A2084">
        <v>2083</v>
      </c>
      <c r="B2084">
        <f>GS24</f>
        <v>0</v>
      </c>
      <c r="C2084" t="inlineStr">
        <is>
          <t>+LS3</t>
        </is>
      </c>
      <c r="D2084" t="inlineStr">
        <is>
          <t>-157K66.0</t>
        </is>
      </c>
      <c r="E2084" t="inlineStr">
        <is>
          <t>DIL_EM-10-G</t>
        </is>
      </c>
      <c r="F2084" t="inlineStr">
        <is>
          <t>#KALK!</t>
        </is>
      </c>
      <c r="G2084" t="inlineStr">
        <is>
          <t>LASTSCHUETZ</t>
        </is>
      </c>
      <c r="H2084" t="inlineStr">
        <is>
          <t>4kW 1S</t>
        </is>
      </c>
      <c r="I2084">
        <v>922</v>
      </c>
      <c r="J2084">
        <f>GS24/157.6</f>
        <v>0</v>
      </c>
      <c r="M2084" t="inlineStr">
        <is>
          <t>-157K66.0</t>
        </is>
      </c>
    </row>
    <row r="2085">
      <c r="A2085">
        <v>2084</v>
      </c>
      <c r="B2085">
        <f>GS14</f>
        <v>0</v>
      </c>
      <c r="C2085" t="inlineStr">
        <is>
          <t>+LS3</t>
        </is>
      </c>
      <c r="D2085" t="inlineStr">
        <is>
          <t>-157K66.1</t>
        </is>
      </c>
      <c r="E2085" t="inlineStr">
        <is>
          <t>DIL_EM-10-G</t>
        </is>
      </c>
      <c r="F2085" t="inlineStr">
        <is>
          <t>#KALK!</t>
        </is>
      </c>
      <c r="G2085" t="inlineStr">
        <is>
          <t>LASTSCHUETZ</t>
        </is>
      </c>
      <c r="H2085" t="inlineStr">
        <is>
          <t>4kW 1S</t>
        </is>
      </c>
      <c r="I2085">
        <v>283</v>
      </c>
      <c r="J2085">
        <f>GS14/157.6</f>
        <v>0</v>
      </c>
      <c r="M2085" t="inlineStr">
        <is>
          <t>-157K66.1</t>
        </is>
      </c>
    </row>
    <row r="2086">
      <c r="A2086">
        <v>2085</v>
      </c>
      <c r="B2086">
        <f>GS24</f>
        <v>0</v>
      </c>
      <c r="C2086" t="inlineStr">
        <is>
          <t>+LS3</t>
        </is>
      </c>
      <c r="D2086" t="inlineStr">
        <is>
          <t>-157K66.1</t>
        </is>
      </c>
      <c r="E2086" t="inlineStr">
        <is>
          <t>DIL_EM-10-G</t>
        </is>
      </c>
      <c r="F2086" t="inlineStr">
        <is>
          <t>#KALK!</t>
        </is>
      </c>
      <c r="G2086" t="inlineStr">
        <is>
          <t>LASTSCHUETZ</t>
        </is>
      </c>
      <c r="H2086" t="inlineStr">
        <is>
          <t>4kW 1S</t>
        </is>
      </c>
      <c r="I2086">
        <v>922</v>
      </c>
      <c r="J2086">
        <f>GS24/157.6</f>
        <v>0</v>
      </c>
      <c r="M2086" t="inlineStr">
        <is>
          <t>-157K66.1</t>
        </is>
      </c>
    </row>
    <row r="2087">
      <c r="A2087">
        <v>2086</v>
      </c>
      <c r="B2087">
        <f>GS01</f>
        <v>0</v>
      </c>
      <c r="C2087" t="inlineStr">
        <is>
          <t>+LS3</t>
        </is>
      </c>
      <c r="D2087" t="inlineStr">
        <is>
          <t>-157K93.3</t>
        </is>
      </c>
      <c r="E2087" t="inlineStr">
        <is>
          <t>DIL_EM-10-G</t>
        </is>
      </c>
      <c r="F2087" t="inlineStr">
        <is>
          <t>#KALK!</t>
        </is>
      </c>
      <c r="G2087" t="inlineStr">
        <is>
          <t>LASTSCHUETZ</t>
        </is>
      </c>
      <c r="H2087" t="inlineStr">
        <is>
          <t>4kW 1S</t>
        </is>
      </c>
      <c r="I2087">
        <v>319</v>
      </c>
      <c r="J2087">
        <f>GS01/157.7</f>
        <v>0</v>
      </c>
      <c r="M2087" t="inlineStr">
        <is>
          <t>-157K93.3</t>
        </is>
      </c>
    </row>
    <row r="2088">
      <c r="A2088">
        <v>2087</v>
      </c>
      <c r="B2088">
        <f>GS7x</f>
        <v>0</v>
      </c>
      <c r="C2088" t="inlineStr">
        <is>
          <t>+LS[l2]</t>
        </is>
      </c>
      <c r="D2088" t="inlineStr">
        <is>
          <t>-157Q[a+3].5</t>
        </is>
      </c>
      <c r="E2088" t="inlineStr">
        <is>
          <t>DILM-9-10</t>
        </is>
      </c>
      <c r="F2088" t="inlineStr">
        <is>
          <t>#KALK!</t>
        </is>
      </c>
      <c r="G2088" t="inlineStr">
        <is>
          <t>LASTSCHUETZ</t>
        </is>
      </c>
      <c r="H2088" t="inlineStr">
        <is>
          <t>4kW 1S Federzugkl.</t>
        </is>
      </c>
      <c r="I2088">
        <v>201</v>
      </c>
      <c r="J2088">
        <f>GS7x/157.6</f>
        <v>0</v>
      </c>
      <c r="M2088" t="inlineStr">
        <is>
          <t>-157Q[a+3].5</t>
        </is>
      </c>
    </row>
    <row r="2089">
      <c r="A2089">
        <v>2088</v>
      </c>
      <c r="B2089">
        <f>GS52</f>
        <v>0</v>
      </c>
      <c r="C2089" t="inlineStr">
        <is>
          <t>+LS02</t>
        </is>
      </c>
      <c r="D2089" t="inlineStr">
        <is>
          <t>-157Q113.0</t>
        </is>
      </c>
      <c r="E2089" t="inlineStr">
        <is>
          <t>DILM-9-10</t>
        </is>
      </c>
      <c r="F2089" t="inlineStr">
        <is>
          <t>#KALK!</t>
        </is>
      </c>
      <c r="G2089" t="inlineStr">
        <is>
          <t>LASTSCHUETZ</t>
        </is>
      </c>
      <c r="H2089" t="inlineStr">
        <is>
          <t>4kW 1S Federzugkl.</t>
        </is>
      </c>
      <c r="I2089">
        <v>974</v>
      </c>
      <c r="J2089">
        <f>GS52/157.6</f>
        <v>0</v>
      </c>
      <c r="K2089" t="inlineStr">
        <is>
          <t>DIL MC9</t>
        </is>
      </c>
      <c r="M2089" t="inlineStr">
        <is>
          <t>-157Q113.0</t>
        </is>
      </c>
    </row>
    <row r="2090">
      <c r="A2090">
        <v>2089</v>
      </c>
      <c r="B2090">
        <f>GS94</f>
        <v>0</v>
      </c>
      <c r="C2090" t="inlineStr">
        <is>
          <t>+LS15</t>
        </is>
      </c>
      <c r="D2090" t="inlineStr">
        <is>
          <t>-157Q171.5</t>
        </is>
      </c>
      <c r="E2090" t="inlineStr">
        <is>
          <t>DILM-9-10</t>
        </is>
      </c>
      <c r="F2090" t="inlineStr">
        <is>
          <t>#KALK!</t>
        </is>
      </c>
      <c r="G2090" t="inlineStr">
        <is>
          <t>LASTSCHUETZ</t>
        </is>
      </c>
      <c r="H2090" t="inlineStr">
        <is>
          <t>4kW 1S Federzugkl.</t>
        </is>
      </c>
      <c r="I2090">
        <v>247</v>
      </c>
      <c r="J2090">
        <f>GS94/157.5</f>
        <v>0</v>
      </c>
      <c r="M2090" t="inlineStr">
        <is>
          <t>-157Q171.5</t>
        </is>
      </c>
    </row>
    <row r="2091">
      <c r="A2091">
        <v>2090</v>
      </c>
      <c r="B2091">
        <f>GS96</f>
        <v>0</v>
      </c>
      <c r="C2091" t="inlineStr">
        <is>
          <t>+LS15</t>
        </is>
      </c>
      <c r="D2091" t="inlineStr">
        <is>
          <t>-157Q171.5</t>
        </is>
      </c>
      <c r="E2091" t="inlineStr">
        <is>
          <t>DILM-9-10</t>
        </is>
      </c>
      <c r="F2091" t="inlineStr">
        <is>
          <t>#KALK!</t>
        </is>
      </c>
      <c r="G2091" t="inlineStr">
        <is>
          <t>LASTSCHUETZ</t>
        </is>
      </c>
      <c r="H2091" t="inlineStr">
        <is>
          <t>4kW 1S Federzugkl.</t>
        </is>
      </c>
      <c r="I2091">
        <v>247</v>
      </c>
      <c r="J2091">
        <f>GS96/157.5</f>
        <v>0</v>
      </c>
      <c r="M2091" t="inlineStr">
        <is>
          <t>-157Q171.5</t>
        </is>
      </c>
    </row>
    <row r="2092">
      <c r="A2092">
        <v>2091</v>
      </c>
      <c r="B2092">
        <f>GS91</f>
        <v>0</v>
      </c>
      <c r="C2092" t="inlineStr">
        <is>
          <t>+LS02</t>
        </is>
      </c>
      <c r="D2092" t="inlineStr">
        <is>
          <t>-157Q442.2</t>
        </is>
      </c>
      <c r="E2092" t="inlineStr">
        <is>
          <t>DILM-9-10</t>
        </is>
      </c>
      <c r="F2092" t="inlineStr">
        <is>
          <t>#KALK!</t>
        </is>
      </c>
      <c r="G2092" t="inlineStr">
        <is>
          <t>LASTSCHUETZ</t>
        </is>
      </c>
      <c r="H2092" t="inlineStr">
        <is>
          <t>4kW 1S Federzugkl.</t>
        </is>
      </c>
      <c r="I2092">
        <v>345</v>
      </c>
      <c r="J2092">
        <f>GS91/157.5</f>
        <v>0</v>
      </c>
      <c r="M2092" t="inlineStr">
        <is>
          <t>-157Q442.2</t>
        </is>
      </c>
    </row>
    <row r="2093">
      <c r="A2093">
        <v>2092</v>
      </c>
      <c r="B2093">
        <f>GS90</f>
        <v>0</v>
      </c>
      <c r="C2093" t="inlineStr">
        <is>
          <t>+LS02</t>
        </is>
      </c>
      <c r="D2093" t="inlineStr">
        <is>
          <t>-157Q443.4</t>
        </is>
      </c>
      <c r="E2093" t="inlineStr">
        <is>
          <t>DILM-9-10</t>
        </is>
      </c>
      <c r="F2093" t="inlineStr">
        <is>
          <t>#KALK!</t>
        </is>
      </c>
      <c r="G2093" t="inlineStr">
        <is>
          <t>LASTSCHUETZ</t>
        </is>
      </c>
      <c r="H2093" t="inlineStr">
        <is>
          <t>4kW 1S Federzugkl.</t>
        </is>
      </c>
      <c r="I2093">
        <v>1061</v>
      </c>
      <c r="J2093">
        <f>GS90/157.5</f>
        <v>0</v>
      </c>
      <c r="M2093" t="inlineStr">
        <is>
          <t>-157Q443.4</t>
        </is>
      </c>
    </row>
    <row r="2094">
      <c r="A2094">
        <v>2093</v>
      </c>
      <c r="B2094">
        <f>GS02</f>
        <v>0</v>
      </c>
      <c r="C2094" t="inlineStr">
        <is>
          <t>+LS2</t>
        </is>
      </c>
      <c r="D2094" t="inlineStr">
        <is>
          <t>-158.1K21.6</t>
        </is>
      </c>
      <c r="E2094" t="inlineStr">
        <is>
          <t>DIL_ER-22-G</t>
        </is>
      </c>
      <c r="F2094" t="inlineStr">
        <is>
          <t>#KALK!</t>
        </is>
      </c>
      <c r="G2094" t="inlineStr">
        <is>
          <t>HILFSSCHUETZ</t>
        </is>
      </c>
      <c r="H2094" t="inlineStr">
        <is>
          <t>2S 2OE</t>
        </is>
      </c>
      <c r="I2094">
        <v>559</v>
      </c>
      <c r="J2094">
        <f>GS02/158.1.5</f>
        <v>0</v>
      </c>
      <c r="M2094" t="inlineStr">
        <is>
          <t>-158.1K21.6</t>
        </is>
      </c>
    </row>
    <row r="2095">
      <c r="A2095">
        <v>2094</v>
      </c>
      <c r="B2095">
        <f>GS13</f>
        <v>0</v>
      </c>
      <c r="C2095" t="inlineStr">
        <is>
          <t>+LS2</t>
        </is>
      </c>
      <c r="D2095" t="inlineStr">
        <is>
          <t>-15862.5</t>
        </is>
      </c>
      <c r="E2095" t="inlineStr">
        <is>
          <t>DIL_EM-10-G</t>
        </is>
      </c>
      <c r="F2095" t="inlineStr">
        <is>
          <t>#KALK!</t>
        </is>
      </c>
      <c r="G2095" t="inlineStr">
        <is>
          <t>LASTSCHUETZ</t>
        </is>
      </c>
      <c r="H2095" t="inlineStr">
        <is>
          <t>4kW 1S</t>
        </is>
      </c>
      <c r="I2095">
        <v>397</v>
      </c>
      <c r="J2095">
        <f>GS13/158.7</f>
        <v>0</v>
      </c>
      <c r="M2095" t="inlineStr">
        <is>
          <t>-15862.5</t>
        </is>
      </c>
    </row>
    <row r="2096">
      <c r="A2096">
        <v>2095</v>
      </c>
      <c r="B2096">
        <f>GS36</f>
        <v>0</v>
      </c>
      <c r="C2096" t="inlineStr">
        <is>
          <t>+LS02</t>
        </is>
      </c>
      <c r="D2096" t="inlineStr">
        <is>
          <t>-158K1</t>
        </is>
      </c>
      <c r="E2096" t="inlineStr">
        <is>
          <t>DILM-9-01</t>
        </is>
      </c>
      <c r="F2096" t="inlineStr">
        <is>
          <t>#KALK!</t>
        </is>
      </c>
      <c r="G2096" t="inlineStr">
        <is>
          <t>LASTSCHUETZ</t>
        </is>
      </c>
      <c r="H2096" t="inlineStr">
        <is>
          <t>4kW 1Oe Federzugkl.</t>
        </is>
      </c>
      <c r="I2096">
        <v>331</v>
      </c>
      <c r="J2096">
        <f>GS36/158.6</f>
        <v>0</v>
      </c>
      <c r="L2096" t="inlineStr">
        <is>
          <t>Lichtvorhang KF</t>
        </is>
      </c>
      <c r="M2096" t="inlineStr">
        <is>
          <t>Lichtvorhang KF
-158K1</t>
        </is>
      </c>
    </row>
    <row r="2097">
      <c r="A2097">
        <v>2096</v>
      </c>
      <c r="B2097">
        <f>GS46</f>
        <v>0</v>
      </c>
      <c r="C2097" t="inlineStr">
        <is>
          <t>+LS01</t>
        </is>
      </c>
      <c r="D2097" t="inlineStr">
        <is>
          <t>-158K1</t>
        </is>
      </c>
      <c r="E2097" t="inlineStr">
        <is>
          <t>DILM-9-01</t>
        </is>
      </c>
      <c r="F2097" t="inlineStr">
        <is>
          <t>#KALK!</t>
        </is>
      </c>
      <c r="G2097" t="inlineStr">
        <is>
          <t>LASTSCHUETZ</t>
        </is>
      </c>
      <c r="H2097" t="inlineStr">
        <is>
          <t>4kW 1Oe Federzugkl.</t>
        </is>
      </c>
      <c r="I2097">
        <v>472</v>
      </c>
      <c r="J2097">
        <f>GS46/158.6</f>
        <v>0</v>
      </c>
      <c r="M2097" t="inlineStr">
        <is>
          <t>-158K1</t>
        </is>
      </c>
    </row>
    <row r="2098">
      <c r="A2098">
        <v>2097</v>
      </c>
      <c r="B2098">
        <f>GS47</f>
        <v>0</v>
      </c>
      <c r="C2098" t="inlineStr">
        <is>
          <t>+LS01</t>
        </is>
      </c>
      <c r="D2098" t="inlineStr">
        <is>
          <t>-158K1</t>
        </is>
      </c>
      <c r="E2098" t="inlineStr">
        <is>
          <t>DILM-9-01</t>
        </is>
      </c>
      <c r="F2098" t="inlineStr">
        <is>
          <t>#KALK!</t>
        </is>
      </c>
      <c r="G2098" t="inlineStr">
        <is>
          <t>LASTSCHUETZ</t>
        </is>
      </c>
      <c r="H2098" t="inlineStr">
        <is>
          <t>4kW 1Oe Federzugkl.</t>
        </is>
      </c>
      <c r="I2098">
        <v>472</v>
      </c>
      <c r="J2098">
        <f>GS47/158.6</f>
        <v>0</v>
      </c>
      <c r="M2098" t="inlineStr">
        <is>
          <t>-158K1</t>
        </is>
      </c>
    </row>
    <row r="2099">
      <c r="A2099">
        <v>2098</v>
      </c>
      <c r="B2099">
        <f>GS48</f>
        <v>0</v>
      </c>
      <c r="C2099" t="inlineStr">
        <is>
          <t>+LS01</t>
        </is>
      </c>
      <c r="D2099" t="inlineStr">
        <is>
          <t>-158K1</t>
        </is>
      </c>
      <c r="E2099" t="inlineStr">
        <is>
          <t>DILM-9-01</t>
        </is>
      </c>
      <c r="F2099" t="inlineStr">
        <is>
          <t>#KALK!</t>
        </is>
      </c>
      <c r="G2099" t="inlineStr">
        <is>
          <t>LASTSCHUETZ</t>
        </is>
      </c>
      <c r="H2099" t="inlineStr">
        <is>
          <t>4kW 1Oe Federzugkl.</t>
        </is>
      </c>
      <c r="I2099">
        <v>310</v>
      </c>
      <c r="J2099">
        <f>GS48/158.6</f>
        <v>0</v>
      </c>
      <c r="M2099" t="inlineStr">
        <is>
          <t>-158K1</t>
        </is>
      </c>
    </row>
    <row r="2100">
      <c r="A2100">
        <v>2099</v>
      </c>
      <c r="B2100">
        <f>GS49</f>
        <v>0</v>
      </c>
      <c r="C2100" t="inlineStr">
        <is>
          <t>+LS01</t>
        </is>
      </c>
      <c r="D2100" t="inlineStr">
        <is>
          <t>-158K1</t>
        </is>
      </c>
      <c r="E2100" t="inlineStr">
        <is>
          <t>DILM-9-01</t>
        </is>
      </c>
      <c r="F2100" t="inlineStr">
        <is>
          <t>#KALK!</t>
        </is>
      </c>
      <c r="G2100" t="inlineStr">
        <is>
          <t>LASTSCHUETZ</t>
        </is>
      </c>
      <c r="H2100" t="inlineStr">
        <is>
          <t>4kW 1Oe Federzugkl.</t>
        </is>
      </c>
      <c r="I2100">
        <v>309</v>
      </c>
      <c r="J2100">
        <f>GS49/158.6</f>
        <v>0</v>
      </c>
      <c r="M2100" t="inlineStr">
        <is>
          <t>-158K1</t>
        </is>
      </c>
    </row>
    <row r="2101">
      <c r="A2101">
        <v>2100</v>
      </c>
      <c r="B2101">
        <f>GS36</f>
        <v>0</v>
      </c>
      <c r="C2101" t="inlineStr">
        <is>
          <t>+LS02</t>
        </is>
      </c>
      <c r="D2101" t="inlineStr">
        <is>
          <t>-158K2</t>
        </is>
      </c>
      <c r="E2101" t="inlineStr">
        <is>
          <t>DILM-9-01</t>
        </is>
      </c>
      <c r="F2101" t="inlineStr">
        <is>
          <t>#KALK!</t>
        </is>
      </c>
      <c r="G2101" t="inlineStr">
        <is>
          <t>LASTSCHUETZ</t>
        </is>
      </c>
      <c r="H2101" t="inlineStr">
        <is>
          <t>4kW 1Oe Federzugkl.</t>
        </is>
      </c>
      <c r="I2101">
        <v>331</v>
      </c>
      <c r="J2101">
        <f>GS36/158.7</f>
        <v>0</v>
      </c>
      <c r="L2101" t="inlineStr">
        <is>
          <t>Lichtvorhang KF</t>
        </is>
      </c>
      <c r="M2101" t="inlineStr">
        <is>
          <t>Lichtvorhang KF
-158K2</t>
        </is>
      </c>
    </row>
    <row r="2102">
      <c r="A2102">
        <v>2101</v>
      </c>
      <c r="B2102">
        <f>GS46</f>
        <v>0</v>
      </c>
      <c r="C2102" t="inlineStr">
        <is>
          <t>+LS01</t>
        </is>
      </c>
      <c r="D2102" t="inlineStr">
        <is>
          <t>-158K2</t>
        </is>
      </c>
      <c r="E2102" t="inlineStr">
        <is>
          <t>DILM-9-01</t>
        </is>
      </c>
      <c r="F2102" t="inlineStr">
        <is>
          <t>#KALK!</t>
        </is>
      </c>
      <c r="G2102" t="inlineStr">
        <is>
          <t>LASTSCHUETZ</t>
        </is>
      </c>
      <c r="H2102" t="inlineStr">
        <is>
          <t>4kW 1Oe Federzugkl.</t>
        </is>
      </c>
      <c r="I2102">
        <v>472</v>
      </c>
      <c r="J2102">
        <f>GS46/158.7</f>
        <v>0</v>
      </c>
      <c r="M2102" t="inlineStr">
        <is>
          <t>-158K2</t>
        </is>
      </c>
    </row>
    <row r="2103">
      <c r="A2103">
        <v>2102</v>
      </c>
      <c r="B2103">
        <f>GS47</f>
        <v>0</v>
      </c>
      <c r="C2103" t="inlineStr">
        <is>
          <t>+LS01</t>
        </is>
      </c>
      <c r="D2103" t="inlineStr">
        <is>
          <t>-158K2</t>
        </is>
      </c>
      <c r="E2103" t="inlineStr">
        <is>
          <t>DILM-9-01</t>
        </is>
      </c>
      <c r="F2103" t="inlineStr">
        <is>
          <t>#KALK!</t>
        </is>
      </c>
      <c r="G2103" t="inlineStr">
        <is>
          <t>LASTSCHUETZ</t>
        </is>
      </c>
      <c r="H2103" t="inlineStr">
        <is>
          <t>4kW 1Oe Federzugkl.</t>
        </is>
      </c>
      <c r="I2103">
        <v>472</v>
      </c>
      <c r="J2103">
        <f>GS47/158.7</f>
        <v>0</v>
      </c>
      <c r="M2103" t="inlineStr">
        <is>
          <t>-158K2</t>
        </is>
      </c>
    </row>
    <row r="2104">
      <c r="A2104">
        <v>2103</v>
      </c>
      <c r="B2104">
        <f>GS48</f>
        <v>0</v>
      </c>
      <c r="C2104" t="inlineStr">
        <is>
          <t>+LS01</t>
        </is>
      </c>
      <c r="D2104" t="inlineStr">
        <is>
          <t>-158K2</t>
        </is>
      </c>
      <c r="E2104" t="inlineStr">
        <is>
          <t>DILM-9-01</t>
        </is>
      </c>
      <c r="F2104" t="inlineStr">
        <is>
          <t>#KALK!</t>
        </is>
      </c>
      <c r="G2104" t="inlineStr">
        <is>
          <t>LASTSCHUETZ</t>
        </is>
      </c>
      <c r="H2104" t="inlineStr">
        <is>
          <t>4kW 1Oe Federzugkl.</t>
        </is>
      </c>
      <c r="I2104">
        <v>310</v>
      </c>
      <c r="J2104">
        <f>GS48/158.7</f>
        <v>0</v>
      </c>
      <c r="M2104" t="inlineStr">
        <is>
          <t>-158K2</t>
        </is>
      </c>
    </row>
    <row r="2105">
      <c r="A2105">
        <v>2104</v>
      </c>
      <c r="B2105">
        <f>GS49</f>
        <v>0</v>
      </c>
      <c r="C2105" t="inlineStr">
        <is>
          <t>+LS01</t>
        </is>
      </c>
      <c r="D2105" t="inlineStr">
        <is>
          <t>-158K2</t>
        </is>
      </c>
      <c r="E2105" t="inlineStr">
        <is>
          <t>DILM-9-01</t>
        </is>
      </c>
      <c r="F2105" t="inlineStr">
        <is>
          <t>#KALK!</t>
        </is>
      </c>
      <c r="G2105" t="inlineStr">
        <is>
          <t>LASTSCHUETZ</t>
        </is>
      </c>
      <c r="H2105" t="inlineStr">
        <is>
          <t>4kW 1Oe Federzugkl.</t>
        </is>
      </c>
      <c r="I2105">
        <v>309</v>
      </c>
      <c r="J2105">
        <f>GS49/158.7</f>
        <v>0</v>
      </c>
      <c r="M2105" t="inlineStr">
        <is>
          <t>-158K2</t>
        </is>
      </c>
    </row>
    <row r="2106">
      <c r="A2106">
        <v>2105</v>
      </c>
      <c r="B2106">
        <f>GS02</f>
        <v>0</v>
      </c>
      <c r="C2106" t="inlineStr">
        <is>
          <t>+LS2</t>
        </is>
      </c>
      <c r="D2106" t="inlineStr">
        <is>
          <t>-158K23.0</t>
        </is>
      </c>
      <c r="E2106" t="inlineStr">
        <is>
          <t>DIL_EM-10-G</t>
        </is>
      </c>
      <c r="F2106" t="inlineStr">
        <is>
          <t>22_DIL-E</t>
        </is>
      </c>
      <c r="G2106" t="inlineStr">
        <is>
          <t>LASTSCHUETZ</t>
        </is>
      </c>
      <c r="H2106" t="inlineStr">
        <is>
          <t>4kW 1S</t>
        </is>
      </c>
      <c r="I2106">
        <v>558</v>
      </c>
      <c r="J2106">
        <f>GS02/158.6</f>
        <v>0</v>
      </c>
      <c r="M2106" t="inlineStr">
        <is>
          <t>-158K23.0</t>
        </is>
      </c>
    </row>
    <row r="2107">
      <c r="A2107">
        <v>2106</v>
      </c>
      <c r="B2107">
        <f>GS02</f>
        <v>0</v>
      </c>
      <c r="C2107" t="inlineStr">
        <is>
          <t>+LS2</t>
        </is>
      </c>
      <c r="D2107" t="inlineStr">
        <is>
          <t>-158K23.0</t>
        </is>
      </c>
      <c r="E2107" t="inlineStr">
        <is>
          <t>22_DIL-E</t>
        </is>
      </c>
      <c r="F2107" t="inlineStr">
        <is>
          <t>22_DIL-E</t>
        </is>
      </c>
      <c r="G2107" t="inlineStr">
        <is>
          <t>HILFSKONTAKTBLOCK</t>
        </is>
      </c>
      <c r="H2107" t="inlineStr">
        <is>
          <t>2S 2OE Last+Hilfsschuetz</t>
        </is>
      </c>
      <c r="I2107">
        <v>558</v>
      </c>
      <c r="J2107">
        <f>GS02/158.6</f>
        <v>0</v>
      </c>
      <c r="M2107" t="inlineStr">
        <is>
          <t>-158K23.0</t>
        </is>
      </c>
    </row>
    <row r="2108">
      <c r="A2108">
        <v>2107</v>
      </c>
      <c r="B2108">
        <f>GS02</f>
        <v>0</v>
      </c>
      <c r="C2108" t="inlineStr">
        <is>
          <t>+LS2</t>
        </is>
      </c>
      <c r="D2108" t="inlineStr">
        <is>
          <t>-158K23.1</t>
        </is>
      </c>
      <c r="E2108" t="inlineStr">
        <is>
          <t>DIL_EM-10-G</t>
        </is>
      </c>
      <c r="F2108" t="inlineStr">
        <is>
          <t>#KALK!</t>
        </is>
      </c>
      <c r="G2108" t="inlineStr">
        <is>
          <t>LASTSCHUETZ</t>
        </is>
      </c>
      <c r="H2108" t="inlineStr">
        <is>
          <t>4kW 1S</t>
        </is>
      </c>
      <c r="I2108">
        <v>558</v>
      </c>
      <c r="J2108">
        <f>GS02/158.6</f>
        <v>0</v>
      </c>
      <c r="M2108" t="inlineStr">
        <is>
          <t>-158K23.1</t>
        </is>
      </c>
    </row>
    <row r="2109">
      <c r="A2109">
        <v>2108</v>
      </c>
      <c r="B2109">
        <f>GS31</f>
        <v>0</v>
      </c>
      <c r="C2109" t="inlineStr">
        <is>
          <t>+LS2</t>
        </is>
      </c>
      <c r="D2109" t="inlineStr">
        <is>
          <t>-158K27.0</t>
        </is>
      </c>
      <c r="E2109" t="inlineStr">
        <is>
          <t>DIL_EM-10-G</t>
        </is>
      </c>
      <c r="F2109" t="inlineStr">
        <is>
          <t>#KALK!</t>
        </is>
      </c>
      <c r="G2109" t="inlineStr">
        <is>
          <t>LASTSCHUETZ</t>
        </is>
      </c>
      <c r="H2109" t="inlineStr">
        <is>
          <t>4kW 1S</t>
        </is>
      </c>
      <c r="I2109">
        <v>442</v>
      </c>
      <c r="J2109">
        <f>GS31/158.6</f>
        <v>0</v>
      </c>
      <c r="M2109" t="inlineStr">
        <is>
          <t>-158K27.0</t>
        </is>
      </c>
    </row>
    <row r="2110">
      <c r="A2110">
        <v>2109</v>
      </c>
      <c r="B2110">
        <f>GS31</f>
        <v>0</v>
      </c>
      <c r="C2110" t="inlineStr">
        <is>
          <t>+LS2</t>
        </is>
      </c>
      <c r="D2110" t="inlineStr">
        <is>
          <t>-158K27.1</t>
        </is>
      </c>
      <c r="E2110" t="inlineStr">
        <is>
          <t>DIL_EM-10-G</t>
        </is>
      </c>
      <c r="F2110" t="inlineStr">
        <is>
          <t>#KALK!</t>
        </is>
      </c>
      <c r="G2110" t="inlineStr">
        <is>
          <t>LASTSCHUETZ</t>
        </is>
      </c>
      <c r="H2110" t="inlineStr">
        <is>
          <t>4kW 1S</t>
        </is>
      </c>
      <c r="I2110">
        <v>442</v>
      </c>
      <c r="J2110">
        <f>GS31/158.6</f>
        <v>0</v>
      </c>
      <c r="M2110" t="inlineStr">
        <is>
          <t>-158K27.1</t>
        </is>
      </c>
    </row>
    <row r="2111">
      <c r="A2111">
        <v>2110</v>
      </c>
      <c r="B2111">
        <f>GS32</f>
        <v>0</v>
      </c>
      <c r="C2111" t="inlineStr">
        <is>
          <t>+LS3</t>
        </is>
      </c>
      <c r="D2111" t="inlineStr">
        <is>
          <t>-158K28.2</t>
        </is>
      </c>
      <c r="E2111" t="inlineStr">
        <is>
          <t>DIL_EM-10-G</t>
        </is>
      </c>
      <c r="F2111" t="inlineStr">
        <is>
          <t>#KALK!</t>
        </is>
      </c>
      <c r="G2111" t="inlineStr">
        <is>
          <t>LASTSCHUETZ</t>
        </is>
      </c>
      <c r="H2111" t="inlineStr">
        <is>
          <t>4kW 1S</t>
        </is>
      </c>
      <c r="I2111">
        <v>1382</v>
      </c>
      <c r="J2111">
        <f>GS32/158.6</f>
        <v>0</v>
      </c>
      <c r="M2111" t="inlineStr">
        <is>
          <t>-158K28.2</t>
        </is>
      </c>
    </row>
    <row r="2112">
      <c r="A2112">
        <v>2111</v>
      </c>
      <c r="B2112">
        <f>GS32</f>
        <v>0</v>
      </c>
      <c r="C2112" t="inlineStr">
        <is>
          <t>+LS3</t>
        </is>
      </c>
      <c r="D2112" t="inlineStr">
        <is>
          <t>-158K28.3</t>
        </is>
      </c>
      <c r="E2112" t="inlineStr">
        <is>
          <t>DIL_EM-10-G</t>
        </is>
      </c>
      <c r="F2112" t="inlineStr">
        <is>
          <t>#KALK!</t>
        </is>
      </c>
      <c r="G2112" t="inlineStr">
        <is>
          <t>LASTSCHUETZ</t>
        </is>
      </c>
      <c r="H2112" t="inlineStr">
        <is>
          <t>4kW 1S</t>
        </is>
      </c>
      <c r="I2112">
        <v>1382</v>
      </c>
      <c r="J2112">
        <f>GS32/158.6</f>
        <v>0</v>
      </c>
      <c r="M2112" t="inlineStr">
        <is>
          <t>-158K28.3</t>
        </is>
      </c>
    </row>
    <row r="2113">
      <c r="A2113">
        <v>2112</v>
      </c>
      <c r="B2113">
        <f>GS26</f>
        <v>0</v>
      </c>
      <c r="C2113" t="inlineStr">
        <is>
          <t>+LS2</t>
        </is>
      </c>
      <c r="D2113" t="inlineStr">
        <is>
          <t>-158K3512.3</t>
        </is>
      </c>
      <c r="E2113" t="inlineStr">
        <is>
          <t>DILM-9-10</t>
        </is>
      </c>
      <c r="F2113" t="inlineStr">
        <is>
          <t>#KALK!</t>
        </is>
      </c>
      <c r="G2113" t="inlineStr">
        <is>
          <t>LASTSCHUETZ</t>
        </is>
      </c>
      <c r="H2113" t="inlineStr">
        <is>
          <t>4kW 1S Federzugkl.</t>
        </is>
      </c>
      <c r="I2113">
        <v>658</v>
      </c>
      <c r="J2113">
        <f>GS26/158.8</f>
        <v>0</v>
      </c>
      <c r="M2113" t="inlineStr">
        <is>
          <t>-158K3512.3</t>
        </is>
      </c>
    </row>
    <row r="2114">
      <c r="A2114">
        <v>2113</v>
      </c>
      <c r="B2114">
        <f>GS11</f>
        <v>0</v>
      </c>
      <c r="C2114" t="inlineStr">
        <is>
          <t>+LS3</t>
        </is>
      </c>
      <c r="D2114" t="inlineStr">
        <is>
          <t>-158K38.5</t>
        </is>
      </c>
      <c r="E2114" t="inlineStr">
        <is>
          <t>DIL_EM-10-G</t>
        </is>
      </c>
      <c r="F2114" t="inlineStr">
        <is>
          <t>#KALK!</t>
        </is>
      </c>
      <c r="G2114" t="inlineStr">
        <is>
          <t>LASTSCHUETZ</t>
        </is>
      </c>
      <c r="H2114" t="inlineStr">
        <is>
          <t>4kW 1S</t>
        </is>
      </c>
      <c r="I2114">
        <v>269</v>
      </c>
      <c r="J2114">
        <f>GS11/158.7</f>
        <v>0</v>
      </c>
      <c r="M2114" t="inlineStr">
        <is>
          <t>-158K38.5</t>
        </is>
      </c>
    </row>
    <row r="2115">
      <c r="A2115">
        <v>2114</v>
      </c>
      <c r="B2115">
        <f>GS21</f>
        <v>0</v>
      </c>
      <c r="C2115" t="inlineStr">
        <is>
          <t>+LS3</t>
        </is>
      </c>
      <c r="D2115" t="inlineStr">
        <is>
          <t>-158K38.5</t>
        </is>
      </c>
      <c r="E2115" t="inlineStr">
        <is>
          <t>DIL_EM-10-G</t>
        </is>
      </c>
      <c r="F2115" t="inlineStr">
        <is>
          <t>#KALK!</t>
        </is>
      </c>
      <c r="G2115" t="inlineStr">
        <is>
          <t>LASTSCHUETZ</t>
        </is>
      </c>
      <c r="H2115" t="inlineStr">
        <is>
          <t>4kW 1S</t>
        </is>
      </c>
      <c r="I2115">
        <v>243</v>
      </c>
      <c r="J2115">
        <f>GS21/158.7</f>
        <v>0</v>
      </c>
      <c r="M2115" t="inlineStr">
        <is>
          <t>-158K38.5</t>
        </is>
      </c>
    </row>
    <row r="2116">
      <c r="A2116">
        <v>2115</v>
      </c>
      <c r="B2116">
        <f>GC03</f>
        <v>0</v>
      </c>
      <c r="C2116" t="inlineStr">
        <is>
          <t>+LS3</t>
        </is>
      </c>
      <c r="D2116" t="inlineStr">
        <is>
          <t>-158K58.2</t>
        </is>
      </c>
      <c r="E2116" t="inlineStr">
        <is>
          <t>DIL_EM-10-G</t>
        </is>
      </c>
      <c r="F2116" t="inlineStr">
        <is>
          <t>#KALK!</t>
        </is>
      </c>
      <c r="G2116" t="inlineStr">
        <is>
          <t>LASTSCHUETZ</t>
        </is>
      </c>
      <c r="H2116" t="inlineStr">
        <is>
          <t>4kW 1S</t>
        </is>
      </c>
      <c r="I2116">
        <v>1035</v>
      </c>
      <c r="J2116">
        <f>GC03/158.7</f>
        <v>0</v>
      </c>
      <c r="M2116" t="inlineStr">
        <is>
          <t>-158K58.2</t>
        </is>
      </c>
    </row>
    <row r="2117">
      <c r="A2117">
        <v>2116</v>
      </c>
      <c r="B2117">
        <f>GS23</f>
        <v>0</v>
      </c>
      <c r="C2117" t="inlineStr">
        <is>
          <t>+LS2</t>
        </is>
      </c>
      <c r="D2117" t="inlineStr">
        <is>
          <t>-158K62.5</t>
        </is>
      </c>
      <c r="E2117" t="inlineStr">
        <is>
          <t>DIL_EM-10-G</t>
        </is>
      </c>
      <c r="F2117" t="inlineStr">
        <is>
          <t>#KALK!</t>
        </is>
      </c>
      <c r="G2117" t="inlineStr">
        <is>
          <t>LASTSCHUETZ</t>
        </is>
      </c>
      <c r="H2117" t="inlineStr">
        <is>
          <t>4kW 1S</t>
        </is>
      </c>
      <c r="I2117">
        <v>457</v>
      </c>
      <c r="J2117">
        <f>GS23/158.7</f>
        <v>0</v>
      </c>
      <c r="M2117" t="inlineStr">
        <is>
          <t>-158K62.5</t>
        </is>
      </c>
    </row>
    <row r="2118">
      <c r="A2118">
        <v>2117</v>
      </c>
      <c r="B2118">
        <f>GS25</f>
        <v>0</v>
      </c>
      <c r="C2118" t="inlineStr">
        <is>
          <t>+LS3</t>
        </is>
      </c>
      <c r="D2118" t="inlineStr">
        <is>
          <t>-158K64.3</t>
        </is>
      </c>
      <c r="E2118" t="inlineStr">
        <is>
          <t>DIL_EM-10-G</t>
        </is>
      </c>
      <c r="F2118" t="inlineStr">
        <is>
          <t>#KALK!</t>
        </is>
      </c>
      <c r="G2118" t="inlineStr">
        <is>
          <t>LASTSCHUETZ</t>
        </is>
      </c>
      <c r="H2118" t="inlineStr">
        <is>
          <t>4kW 1S</t>
        </is>
      </c>
      <c r="I2118">
        <v>279</v>
      </c>
      <c r="J2118">
        <f>GS25/158.6</f>
        <v>0</v>
      </c>
      <c r="M2118" t="inlineStr">
        <is>
          <t>-158K64.3</t>
        </is>
      </c>
    </row>
    <row r="2119">
      <c r="A2119">
        <v>2118</v>
      </c>
      <c r="B2119">
        <f>GS25</f>
        <v>0</v>
      </c>
      <c r="C2119" t="inlineStr">
        <is>
          <t>+LS3</t>
        </is>
      </c>
      <c r="D2119" t="inlineStr">
        <is>
          <t>-158K64.6</t>
        </is>
      </c>
      <c r="E2119" t="inlineStr">
        <is>
          <t>DIL_EM-10-G</t>
        </is>
      </c>
      <c r="F2119" t="inlineStr">
        <is>
          <t>#KALK!</t>
        </is>
      </c>
      <c r="G2119" t="inlineStr">
        <is>
          <t>LASTSCHUETZ</t>
        </is>
      </c>
      <c r="H2119" t="inlineStr">
        <is>
          <t>4kW 1S</t>
        </is>
      </c>
      <c r="I2119">
        <v>279</v>
      </c>
      <c r="J2119">
        <f>GS25/158.6</f>
        <v>0</v>
      </c>
      <c r="M2119" t="inlineStr">
        <is>
          <t>-158K64.6</t>
        </is>
      </c>
    </row>
    <row r="2120">
      <c r="A2120">
        <v>2119</v>
      </c>
      <c r="B2120">
        <f>GS14</f>
        <v>0</v>
      </c>
      <c r="C2120" t="inlineStr">
        <is>
          <t>+LS3</t>
        </is>
      </c>
      <c r="D2120" t="inlineStr">
        <is>
          <t>-158K66.2</t>
        </is>
      </c>
      <c r="E2120" t="inlineStr">
        <is>
          <t>DIL_EM-10-G</t>
        </is>
      </c>
      <c r="F2120" t="inlineStr">
        <is>
          <t>#KALK!</t>
        </is>
      </c>
      <c r="G2120" t="inlineStr">
        <is>
          <t>LASTSCHUETZ</t>
        </is>
      </c>
      <c r="H2120" t="inlineStr">
        <is>
          <t>4kW 1S</t>
        </is>
      </c>
      <c r="I2120">
        <v>284</v>
      </c>
      <c r="J2120">
        <f>GS14/158.6</f>
        <v>0</v>
      </c>
      <c r="M2120" t="inlineStr">
        <is>
          <t>-158K66.2</t>
        </is>
      </c>
    </row>
    <row r="2121">
      <c r="A2121">
        <v>2120</v>
      </c>
      <c r="B2121">
        <f>GS24</f>
        <v>0</v>
      </c>
      <c r="C2121" t="inlineStr">
        <is>
          <t>+LS3</t>
        </is>
      </c>
      <c r="D2121" t="inlineStr">
        <is>
          <t>-158K66.2</t>
        </is>
      </c>
      <c r="E2121" t="inlineStr">
        <is>
          <t>DIL_EM-10-G</t>
        </is>
      </c>
      <c r="F2121" t="inlineStr">
        <is>
          <t>#KALK!</t>
        </is>
      </c>
      <c r="G2121" t="inlineStr">
        <is>
          <t>LASTSCHUETZ</t>
        </is>
      </c>
      <c r="H2121" t="inlineStr">
        <is>
          <t>4kW 1S</t>
        </is>
      </c>
      <c r="I2121">
        <v>921</v>
      </c>
      <c r="J2121">
        <f>GS24/158.6</f>
        <v>0</v>
      </c>
      <c r="M2121" t="inlineStr">
        <is>
          <t>-158K66.2</t>
        </is>
      </c>
    </row>
    <row r="2122">
      <c r="A2122">
        <v>2121</v>
      </c>
      <c r="B2122">
        <f>GS14</f>
        <v>0</v>
      </c>
      <c r="C2122" t="inlineStr">
        <is>
          <t>+LS3</t>
        </is>
      </c>
      <c r="D2122" t="inlineStr">
        <is>
          <t>-158K66.3</t>
        </is>
      </c>
      <c r="E2122" t="inlineStr">
        <is>
          <t>DIL_EM-10-G</t>
        </is>
      </c>
      <c r="F2122" t="inlineStr">
        <is>
          <t>#KALK!</t>
        </is>
      </c>
      <c r="G2122" t="inlineStr">
        <is>
          <t>LASTSCHUETZ</t>
        </is>
      </c>
      <c r="H2122" t="inlineStr">
        <is>
          <t>4kW 1S</t>
        </is>
      </c>
      <c r="I2122">
        <v>284</v>
      </c>
      <c r="J2122">
        <f>GS14/158.6</f>
        <v>0</v>
      </c>
      <c r="M2122" t="inlineStr">
        <is>
          <t>-158K66.3</t>
        </is>
      </c>
    </row>
    <row r="2123">
      <c r="A2123">
        <v>2122</v>
      </c>
      <c r="B2123">
        <f>GS24</f>
        <v>0</v>
      </c>
      <c r="C2123" t="inlineStr">
        <is>
          <t>+LS3</t>
        </is>
      </c>
      <c r="D2123" t="inlineStr">
        <is>
          <t>-158K66.3</t>
        </is>
      </c>
      <c r="E2123" t="inlineStr">
        <is>
          <t>DIL_EM-10-G</t>
        </is>
      </c>
      <c r="F2123" t="inlineStr">
        <is>
          <t>#KALK!</t>
        </is>
      </c>
      <c r="G2123" t="inlineStr">
        <is>
          <t>LASTSCHUETZ</t>
        </is>
      </c>
      <c r="H2123" t="inlineStr">
        <is>
          <t>4kW 1S</t>
        </is>
      </c>
      <c r="I2123">
        <v>921</v>
      </c>
      <c r="J2123">
        <f>GS24/158.6</f>
        <v>0</v>
      </c>
      <c r="M2123" t="inlineStr">
        <is>
          <t>-158K66.3</t>
        </is>
      </c>
    </row>
    <row r="2124">
      <c r="A2124">
        <v>2123</v>
      </c>
      <c r="B2124">
        <f>GS01</f>
        <v>0</v>
      </c>
      <c r="C2124" t="inlineStr">
        <is>
          <t>+LS3</t>
        </is>
      </c>
      <c r="D2124" t="inlineStr">
        <is>
          <t>-158K93.7</t>
        </is>
      </c>
      <c r="E2124" t="inlineStr">
        <is>
          <t>DIL_EM-10-G</t>
        </is>
      </c>
      <c r="F2124" t="inlineStr">
        <is>
          <t>#KALK!</t>
        </is>
      </c>
      <c r="G2124" t="inlineStr">
        <is>
          <t>LASTSCHUETZ</t>
        </is>
      </c>
      <c r="H2124" t="inlineStr">
        <is>
          <t>4kW 1S</t>
        </is>
      </c>
      <c r="I2124">
        <v>320</v>
      </c>
      <c r="J2124">
        <f>GS01/158.7</f>
        <v>0</v>
      </c>
      <c r="M2124" t="inlineStr">
        <is>
          <t>-158K93.7</t>
        </is>
      </c>
    </row>
    <row r="2125">
      <c r="A2125">
        <v>2124</v>
      </c>
      <c r="B2125">
        <f>GS06</f>
        <v>0</v>
      </c>
      <c r="C2125" t="inlineStr">
        <is>
          <t>+LS02</t>
        </is>
      </c>
      <c r="D2125" t="inlineStr">
        <is>
          <t>-158Q110.5</t>
        </is>
      </c>
      <c r="E2125" t="inlineStr">
        <is>
          <t>DILM-9-10</t>
        </is>
      </c>
      <c r="F2125" t="inlineStr">
        <is>
          <t>#KALK!</t>
        </is>
      </c>
      <c r="G2125" t="inlineStr">
        <is>
          <t>LASTSCHUETZ</t>
        </is>
      </c>
      <c r="H2125" t="inlineStr">
        <is>
          <t>4kW 1S Federzugkl.</t>
        </is>
      </c>
      <c r="I2125">
        <v>2856</v>
      </c>
      <c r="J2125">
        <f>GS06/158.6</f>
        <v>0</v>
      </c>
      <c r="K2125" t="inlineStr">
        <is>
          <t>DIL MC9</t>
        </is>
      </c>
      <c r="M2125" t="inlineStr">
        <is>
          <t>-158Q110.5</t>
        </is>
      </c>
    </row>
    <row r="2126">
      <c r="A2126">
        <v>2125</v>
      </c>
      <c r="B2126">
        <f>GS95</f>
        <v>0</v>
      </c>
      <c r="C2126" t="inlineStr">
        <is>
          <t>+LS15</t>
        </is>
      </c>
      <c r="D2126" t="inlineStr">
        <is>
          <t>-158Q169.0</t>
        </is>
      </c>
      <c r="E2126" t="inlineStr">
        <is>
          <t>DILM-9-10</t>
        </is>
      </c>
      <c r="F2126" t="inlineStr">
        <is>
          <t>#KALK!</t>
        </is>
      </c>
      <c r="G2126" t="inlineStr">
        <is>
          <t>LASTSCHUETZ</t>
        </is>
      </c>
      <c r="H2126" t="inlineStr">
        <is>
          <t>4kW 1S Federzugkl.</t>
        </is>
      </c>
      <c r="I2126">
        <v>248</v>
      </c>
      <c r="J2126">
        <f>GS95/158.5</f>
        <v>0</v>
      </c>
      <c r="M2126" t="inlineStr">
        <is>
          <t>-158Q169.0</t>
        </is>
      </c>
    </row>
    <row r="2127">
      <c r="A2127">
        <v>2126</v>
      </c>
      <c r="B2127">
        <f>GS97</f>
        <v>0</v>
      </c>
      <c r="C2127" t="inlineStr">
        <is>
          <t>+LS15</t>
        </is>
      </c>
      <c r="D2127" t="inlineStr">
        <is>
          <t>-158Q169.0</t>
        </is>
      </c>
      <c r="E2127" t="inlineStr">
        <is>
          <t>DILM-9-10</t>
        </is>
      </c>
      <c r="F2127" t="inlineStr">
        <is>
          <t>#KALK!</t>
        </is>
      </c>
      <c r="G2127" t="inlineStr">
        <is>
          <t>LASTSCHUETZ</t>
        </is>
      </c>
      <c r="H2127" t="inlineStr">
        <is>
          <t>4kW 1S Federzugkl.</t>
        </is>
      </c>
      <c r="I2127">
        <v>248</v>
      </c>
      <c r="J2127">
        <f>GS97/158.5</f>
        <v>0</v>
      </c>
      <c r="M2127" t="inlineStr">
        <is>
          <t>-158Q169.0</t>
        </is>
      </c>
    </row>
    <row r="2128">
      <c r="A2128">
        <v>2127</v>
      </c>
      <c r="B2128">
        <f>GS38</f>
        <v>0</v>
      </c>
      <c r="C2128" t="inlineStr">
        <is>
          <t>+LS02</t>
        </is>
      </c>
      <c r="D2128" t="inlineStr">
        <is>
          <t>-158Q708.5</t>
        </is>
      </c>
      <c r="E2128" t="inlineStr">
        <is>
          <t>DILM-9-01</t>
        </is>
      </c>
      <c r="F2128" t="inlineStr">
        <is>
          <t>#KALK!</t>
        </is>
      </c>
      <c r="G2128" t="inlineStr">
        <is>
          <t>LASTSCHUETZ</t>
        </is>
      </c>
      <c r="H2128" t="inlineStr">
        <is>
          <t>4kW 1Oe Federzugkl.</t>
        </is>
      </c>
      <c r="I2128">
        <v>282</v>
      </c>
      <c r="J2128">
        <f>GS38/158.6</f>
        <v>0</v>
      </c>
      <c r="M2128" t="inlineStr">
        <is>
          <t>-158Q708.5</t>
        </is>
      </c>
    </row>
    <row r="2129">
      <c r="A2129">
        <v>2128</v>
      </c>
      <c r="B2129">
        <f>GS39</f>
        <v>0</v>
      </c>
      <c r="C2129" t="inlineStr">
        <is>
          <t>+LS02</t>
        </is>
      </c>
      <c r="D2129" t="inlineStr">
        <is>
          <t>-158Q708.5</t>
        </is>
      </c>
      <c r="E2129" t="inlineStr">
        <is>
          <t>DILM-9-01</t>
        </is>
      </c>
      <c r="F2129" t="inlineStr">
        <is>
          <t>#KALK!</t>
        </is>
      </c>
      <c r="G2129" t="inlineStr">
        <is>
          <t>LASTSCHUETZ</t>
        </is>
      </c>
      <c r="H2129" t="inlineStr">
        <is>
          <t>4kW 1Oe Federzugkl.</t>
        </is>
      </c>
      <c r="I2129">
        <v>344</v>
      </c>
      <c r="J2129">
        <f>GS39/158.6</f>
        <v>0</v>
      </c>
      <c r="M2129" t="inlineStr">
        <is>
          <t>-158Q708.5</t>
        </is>
      </c>
    </row>
    <row r="2130">
      <c r="A2130">
        <v>2129</v>
      </c>
      <c r="B2130">
        <f>GS90</f>
        <v>0</v>
      </c>
      <c r="C2130" t="inlineStr">
        <is>
          <t>+PULT22</t>
        </is>
      </c>
      <c r="D2130" t="inlineStr">
        <is>
          <t>-1595K438.4</t>
        </is>
      </c>
      <c r="E2130" t="inlineStr">
        <is>
          <t>DILA-40</t>
        </is>
      </c>
      <c r="F2130" t="inlineStr">
        <is>
          <t>#KALK!</t>
        </is>
      </c>
      <c r="G2130" t="inlineStr">
        <is>
          <t>HILFSSCHUETZ</t>
        </is>
      </c>
      <c r="H2130" t="inlineStr">
        <is>
          <t>4S Federzugkl.</t>
        </is>
      </c>
      <c r="I2130">
        <v>2178</v>
      </c>
      <c r="J2130">
        <f>GS90/1595.7</f>
        <v>0</v>
      </c>
      <c r="M2130" t="inlineStr">
        <is>
          <t>-1595K438.4</t>
        </is>
      </c>
    </row>
    <row r="2131">
      <c r="A2131">
        <v>2130</v>
      </c>
      <c r="B2131">
        <f>GS55</f>
        <v>0</v>
      </c>
      <c r="C2131" t="inlineStr">
        <is>
          <t>+LS26</t>
        </is>
      </c>
      <c r="D2131" t="inlineStr">
        <is>
          <t>-1595Q1</t>
        </is>
      </c>
      <c r="E2131" t="inlineStr">
        <is>
          <t>DILA-XHI22</t>
        </is>
      </c>
      <c r="F2131" t="inlineStr">
        <is>
          <t>DILA-XHI22</t>
        </is>
      </c>
      <c r="G2131" t="inlineStr">
        <is>
          <t>HILFSKONTAKTBLOCK</t>
        </is>
      </c>
      <c r="H2131" t="inlineStr">
        <is>
          <t>2S 2OE Last+Hilfssch. Cage</t>
        </is>
      </c>
      <c r="I2131">
        <v>1791</v>
      </c>
      <c r="J2131">
        <f>GS55/1595.6</f>
        <v>0</v>
      </c>
      <c r="K2131" t="inlineStr">
        <is>
          <t>DIL MC25</t>
        </is>
      </c>
      <c r="M2131" t="inlineStr">
        <is>
          <t>-1595Q1</t>
        </is>
      </c>
    </row>
    <row r="2132">
      <c r="A2132">
        <v>2131</v>
      </c>
      <c r="B2132">
        <f>GS55</f>
        <v>0</v>
      </c>
      <c r="C2132" t="inlineStr">
        <is>
          <t>+LS26</t>
        </is>
      </c>
      <c r="D2132" t="inlineStr">
        <is>
          <t>-1595Q1</t>
        </is>
      </c>
      <c r="E2132" t="inlineStr">
        <is>
          <t>DILMC25-10(RDC24)</t>
        </is>
      </c>
      <c r="F2132" t="inlineStr">
        <is>
          <t>DILA-XHI22</t>
        </is>
      </c>
      <c r="G2132" t="inlineStr">
        <is>
          <t>LASTSCHUETZ</t>
        </is>
      </c>
      <c r="H2132" t="inlineStr">
        <is>
          <t>11kW 1S Federzugkl.</t>
        </is>
      </c>
      <c r="I2132">
        <v>1791</v>
      </c>
      <c r="J2132">
        <f>GS55/1595.6</f>
        <v>0</v>
      </c>
      <c r="K2132" t="inlineStr">
        <is>
          <t>DIL MC25</t>
        </is>
      </c>
      <c r="M2132" t="inlineStr">
        <is>
          <t>-1595Q1</t>
        </is>
      </c>
    </row>
    <row r="2133">
      <c r="A2133">
        <v>2132</v>
      </c>
      <c r="B2133">
        <f>GS90</f>
        <v>0</v>
      </c>
      <c r="C2133" t="inlineStr">
        <is>
          <t>+PULT22</t>
        </is>
      </c>
      <c r="D2133" t="inlineStr">
        <is>
          <t>-1595Q1</t>
        </is>
      </c>
      <c r="E2133" t="inlineStr">
        <is>
          <t>DILMC25-10(RDC24)</t>
        </is>
      </c>
      <c r="F2133" t="inlineStr">
        <is>
          <t>DILA-XHI22</t>
        </is>
      </c>
      <c r="G2133" t="inlineStr">
        <is>
          <t>LASTSCHUETZ</t>
        </is>
      </c>
      <c r="H2133" t="inlineStr">
        <is>
          <t>11kW 1S Federzugkl.</t>
        </is>
      </c>
      <c r="I2133">
        <v>2178</v>
      </c>
      <c r="J2133">
        <f>GS90/1595.4</f>
        <v>0</v>
      </c>
      <c r="K2133" t="inlineStr">
        <is>
          <t>DIL MC25</t>
        </is>
      </c>
      <c r="M2133" t="inlineStr">
        <is>
          <t>-1595Q1</t>
        </is>
      </c>
    </row>
    <row r="2134">
      <c r="A2134">
        <v>2133</v>
      </c>
      <c r="B2134">
        <f>GS90</f>
        <v>0</v>
      </c>
      <c r="C2134" t="inlineStr">
        <is>
          <t>+PULT22</t>
        </is>
      </c>
      <c r="D2134" t="inlineStr">
        <is>
          <t>-1595Q1</t>
        </is>
      </c>
      <c r="E2134" t="inlineStr">
        <is>
          <t>DILA-XHI22</t>
        </is>
      </c>
      <c r="F2134" t="inlineStr">
        <is>
          <t>DILA-XHI22</t>
        </is>
      </c>
      <c r="G2134" t="inlineStr">
        <is>
          <t>HILFSKONTAKTBLOCK</t>
        </is>
      </c>
      <c r="H2134" t="inlineStr">
        <is>
          <t>2S 2OE Last+Hilfssch. Cage</t>
        </is>
      </c>
      <c r="I2134">
        <v>2178</v>
      </c>
      <c r="J2134">
        <f>GS90/1595.4</f>
        <v>0</v>
      </c>
      <c r="K2134" t="inlineStr">
        <is>
          <t>DIL MC25</t>
        </is>
      </c>
      <c r="M2134" t="inlineStr">
        <is>
          <t>-1595Q1</t>
        </is>
      </c>
    </row>
    <row r="2135">
      <c r="A2135">
        <v>2134</v>
      </c>
      <c r="B2135">
        <f>GS13</f>
        <v>0</v>
      </c>
      <c r="C2135" t="inlineStr">
        <is>
          <t>+LS2</t>
        </is>
      </c>
      <c r="D2135" t="inlineStr">
        <is>
          <t>-15964.3</t>
        </is>
      </c>
      <c r="E2135" t="inlineStr">
        <is>
          <t>DIL_EM-10-G</t>
        </is>
      </c>
      <c r="F2135" t="inlineStr">
        <is>
          <t>#KALK!</t>
        </is>
      </c>
      <c r="G2135" t="inlineStr">
        <is>
          <t>LASTSCHUETZ</t>
        </is>
      </c>
      <c r="H2135" t="inlineStr">
        <is>
          <t>4kW 1S</t>
        </is>
      </c>
      <c r="I2135">
        <v>398</v>
      </c>
      <c r="J2135">
        <f>GS13/159.7</f>
        <v>0</v>
      </c>
      <c r="M2135" t="inlineStr">
        <is>
          <t>-15964.3</t>
        </is>
      </c>
    </row>
    <row r="2136">
      <c r="A2136">
        <v>2135</v>
      </c>
      <c r="B2136">
        <f>GS55</f>
        <v>0</v>
      </c>
      <c r="C2136" t="inlineStr">
        <is>
          <t>+LS26</t>
        </is>
      </c>
      <c r="D2136" t="inlineStr">
        <is>
          <t>-1597Q1636.1</t>
        </is>
      </c>
      <c r="E2136" t="inlineStr">
        <is>
          <t>DILM-9-10</t>
        </is>
      </c>
      <c r="F2136" t="inlineStr">
        <is>
          <t>#KALK!</t>
        </is>
      </c>
      <c r="G2136" t="inlineStr">
        <is>
          <t>LASTSCHUETZ</t>
        </is>
      </c>
      <c r="H2136" t="inlineStr">
        <is>
          <t>4kW 1S Federzugkl.</t>
        </is>
      </c>
      <c r="I2136">
        <v>1793</v>
      </c>
      <c r="J2136">
        <f>GS55/1597.6</f>
        <v>0</v>
      </c>
      <c r="K2136" t="inlineStr">
        <is>
          <t>DIL MC9</t>
        </is>
      </c>
      <c r="M2136" t="inlineStr">
        <is>
          <t>-1597Q1636.1</t>
        </is>
      </c>
    </row>
    <row r="2137">
      <c r="A2137">
        <v>2136</v>
      </c>
      <c r="B2137">
        <f>GS36</f>
        <v>0</v>
      </c>
      <c r="C2137" t="inlineStr">
        <is>
          <t>+LS02</t>
        </is>
      </c>
      <c r="D2137" t="inlineStr">
        <is>
          <t>-159K1</t>
        </is>
      </c>
      <c r="E2137" t="inlineStr">
        <is>
          <t>DILM-9-01</t>
        </is>
      </c>
      <c r="F2137" t="inlineStr">
        <is>
          <t>#KALK!</t>
        </is>
      </c>
      <c r="G2137" t="inlineStr">
        <is>
          <t>LASTSCHUETZ</t>
        </is>
      </c>
      <c r="H2137" t="inlineStr">
        <is>
          <t>4kW 1Oe Federzugkl.</t>
        </is>
      </c>
      <c r="I2137">
        <v>332</v>
      </c>
      <c r="J2137">
        <f>GS36/159.6</f>
        <v>0</v>
      </c>
      <c r="L2137" t="inlineStr">
        <is>
          <t>Lichtvorhang KF</t>
        </is>
      </c>
      <c r="M2137" t="inlineStr">
        <is>
          <t>Lichtvorhang KF
-159K1</t>
        </is>
      </c>
    </row>
    <row r="2138">
      <c r="A2138">
        <v>2137</v>
      </c>
      <c r="B2138">
        <f>GS46</f>
        <v>0</v>
      </c>
      <c r="C2138" t="inlineStr">
        <is>
          <t>+LS01</t>
        </is>
      </c>
      <c r="D2138" t="inlineStr">
        <is>
          <t>-159K1</t>
        </is>
      </c>
      <c r="E2138" t="inlineStr">
        <is>
          <t>DILM-9-01</t>
        </is>
      </c>
      <c r="F2138" t="inlineStr">
        <is>
          <t>#KALK!</t>
        </is>
      </c>
      <c r="G2138" t="inlineStr">
        <is>
          <t>LASTSCHUETZ</t>
        </is>
      </c>
      <c r="H2138" t="inlineStr">
        <is>
          <t>4kW 1Oe Federzugkl.</t>
        </is>
      </c>
      <c r="I2138">
        <v>473</v>
      </c>
      <c r="J2138">
        <f>GS46/159.6</f>
        <v>0</v>
      </c>
      <c r="M2138" t="inlineStr">
        <is>
          <t>-159K1</t>
        </is>
      </c>
    </row>
    <row r="2139">
      <c r="A2139">
        <v>2138</v>
      </c>
      <c r="B2139">
        <f>GS47</f>
        <v>0</v>
      </c>
      <c r="C2139" t="inlineStr">
        <is>
          <t>+LS01</t>
        </is>
      </c>
      <c r="D2139" t="inlineStr">
        <is>
          <t>-159K1</t>
        </is>
      </c>
      <c r="E2139" t="inlineStr">
        <is>
          <t>DILM-9-01</t>
        </is>
      </c>
      <c r="F2139" t="inlineStr">
        <is>
          <t>#KALK!</t>
        </is>
      </c>
      <c r="G2139" t="inlineStr">
        <is>
          <t>LASTSCHUETZ</t>
        </is>
      </c>
      <c r="H2139" t="inlineStr">
        <is>
          <t>4kW 1Oe Federzugkl.</t>
        </is>
      </c>
      <c r="I2139">
        <v>473</v>
      </c>
      <c r="J2139">
        <f>GS47/159.6</f>
        <v>0</v>
      </c>
      <c r="M2139" t="inlineStr">
        <is>
          <t>-159K1</t>
        </is>
      </c>
    </row>
    <row r="2140">
      <c r="A2140">
        <v>2139</v>
      </c>
      <c r="B2140">
        <f>GS48</f>
        <v>0</v>
      </c>
      <c r="C2140" t="inlineStr">
        <is>
          <t>+LS01</t>
        </is>
      </c>
      <c r="D2140" t="inlineStr">
        <is>
          <t>-159K1</t>
        </is>
      </c>
      <c r="E2140" t="inlineStr">
        <is>
          <t>DILM-9-01</t>
        </is>
      </c>
      <c r="F2140" t="inlineStr">
        <is>
          <t>#KALK!</t>
        </is>
      </c>
      <c r="G2140" t="inlineStr">
        <is>
          <t>LASTSCHUETZ</t>
        </is>
      </c>
      <c r="H2140" t="inlineStr">
        <is>
          <t>4kW 1Oe Federzugkl.</t>
        </is>
      </c>
      <c r="I2140">
        <v>311</v>
      </c>
      <c r="J2140">
        <f>GS48/159.6</f>
        <v>0</v>
      </c>
      <c r="M2140" t="inlineStr">
        <is>
          <t>-159K1</t>
        </is>
      </c>
    </row>
    <row r="2141">
      <c r="A2141">
        <v>2140</v>
      </c>
      <c r="B2141">
        <f>GS49</f>
        <v>0</v>
      </c>
      <c r="C2141" t="inlineStr">
        <is>
          <t>+LS01</t>
        </is>
      </c>
      <c r="D2141" t="inlineStr">
        <is>
          <t>-159K1</t>
        </is>
      </c>
      <c r="E2141" t="inlineStr">
        <is>
          <t>DILM-9-01</t>
        </is>
      </c>
      <c r="F2141" t="inlineStr">
        <is>
          <t>#KALK!</t>
        </is>
      </c>
      <c r="G2141" t="inlineStr">
        <is>
          <t>LASTSCHUETZ</t>
        </is>
      </c>
      <c r="H2141" t="inlineStr">
        <is>
          <t>4kW 1Oe Federzugkl.</t>
        </is>
      </c>
      <c r="I2141">
        <v>310</v>
      </c>
      <c r="J2141">
        <f>GS49/159.6</f>
        <v>0</v>
      </c>
      <c r="M2141" t="inlineStr">
        <is>
          <t>-159K1</t>
        </is>
      </c>
    </row>
    <row r="2142">
      <c r="A2142">
        <v>2141</v>
      </c>
      <c r="B2142">
        <f>GS36</f>
        <v>0</v>
      </c>
      <c r="C2142" t="inlineStr">
        <is>
          <t>+LS02</t>
        </is>
      </c>
      <c r="D2142" t="inlineStr">
        <is>
          <t>-159K2</t>
        </is>
      </c>
      <c r="E2142" t="inlineStr">
        <is>
          <t>DILM-9-01</t>
        </is>
      </c>
      <c r="F2142" t="inlineStr">
        <is>
          <t>#KALK!</t>
        </is>
      </c>
      <c r="G2142" t="inlineStr">
        <is>
          <t>LASTSCHUETZ</t>
        </is>
      </c>
      <c r="H2142" t="inlineStr">
        <is>
          <t>4kW 1Oe Federzugkl.</t>
        </is>
      </c>
      <c r="I2142">
        <v>332</v>
      </c>
      <c r="J2142">
        <f>GS36/159.7</f>
        <v>0</v>
      </c>
      <c r="L2142" t="inlineStr">
        <is>
          <t>Lichtvorhang KF</t>
        </is>
      </c>
      <c r="M2142" t="inlineStr">
        <is>
          <t>Lichtvorhang KF
-159K2</t>
        </is>
      </c>
    </row>
    <row r="2143">
      <c r="A2143">
        <v>2142</v>
      </c>
      <c r="B2143">
        <f>GS46</f>
        <v>0</v>
      </c>
      <c r="C2143" t="inlineStr">
        <is>
          <t>+LS01</t>
        </is>
      </c>
      <c r="D2143" t="inlineStr">
        <is>
          <t>-159K2</t>
        </is>
      </c>
      <c r="E2143" t="inlineStr">
        <is>
          <t>DILM-9-01</t>
        </is>
      </c>
      <c r="F2143" t="inlineStr">
        <is>
          <t>#KALK!</t>
        </is>
      </c>
      <c r="G2143" t="inlineStr">
        <is>
          <t>LASTSCHUETZ</t>
        </is>
      </c>
      <c r="H2143" t="inlineStr">
        <is>
          <t>4kW 1Oe Federzugkl.</t>
        </is>
      </c>
      <c r="I2143">
        <v>473</v>
      </c>
      <c r="J2143">
        <f>GS46/159.7</f>
        <v>0</v>
      </c>
      <c r="M2143" t="inlineStr">
        <is>
          <t>-159K2</t>
        </is>
      </c>
    </row>
    <row r="2144">
      <c r="A2144">
        <v>2143</v>
      </c>
      <c r="B2144">
        <f>GS47</f>
        <v>0</v>
      </c>
      <c r="C2144" t="inlineStr">
        <is>
          <t>+LS01</t>
        </is>
      </c>
      <c r="D2144" t="inlineStr">
        <is>
          <t>-159K2</t>
        </is>
      </c>
      <c r="E2144" t="inlineStr">
        <is>
          <t>DILM-9-01</t>
        </is>
      </c>
      <c r="F2144" t="inlineStr">
        <is>
          <t>#KALK!</t>
        </is>
      </c>
      <c r="G2144" t="inlineStr">
        <is>
          <t>LASTSCHUETZ</t>
        </is>
      </c>
      <c r="H2144" t="inlineStr">
        <is>
          <t>4kW 1Oe Federzugkl.</t>
        </is>
      </c>
      <c r="I2144">
        <v>473</v>
      </c>
      <c r="J2144">
        <f>GS47/159.7</f>
        <v>0</v>
      </c>
      <c r="M2144" t="inlineStr">
        <is>
          <t>-159K2</t>
        </is>
      </c>
    </row>
    <row r="2145">
      <c r="A2145">
        <v>2144</v>
      </c>
      <c r="B2145">
        <f>GS48</f>
        <v>0</v>
      </c>
      <c r="C2145" t="inlineStr">
        <is>
          <t>+LS01</t>
        </is>
      </c>
      <c r="D2145" t="inlineStr">
        <is>
          <t>-159K2</t>
        </is>
      </c>
      <c r="E2145" t="inlineStr">
        <is>
          <t>DILM-9-01</t>
        </is>
      </c>
      <c r="F2145" t="inlineStr">
        <is>
          <t>#KALK!</t>
        </is>
      </c>
      <c r="G2145" t="inlineStr">
        <is>
          <t>LASTSCHUETZ</t>
        </is>
      </c>
      <c r="H2145" t="inlineStr">
        <is>
          <t>4kW 1Oe Federzugkl.</t>
        </is>
      </c>
      <c r="I2145">
        <v>311</v>
      </c>
      <c r="J2145">
        <f>GS48/159.7</f>
        <v>0</v>
      </c>
      <c r="M2145" t="inlineStr">
        <is>
          <t>-159K2</t>
        </is>
      </c>
    </row>
    <row r="2146">
      <c r="A2146">
        <v>2145</v>
      </c>
      <c r="B2146">
        <f>GS49</f>
        <v>0</v>
      </c>
      <c r="C2146" t="inlineStr">
        <is>
          <t>+LS01</t>
        </is>
      </c>
      <c r="D2146" t="inlineStr">
        <is>
          <t>-159K2</t>
        </is>
      </c>
      <c r="E2146" t="inlineStr">
        <is>
          <t>DILM-9-01</t>
        </is>
      </c>
      <c r="F2146" t="inlineStr">
        <is>
          <t>#KALK!</t>
        </is>
      </c>
      <c r="G2146" t="inlineStr">
        <is>
          <t>LASTSCHUETZ</t>
        </is>
      </c>
      <c r="H2146" t="inlineStr">
        <is>
          <t>4kW 1Oe Federzugkl.</t>
        </is>
      </c>
      <c r="I2146">
        <v>310</v>
      </c>
      <c r="J2146">
        <f>GS49/159.7</f>
        <v>0</v>
      </c>
      <c r="M2146" t="inlineStr">
        <is>
          <t>-159K2</t>
        </is>
      </c>
    </row>
    <row r="2147">
      <c r="A2147">
        <v>2146</v>
      </c>
      <c r="B2147">
        <f>GS02</f>
        <v>0</v>
      </c>
      <c r="C2147" t="inlineStr">
        <is>
          <t>+LS2</t>
        </is>
      </c>
      <c r="D2147" t="inlineStr">
        <is>
          <t>-159K22.6</t>
        </is>
      </c>
      <c r="E2147" t="inlineStr">
        <is>
          <t>DIL_EM-10-G</t>
        </is>
      </c>
      <c r="F2147" t="inlineStr">
        <is>
          <t>#KALK!</t>
        </is>
      </c>
      <c r="G2147" t="inlineStr">
        <is>
          <t>LASTSCHUETZ</t>
        </is>
      </c>
      <c r="H2147" t="inlineStr">
        <is>
          <t>4kW 1S</t>
        </is>
      </c>
      <c r="I2147">
        <v>560</v>
      </c>
      <c r="J2147">
        <f>GS02/159.6</f>
        <v>0</v>
      </c>
      <c r="M2147" t="inlineStr">
        <is>
          <t>-159K22.6</t>
        </is>
      </c>
    </row>
    <row r="2148">
      <c r="A2148">
        <v>2147</v>
      </c>
      <c r="B2148">
        <f>GS02</f>
        <v>0</v>
      </c>
      <c r="C2148" t="inlineStr">
        <is>
          <t>+LS2</t>
        </is>
      </c>
      <c r="D2148" t="inlineStr">
        <is>
          <t>-159K22.7</t>
        </is>
      </c>
      <c r="E2148" t="inlineStr">
        <is>
          <t>DIL_EM-10-G</t>
        </is>
      </c>
      <c r="F2148" t="inlineStr">
        <is>
          <t>#KALK!</t>
        </is>
      </c>
      <c r="G2148" t="inlineStr">
        <is>
          <t>LASTSCHUETZ</t>
        </is>
      </c>
      <c r="H2148" t="inlineStr">
        <is>
          <t>4kW 1S</t>
        </is>
      </c>
      <c r="I2148">
        <v>560</v>
      </c>
      <c r="J2148">
        <f>GS02/159.6</f>
        <v>0</v>
      </c>
      <c r="M2148" t="inlineStr">
        <is>
          <t>-159K22.7</t>
        </is>
      </c>
    </row>
    <row r="2149">
      <c r="A2149">
        <v>2148</v>
      </c>
      <c r="B2149">
        <f>GS31</f>
        <v>0</v>
      </c>
      <c r="C2149" t="inlineStr">
        <is>
          <t>+LS2</t>
        </is>
      </c>
      <c r="D2149" t="inlineStr">
        <is>
          <t>-159K27.2</t>
        </is>
      </c>
      <c r="E2149" t="inlineStr">
        <is>
          <t>DIL_EM-10-G</t>
        </is>
      </c>
      <c r="F2149" t="inlineStr">
        <is>
          <t>#KALK!</t>
        </is>
      </c>
      <c r="G2149" t="inlineStr">
        <is>
          <t>LASTSCHUETZ</t>
        </is>
      </c>
      <c r="H2149" t="inlineStr">
        <is>
          <t>4kW 1S</t>
        </is>
      </c>
      <c r="I2149">
        <v>443</v>
      </c>
      <c r="J2149">
        <f>GS31/159.6</f>
        <v>0</v>
      </c>
      <c r="M2149" t="inlineStr">
        <is>
          <t>-159K27.2</t>
        </is>
      </c>
    </row>
    <row r="2150">
      <c r="A2150">
        <v>2149</v>
      </c>
      <c r="B2150">
        <f>GS31</f>
        <v>0</v>
      </c>
      <c r="C2150" t="inlineStr">
        <is>
          <t>+LS2</t>
        </is>
      </c>
      <c r="D2150" t="inlineStr">
        <is>
          <t>-159K27.3</t>
        </is>
      </c>
      <c r="E2150" t="inlineStr">
        <is>
          <t>DIL_EM-10-G</t>
        </is>
      </c>
      <c r="F2150" t="inlineStr">
        <is>
          <t>#KALK!</t>
        </is>
      </c>
      <c r="G2150" t="inlineStr">
        <is>
          <t>LASTSCHUETZ</t>
        </is>
      </c>
      <c r="H2150" t="inlineStr">
        <is>
          <t>4kW 1S</t>
        </is>
      </c>
      <c r="I2150">
        <v>443</v>
      </c>
      <c r="J2150">
        <f>GS31/159.6</f>
        <v>0</v>
      </c>
      <c r="M2150" t="inlineStr">
        <is>
          <t>-159K27.3</t>
        </is>
      </c>
    </row>
    <row r="2151">
      <c r="A2151">
        <v>2150</v>
      </c>
      <c r="B2151">
        <f>GS32</f>
        <v>0</v>
      </c>
      <c r="C2151" t="inlineStr">
        <is>
          <t>+LS3</t>
        </is>
      </c>
      <c r="D2151" t="inlineStr">
        <is>
          <t>-159K28.4</t>
        </is>
      </c>
      <c r="E2151" t="inlineStr">
        <is>
          <t>DIL_EM-10-G</t>
        </is>
      </c>
      <c r="F2151" t="inlineStr">
        <is>
          <t>#KALK!</t>
        </is>
      </c>
      <c r="G2151" t="inlineStr">
        <is>
          <t>LASTSCHUETZ</t>
        </is>
      </c>
      <c r="H2151" t="inlineStr">
        <is>
          <t>4kW 1S</t>
        </is>
      </c>
      <c r="I2151">
        <v>1358</v>
      </c>
      <c r="J2151">
        <f>GS32/159.6</f>
        <v>0</v>
      </c>
      <c r="M2151" t="inlineStr">
        <is>
          <t>-159K28.4</t>
        </is>
      </c>
    </row>
    <row r="2152">
      <c r="A2152">
        <v>2151</v>
      </c>
      <c r="B2152">
        <f>GS32</f>
        <v>0</v>
      </c>
      <c r="C2152" t="inlineStr">
        <is>
          <t>+LS3</t>
        </is>
      </c>
      <c r="D2152" t="inlineStr">
        <is>
          <t>-159K28.5</t>
        </is>
      </c>
      <c r="E2152" t="inlineStr">
        <is>
          <t>DIL_EM-10-G</t>
        </is>
      </c>
      <c r="F2152" t="inlineStr">
        <is>
          <t>#KALK!</t>
        </is>
      </c>
      <c r="G2152" t="inlineStr">
        <is>
          <t>LASTSCHUETZ</t>
        </is>
      </c>
      <c r="H2152" t="inlineStr">
        <is>
          <t>4kW 1S</t>
        </is>
      </c>
      <c r="I2152">
        <v>1358</v>
      </c>
      <c r="J2152">
        <f>GS32/159.6</f>
        <v>0</v>
      </c>
      <c r="M2152" t="inlineStr">
        <is>
          <t>-159K28.5</t>
        </is>
      </c>
    </row>
    <row r="2153">
      <c r="A2153">
        <v>2152</v>
      </c>
      <c r="B2153">
        <f>GS26</f>
        <v>0</v>
      </c>
      <c r="C2153" t="inlineStr">
        <is>
          <t>+LS2</t>
        </is>
      </c>
      <c r="D2153" t="inlineStr">
        <is>
          <t>-159K3512.4</t>
        </is>
      </c>
      <c r="E2153" t="inlineStr">
        <is>
          <t>DILM-9-01</t>
        </is>
      </c>
      <c r="F2153" t="inlineStr">
        <is>
          <t>#KALK!</t>
        </is>
      </c>
      <c r="G2153" t="inlineStr">
        <is>
          <t>LASTSCHUETZ</t>
        </is>
      </c>
      <c r="H2153" t="inlineStr">
        <is>
          <t>4kW 1Oe Federzugkl.</t>
        </is>
      </c>
      <c r="I2153">
        <v>657</v>
      </c>
      <c r="J2153">
        <f>GS26/159.6</f>
        <v>0</v>
      </c>
      <c r="M2153" t="inlineStr">
        <is>
          <t>-159K3512.4</t>
        </is>
      </c>
    </row>
    <row r="2154">
      <c r="A2154">
        <v>2153</v>
      </c>
      <c r="B2154">
        <f>GS26</f>
        <v>0</v>
      </c>
      <c r="C2154" t="inlineStr">
        <is>
          <t>+LS2</t>
        </is>
      </c>
      <c r="D2154" t="inlineStr">
        <is>
          <t>-159K3512.5</t>
        </is>
      </c>
      <c r="E2154" t="inlineStr">
        <is>
          <t>DILM-9-10</t>
        </is>
      </c>
      <c r="F2154" t="inlineStr">
        <is>
          <t>#KALK!</t>
        </is>
      </c>
      <c r="G2154" t="inlineStr">
        <is>
          <t>LASTSCHUETZ</t>
        </is>
      </c>
      <c r="H2154" t="inlineStr">
        <is>
          <t>4kW 1S Federzugkl.</t>
        </is>
      </c>
      <c r="I2154">
        <v>657</v>
      </c>
      <c r="J2154">
        <f>GS26/159.7</f>
        <v>0</v>
      </c>
      <c r="M2154" t="inlineStr">
        <is>
          <t>-159K3512.5</t>
        </is>
      </c>
    </row>
    <row r="2155">
      <c r="A2155">
        <v>2154</v>
      </c>
      <c r="B2155">
        <f>GS26</f>
        <v>0</v>
      </c>
      <c r="C2155" t="inlineStr">
        <is>
          <t>+LS2</t>
        </is>
      </c>
      <c r="D2155" t="inlineStr">
        <is>
          <t>-159K3514.6</t>
        </is>
      </c>
      <c r="E2155" t="inlineStr">
        <is>
          <t>DILM-9-01</t>
        </is>
      </c>
      <c r="F2155" t="inlineStr">
        <is>
          <t>#KALK!</t>
        </is>
      </c>
      <c r="G2155" t="inlineStr">
        <is>
          <t>LASTSCHUETZ</t>
        </is>
      </c>
      <c r="H2155" t="inlineStr">
        <is>
          <t>4kW 1Oe Federzugkl.</t>
        </is>
      </c>
      <c r="I2155">
        <v>657</v>
      </c>
      <c r="J2155">
        <f>GS26/159.6</f>
        <v>0</v>
      </c>
      <c r="M2155" t="inlineStr">
        <is>
          <t>-159K3514.6</t>
        </is>
      </c>
    </row>
    <row r="2156">
      <c r="A2156">
        <v>2155</v>
      </c>
      <c r="B2156">
        <f>GS11</f>
        <v>0</v>
      </c>
      <c r="C2156" t="inlineStr">
        <is>
          <t>+LS3</t>
        </is>
      </c>
      <c r="D2156" t="inlineStr">
        <is>
          <t>-159K39.1</t>
        </is>
      </c>
      <c r="E2156" t="inlineStr">
        <is>
          <t>DIL_EM-10-G</t>
        </is>
      </c>
      <c r="F2156" t="inlineStr">
        <is>
          <t>#KALK!</t>
        </is>
      </c>
      <c r="G2156" t="inlineStr">
        <is>
          <t>LASTSCHUETZ</t>
        </is>
      </c>
      <c r="H2156" t="inlineStr">
        <is>
          <t>4kW 1S</t>
        </is>
      </c>
      <c r="I2156">
        <v>270</v>
      </c>
      <c r="J2156">
        <f>GS11/159.7</f>
        <v>0</v>
      </c>
      <c r="M2156" t="inlineStr">
        <is>
          <t>-159K39.1</t>
        </is>
      </c>
    </row>
    <row r="2157">
      <c r="A2157">
        <v>2156</v>
      </c>
      <c r="B2157">
        <f>GS21</f>
        <v>0</v>
      </c>
      <c r="C2157" t="inlineStr">
        <is>
          <t>+LS3</t>
        </is>
      </c>
      <c r="D2157" t="inlineStr">
        <is>
          <t>-159K39.1</t>
        </is>
      </c>
      <c r="E2157" t="inlineStr">
        <is>
          <t>DIL_EM-10-G</t>
        </is>
      </c>
      <c r="F2157" t="inlineStr">
        <is>
          <t>#KALK!</t>
        </is>
      </c>
      <c r="G2157" t="inlineStr">
        <is>
          <t>LASTSCHUETZ</t>
        </is>
      </c>
      <c r="H2157" t="inlineStr">
        <is>
          <t>4kW 1S</t>
        </is>
      </c>
      <c r="I2157">
        <v>244</v>
      </c>
      <c r="J2157">
        <f>GS21/159.7</f>
        <v>0</v>
      </c>
      <c r="M2157" t="inlineStr">
        <is>
          <t>-159K39.1</t>
        </is>
      </c>
    </row>
    <row r="2158">
      <c r="A2158">
        <v>2157</v>
      </c>
      <c r="B2158">
        <f>GC03</f>
        <v>0</v>
      </c>
      <c r="C2158" t="inlineStr">
        <is>
          <t>+LS3</t>
        </is>
      </c>
      <c r="D2158" t="inlineStr">
        <is>
          <t>-159K58.7</t>
        </is>
      </c>
      <c r="E2158" t="inlineStr">
        <is>
          <t>DIL_EM-10-G</t>
        </is>
      </c>
      <c r="F2158" t="inlineStr">
        <is>
          <t>#KALK!</t>
        </is>
      </c>
      <c r="G2158" t="inlineStr">
        <is>
          <t>LASTSCHUETZ</t>
        </is>
      </c>
      <c r="H2158" t="inlineStr">
        <is>
          <t>4kW 1S</t>
        </is>
      </c>
      <c r="I2158">
        <v>2169</v>
      </c>
      <c r="J2158">
        <f>GC03/159.6</f>
        <v>0</v>
      </c>
      <c r="M2158" t="inlineStr">
        <is>
          <t>-159K58.7</t>
        </is>
      </c>
    </row>
    <row r="2159">
      <c r="A2159">
        <v>2158</v>
      </c>
      <c r="B2159">
        <f>GS23</f>
        <v>0</v>
      </c>
      <c r="C2159" t="inlineStr">
        <is>
          <t>+LS2</t>
        </is>
      </c>
      <c r="D2159" t="inlineStr">
        <is>
          <t>-159K64.3</t>
        </is>
      </c>
      <c r="E2159" t="inlineStr">
        <is>
          <t>DIL_EM-10-G</t>
        </is>
      </c>
      <c r="F2159" t="inlineStr">
        <is>
          <t>#KALK!</t>
        </is>
      </c>
      <c r="G2159" t="inlineStr">
        <is>
          <t>LASTSCHUETZ</t>
        </is>
      </c>
      <c r="H2159" t="inlineStr">
        <is>
          <t>4kW 1S</t>
        </is>
      </c>
      <c r="I2159">
        <v>458</v>
      </c>
      <c r="J2159">
        <f>GS23/159.7</f>
        <v>0</v>
      </c>
      <c r="M2159" t="inlineStr">
        <is>
          <t>-159K64.3</t>
        </is>
      </c>
    </row>
    <row r="2160">
      <c r="A2160">
        <v>2159</v>
      </c>
      <c r="B2160">
        <f>GS25</f>
        <v>0</v>
      </c>
      <c r="C2160" t="inlineStr">
        <is>
          <t>+LS3</t>
        </is>
      </c>
      <c r="D2160" t="inlineStr">
        <is>
          <t>-159K64.7</t>
        </is>
      </c>
      <c r="E2160" t="inlineStr">
        <is>
          <t>DIL_EM-10-G</t>
        </is>
      </c>
      <c r="F2160" t="inlineStr">
        <is>
          <t>#KALK!</t>
        </is>
      </c>
      <c r="G2160" t="inlineStr">
        <is>
          <t>LASTSCHUETZ</t>
        </is>
      </c>
      <c r="H2160" t="inlineStr">
        <is>
          <t>4kW 1S</t>
        </is>
      </c>
      <c r="I2160">
        <v>280</v>
      </c>
      <c r="J2160">
        <f>GS25/159.6</f>
        <v>0</v>
      </c>
      <c r="M2160" t="inlineStr">
        <is>
          <t>-159K64.7</t>
        </is>
      </c>
    </row>
    <row r="2161">
      <c r="A2161">
        <v>2160</v>
      </c>
      <c r="B2161">
        <f>GS14</f>
        <v>0</v>
      </c>
      <c r="C2161" t="inlineStr">
        <is>
          <t>+LS3</t>
        </is>
      </c>
      <c r="D2161" t="inlineStr">
        <is>
          <t>-159K66.4</t>
        </is>
      </c>
      <c r="E2161" t="inlineStr">
        <is>
          <t>DIL_EM-10-G</t>
        </is>
      </c>
      <c r="F2161" t="inlineStr">
        <is>
          <t>#KALK!</t>
        </is>
      </c>
      <c r="G2161" t="inlineStr">
        <is>
          <t>LASTSCHUETZ</t>
        </is>
      </c>
      <c r="H2161" t="inlineStr">
        <is>
          <t>4kW 1S</t>
        </is>
      </c>
      <c r="I2161">
        <v>285</v>
      </c>
      <c r="J2161">
        <f>GS14/159.6</f>
        <v>0</v>
      </c>
      <c r="M2161" t="inlineStr">
        <is>
          <t>-159K66.4</t>
        </is>
      </c>
    </row>
    <row r="2162">
      <c r="A2162">
        <v>2161</v>
      </c>
      <c r="B2162">
        <f>GS14</f>
        <v>0</v>
      </c>
      <c r="C2162" t="inlineStr">
        <is>
          <t>+LS3</t>
        </is>
      </c>
      <c r="D2162" t="inlineStr">
        <is>
          <t>-159K66.5</t>
        </is>
      </c>
      <c r="E2162" t="inlineStr">
        <is>
          <t>DIL_EM-10-G</t>
        </is>
      </c>
      <c r="F2162" t="inlineStr">
        <is>
          <t>#KALK!</t>
        </is>
      </c>
      <c r="G2162" t="inlineStr">
        <is>
          <t>LASTSCHUETZ</t>
        </is>
      </c>
      <c r="H2162" t="inlineStr">
        <is>
          <t>4kW 1S</t>
        </is>
      </c>
      <c r="I2162">
        <v>285</v>
      </c>
      <c r="J2162">
        <f>GS14/159.6</f>
        <v>0</v>
      </c>
      <c r="M2162" t="inlineStr">
        <is>
          <t>-159K66.5</t>
        </is>
      </c>
    </row>
    <row r="2163">
      <c r="A2163">
        <v>2162</v>
      </c>
      <c r="B2163">
        <f>GS24</f>
        <v>0</v>
      </c>
      <c r="C2163" t="inlineStr">
        <is>
          <t>+LS3</t>
        </is>
      </c>
      <c r="D2163" t="inlineStr">
        <is>
          <t>-159K66.5</t>
        </is>
      </c>
      <c r="E2163" t="inlineStr">
        <is>
          <t>DIL_EM-10-G</t>
        </is>
      </c>
      <c r="F2163" t="inlineStr">
        <is>
          <t>#KALK!</t>
        </is>
      </c>
      <c r="G2163" t="inlineStr">
        <is>
          <t>LASTSCHUETZ</t>
        </is>
      </c>
      <c r="H2163" t="inlineStr">
        <is>
          <t>4kW 1S</t>
        </is>
      </c>
      <c r="I2163">
        <v>920</v>
      </c>
      <c r="J2163">
        <f>GS24/159.7</f>
        <v>0</v>
      </c>
      <c r="M2163" t="inlineStr">
        <is>
          <t>-159K66.5</t>
        </is>
      </c>
    </row>
    <row r="2164">
      <c r="A2164">
        <v>2163</v>
      </c>
      <c r="B2164">
        <f>GS01</f>
        <v>0</v>
      </c>
      <c r="C2164" t="inlineStr">
        <is>
          <t>+LS3</t>
        </is>
      </c>
      <c r="D2164" t="inlineStr">
        <is>
          <t>-159K94.3</t>
        </is>
      </c>
      <c r="E2164" t="inlineStr">
        <is>
          <t>DIL_EM-10-G</t>
        </is>
      </c>
      <c r="F2164" t="inlineStr">
        <is>
          <t>#KALK!</t>
        </is>
      </c>
      <c r="G2164" t="inlineStr">
        <is>
          <t>LASTSCHUETZ</t>
        </is>
      </c>
      <c r="H2164" t="inlineStr">
        <is>
          <t>4kW 1S</t>
        </is>
      </c>
      <c r="I2164">
        <v>321</v>
      </c>
      <c r="J2164">
        <f>GS01/159.7</f>
        <v>0</v>
      </c>
      <c r="M2164" t="inlineStr">
        <is>
          <t>-159K94.3</t>
        </is>
      </c>
    </row>
    <row r="2165">
      <c r="A2165">
        <v>2164</v>
      </c>
      <c r="B2165">
        <f>GS91</f>
        <v>0</v>
      </c>
      <c r="C2165" t="inlineStr">
        <is>
          <t>+LS02</t>
        </is>
      </c>
      <c r="D2165" t="inlineStr">
        <is>
          <t>-159Q442.4</t>
        </is>
      </c>
      <c r="E2165" t="inlineStr">
        <is>
          <t>DILM-9-10</t>
        </is>
      </c>
      <c r="F2165" t="inlineStr">
        <is>
          <t>#KALK!</t>
        </is>
      </c>
      <c r="G2165" t="inlineStr">
        <is>
          <t>LASTSCHUETZ</t>
        </is>
      </c>
      <c r="H2165" t="inlineStr">
        <is>
          <t>4kW 1S Federzugkl.</t>
        </is>
      </c>
      <c r="I2165">
        <v>347</v>
      </c>
      <c r="J2165">
        <f>GS91/159.5</f>
        <v>0</v>
      </c>
      <c r="M2165" t="inlineStr">
        <is>
          <t>-159Q442.4</t>
        </is>
      </c>
    </row>
    <row r="2166">
      <c r="A2166">
        <v>2165</v>
      </c>
      <c r="B2166">
        <f>EPM</f>
        <v>0</v>
      </c>
      <c r="C2166" t="inlineStr">
        <is>
          <t>+LS</t>
        </is>
      </c>
      <c r="D2166" t="inlineStr">
        <is>
          <t>-15K1</t>
        </is>
      </c>
      <c r="E2166" t="inlineStr">
        <is>
          <t>DIL_EM-10-G</t>
        </is>
      </c>
      <c r="F2166" t="inlineStr">
        <is>
          <t>22_DIL-E</t>
        </is>
      </c>
      <c r="G2166" t="inlineStr">
        <is>
          <t>LASTSCHUETZ</t>
        </is>
      </c>
      <c r="H2166" t="inlineStr">
        <is>
          <t>4kW 1S</t>
        </is>
      </c>
      <c r="I2166">
        <v>116</v>
      </c>
      <c r="J2166">
        <f>EPM/15.7</f>
        <v>0</v>
      </c>
      <c r="M2166" t="inlineStr">
        <is>
          <t>-15K1</t>
        </is>
      </c>
    </row>
    <row r="2167">
      <c r="A2167">
        <v>2166</v>
      </c>
      <c r="B2167">
        <f>EPM</f>
        <v>0</v>
      </c>
      <c r="C2167" t="inlineStr">
        <is>
          <t>+LS</t>
        </is>
      </c>
      <c r="D2167" t="inlineStr">
        <is>
          <t>-15K1</t>
        </is>
      </c>
      <c r="E2167" t="inlineStr">
        <is>
          <t>22_DIL-E</t>
        </is>
      </c>
      <c r="F2167" t="inlineStr">
        <is>
          <t>22_DIL-E</t>
        </is>
      </c>
      <c r="G2167" t="inlineStr">
        <is>
          <t>HILFSKONTAKTBLOCK</t>
        </is>
      </c>
      <c r="H2167" t="inlineStr">
        <is>
          <t>2S 2OE Last+Hilfsschuetz</t>
        </is>
      </c>
      <c r="I2167">
        <v>116</v>
      </c>
      <c r="J2167">
        <f>EPM/15.7</f>
        <v>0</v>
      </c>
      <c r="M2167" t="inlineStr">
        <is>
          <t>-15K1</t>
        </is>
      </c>
    </row>
    <row r="2168">
      <c r="A2168">
        <v>2167</v>
      </c>
      <c r="B2168">
        <f>EPP</f>
        <v>0</v>
      </c>
      <c r="C2168" t="inlineStr">
        <is>
          <t>+LS</t>
        </is>
      </c>
      <c r="D2168" t="inlineStr">
        <is>
          <t>-15K1</t>
        </is>
      </c>
      <c r="E2168" t="inlineStr">
        <is>
          <t>DIL_EM-10-G</t>
        </is>
      </c>
      <c r="F2168" t="inlineStr">
        <is>
          <t>22_DIL-E</t>
        </is>
      </c>
      <c r="G2168" t="inlineStr">
        <is>
          <t>LASTSCHUETZ</t>
        </is>
      </c>
      <c r="H2168" t="inlineStr">
        <is>
          <t>4kW 1S</t>
        </is>
      </c>
      <c r="I2168">
        <v>113</v>
      </c>
      <c r="J2168">
        <f>EPP/15.7</f>
        <v>0</v>
      </c>
      <c r="M2168" t="inlineStr">
        <is>
          <t>-15K1</t>
        </is>
      </c>
    </row>
    <row r="2169">
      <c r="A2169">
        <v>2168</v>
      </c>
      <c r="B2169">
        <f>EPP</f>
        <v>0</v>
      </c>
      <c r="C2169" t="inlineStr">
        <is>
          <t>+LS</t>
        </is>
      </c>
      <c r="D2169" t="inlineStr">
        <is>
          <t>-15K1</t>
        </is>
      </c>
      <c r="E2169" t="inlineStr">
        <is>
          <t>22_DIL-E</t>
        </is>
      </c>
      <c r="F2169" t="inlineStr">
        <is>
          <t>22_DIL-E</t>
        </is>
      </c>
      <c r="G2169" t="inlineStr">
        <is>
          <t>HILFSKONTAKTBLOCK</t>
        </is>
      </c>
      <c r="H2169" t="inlineStr">
        <is>
          <t>2S 2OE Last+Hilfsschuetz</t>
        </is>
      </c>
      <c r="I2169">
        <v>113</v>
      </c>
      <c r="J2169">
        <f>EPP/15.7</f>
        <v>0</v>
      </c>
      <c r="M2169" t="inlineStr">
        <is>
          <t>-15K1</t>
        </is>
      </c>
    </row>
    <row r="2170">
      <c r="A2170">
        <v>2169</v>
      </c>
      <c r="B2170">
        <f>EPM</f>
        <v>0</v>
      </c>
      <c r="C2170" t="inlineStr">
        <is>
          <t>+LS</t>
        </is>
      </c>
      <c r="D2170" t="inlineStr">
        <is>
          <t>-15K2</t>
        </is>
      </c>
      <c r="E2170" t="inlineStr">
        <is>
          <t>DIL_EM-10-G</t>
        </is>
      </c>
      <c r="F2170" t="inlineStr">
        <is>
          <t>22_DIL-E</t>
        </is>
      </c>
      <c r="G2170" t="inlineStr">
        <is>
          <t>LASTSCHUETZ</t>
        </is>
      </c>
      <c r="H2170" t="inlineStr">
        <is>
          <t>4kW 1S</t>
        </is>
      </c>
      <c r="I2170">
        <v>116</v>
      </c>
      <c r="J2170">
        <f>EPM/15.7</f>
        <v>0</v>
      </c>
      <c r="M2170" t="inlineStr">
        <is>
          <t>-15K2</t>
        </is>
      </c>
    </row>
    <row r="2171">
      <c r="A2171">
        <v>2170</v>
      </c>
      <c r="B2171">
        <f>EPM</f>
        <v>0</v>
      </c>
      <c r="C2171" t="inlineStr">
        <is>
          <t>+LS</t>
        </is>
      </c>
      <c r="D2171" t="inlineStr">
        <is>
          <t>-15K2</t>
        </is>
      </c>
      <c r="E2171" t="inlineStr">
        <is>
          <t>22_DIL-E</t>
        </is>
      </c>
      <c r="F2171" t="inlineStr">
        <is>
          <t>22_DIL-E</t>
        </is>
      </c>
      <c r="G2171" t="inlineStr">
        <is>
          <t>HILFSKONTAKTBLOCK</t>
        </is>
      </c>
      <c r="H2171" t="inlineStr">
        <is>
          <t>2S 2OE Last+Hilfsschuetz</t>
        </is>
      </c>
      <c r="I2171">
        <v>116</v>
      </c>
      <c r="J2171">
        <f>EPM/15.7</f>
        <v>0</v>
      </c>
      <c r="M2171" t="inlineStr">
        <is>
          <t>-15K2</t>
        </is>
      </c>
    </row>
    <row r="2172">
      <c r="A2172">
        <v>2171</v>
      </c>
      <c r="B2172">
        <f>GC03</f>
        <v>0</v>
      </c>
      <c r="C2172" t="inlineStr">
        <is>
          <t>+ES1</t>
        </is>
      </c>
      <c r="D2172" t="inlineStr">
        <is>
          <t>-15K4.0</t>
        </is>
      </c>
      <c r="E2172" t="inlineStr">
        <is>
          <t>DIL_ER-40-G</t>
        </is>
      </c>
      <c r="F2172" t="inlineStr">
        <is>
          <t>40_DIL-E</t>
        </is>
      </c>
      <c r="G2172" t="inlineStr">
        <is>
          <t>HILFSSCHUETZ</t>
        </is>
      </c>
      <c r="H2172" t="inlineStr">
        <is>
          <t>4S</t>
        </is>
      </c>
      <c r="I2172">
        <v>263</v>
      </c>
      <c r="J2172">
        <f>GC03/15.6</f>
        <v>0</v>
      </c>
      <c r="M2172" t="inlineStr">
        <is>
          <t>-15K4.0</t>
        </is>
      </c>
    </row>
    <row r="2173">
      <c r="A2173">
        <v>2172</v>
      </c>
      <c r="B2173">
        <f>GC03</f>
        <v>0</v>
      </c>
      <c r="C2173" t="inlineStr">
        <is>
          <t>+ES1</t>
        </is>
      </c>
      <c r="D2173" t="inlineStr">
        <is>
          <t>-15K4.0</t>
        </is>
      </c>
      <c r="E2173" t="inlineStr">
        <is>
          <t>40_DIL-E</t>
        </is>
      </c>
      <c r="F2173" t="inlineStr">
        <is>
          <t>40_DIL-E</t>
        </is>
      </c>
      <c r="G2173" t="inlineStr">
        <is>
          <t>HILFSKONTAKTBLOCK</t>
        </is>
      </c>
      <c r="H2173" t="inlineStr">
        <is>
          <t>4S Last+Hilfsschuetz</t>
        </is>
      </c>
      <c r="I2173">
        <v>263</v>
      </c>
      <c r="J2173">
        <f>GC03/15.6</f>
        <v>0</v>
      </c>
      <c r="M2173" t="inlineStr">
        <is>
          <t>-15K4.0</t>
        </is>
      </c>
    </row>
    <row r="2174">
      <c r="A2174">
        <v>2173</v>
      </c>
      <c r="B2174">
        <f>GS01</f>
        <v>0</v>
      </c>
      <c r="C2174" t="inlineStr">
        <is>
          <t>+ES1</t>
        </is>
      </c>
      <c r="D2174" t="inlineStr">
        <is>
          <t>-15K4.0</t>
        </is>
      </c>
      <c r="E2174" t="inlineStr">
        <is>
          <t>DIL_ER-40-G</t>
        </is>
      </c>
      <c r="F2174" t="inlineStr">
        <is>
          <t>40_DIL-E</t>
        </is>
      </c>
      <c r="G2174" t="inlineStr">
        <is>
          <t>HILFSSCHUETZ</t>
        </is>
      </c>
      <c r="H2174" t="inlineStr">
        <is>
          <t>4S</t>
        </is>
      </c>
      <c r="I2174">
        <v>82</v>
      </c>
      <c r="J2174">
        <f>GS01/15.5</f>
        <v>0</v>
      </c>
      <c r="M2174" t="inlineStr">
        <is>
          <t>-15K4.0</t>
        </is>
      </c>
    </row>
    <row r="2175">
      <c r="A2175">
        <v>2174</v>
      </c>
      <c r="B2175">
        <f>GS01</f>
        <v>0</v>
      </c>
      <c r="C2175" t="inlineStr">
        <is>
          <t>+ES1</t>
        </is>
      </c>
      <c r="D2175" t="inlineStr">
        <is>
          <t>-15K4.0</t>
        </is>
      </c>
      <c r="E2175" t="inlineStr">
        <is>
          <t>40_DIL-E</t>
        </is>
      </c>
      <c r="F2175" t="inlineStr">
        <is>
          <t>40_DIL-E</t>
        </is>
      </c>
      <c r="G2175" t="inlineStr">
        <is>
          <t>HILFSKONTAKTBLOCK</t>
        </is>
      </c>
      <c r="H2175" t="inlineStr">
        <is>
          <t>4S Last+Hilfsschuetz</t>
        </is>
      </c>
      <c r="I2175">
        <v>82</v>
      </c>
      <c r="J2175">
        <f>GS01/15.5</f>
        <v>0</v>
      </c>
      <c r="M2175" t="inlineStr">
        <is>
          <t>-15K4.0</t>
        </is>
      </c>
    </row>
    <row r="2176">
      <c r="A2176">
        <v>2175</v>
      </c>
      <c r="B2176">
        <f>GS02</f>
        <v>0</v>
      </c>
      <c r="C2176" t="inlineStr">
        <is>
          <t>+ES1</t>
        </is>
      </c>
      <c r="D2176" t="inlineStr">
        <is>
          <t>-15K4.0</t>
        </is>
      </c>
      <c r="E2176" t="inlineStr">
        <is>
          <t>40_DIL-E</t>
        </is>
      </c>
      <c r="F2176" t="inlineStr">
        <is>
          <t>40_DIL-E</t>
        </is>
      </c>
      <c r="G2176" t="inlineStr">
        <is>
          <t>HILFSKONTAKTBLOCK</t>
        </is>
      </c>
      <c r="H2176" t="inlineStr">
        <is>
          <t>4S Last+Hilfsschuetz</t>
        </is>
      </c>
      <c r="I2176">
        <v>406</v>
      </c>
      <c r="J2176">
        <f>GS02/15.6</f>
        <v>0</v>
      </c>
      <c r="M2176" t="inlineStr">
        <is>
          <t>-15K4.0</t>
        </is>
      </c>
    </row>
    <row r="2177">
      <c r="A2177">
        <v>2176</v>
      </c>
      <c r="B2177">
        <f>GS02</f>
        <v>0</v>
      </c>
      <c r="C2177" t="inlineStr">
        <is>
          <t>+ES1</t>
        </is>
      </c>
      <c r="D2177" t="inlineStr">
        <is>
          <t>-15K4.0</t>
        </is>
      </c>
      <c r="E2177" t="inlineStr">
        <is>
          <t>DIL_ER-40-G</t>
        </is>
      </c>
      <c r="F2177" t="inlineStr">
        <is>
          <t>40_DIL-E</t>
        </is>
      </c>
      <c r="G2177" t="inlineStr">
        <is>
          <t>HILFSSCHUETZ</t>
        </is>
      </c>
      <c r="H2177" t="inlineStr">
        <is>
          <t>4S</t>
        </is>
      </c>
      <c r="I2177">
        <v>406</v>
      </c>
      <c r="J2177">
        <f>GS02/15.6</f>
        <v>0</v>
      </c>
      <c r="M2177" t="inlineStr">
        <is>
          <t>-15K4.0</t>
        </is>
      </c>
    </row>
    <row r="2178">
      <c r="A2178">
        <v>2177</v>
      </c>
      <c r="B2178">
        <f>GS04</f>
        <v>0</v>
      </c>
      <c r="C2178" t="inlineStr">
        <is>
          <t>+ES1</t>
        </is>
      </c>
      <c r="D2178" t="inlineStr">
        <is>
          <t>-15K4.0</t>
        </is>
      </c>
      <c r="E2178" t="inlineStr">
        <is>
          <t>DIL_ER-40-G</t>
        </is>
      </c>
      <c r="F2178" t="inlineStr">
        <is>
          <t>40_DIL-E</t>
        </is>
      </c>
      <c r="G2178" t="inlineStr">
        <is>
          <t>HILFSSCHUETZ</t>
        </is>
      </c>
      <c r="H2178" t="inlineStr">
        <is>
          <t>4S</t>
        </is>
      </c>
      <c r="I2178">
        <v>259</v>
      </c>
      <c r="J2178">
        <f>GS04/15.5</f>
        <v>0</v>
      </c>
      <c r="M2178" t="inlineStr">
        <is>
          <t>-15K4.0</t>
        </is>
      </c>
    </row>
    <row r="2179">
      <c r="A2179">
        <v>2178</v>
      </c>
      <c r="B2179">
        <f>GS04</f>
        <v>0</v>
      </c>
      <c r="C2179" t="inlineStr">
        <is>
          <t>+ES1</t>
        </is>
      </c>
      <c r="D2179" t="inlineStr">
        <is>
          <t>-15K4.0</t>
        </is>
      </c>
      <c r="E2179" t="inlineStr">
        <is>
          <t>40_DIL-E</t>
        </is>
      </c>
      <c r="F2179" t="inlineStr">
        <is>
          <t>40_DIL-E</t>
        </is>
      </c>
      <c r="G2179" t="inlineStr">
        <is>
          <t>HILFSKONTAKTBLOCK</t>
        </is>
      </c>
      <c r="H2179" t="inlineStr">
        <is>
          <t>4S Last+Hilfsschuetz</t>
        </is>
      </c>
      <c r="I2179">
        <v>259</v>
      </c>
      <c r="J2179">
        <f>GS04/15.5</f>
        <v>0</v>
      </c>
      <c r="M2179" t="inlineStr">
        <is>
          <t>-15K4.0</t>
        </is>
      </c>
    </row>
    <row r="2180">
      <c r="A2180">
        <v>2179</v>
      </c>
      <c r="B2180">
        <f>GS05</f>
        <v>0</v>
      </c>
      <c r="C2180" t="inlineStr">
        <is>
          <t>+ES02</t>
        </is>
      </c>
      <c r="D2180" t="inlineStr">
        <is>
          <t>-15K4.0</t>
        </is>
      </c>
      <c r="E2180" t="inlineStr">
        <is>
          <t>DILA-40</t>
        </is>
      </c>
      <c r="F2180" t="inlineStr">
        <is>
          <t>#KALK!</t>
        </is>
      </c>
      <c r="G2180" t="inlineStr">
        <is>
          <t>HILFSSCHUETZ</t>
        </is>
      </c>
      <c r="H2180" t="inlineStr">
        <is>
          <t>4S Federzugkl.</t>
        </is>
      </c>
      <c r="I2180">
        <v>454</v>
      </c>
      <c r="J2180">
        <f>GS05/15.6</f>
        <v>0</v>
      </c>
      <c r="M2180" t="inlineStr">
        <is>
          <t>-15K4.0</t>
        </is>
      </c>
    </row>
    <row r="2181">
      <c r="A2181">
        <v>2180</v>
      </c>
      <c r="B2181">
        <f>GS06</f>
        <v>0</v>
      </c>
      <c r="C2181" t="inlineStr">
        <is>
          <t>+ES02</t>
        </is>
      </c>
      <c r="D2181" t="inlineStr">
        <is>
          <t>-15K4.0</t>
        </is>
      </c>
      <c r="E2181" t="inlineStr">
        <is>
          <t>DILA-40</t>
        </is>
      </c>
      <c r="F2181" t="inlineStr">
        <is>
          <t>#KALK!</t>
        </is>
      </c>
      <c r="G2181" t="inlineStr">
        <is>
          <t>HILFSSCHUETZ</t>
        </is>
      </c>
      <c r="H2181" t="inlineStr">
        <is>
          <t>4S Federzugkl.</t>
        </is>
      </c>
      <c r="I2181">
        <v>454</v>
      </c>
      <c r="J2181">
        <f>GS06/15.6</f>
        <v>0</v>
      </c>
      <c r="M2181" t="inlineStr">
        <is>
          <t>-15K4.0</t>
        </is>
      </c>
    </row>
    <row r="2182">
      <c r="A2182">
        <v>2181</v>
      </c>
      <c r="B2182">
        <f>GS07</f>
        <v>0</v>
      </c>
      <c r="C2182" t="inlineStr">
        <is>
          <t>+ES02</t>
        </is>
      </c>
      <c r="D2182" t="inlineStr">
        <is>
          <t>-15K4.0</t>
        </is>
      </c>
      <c r="E2182" t="inlineStr">
        <is>
          <t>DILA-40</t>
        </is>
      </c>
      <c r="F2182" t="inlineStr">
        <is>
          <t>#KALK!</t>
        </is>
      </c>
      <c r="G2182" t="inlineStr">
        <is>
          <t>HILFSSCHUETZ</t>
        </is>
      </c>
      <c r="H2182" t="inlineStr">
        <is>
          <t>4S Federzugkl.</t>
        </is>
      </c>
      <c r="I2182">
        <v>134</v>
      </c>
      <c r="J2182">
        <f>GS07/15.6</f>
        <v>0</v>
      </c>
      <c r="M2182" t="inlineStr">
        <is>
          <t>-15K4.0</t>
        </is>
      </c>
    </row>
    <row r="2183">
      <c r="A2183">
        <v>2182</v>
      </c>
      <c r="B2183">
        <f>GS08</f>
        <v>0</v>
      </c>
      <c r="C2183" t="inlineStr">
        <is>
          <t>+ES02</t>
        </is>
      </c>
      <c r="D2183" t="inlineStr">
        <is>
          <t>-15K4.0</t>
        </is>
      </c>
      <c r="E2183" t="inlineStr">
        <is>
          <t>DILA-40</t>
        </is>
      </c>
      <c r="F2183" t="inlineStr">
        <is>
          <t>#KALK!</t>
        </is>
      </c>
      <c r="G2183" t="inlineStr">
        <is>
          <t>HILFSSCHUETZ</t>
        </is>
      </c>
      <c r="H2183" t="inlineStr">
        <is>
          <t>4S Federzugkl.</t>
        </is>
      </c>
      <c r="I2183">
        <v>454</v>
      </c>
      <c r="J2183">
        <f>GS08/15.6</f>
        <v>0</v>
      </c>
      <c r="M2183" t="inlineStr">
        <is>
          <t>-15K4.0</t>
        </is>
      </c>
    </row>
    <row r="2184">
      <c r="A2184">
        <v>2183</v>
      </c>
      <c r="B2184">
        <f>GS11</f>
        <v>0</v>
      </c>
      <c r="C2184" t="inlineStr">
        <is>
          <t>+ES1</t>
        </is>
      </c>
      <c r="D2184" t="inlineStr">
        <is>
          <t>-15K4.0</t>
        </is>
      </c>
      <c r="E2184" t="inlineStr">
        <is>
          <t>DIL_ER-40-G</t>
        </is>
      </c>
      <c r="F2184" t="inlineStr">
        <is>
          <t>40_DIL-E</t>
        </is>
      </c>
      <c r="G2184" t="inlineStr">
        <is>
          <t>HILFSSCHUETZ</t>
        </is>
      </c>
      <c r="H2184" t="inlineStr">
        <is>
          <t>4S</t>
        </is>
      </c>
      <c r="I2184">
        <v>107</v>
      </c>
      <c r="J2184">
        <f>GS11/15.5</f>
        <v>0</v>
      </c>
      <c r="M2184" t="inlineStr">
        <is>
          <t>-15K4.0</t>
        </is>
      </c>
    </row>
    <row r="2185">
      <c r="A2185">
        <v>2184</v>
      </c>
      <c r="B2185">
        <f>GS11</f>
        <v>0</v>
      </c>
      <c r="C2185" t="inlineStr">
        <is>
          <t>+ES1</t>
        </is>
      </c>
      <c r="D2185" t="inlineStr">
        <is>
          <t>-15K4.0</t>
        </is>
      </c>
      <c r="E2185" t="inlineStr">
        <is>
          <t>40_DIL-E</t>
        </is>
      </c>
      <c r="F2185" t="inlineStr">
        <is>
          <t>40_DIL-E</t>
        </is>
      </c>
      <c r="G2185" t="inlineStr">
        <is>
          <t>HILFSKONTAKTBLOCK</t>
        </is>
      </c>
      <c r="H2185" t="inlineStr">
        <is>
          <t>4S Last+Hilfsschuetz</t>
        </is>
      </c>
      <c r="I2185">
        <v>107</v>
      </c>
      <c r="J2185">
        <f>GS11/15.5</f>
        <v>0</v>
      </c>
      <c r="M2185" t="inlineStr">
        <is>
          <t>-15K4.0</t>
        </is>
      </c>
    </row>
    <row r="2186">
      <c r="A2186">
        <v>2185</v>
      </c>
      <c r="B2186">
        <f>GS13</f>
        <v>0</v>
      </c>
      <c r="C2186" t="inlineStr">
        <is>
          <t>+ES1</t>
        </is>
      </c>
      <c r="D2186" t="inlineStr">
        <is>
          <t>-15K4.0</t>
        </is>
      </c>
      <c r="E2186" t="inlineStr">
        <is>
          <t>40_DIL-E</t>
        </is>
      </c>
      <c r="F2186" t="inlineStr">
        <is>
          <t>40_DIL-E</t>
        </is>
      </c>
      <c r="G2186" t="inlineStr">
        <is>
          <t>HILFSKONTAKTBLOCK</t>
        </is>
      </c>
      <c r="H2186" t="inlineStr">
        <is>
          <t>4S Last+Hilfsschuetz</t>
        </is>
      </c>
      <c r="I2186">
        <v>243</v>
      </c>
      <c r="J2186">
        <f>GS13/15.6</f>
        <v>0</v>
      </c>
      <c r="M2186" t="inlineStr">
        <is>
          <t>-15K4.0</t>
        </is>
      </c>
    </row>
    <row r="2187">
      <c r="A2187">
        <v>2186</v>
      </c>
      <c r="B2187">
        <f>GS13</f>
        <v>0</v>
      </c>
      <c r="C2187" t="inlineStr">
        <is>
          <t>+ES1</t>
        </is>
      </c>
      <c r="D2187" t="inlineStr">
        <is>
          <t>-15K4.0</t>
        </is>
      </c>
      <c r="E2187" t="inlineStr">
        <is>
          <t>DIL_ER-40-G</t>
        </is>
      </c>
      <c r="F2187" t="inlineStr">
        <is>
          <t>40_DIL-E</t>
        </is>
      </c>
      <c r="G2187" t="inlineStr">
        <is>
          <t>HILFSSCHUETZ</t>
        </is>
      </c>
      <c r="H2187" t="inlineStr">
        <is>
          <t>4S</t>
        </is>
      </c>
      <c r="I2187">
        <v>243</v>
      </c>
      <c r="J2187">
        <f>GS13/15.6</f>
        <v>0</v>
      </c>
      <c r="M2187" t="inlineStr">
        <is>
          <t>-15K4.0</t>
        </is>
      </c>
    </row>
    <row r="2188">
      <c r="A2188">
        <v>2187</v>
      </c>
      <c r="B2188">
        <f>GS14</f>
        <v>0</v>
      </c>
      <c r="C2188" t="inlineStr">
        <is>
          <t>+ES1</t>
        </is>
      </c>
      <c r="D2188" t="inlineStr">
        <is>
          <t>-15K4.0</t>
        </is>
      </c>
      <c r="E2188" t="inlineStr">
        <is>
          <t>40_DIL-E</t>
        </is>
      </c>
      <c r="F2188" t="inlineStr">
        <is>
          <t>40_DIL-E</t>
        </is>
      </c>
      <c r="G2188" t="inlineStr">
        <is>
          <t>HILFSKONTAKTBLOCK</t>
        </is>
      </c>
      <c r="H2188" t="inlineStr">
        <is>
          <t>4S Last+Hilfsschuetz</t>
        </is>
      </c>
      <c r="I2188">
        <v>118</v>
      </c>
      <c r="J2188">
        <f>GS14/15.6</f>
        <v>0</v>
      </c>
      <c r="M2188" t="inlineStr">
        <is>
          <t>-15K4.0</t>
        </is>
      </c>
    </row>
    <row r="2189">
      <c r="A2189">
        <v>2188</v>
      </c>
      <c r="B2189">
        <f>GS14</f>
        <v>0</v>
      </c>
      <c r="C2189" t="inlineStr">
        <is>
          <t>+ES1</t>
        </is>
      </c>
      <c r="D2189" t="inlineStr">
        <is>
          <t>-15K4.0</t>
        </is>
      </c>
      <c r="E2189" t="inlineStr">
        <is>
          <t>DIL_ER-40-G</t>
        </is>
      </c>
      <c r="F2189" t="inlineStr">
        <is>
          <t>40_DIL-E</t>
        </is>
      </c>
      <c r="G2189" t="inlineStr">
        <is>
          <t>HILFSSCHUETZ</t>
        </is>
      </c>
      <c r="H2189" t="inlineStr">
        <is>
          <t>4S</t>
        </is>
      </c>
      <c r="I2189">
        <v>118</v>
      </c>
      <c r="J2189">
        <f>GS14/15.6</f>
        <v>0</v>
      </c>
      <c r="M2189" t="inlineStr">
        <is>
          <t>-15K4.0</t>
        </is>
      </c>
    </row>
    <row r="2190">
      <c r="A2190">
        <v>2189</v>
      </c>
      <c r="B2190">
        <f>GS15</f>
        <v>0</v>
      </c>
      <c r="C2190" t="inlineStr">
        <is>
          <t>+ES1</t>
        </is>
      </c>
      <c r="D2190" t="inlineStr">
        <is>
          <t>-15K4.0</t>
        </is>
      </c>
      <c r="E2190" t="inlineStr">
        <is>
          <t>40_DIL-E</t>
        </is>
      </c>
      <c r="F2190" t="inlineStr">
        <is>
          <t>40_DIL-E</t>
        </is>
      </c>
      <c r="G2190" t="inlineStr">
        <is>
          <t>HILFSKONTAKTBLOCK</t>
        </is>
      </c>
      <c r="H2190" t="inlineStr">
        <is>
          <t>4S Last+Hilfsschuetz</t>
        </is>
      </c>
      <c r="I2190">
        <v>499</v>
      </c>
      <c r="J2190">
        <f>GS15/15.6</f>
        <v>0</v>
      </c>
      <c r="M2190" t="inlineStr">
        <is>
          <t>-15K4.0</t>
        </is>
      </c>
    </row>
    <row r="2191">
      <c r="A2191">
        <v>2190</v>
      </c>
      <c r="B2191">
        <f>GS15</f>
        <v>0</v>
      </c>
      <c r="C2191" t="inlineStr">
        <is>
          <t>+ES1</t>
        </is>
      </c>
      <c r="D2191" t="inlineStr">
        <is>
          <t>-15K4.0</t>
        </is>
      </c>
      <c r="E2191" t="inlineStr">
        <is>
          <t>DIL_ER-40-G</t>
        </is>
      </c>
      <c r="F2191" t="inlineStr">
        <is>
          <t>40_DIL-E</t>
        </is>
      </c>
      <c r="G2191" t="inlineStr">
        <is>
          <t>HILFSSCHUETZ</t>
        </is>
      </c>
      <c r="H2191" t="inlineStr">
        <is>
          <t>4S</t>
        </is>
      </c>
      <c r="I2191">
        <v>499</v>
      </c>
      <c r="J2191">
        <f>GS15/15.6</f>
        <v>0</v>
      </c>
      <c r="M2191" t="inlineStr">
        <is>
          <t>-15K4.0</t>
        </is>
      </c>
    </row>
    <row r="2192">
      <c r="A2192">
        <v>2191</v>
      </c>
      <c r="B2192">
        <f>GS16</f>
        <v>0</v>
      </c>
      <c r="C2192" t="inlineStr">
        <is>
          <t>+ES1</t>
        </is>
      </c>
      <c r="D2192" t="inlineStr">
        <is>
          <t>-15K4.0</t>
        </is>
      </c>
      <c r="E2192" t="inlineStr">
        <is>
          <t>DIL_ER-40-G</t>
        </is>
      </c>
      <c r="F2192" t="inlineStr">
        <is>
          <t>40_DIL-E</t>
        </is>
      </c>
      <c r="G2192" t="inlineStr">
        <is>
          <t>HILFSSCHUETZ</t>
        </is>
      </c>
      <c r="H2192" t="inlineStr">
        <is>
          <t>4S</t>
        </is>
      </c>
      <c r="I2192">
        <v>229</v>
      </c>
      <c r="J2192">
        <f>GS16/15.6</f>
        <v>0</v>
      </c>
      <c r="M2192" t="inlineStr">
        <is>
          <t>-15K4.0</t>
        </is>
      </c>
    </row>
    <row r="2193">
      <c r="A2193">
        <v>2192</v>
      </c>
      <c r="B2193">
        <f>GS16</f>
        <v>0</v>
      </c>
      <c r="C2193" t="inlineStr">
        <is>
          <t>+ES1</t>
        </is>
      </c>
      <c r="D2193" t="inlineStr">
        <is>
          <t>-15K4.0</t>
        </is>
      </c>
      <c r="E2193" t="inlineStr">
        <is>
          <t>40_DIL-E</t>
        </is>
      </c>
      <c r="F2193" t="inlineStr">
        <is>
          <t>40_DIL-E</t>
        </is>
      </c>
      <c r="G2193" t="inlineStr">
        <is>
          <t>HILFSKONTAKTBLOCK</t>
        </is>
      </c>
      <c r="H2193" t="inlineStr">
        <is>
          <t>4S Last+Hilfsschuetz</t>
        </is>
      </c>
      <c r="I2193">
        <v>229</v>
      </c>
      <c r="J2193">
        <f>GS16/15.6</f>
        <v>0</v>
      </c>
      <c r="M2193" t="inlineStr">
        <is>
          <t>-15K4.0</t>
        </is>
      </c>
    </row>
    <row r="2194">
      <c r="A2194">
        <v>2193</v>
      </c>
      <c r="B2194">
        <f>GS20</f>
        <v>0</v>
      </c>
      <c r="C2194" t="inlineStr">
        <is>
          <t>+ES02</t>
        </is>
      </c>
      <c r="D2194" t="inlineStr">
        <is>
          <t>-15K4.0</t>
        </is>
      </c>
      <c r="E2194" t="inlineStr">
        <is>
          <t>DILA-40</t>
        </is>
      </c>
      <c r="F2194" t="inlineStr">
        <is>
          <t>#KALK!</t>
        </is>
      </c>
      <c r="G2194" t="inlineStr">
        <is>
          <t>HILFSSCHUETZ</t>
        </is>
      </c>
      <c r="H2194" t="inlineStr">
        <is>
          <t>4S Federzugkl.</t>
        </is>
      </c>
      <c r="I2194">
        <v>454</v>
      </c>
      <c r="J2194">
        <f>GS20/15.6</f>
        <v>0</v>
      </c>
      <c r="M2194" t="inlineStr">
        <is>
          <t>-15K4.0</t>
        </is>
      </c>
    </row>
    <row r="2195">
      <c r="A2195">
        <v>2194</v>
      </c>
      <c r="B2195">
        <f>GS21</f>
        <v>0</v>
      </c>
      <c r="C2195" t="inlineStr">
        <is>
          <t>+ES1</t>
        </is>
      </c>
      <c r="D2195" t="inlineStr">
        <is>
          <t>-15K4.0</t>
        </is>
      </c>
      <c r="E2195" t="inlineStr">
        <is>
          <t>DIL_ER-40-G</t>
        </is>
      </c>
      <c r="F2195" t="inlineStr">
        <is>
          <t>40_DIL-E</t>
        </is>
      </c>
      <c r="G2195" t="inlineStr">
        <is>
          <t>HILFSSCHUETZ</t>
        </is>
      </c>
      <c r="H2195" t="inlineStr">
        <is>
          <t>4S</t>
        </is>
      </c>
      <c r="I2195">
        <v>117</v>
      </c>
      <c r="J2195">
        <f>GS21/15.5</f>
        <v>0</v>
      </c>
      <c r="M2195" t="inlineStr">
        <is>
          <t>-15K4.0</t>
        </is>
      </c>
    </row>
    <row r="2196">
      <c r="A2196">
        <v>2195</v>
      </c>
      <c r="B2196">
        <f>GS21</f>
        <v>0</v>
      </c>
      <c r="C2196" t="inlineStr">
        <is>
          <t>+ES1</t>
        </is>
      </c>
      <c r="D2196" t="inlineStr">
        <is>
          <t>-15K4.0</t>
        </is>
      </c>
      <c r="E2196" t="inlineStr">
        <is>
          <t>40_DIL-E</t>
        </is>
      </c>
      <c r="F2196" t="inlineStr">
        <is>
          <t>40_DIL-E</t>
        </is>
      </c>
      <c r="G2196" t="inlineStr">
        <is>
          <t>HILFSKONTAKTBLOCK</t>
        </is>
      </c>
      <c r="H2196" t="inlineStr">
        <is>
          <t>4S Last+Hilfsschuetz</t>
        </is>
      </c>
      <c r="I2196">
        <v>117</v>
      </c>
      <c r="J2196">
        <f>GS21/15.5</f>
        <v>0</v>
      </c>
      <c r="M2196" t="inlineStr">
        <is>
          <t>-15K4.0</t>
        </is>
      </c>
    </row>
    <row r="2197">
      <c r="A2197">
        <v>2196</v>
      </c>
      <c r="B2197">
        <f>GS23</f>
        <v>0</v>
      </c>
      <c r="C2197" t="inlineStr">
        <is>
          <t>+ES1</t>
        </is>
      </c>
      <c r="D2197" t="inlineStr">
        <is>
          <t>-15K4.0</t>
        </is>
      </c>
      <c r="E2197" t="inlineStr">
        <is>
          <t>DIL_ER-40-G</t>
        </is>
      </c>
      <c r="F2197" t="inlineStr">
        <is>
          <t>40_DIL-E</t>
        </is>
      </c>
      <c r="G2197" t="inlineStr">
        <is>
          <t>HILFSSCHUETZ</t>
        </is>
      </c>
      <c r="H2197" t="inlineStr">
        <is>
          <t>4S</t>
        </is>
      </c>
      <c r="I2197">
        <v>306</v>
      </c>
      <c r="J2197">
        <f>GS23/15.6</f>
        <v>0</v>
      </c>
      <c r="M2197" t="inlineStr">
        <is>
          <t>-15K4.0</t>
        </is>
      </c>
    </row>
    <row r="2198">
      <c r="A2198">
        <v>2197</v>
      </c>
      <c r="B2198">
        <f>GS23</f>
        <v>0</v>
      </c>
      <c r="C2198" t="inlineStr">
        <is>
          <t>+ES1</t>
        </is>
      </c>
      <c r="D2198" t="inlineStr">
        <is>
          <t>-15K4.0</t>
        </is>
      </c>
      <c r="E2198" t="inlineStr">
        <is>
          <t>40_DIL-E</t>
        </is>
      </c>
      <c r="F2198" t="inlineStr">
        <is>
          <t>40_DIL-E</t>
        </is>
      </c>
      <c r="G2198" t="inlineStr">
        <is>
          <t>HILFSKONTAKTBLOCK</t>
        </is>
      </c>
      <c r="H2198" t="inlineStr">
        <is>
          <t>4S Last+Hilfsschuetz</t>
        </is>
      </c>
      <c r="I2198">
        <v>306</v>
      </c>
      <c r="J2198">
        <f>GS23/15.6</f>
        <v>0</v>
      </c>
      <c r="M2198" t="inlineStr">
        <is>
          <t>-15K4.0</t>
        </is>
      </c>
    </row>
    <row r="2199">
      <c r="A2199">
        <v>2198</v>
      </c>
      <c r="B2199">
        <f>GS24</f>
        <v>0</v>
      </c>
      <c r="C2199" t="inlineStr">
        <is>
          <t>+ES1</t>
        </is>
      </c>
      <c r="D2199" t="inlineStr">
        <is>
          <t>-15K4.0</t>
        </is>
      </c>
      <c r="E2199" t="inlineStr">
        <is>
          <t>DIL_ER-40-G</t>
        </is>
      </c>
      <c r="F2199" t="inlineStr">
        <is>
          <t>40_DIL-E</t>
        </is>
      </c>
      <c r="G2199" t="inlineStr">
        <is>
          <t>HILFSSCHUETZ</t>
        </is>
      </c>
      <c r="H2199" t="inlineStr">
        <is>
          <t>4S</t>
        </is>
      </c>
      <c r="I2199">
        <v>1065</v>
      </c>
      <c r="J2199">
        <f>GS24/15.6</f>
        <v>0</v>
      </c>
      <c r="M2199" t="inlineStr">
        <is>
          <t>-15K4.0</t>
        </is>
      </c>
    </row>
    <row r="2200">
      <c r="A2200">
        <v>2199</v>
      </c>
      <c r="B2200">
        <f>GS24</f>
        <v>0</v>
      </c>
      <c r="C2200" t="inlineStr">
        <is>
          <t>+ES1</t>
        </is>
      </c>
      <c r="D2200" t="inlineStr">
        <is>
          <t>-15K4.0</t>
        </is>
      </c>
      <c r="E2200" t="inlineStr">
        <is>
          <t>40_DIL-E</t>
        </is>
      </c>
      <c r="F2200" t="inlineStr">
        <is>
          <t>40_DIL-E</t>
        </is>
      </c>
      <c r="G2200" t="inlineStr">
        <is>
          <t>HILFSKONTAKTBLOCK</t>
        </is>
      </c>
      <c r="H2200" t="inlineStr">
        <is>
          <t>4S Last+Hilfsschuetz</t>
        </is>
      </c>
      <c r="I2200">
        <v>1065</v>
      </c>
      <c r="J2200">
        <f>GS24/15.6</f>
        <v>0</v>
      </c>
      <c r="M2200" t="inlineStr">
        <is>
          <t>-15K4.0</t>
        </is>
      </c>
    </row>
    <row r="2201">
      <c r="A2201">
        <v>2200</v>
      </c>
      <c r="B2201">
        <f>GS25</f>
        <v>0</v>
      </c>
      <c r="C2201" t="inlineStr">
        <is>
          <t>+ES1</t>
        </is>
      </c>
      <c r="D2201" t="inlineStr">
        <is>
          <t>-15K4.0</t>
        </is>
      </c>
      <c r="E2201" t="inlineStr">
        <is>
          <t>DIL_ER-40-G</t>
        </is>
      </c>
      <c r="F2201" t="inlineStr">
        <is>
          <t>40_DIL-E</t>
        </is>
      </c>
      <c r="G2201" t="inlineStr">
        <is>
          <t>HILFSSCHUETZ</t>
        </is>
      </c>
      <c r="H2201" t="inlineStr">
        <is>
          <t>4S</t>
        </is>
      </c>
      <c r="I2201">
        <v>121</v>
      </c>
      <c r="J2201">
        <f>GS25/15.6</f>
        <v>0</v>
      </c>
      <c r="M2201" t="inlineStr">
        <is>
          <t>-15K4.0</t>
        </is>
      </c>
    </row>
    <row r="2202">
      <c r="A2202">
        <v>2201</v>
      </c>
      <c r="B2202">
        <f>GS25</f>
        <v>0</v>
      </c>
      <c r="C2202" t="inlineStr">
        <is>
          <t>+ES1</t>
        </is>
      </c>
      <c r="D2202" t="inlineStr">
        <is>
          <t>-15K4.0</t>
        </is>
      </c>
      <c r="E2202" t="inlineStr">
        <is>
          <t>40_DIL-E</t>
        </is>
      </c>
      <c r="F2202" t="inlineStr">
        <is>
          <t>40_DIL-E</t>
        </is>
      </c>
      <c r="G2202" t="inlineStr">
        <is>
          <t>HILFSKONTAKTBLOCK</t>
        </is>
      </c>
      <c r="H2202" t="inlineStr">
        <is>
          <t>4S Last+Hilfsschuetz</t>
        </is>
      </c>
      <c r="I2202">
        <v>121</v>
      </c>
      <c r="J2202">
        <f>GS25/15.6</f>
        <v>0</v>
      </c>
      <c r="M2202" t="inlineStr">
        <is>
          <t>-15K4.0</t>
        </is>
      </c>
    </row>
    <row r="2203">
      <c r="A2203">
        <v>2202</v>
      </c>
      <c r="B2203">
        <f>GS26</f>
        <v>0</v>
      </c>
      <c r="C2203" t="inlineStr">
        <is>
          <t>+ES2</t>
        </is>
      </c>
      <c r="D2203" t="inlineStr">
        <is>
          <t>-15K4.0</t>
        </is>
      </c>
      <c r="E2203" t="inlineStr">
        <is>
          <t>DILM-9-10</t>
        </is>
      </c>
      <c r="F2203" t="inlineStr">
        <is>
          <t>DILA-XHI22</t>
        </is>
      </c>
      <c r="G2203" t="inlineStr">
        <is>
          <t>LASTSCHUETZ</t>
        </is>
      </c>
      <c r="H2203" t="inlineStr">
        <is>
          <t>4kW 1S Federzugkl.</t>
        </is>
      </c>
      <c r="I2203">
        <v>154</v>
      </c>
      <c r="J2203">
        <f>GS26/15.6</f>
        <v>0</v>
      </c>
      <c r="M2203" t="inlineStr">
        <is>
          <t>-15K4.0</t>
        </is>
      </c>
    </row>
    <row r="2204">
      <c r="A2204">
        <v>2203</v>
      </c>
      <c r="B2204">
        <f>GS26</f>
        <v>0</v>
      </c>
      <c r="C2204" t="inlineStr">
        <is>
          <t>+ES2</t>
        </is>
      </c>
      <c r="D2204" t="inlineStr">
        <is>
          <t>-15K4.0</t>
        </is>
      </c>
      <c r="E2204" t="inlineStr">
        <is>
          <t>DILA-XHI22</t>
        </is>
      </c>
      <c r="F2204" t="inlineStr">
        <is>
          <t>DILA-XHI22</t>
        </is>
      </c>
      <c r="G2204" t="inlineStr">
        <is>
          <t>HILFSKONTAKTBLOCK</t>
        </is>
      </c>
      <c r="H2204" t="inlineStr">
        <is>
          <t>2S 2OE Last+Hilfssch. Cage</t>
        </is>
      </c>
      <c r="I2204">
        <v>154</v>
      </c>
      <c r="J2204">
        <f>GS26/15.6</f>
        <v>0</v>
      </c>
      <c r="M2204" t="inlineStr">
        <is>
          <t>-15K4.0</t>
        </is>
      </c>
    </row>
    <row r="2205">
      <c r="A2205">
        <v>2204</v>
      </c>
      <c r="B2205">
        <f>GS30</f>
        <v>0</v>
      </c>
      <c r="C2205" t="inlineStr">
        <is>
          <t>+ES02</t>
        </is>
      </c>
      <c r="D2205" t="inlineStr">
        <is>
          <t>-15K4.0</t>
        </is>
      </c>
      <c r="E2205" t="inlineStr">
        <is>
          <t>DILA-40</t>
        </is>
      </c>
      <c r="F2205" t="inlineStr">
        <is>
          <t>#KALK!</t>
        </is>
      </c>
      <c r="G2205" t="inlineStr">
        <is>
          <t>HILFSSCHUETZ</t>
        </is>
      </c>
      <c r="H2205" t="inlineStr">
        <is>
          <t>4S Federzugkl.</t>
        </is>
      </c>
      <c r="I2205">
        <v>454</v>
      </c>
      <c r="J2205">
        <f>GS30/15.6</f>
        <v>0</v>
      </c>
      <c r="M2205" t="inlineStr">
        <is>
          <t>-15K4.0</t>
        </is>
      </c>
    </row>
    <row r="2206">
      <c r="A2206">
        <v>2205</v>
      </c>
      <c r="B2206">
        <f>GS31</f>
        <v>0</v>
      </c>
      <c r="C2206" t="inlineStr">
        <is>
          <t>+ES1</t>
        </is>
      </c>
      <c r="D2206" t="inlineStr">
        <is>
          <t>-15K4.0</t>
        </is>
      </c>
      <c r="E2206" t="inlineStr">
        <is>
          <t>40_DIL-E</t>
        </is>
      </c>
      <c r="F2206" t="inlineStr">
        <is>
          <t>40_DIL-E</t>
        </is>
      </c>
      <c r="G2206" t="inlineStr">
        <is>
          <t>HILFSKONTAKTBLOCK</t>
        </is>
      </c>
      <c r="H2206" t="inlineStr">
        <is>
          <t>4S Last+Hilfsschuetz</t>
        </is>
      </c>
      <c r="I2206">
        <v>297</v>
      </c>
      <c r="J2206">
        <f>GS31/15.5</f>
        <v>0</v>
      </c>
      <c r="M2206" t="inlineStr">
        <is>
          <t>-15K4.0</t>
        </is>
      </c>
    </row>
    <row r="2207">
      <c r="A2207">
        <v>2206</v>
      </c>
      <c r="B2207">
        <f>GS31</f>
        <v>0</v>
      </c>
      <c r="C2207" t="inlineStr">
        <is>
          <t>+ES1</t>
        </is>
      </c>
      <c r="D2207" t="inlineStr">
        <is>
          <t>-15K4.0</t>
        </is>
      </c>
      <c r="E2207" t="inlineStr">
        <is>
          <t>DIL_ER-40-G</t>
        </is>
      </c>
      <c r="F2207" t="inlineStr">
        <is>
          <t>40_DIL-E</t>
        </is>
      </c>
      <c r="G2207" t="inlineStr">
        <is>
          <t>HILFSSCHUETZ</t>
        </is>
      </c>
      <c r="H2207" t="inlineStr">
        <is>
          <t>4S</t>
        </is>
      </c>
      <c r="I2207">
        <v>297</v>
      </c>
      <c r="J2207">
        <f>GS31/15.5</f>
        <v>0</v>
      </c>
      <c r="M2207" t="inlineStr">
        <is>
          <t>-15K4.0</t>
        </is>
      </c>
    </row>
    <row r="2208">
      <c r="A2208">
        <v>2207</v>
      </c>
      <c r="B2208">
        <f>GS32</f>
        <v>0</v>
      </c>
      <c r="C2208" t="inlineStr">
        <is>
          <t>+ES1</t>
        </is>
      </c>
      <c r="D2208" t="inlineStr">
        <is>
          <t>-15K4.0</t>
        </is>
      </c>
      <c r="E2208" t="inlineStr">
        <is>
          <t>40_DIL-E</t>
        </is>
      </c>
      <c r="F2208" t="inlineStr">
        <is>
          <t>40_DIL-E</t>
        </is>
      </c>
      <c r="G2208" t="inlineStr">
        <is>
          <t>HILFSKONTAKTBLOCK</t>
        </is>
      </c>
      <c r="H2208" t="inlineStr">
        <is>
          <t>4S Last+Hilfsschuetz</t>
        </is>
      </c>
      <c r="I2208">
        <v>1449</v>
      </c>
      <c r="J2208">
        <f>GS32/15.5</f>
        <v>0</v>
      </c>
      <c r="M2208" t="inlineStr">
        <is>
          <t>-15K4.0</t>
        </is>
      </c>
    </row>
    <row r="2209">
      <c r="A2209">
        <v>2208</v>
      </c>
      <c r="B2209">
        <f>GS32</f>
        <v>0</v>
      </c>
      <c r="C2209" t="inlineStr">
        <is>
          <t>+ES1</t>
        </is>
      </c>
      <c r="D2209" t="inlineStr">
        <is>
          <t>-15K4.0</t>
        </is>
      </c>
      <c r="E2209" t="inlineStr">
        <is>
          <t>DIL_ER-40-G</t>
        </is>
      </c>
      <c r="F2209" t="inlineStr">
        <is>
          <t>40_DIL-E</t>
        </is>
      </c>
      <c r="G2209" t="inlineStr">
        <is>
          <t>HILFSSCHUETZ</t>
        </is>
      </c>
      <c r="H2209" t="inlineStr">
        <is>
          <t>4S</t>
        </is>
      </c>
      <c r="I2209">
        <v>1449</v>
      </c>
      <c r="J2209">
        <f>GS32/15.5</f>
        <v>0</v>
      </c>
      <c r="M2209" t="inlineStr">
        <is>
          <t>-15K4.0</t>
        </is>
      </c>
    </row>
    <row r="2210">
      <c r="A2210">
        <v>2209</v>
      </c>
      <c r="B2210">
        <f>GS33</f>
        <v>0</v>
      </c>
      <c r="C2210" t="inlineStr">
        <is>
          <t>+ES1</t>
        </is>
      </c>
      <c r="D2210" t="inlineStr">
        <is>
          <t>-15K4.0</t>
        </is>
      </c>
      <c r="E2210" t="inlineStr">
        <is>
          <t>DIL_ER-40-G</t>
        </is>
      </c>
      <c r="F2210" t="inlineStr">
        <is>
          <t>40_DIL-E</t>
        </is>
      </c>
      <c r="G2210" t="inlineStr">
        <is>
          <t>HILFSSCHUETZ</t>
        </is>
      </c>
      <c r="H2210" t="inlineStr">
        <is>
          <t>4S</t>
        </is>
      </c>
      <c r="I2210">
        <v>451</v>
      </c>
      <c r="J2210">
        <f>GS33/15.6</f>
        <v>0</v>
      </c>
      <c r="M2210" t="inlineStr">
        <is>
          <t>-15K4.0</t>
        </is>
      </c>
    </row>
    <row r="2211">
      <c r="A2211">
        <v>2210</v>
      </c>
      <c r="B2211">
        <f>GS33</f>
        <v>0</v>
      </c>
      <c r="C2211" t="inlineStr">
        <is>
          <t>+ES1</t>
        </is>
      </c>
      <c r="D2211" t="inlineStr">
        <is>
          <t>-15K4.0</t>
        </is>
      </c>
      <c r="E2211" t="inlineStr">
        <is>
          <t>40_DIL-E</t>
        </is>
      </c>
      <c r="F2211" t="inlineStr">
        <is>
          <t>40_DIL-E</t>
        </is>
      </c>
      <c r="G2211" t="inlineStr">
        <is>
          <t>HILFSKONTAKTBLOCK</t>
        </is>
      </c>
      <c r="H2211" t="inlineStr">
        <is>
          <t>4S Last+Hilfsschuetz</t>
        </is>
      </c>
      <c r="I2211">
        <v>451</v>
      </c>
      <c r="J2211">
        <f>GS33/15.6</f>
        <v>0</v>
      </c>
      <c r="M2211" t="inlineStr">
        <is>
          <t>-15K4.0</t>
        </is>
      </c>
    </row>
    <row r="2212">
      <c r="A2212">
        <v>2211</v>
      </c>
      <c r="B2212">
        <f>GS34</f>
        <v>0</v>
      </c>
      <c r="C2212" t="inlineStr">
        <is>
          <t>+ES1</t>
        </is>
      </c>
      <c r="D2212" t="inlineStr">
        <is>
          <t>-15K4.0</t>
        </is>
      </c>
      <c r="E2212" t="inlineStr">
        <is>
          <t>40_DIL-E</t>
        </is>
      </c>
      <c r="F2212" t="inlineStr">
        <is>
          <t>40_DIL-E</t>
        </is>
      </c>
      <c r="G2212" t="inlineStr">
        <is>
          <t>HILFSKONTAKTBLOCK</t>
        </is>
      </c>
      <c r="H2212" t="inlineStr">
        <is>
          <t>4S Last+Hilfsschuetz</t>
        </is>
      </c>
      <c r="I2212">
        <v>138</v>
      </c>
      <c r="J2212">
        <f>GS34/15.6</f>
        <v>0</v>
      </c>
      <c r="M2212" t="inlineStr">
        <is>
          <t>-15K4.0</t>
        </is>
      </c>
    </row>
    <row r="2213">
      <c r="A2213">
        <v>2212</v>
      </c>
      <c r="B2213">
        <f>GS34</f>
        <v>0</v>
      </c>
      <c r="C2213" t="inlineStr">
        <is>
          <t>+ES1</t>
        </is>
      </c>
      <c r="D2213" t="inlineStr">
        <is>
          <t>-15K4.0</t>
        </is>
      </c>
      <c r="E2213" t="inlineStr">
        <is>
          <t>DIL_ER-40-G</t>
        </is>
      </c>
      <c r="F2213" t="inlineStr">
        <is>
          <t>40_DIL-E</t>
        </is>
      </c>
      <c r="G2213" t="inlineStr">
        <is>
          <t>HILFSSCHUETZ</t>
        </is>
      </c>
      <c r="H2213" t="inlineStr">
        <is>
          <t>4S</t>
        </is>
      </c>
      <c r="I2213">
        <v>138</v>
      </c>
      <c r="J2213">
        <f>GS34/15.6</f>
        <v>0</v>
      </c>
      <c r="M2213" t="inlineStr">
        <is>
          <t>-15K4.0</t>
        </is>
      </c>
    </row>
    <row r="2214">
      <c r="A2214">
        <v>2213</v>
      </c>
      <c r="B2214">
        <f>GS35</f>
        <v>0</v>
      </c>
      <c r="C2214" t="inlineStr">
        <is>
          <t>+ES02</t>
        </is>
      </c>
      <c r="D2214" t="inlineStr">
        <is>
          <t>-15K4.0</t>
        </is>
      </c>
      <c r="E2214" t="inlineStr">
        <is>
          <t>DILA-40</t>
        </is>
      </c>
      <c r="F2214" t="inlineStr">
        <is>
          <t>#KALK!</t>
        </is>
      </c>
      <c r="G2214" t="inlineStr">
        <is>
          <t>HILFSSCHUETZ</t>
        </is>
      </c>
      <c r="H2214" t="inlineStr">
        <is>
          <t>4S Federzugkl.</t>
        </is>
      </c>
      <c r="I2214">
        <v>179</v>
      </c>
      <c r="J2214">
        <f>GS35/15.6</f>
        <v>0</v>
      </c>
      <c r="M2214" t="inlineStr">
        <is>
          <t>-15K4.0</t>
        </is>
      </c>
    </row>
    <row r="2215">
      <c r="A2215">
        <v>2214</v>
      </c>
      <c r="B2215">
        <f>GS36</f>
        <v>0</v>
      </c>
      <c r="C2215" t="inlineStr">
        <is>
          <t>+LS02</t>
        </is>
      </c>
      <c r="D2215" t="inlineStr">
        <is>
          <t>-160K1</t>
        </is>
      </c>
      <c r="E2215" t="inlineStr">
        <is>
          <t>DILM-9-01</t>
        </is>
      </c>
      <c r="F2215" t="inlineStr">
        <is>
          <t>#KALK!</t>
        </is>
      </c>
      <c r="G2215" t="inlineStr">
        <is>
          <t>LASTSCHUETZ</t>
        </is>
      </c>
      <c r="H2215" t="inlineStr">
        <is>
          <t>4kW 1Oe Federzugkl.</t>
        </is>
      </c>
      <c r="I2215">
        <v>333</v>
      </c>
      <c r="J2215">
        <f>GS36/160.6</f>
        <v>0</v>
      </c>
      <c r="L2215" t="inlineStr">
        <is>
          <t>Lichtvorhang KF</t>
        </is>
      </c>
      <c r="M2215" t="inlineStr">
        <is>
          <t>Lichtvorhang KF
-160K1</t>
        </is>
      </c>
    </row>
    <row r="2216">
      <c r="A2216">
        <v>2215</v>
      </c>
      <c r="B2216">
        <f>GS37</f>
        <v>0</v>
      </c>
      <c r="C2216" t="inlineStr">
        <is>
          <t>+ES02</t>
        </is>
      </c>
      <c r="D2216" t="inlineStr">
        <is>
          <t>-15K4.0</t>
        </is>
      </c>
      <c r="E2216" t="inlineStr">
        <is>
          <t>DILA-40</t>
        </is>
      </c>
      <c r="F2216" t="inlineStr">
        <is>
          <t>#KALK!</t>
        </is>
      </c>
      <c r="G2216" t="inlineStr">
        <is>
          <t>HILFSSCHUETZ</t>
        </is>
      </c>
      <c r="H2216" t="inlineStr">
        <is>
          <t>4S Federzugkl.</t>
        </is>
      </c>
      <c r="I2216">
        <v>167</v>
      </c>
      <c r="J2216">
        <f>GS37/15.6</f>
        <v>0</v>
      </c>
      <c r="M2216" t="inlineStr">
        <is>
          <t>-15K4.0</t>
        </is>
      </c>
    </row>
    <row r="2217">
      <c r="A2217">
        <v>2216</v>
      </c>
      <c r="B2217">
        <f>GS38</f>
        <v>0</v>
      </c>
      <c r="C2217" t="inlineStr">
        <is>
          <t>+ES02</t>
        </is>
      </c>
      <c r="D2217" t="inlineStr">
        <is>
          <t>-15K4.0</t>
        </is>
      </c>
      <c r="E2217" t="inlineStr">
        <is>
          <t>DILA-40</t>
        </is>
      </c>
      <c r="F2217" t="inlineStr">
        <is>
          <t>#KALK!</t>
        </is>
      </c>
      <c r="G2217" t="inlineStr">
        <is>
          <t>HILFSSCHUETZ</t>
        </is>
      </c>
      <c r="H2217" t="inlineStr">
        <is>
          <t>4S Federzugkl.</t>
        </is>
      </c>
      <c r="I2217">
        <v>153</v>
      </c>
      <c r="J2217">
        <f>GS38/15.6</f>
        <v>0</v>
      </c>
      <c r="M2217" t="inlineStr">
        <is>
          <t>-15K4.0</t>
        </is>
      </c>
    </row>
    <row r="2218">
      <c r="A2218">
        <v>2217</v>
      </c>
      <c r="B2218">
        <f>GS39</f>
        <v>0</v>
      </c>
      <c r="C2218" t="inlineStr">
        <is>
          <t>+ES02</t>
        </is>
      </c>
      <c r="D2218" t="inlineStr">
        <is>
          <t>-15K4.0</t>
        </is>
      </c>
      <c r="E2218" t="inlineStr">
        <is>
          <t>DILA-40</t>
        </is>
      </c>
      <c r="F2218" t="inlineStr">
        <is>
          <t>#KALK!</t>
        </is>
      </c>
      <c r="G2218" t="inlineStr">
        <is>
          <t>HILFSSCHUETZ</t>
        </is>
      </c>
      <c r="H2218" t="inlineStr">
        <is>
          <t>4S Federzugkl.</t>
        </is>
      </c>
      <c r="I2218">
        <v>192</v>
      </c>
      <c r="J2218">
        <f>GS39/15.6</f>
        <v>0</v>
      </c>
      <c r="M2218" t="inlineStr">
        <is>
          <t>-15K4.0</t>
        </is>
      </c>
    </row>
    <row r="2219">
      <c r="A2219">
        <v>2218</v>
      </c>
      <c r="B2219">
        <f>GS46</f>
        <v>0</v>
      </c>
      <c r="C2219" t="inlineStr">
        <is>
          <t>+ES02</t>
        </is>
      </c>
      <c r="D2219" t="inlineStr">
        <is>
          <t>-15K4.0</t>
        </is>
      </c>
      <c r="E2219" t="inlineStr">
        <is>
          <t>DILA-40</t>
        </is>
      </c>
      <c r="F2219" t="inlineStr">
        <is>
          <t>#KALK!</t>
        </is>
      </c>
      <c r="G2219" t="inlineStr">
        <is>
          <t>HILFSSCHUETZ</t>
        </is>
      </c>
      <c r="H2219" t="inlineStr">
        <is>
          <t>4S Federzugkl.</t>
        </is>
      </c>
      <c r="I2219">
        <v>159</v>
      </c>
      <c r="J2219">
        <f>GS46/15.6</f>
        <v>0</v>
      </c>
      <c r="M2219" t="inlineStr">
        <is>
          <t>-15K4.0</t>
        </is>
      </c>
    </row>
    <row r="2220">
      <c r="A2220">
        <v>2219</v>
      </c>
      <c r="B2220">
        <f>GS47</f>
        <v>0</v>
      </c>
      <c r="C2220" t="inlineStr">
        <is>
          <t>+ES02</t>
        </is>
      </c>
      <c r="D2220" t="inlineStr">
        <is>
          <t>-15K4.0</t>
        </is>
      </c>
      <c r="E2220" t="inlineStr">
        <is>
          <t>DILA-40</t>
        </is>
      </c>
      <c r="F2220" t="inlineStr">
        <is>
          <t>#KALK!</t>
        </is>
      </c>
      <c r="G2220" t="inlineStr">
        <is>
          <t>HILFSSCHUETZ</t>
        </is>
      </c>
      <c r="H2220" t="inlineStr">
        <is>
          <t>4S Federzugkl.</t>
        </is>
      </c>
      <c r="I2220">
        <v>159</v>
      </c>
      <c r="J2220">
        <f>GS47/15.6</f>
        <v>0</v>
      </c>
      <c r="M2220" t="inlineStr">
        <is>
          <t>-15K4.0</t>
        </is>
      </c>
    </row>
    <row r="2221">
      <c r="A2221">
        <v>2220</v>
      </c>
      <c r="B2221">
        <f>GS48</f>
        <v>0</v>
      </c>
      <c r="C2221" t="inlineStr">
        <is>
          <t>+ES02</t>
        </is>
      </c>
      <c r="D2221" t="inlineStr">
        <is>
          <t>-15K4.0</t>
        </is>
      </c>
      <c r="E2221" t="inlineStr">
        <is>
          <t>DILA-40</t>
        </is>
      </c>
      <c r="F2221" t="inlineStr">
        <is>
          <t>#KALK!</t>
        </is>
      </c>
      <c r="G2221" t="inlineStr">
        <is>
          <t>HILFSSCHUETZ</t>
        </is>
      </c>
      <c r="H2221" t="inlineStr">
        <is>
          <t>4S Federzugkl.</t>
        </is>
      </c>
      <c r="I2221">
        <v>158</v>
      </c>
      <c r="J2221">
        <f>GS48/15.6</f>
        <v>0</v>
      </c>
      <c r="M2221" t="inlineStr">
        <is>
          <t>-15K4.0</t>
        </is>
      </c>
    </row>
    <row r="2222">
      <c r="A2222">
        <v>2221</v>
      </c>
      <c r="B2222">
        <f>GS49</f>
        <v>0</v>
      </c>
      <c r="C2222" t="inlineStr">
        <is>
          <t>+ES02</t>
        </is>
      </c>
      <c r="D2222" t="inlineStr">
        <is>
          <t>-15K4.0</t>
        </is>
      </c>
      <c r="E2222" t="inlineStr">
        <is>
          <t>DILA-40</t>
        </is>
      </c>
      <c r="F2222" t="inlineStr">
        <is>
          <t>#KALK!</t>
        </is>
      </c>
      <c r="G2222" t="inlineStr">
        <is>
          <t>HILFSSCHUETZ</t>
        </is>
      </c>
      <c r="H2222" t="inlineStr">
        <is>
          <t>4S Federzugkl.</t>
        </is>
      </c>
      <c r="I2222">
        <v>157</v>
      </c>
      <c r="J2222">
        <f>GS49/15.6</f>
        <v>0</v>
      </c>
      <c r="M2222" t="inlineStr">
        <is>
          <t>-15K4.0</t>
        </is>
      </c>
    </row>
    <row r="2223">
      <c r="A2223">
        <v>2222</v>
      </c>
      <c r="B2223">
        <f>GS51</f>
        <v>0</v>
      </c>
      <c r="C2223" t="inlineStr">
        <is>
          <t>+ES02</t>
        </is>
      </c>
      <c r="D2223" t="inlineStr">
        <is>
          <t>-15K4.0</t>
        </is>
      </c>
      <c r="E2223" t="inlineStr">
        <is>
          <t>DILA-40</t>
        </is>
      </c>
      <c r="F2223" t="inlineStr">
        <is>
          <t>#KALK!</t>
        </is>
      </c>
      <c r="G2223" t="inlineStr">
        <is>
          <t>HILFSSCHUETZ</t>
        </is>
      </c>
      <c r="H2223" t="inlineStr">
        <is>
          <t>4S Federzugkl.</t>
        </is>
      </c>
      <c r="I2223">
        <v>188</v>
      </c>
      <c r="J2223">
        <f>GS51/15.6</f>
        <v>0</v>
      </c>
      <c r="M2223" t="inlineStr">
        <is>
          <t>-15K4.0</t>
        </is>
      </c>
    </row>
    <row r="2224">
      <c r="A2224">
        <v>2223</v>
      </c>
      <c r="B2224">
        <f>GS52</f>
        <v>0</v>
      </c>
      <c r="C2224" t="inlineStr">
        <is>
          <t>+ES02</t>
        </is>
      </c>
      <c r="D2224" t="inlineStr">
        <is>
          <t>-15K4.0</t>
        </is>
      </c>
      <c r="E2224" t="inlineStr">
        <is>
          <t>DILA-40</t>
        </is>
      </c>
      <c r="F2224" t="inlineStr">
        <is>
          <t>#KALK!</t>
        </is>
      </c>
      <c r="G2224" t="inlineStr">
        <is>
          <t>HILFSSCHUETZ</t>
        </is>
      </c>
      <c r="H2224" t="inlineStr">
        <is>
          <t>4S Federzugkl.</t>
        </is>
      </c>
      <c r="I2224">
        <v>143</v>
      </c>
      <c r="J2224">
        <f>GS52/15.6</f>
        <v>0</v>
      </c>
      <c r="M2224" t="inlineStr">
        <is>
          <t>-15K4.0</t>
        </is>
      </c>
    </row>
    <row r="2225">
      <c r="A2225">
        <v>2224</v>
      </c>
      <c r="B2225">
        <f>GS53</f>
        <v>0</v>
      </c>
      <c r="C2225" t="inlineStr">
        <is>
          <t>+ES02</t>
        </is>
      </c>
      <c r="D2225" t="inlineStr">
        <is>
          <t>-15K4.0</t>
        </is>
      </c>
      <c r="E2225" t="inlineStr">
        <is>
          <t>DILA-40</t>
        </is>
      </c>
      <c r="F2225" t="inlineStr">
        <is>
          <t>#KALK!</t>
        </is>
      </c>
      <c r="G2225" t="inlineStr">
        <is>
          <t>HILFSSCHUETZ</t>
        </is>
      </c>
      <c r="H2225" t="inlineStr">
        <is>
          <t>4S Federzugkl.</t>
        </is>
      </c>
      <c r="I2225">
        <v>215</v>
      </c>
      <c r="J2225">
        <f>GS53/15.6</f>
        <v>0</v>
      </c>
      <c r="M2225" t="inlineStr">
        <is>
          <t>-15K4.0</t>
        </is>
      </c>
    </row>
    <row r="2226">
      <c r="A2226">
        <v>2225</v>
      </c>
      <c r="B2226">
        <f>GS55</f>
        <v>0</v>
      </c>
      <c r="C2226" t="inlineStr">
        <is>
          <t>+ES02</t>
        </is>
      </c>
      <c r="D2226" t="inlineStr">
        <is>
          <t>-15K4.0</t>
        </is>
      </c>
      <c r="E2226" t="inlineStr">
        <is>
          <t>DILA-40</t>
        </is>
      </c>
      <c r="F2226" t="inlineStr">
        <is>
          <t>#KALK!</t>
        </is>
      </c>
      <c r="G2226" t="inlineStr">
        <is>
          <t>HILFSSCHUETZ</t>
        </is>
      </c>
      <c r="H2226" t="inlineStr">
        <is>
          <t>4S Federzugkl.</t>
        </is>
      </c>
      <c r="I2226">
        <v>238</v>
      </c>
      <c r="J2226">
        <f>GS55/15.6</f>
        <v>0</v>
      </c>
      <c r="M2226" t="inlineStr">
        <is>
          <t>-15K4.0</t>
        </is>
      </c>
    </row>
    <row r="2227">
      <c r="A2227">
        <v>2226</v>
      </c>
      <c r="B2227">
        <f>GS69</f>
        <v>0</v>
      </c>
      <c r="C2227" t="inlineStr">
        <is>
          <t>+ES02</t>
        </is>
      </c>
      <c r="D2227" t="inlineStr">
        <is>
          <t>-15K4.0</t>
        </is>
      </c>
      <c r="E2227" t="inlineStr">
        <is>
          <t>DILA-40</t>
        </is>
      </c>
      <c r="F2227" t="inlineStr">
        <is>
          <t>#KALK!</t>
        </is>
      </c>
      <c r="G2227" t="inlineStr">
        <is>
          <t>HILFSSCHUETZ</t>
        </is>
      </c>
      <c r="H2227" t="inlineStr">
        <is>
          <t>4S Federzugkl.</t>
        </is>
      </c>
      <c r="I2227">
        <v>173</v>
      </c>
      <c r="J2227">
        <f>GS69/15.6</f>
        <v>0</v>
      </c>
      <c r="M2227" t="inlineStr">
        <is>
          <t>-15K4.0</t>
        </is>
      </c>
    </row>
    <row r="2228">
      <c r="A2228">
        <v>2227</v>
      </c>
      <c r="B2228">
        <f>GS90</f>
        <v>0</v>
      </c>
      <c r="C2228" t="inlineStr">
        <is>
          <t>+ES02</t>
        </is>
      </c>
      <c r="D2228" t="inlineStr">
        <is>
          <t>-15K4.0</t>
        </is>
      </c>
      <c r="E2228" t="inlineStr">
        <is>
          <t>DILA-40</t>
        </is>
      </c>
      <c r="F2228" t="inlineStr">
        <is>
          <t>#KALK!</t>
        </is>
      </c>
      <c r="G2228" t="inlineStr">
        <is>
          <t>HILFSSCHUETZ</t>
        </is>
      </c>
      <c r="H2228" t="inlineStr">
        <is>
          <t>4S Federzugkl.</t>
        </is>
      </c>
      <c r="I2228">
        <v>155</v>
      </c>
      <c r="J2228">
        <f>GS90/15.6</f>
        <v>0</v>
      </c>
      <c r="M2228" t="inlineStr">
        <is>
          <t>-15K4.0</t>
        </is>
      </c>
    </row>
    <row r="2229">
      <c r="A2229">
        <v>2228</v>
      </c>
      <c r="B2229">
        <f>GS91</f>
        <v>0</v>
      </c>
      <c r="C2229" t="inlineStr">
        <is>
          <t>+ES02</t>
        </is>
      </c>
      <c r="D2229" t="inlineStr">
        <is>
          <t>-15K4.0</t>
        </is>
      </c>
      <c r="E2229" t="inlineStr">
        <is>
          <t>DILA-40</t>
        </is>
      </c>
      <c r="F2229" t="inlineStr">
        <is>
          <t>#KALK!</t>
        </is>
      </c>
      <c r="G2229" t="inlineStr">
        <is>
          <t>HILFSSCHUETZ</t>
        </is>
      </c>
      <c r="H2229" t="inlineStr">
        <is>
          <t>4S Federzugkl.</t>
        </is>
      </c>
      <c r="I2229">
        <v>156</v>
      </c>
      <c r="J2229">
        <f>GS91/15.6</f>
        <v>0</v>
      </c>
      <c r="M2229" t="inlineStr">
        <is>
          <t>-15K4.0</t>
        </is>
      </c>
    </row>
    <row r="2230">
      <c r="A2230">
        <v>2229</v>
      </c>
      <c r="B2230">
        <f>GS92</f>
        <v>0</v>
      </c>
      <c r="C2230" t="inlineStr">
        <is>
          <t>+ES02</t>
        </is>
      </c>
      <c r="D2230" t="inlineStr">
        <is>
          <t>-15K4.0</t>
        </is>
      </c>
      <c r="E2230" t="inlineStr">
        <is>
          <t>DILA-40</t>
        </is>
      </c>
      <c r="F2230" t="inlineStr">
        <is>
          <t>#KALK!</t>
        </is>
      </c>
      <c r="G2230" t="inlineStr">
        <is>
          <t>HILFSSCHUETZ</t>
        </is>
      </c>
      <c r="H2230" t="inlineStr">
        <is>
          <t>4S Federzugkl.</t>
        </is>
      </c>
      <c r="I2230">
        <v>155</v>
      </c>
      <c r="J2230">
        <f>GS92/15.6</f>
        <v>0</v>
      </c>
      <c r="M2230" t="inlineStr">
        <is>
          <t>-15K4.0</t>
        </is>
      </c>
    </row>
    <row r="2231">
      <c r="A2231">
        <v>2230</v>
      </c>
      <c r="B2231">
        <f>GS93</f>
        <v>0</v>
      </c>
      <c r="C2231" t="inlineStr">
        <is>
          <t>+ES02</t>
        </is>
      </c>
      <c r="D2231" t="inlineStr">
        <is>
          <t>-15K4.0</t>
        </is>
      </c>
      <c r="E2231" t="inlineStr">
        <is>
          <t>DILA-40</t>
        </is>
      </c>
      <c r="F2231" t="inlineStr">
        <is>
          <t>#KALK!</t>
        </is>
      </c>
      <c r="G2231" t="inlineStr">
        <is>
          <t>HILFSSCHUETZ</t>
        </is>
      </c>
      <c r="H2231" t="inlineStr">
        <is>
          <t>4S Federzugkl.</t>
        </is>
      </c>
      <c r="I2231">
        <v>579</v>
      </c>
      <c r="J2231">
        <f>GS93/15.6</f>
        <v>0</v>
      </c>
      <c r="M2231" t="inlineStr">
        <is>
          <t>-15K4.0</t>
        </is>
      </c>
    </row>
    <row r="2232">
      <c r="A2232">
        <v>2231</v>
      </c>
      <c r="B2232">
        <f>GS94</f>
        <v>0</v>
      </c>
      <c r="C2232" t="inlineStr">
        <is>
          <t>+ES02</t>
        </is>
      </c>
      <c r="D2232" t="inlineStr">
        <is>
          <t>-15K4.0</t>
        </is>
      </c>
      <c r="E2232" t="inlineStr">
        <is>
          <t>DILA-40</t>
        </is>
      </c>
      <c r="F2232" t="inlineStr">
        <is>
          <t>#KALK!</t>
        </is>
      </c>
      <c r="G2232" t="inlineStr">
        <is>
          <t>HILFSSCHUETZ</t>
        </is>
      </c>
      <c r="H2232" t="inlineStr">
        <is>
          <t>4S Federzugkl.</t>
        </is>
      </c>
      <c r="I2232">
        <v>163</v>
      </c>
      <c r="J2232">
        <f>GS94/15.6</f>
        <v>0</v>
      </c>
      <c r="M2232" t="inlineStr">
        <is>
          <t>-15K4.0</t>
        </is>
      </c>
    </row>
    <row r="2233">
      <c r="A2233">
        <v>2232</v>
      </c>
      <c r="B2233">
        <f>GS95</f>
        <v>0</v>
      </c>
      <c r="C2233" t="inlineStr">
        <is>
          <t>+ES02</t>
        </is>
      </c>
      <c r="D2233" t="inlineStr">
        <is>
          <t>-15K4.0</t>
        </is>
      </c>
      <c r="E2233" t="inlineStr">
        <is>
          <t>DILA-40</t>
        </is>
      </c>
      <c r="F2233" t="inlineStr">
        <is>
          <t>#KALK!</t>
        </is>
      </c>
      <c r="G2233" t="inlineStr">
        <is>
          <t>HILFSSCHUETZ</t>
        </is>
      </c>
      <c r="H2233" t="inlineStr">
        <is>
          <t>4S Federzugkl.</t>
        </is>
      </c>
      <c r="I2233">
        <v>163</v>
      </c>
      <c r="J2233">
        <f>GS95/15.6</f>
        <v>0</v>
      </c>
      <c r="M2233" t="inlineStr">
        <is>
          <t>-15K4.0</t>
        </is>
      </c>
    </row>
    <row r="2234">
      <c r="A2234">
        <v>2233</v>
      </c>
      <c r="B2234">
        <f>GS96</f>
        <v>0</v>
      </c>
      <c r="C2234" t="inlineStr">
        <is>
          <t>+ES02</t>
        </is>
      </c>
      <c r="D2234" t="inlineStr">
        <is>
          <t>-15K4.0</t>
        </is>
      </c>
      <c r="E2234" t="inlineStr">
        <is>
          <t>DILA-40</t>
        </is>
      </c>
      <c r="F2234" t="inlineStr">
        <is>
          <t>#KALK!</t>
        </is>
      </c>
      <c r="G2234" t="inlineStr">
        <is>
          <t>HILFSSCHUETZ</t>
        </is>
      </c>
      <c r="H2234" t="inlineStr">
        <is>
          <t>4S Federzugkl.</t>
        </is>
      </c>
      <c r="I2234">
        <v>163</v>
      </c>
      <c r="J2234">
        <f>GS96/15.6</f>
        <v>0</v>
      </c>
      <c r="M2234" t="inlineStr">
        <is>
          <t>-15K4.0</t>
        </is>
      </c>
    </row>
    <row r="2235">
      <c r="A2235">
        <v>2234</v>
      </c>
      <c r="B2235">
        <f>GS97</f>
        <v>0</v>
      </c>
      <c r="C2235" t="inlineStr">
        <is>
          <t>+ES02</t>
        </is>
      </c>
      <c r="D2235" t="inlineStr">
        <is>
          <t>-15K4.0</t>
        </is>
      </c>
      <c r="E2235" t="inlineStr">
        <is>
          <t>DILA-40</t>
        </is>
      </c>
      <c r="F2235" t="inlineStr">
        <is>
          <t>#KALK!</t>
        </is>
      </c>
      <c r="G2235" t="inlineStr">
        <is>
          <t>HILFSSCHUETZ</t>
        </is>
      </c>
      <c r="H2235" t="inlineStr">
        <is>
          <t>4S Federzugkl.</t>
        </is>
      </c>
      <c r="I2235">
        <v>163</v>
      </c>
      <c r="J2235">
        <f>GS97/15.6</f>
        <v>0</v>
      </c>
      <c r="M2235" t="inlineStr">
        <is>
          <t>-15K4.0</t>
        </is>
      </c>
    </row>
    <row r="2236">
      <c r="A2236">
        <v>2235</v>
      </c>
      <c r="B2236">
        <f>GC03</f>
        <v>0</v>
      </c>
      <c r="C2236" t="inlineStr">
        <is>
          <t>+ES1</t>
        </is>
      </c>
      <c r="D2236" t="inlineStr">
        <is>
          <t>-15K4.0.1</t>
        </is>
      </c>
      <c r="E2236" t="inlineStr">
        <is>
          <t>DIL_ER-40-G</t>
        </is>
      </c>
      <c r="F2236" t="inlineStr">
        <is>
          <t>40_DIL-E</t>
        </is>
      </c>
      <c r="G2236" t="inlineStr">
        <is>
          <t>HILFSSCHUETZ</t>
        </is>
      </c>
      <c r="H2236" t="inlineStr">
        <is>
          <t>4S</t>
        </is>
      </c>
      <c r="I2236">
        <v>263</v>
      </c>
      <c r="J2236">
        <f>GC03/15.6</f>
        <v>0</v>
      </c>
      <c r="M2236" t="inlineStr">
        <is>
          <t>-15K4.0.1</t>
        </is>
      </c>
    </row>
    <row r="2237">
      <c r="A2237">
        <v>2236</v>
      </c>
      <c r="B2237">
        <f>GC03</f>
        <v>0</v>
      </c>
      <c r="C2237" t="inlineStr">
        <is>
          <t>+ES1</t>
        </is>
      </c>
      <c r="D2237" t="inlineStr">
        <is>
          <t>-15K4.0.1</t>
        </is>
      </c>
      <c r="E2237" t="inlineStr">
        <is>
          <t>40_DIL-E</t>
        </is>
      </c>
      <c r="F2237" t="inlineStr">
        <is>
          <t>40_DIL-E</t>
        </is>
      </c>
      <c r="G2237" t="inlineStr">
        <is>
          <t>HILFSKONTAKTBLOCK</t>
        </is>
      </c>
      <c r="H2237" t="inlineStr">
        <is>
          <t>4S Last+Hilfsschuetz</t>
        </is>
      </c>
      <c r="I2237">
        <v>263</v>
      </c>
      <c r="J2237">
        <f>GC03/15.6</f>
        <v>0</v>
      </c>
      <c r="M2237" t="inlineStr">
        <is>
          <t>-15K4.0.1</t>
        </is>
      </c>
    </row>
    <row r="2238">
      <c r="A2238">
        <v>2237</v>
      </c>
      <c r="B2238">
        <f>GS02</f>
        <v>0</v>
      </c>
      <c r="C2238" t="inlineStr">
        <is>
          <t>+ES1</t>
        </is>
      </c>
      <c r="D2238" t="inlineStr">
        <is>
          <t>-15K4.0.1</t>
        </is>
      </c>
      <c r="E2238" t="inlineStr">
        <is>
          <t>DIL_ER-40-G</t>
        </is>
      </c>
      <c r="F2238" t="inlineStr">
        <is>
          <t>40_DIL-E</t>
        </is>
      </c>
      <c r="G2238" t="inlineStr">
        <is>
          <t>HILFSSCHUETZ</t>
        </is>
      </c>
      <c r="H2238" t="inlineStr">
        <is>
          <t>4S</t>
        </is>
      </c>
      <c r="I2238">
        <v>406</v>
      </c>
      <c r="J2238">
        <f>GS02/15.6</f>
        <v>0</v>
      </c>
      <c r="M2238" t="inlineStr">
        <is>
          <t>-15K4.0.1</t>
        </is>
      </c>
    </row>
    <row r="2239">
      <c r="A2239">
        <v>2238</v>
      </c>
      <c r="B2239">
        <f>GS02</f>
        <v>0</v>
      </c>
      <c r="C2239" t="inlineStr">
        <is>
          <t>+ES1</t>
        </is>
      </c>
      <c r="D2239" t="inlineStr">
        <is>
          <t>-15K4.0.1</t>
        </is>
      </c>
      <c r="E2239" t="inlineStr">
        <is>
          <t>40_DIL-E</t>
        </is>
      </c>
      <c r="F2239" t="inlineStr">
        <is>
          <t>40_DIL-E</t>
        </is>
      </c>
      <c r="G2239" t="inlineStr">
        <is>
          <t>HILFSKONTAKTBLOCK</t>
        </is>
      </c>
      <c r="H2239" t="inlineStr">
        <is>
          <t>4S Last+Hilfsschuetz</t>
        </is>
      </c>
      <c r="I2239">
        <v>406</v>
      </c>
      <c r="J2239">
        <f>GS02/15.6</f>
        <v>0</v>
      </c>
      <c r="M2239" t="inlineStr">
        <is>
          <t>-15K4.0.1</t>
        </is>
      </c>
    </row>
    <row r="2240">
      <c r="A2240">
        <v>2239</v>
      </c>
      <c r="B2240">
        <f>GS04</f>
        <v>0</v>
      </c>
      <c r="C2240" t="inlineStr">
        <is>
          <t>+ES1</t>
        </is>
      </c>
      <c r="D2240" t="inlineStr">
        <is>
          <t>-15K4.0.1</t>
        </is>
      </c>
      <c r="E2240" t="inlineStr">
        <is>
          <t>DIL_ER-40-G</t>
        </is>
      </c>
      <c r="F2240" t="inlineStr">
        <is>
          <t>40_DIL-E</t>
        </is>
      </c>
      <c r="G2240" t="inlineStr">
        <is>
          <t>HILFSSCHUETZ</t>
        </is>
      </c>
      <c r="H2240" t="inlineStr">
        <is>
          <t>4S</t>
        </is>
      </c>
      <c r="I2240">
        <v>259</v>
      </c>
      <c r="J2240">
        <f>GS04/15.6</f>
        <v>0</v>
      </c>
      <c r="M2240" t="inlineStr">
        <is>
          <t>-15K4.0.1</t>
        </is>
      </c>
    </row>
    <row r="2241">
      <c r="A2241">
        <v>2240</v>
      </c>
      <c r="B2241">
        <f>GS04</f>
        <v>0</v>
      </c>
      <c r="C2241" t="inlineStr">
        <is>
          <t>+ES1</t>
        </is>
      </c>
      <c r="D2241" t="inlineStr">
        <is>
          <t>-15K4.0.1</t>
        </is>
      </c>
      <c r="E2241" t="inlineStr">
        <is>
          <t>40_DIL-E</t>
        </is>
      </c>
      <c r="F2241" t="inlineStr">
        <is>
          <t>40_DIL-E</t>
        </is>
      </c>
      <c r="G2241" t="inlineStr">
        <is>
          <t>HILFSKONTAKTBLOCK</t>
        </is>
      </c>
      <c r="H2241" t="inlineStr">
        <is>
          <t>4S Last+Hilfsschuetz</t>
        </is>
      </c>
      <c r="I2241">
        <v>259</v>
      </c>
      <c r="J2241">
        <f>GS04/15.6</f>
        <v>0</v>
      </c>
      <c r="M2241" t="inlineStr">
        <is>
          <t>-15K4.0.1</t>
        </is>
      </c>
    </row>
    <row r="2242">
      <c r="A2242">
        <v>2241</v>
      </c>
      <c r="B2242">
        <f>GS13</f>
        <v>0</v>
      </c>
      <c r="C2242" t="inlineStr">
        <is>
          <t>+ES1</t>
        </is>
      </c>
      <c r="D2242" t="inlineStr">
        <is>
          <t>-15K4.0.1</t>
        </is>
      </c>
      <c r="E2242" t="inlineStr">
        <is>
          <t>40_DIL-E</t>
        </is>
      </c>
      <c r="F2242" t="inlineStr">
        <is>
          <t>40_DIL-E</t>
        </is>
      </c>
      <c r="G2242" t="inlineStr">
        <is>
          <t>HILFSKONTAKTBLOCK</t>
        </is>
      </c>
      <c r="H2242" t="inlineStr">
        <is>
          <t>4S Last+Hilfsschuetz</t>
        </is>
      </c>
      <c r="I2242">
        <v>243</v>
      </c>
      <c r="J2242">
        <f>GS13/15.6</f>
        <v>0</v>
      </c>
      <c r="M2242" t="inlineStr">
        <is>
          <t>-15K4.0.1</t>
        </is>
      </c>
    </row>
    <row r="2243">
      <c r="A2243">
        <v>2242</v>
      </c>
      <c r="B2243">
        <f>GS13</f>
        <v>0</v>
      </c>
      <c r="C2243" t="inlineStr">
        <is>
          <t>+ES1</t>
        </is>
      </c>
      <c r="D2243" t="inlineStr">
        <is>
          <t>-15K4.0.1</t>
        </is>
      </c>
      <c r="E2243" t="inlineStr">
        <is>
          <t>DIL_ER-40-G</t>
        </is>
      </c>
      <c r="F2243" t="inlineStr">
        <is>
          <t>40_DIL-E</t>
        </is>
      </c>
      <c r="G2243" t="inlineStr">
        <is>
          <t>HILFSSCHUETZ</t>
        </is>
      </c>
      <c r="H2243" t="inlineStr">
        <is>
          <t>4S</t>
        </is>
      </c>
      <c r="I2243">
        <v>243</v>
      </c>
      <c r="J2243">
        <f>GS13/15.6</f>
        <v>0</v>
      </c>
      <c r="M2243" t="inlineStr">
        <is>
          <t>-15K4.0.1</t>
        </is>
      </c>
    </row>
    <row r="2244">
      <c r="A2244">
        <v>2243</v>
      </c>
      <c r="B2244">
        <f>GS14</f>
        <v>0</v>
      </c>
      <c r="C2244" t="inlineStr">
        <is>
          <t>+ES1</t>
        </is>
      </c>
      <c r="D2244" t="inlineStr">
        <is>
          <t>-15K4.0.1</t>
        </is>
      </c>
      <c r="E2244" t="inlineStr">
        <is>
          <t>40_DIL-E</t>
        </is>
      </c>
      <c r="F2244" t="inlineStr">
        <is>
          <t>40_DIL-E</t>
        </is>
      </c>
      <c r="G2244" t="inlineStr">
        <is>
          <t>HILFSKONTAKTBLOCK</t>
        </is>
      </c>
      <c r="H2244" t="inlineStr">
        <is>
          <t>4S Last+Hilfsschuetz</t>
        </is>
      </c>
      <c r="I2244">
        <v>118</v>
      </c>
      <c r="J2244">
        <f>GS14/15.6</f>
        <v>0</v>
      </c>
      <c r="M2244" t="inlineStr">
        <is>
          <t>-15K4.0.1</t>
        </is>
      </c>
    </row>
    <row r="2245">
      <c r="A2245">
        <v>2244</v>
      </c>
      <c r="B2245">
        <f>GS14</f>
        <v>0</v>
      </c>
      <c r="C2245" t="inlineStr">
        <is>
          <t>+ES1</t>
        </is>
      </c>
      <c r="D2245" t="inlineStr">
        <is>
          <t>-15K4.0.1</t>
        </is>
      </c>
      <c r="E2245" t="inlineStr">
        <is>
          <t>DIL_ER-40-G</t>
        </is>
      </c>
      <c r="F2245" t="inlineStr">
        <is>
          <t>40_DIL-E</t>
        </is>
      </c>
      <c r="G2245" t="inlineStr">
        <is>
          <t>HILFSSCHUETZ</t>
        </is>
      </c>
      <c r="H2245" t="inlineStr">
        <is>
          <t>4S</t>
        </is>
      </c>
      <c r="I2245">
        <v>118</v>
      </c>
      <c r="J2245">
        <f>GS14/15.6</f>
        <v>0</v>
      </c>
      <c r="M2245" t="inlineStr">
        <is>
          <t>-15K4.0.1</t>
        </is>
      </c>
    </row>
    <row r="2246">
      <c r="A2246">
        <v>2245</v>
      </c>
      <c r="B2246">
        <f>GS15</f>
        <v>0</v>
      </c>
      <c r="C2246" t="inlineStr">
        <is>
          <t>+ES1</t>
        </is>
      </c>
      <c r="D2246" t="inlineStr">
        <is>
          <t>-15K4.0.1</t>
        </is>
      </c>
      <c r="E2246" t="inlineStr">
        <is>
          <t>40_DIL-E</t>
        </is>
      </c>
      <c r="F2246" t="inlineStr">
        <is>
          <t>40_DIL-E</t>
        </is>
      </c>
      <c r="G2246" t="inlineStr">
        <is>
          <t>HILFSKONTAKTBLOCK</t>
        </is>
      </c>
      <c r="H2246" t="inlineStr">
        <is>
          <t>4S Last+Hilfsschuetz</t>
        </is>
      </c>
      <c r="I2246">
        <v>499</v>
      </c>
      <c r="J2246">
        <f>GS15/15.6</f>
        <v>0</v>
      </c>
      <c r="M2246" t="inlineStr">
        <is>
          <t>-15K4.0.1</t>
        </is>
      </c>
    </row>
    <row r="2247">
      <c r="A2247">
        <v>2246</v>
      </c>
      <c r="B2247">
        <f>GS15</f>
        <v>0</v>
      </c>
      <c r="C2247" t="inlineStr">
        <is>
          <t>+ES1</t>
        </is>
      </c>
      <c r="D2247" t="inlineStr">
        <is>
          <t>-15K4.0.1</t>
        </is>
      </c>
      <c r="E2247" t="inlineStr">
        <is>
          <t>DIL_ER-40-G</t>
        </is>
      </c>
      <c r="F2247" t="inlineStr">
        <is>
          <t>40_DIL-E</t>
        </is>
      </c>
      <c r="G2247" t="inlineStr">
        <is>
          <t>HILFSSCHUETZ</t>
        </is>
      </c>
      <c r="H2247" t="inlineStr">
        <is>
          <t>4S</t>
        </is>
      </c>
      <c r="I2247">
        <v>499</v>
      </c>
      <c r="J2247">
        <f>GS15/15.6</f>
        <v>0</v>
      </c>
      <c r="M2247" t="inlineStr">
        <is>
          <t>-15K4.0.1</t>
        </is>
      </c>
    </row>
    <row r="2248">
      <c r="A2248">
        <v>2247</v>
      </c>
      <c r="B2248">
        <f>GS16</f>
        <v>0</v>
      </c>
      <c r="C2248" t="inlineStr">
        <is>
          <t>+ES1</t>
        </is>
      </c>
      <c r="D2248" t="inlineStr">
        <is>
          <t>-15K4.0.1</t>
        </is>
      </c>
      <c r="E2248" t="inlineStr">
        <is>
          <t>DIL_ER-40-G</t>
        </is>
      </c>
      <c r="F2248" t="inlineStr">
        <is>
          <t>40_DIL-E</t>
        </is>
      </c>
      <c r="G2248" t="inlineStr">
        <is>
          <t>HILFSSCHUETZ</t>
        </is>
      </c>
      <c r="H2248" t="inlineStr">
        <is>
          <t>4S</t>
        </is>
      </c>
      <c r="I2248">
        <v>229</v>
      </c>
      <c r="J2248">
        <f>GS16/15.6</f>
        <v>0</v>
      </c>
      <c r="M2248" t="inlineStr">
        <is>
          <t>-15K4.0.1</t>
        </is>
      </c>
    </row>
    <row r="2249">
      <c r="A2249">
        <v>2248</v>
      </c>
      <c r="B2249">
        <f>GS16</f>
        <v>0</v>
      </c>
      <c r="C2249" t="inlineStr">
        <is>
          <t>+ES1</t>
        </is>
      </c>
      <c r="D2249" t="inlineStr">
        <is>
          <t>-15K4.0.1</t>
        </is>
      </c>
      <c r="E2249" t="inlineStr">
        <is>
          <t>40_DIL-E</t>
        </is>
      </c>
      <c r="F2249" t="inlineStr">
        <is>
          <t>40_DIL-E</t>
        </is>
      </c>
      <c r="G2249" t="inlineStr">
        <is>
          <t>HILFSKONTAKTBLOCK</t>
        </is>
      </c>
      <c r="H2249" t="inlineStr">
        <is>
          <t>4S Last+Hilfsschuetz</t>
        </is>
      </c>
      <c r="I2249">
        <v>229</v>
      </c>
      <c r="J2249">
        <f>GS16/15.6</f>
        <v>0</v>
      </c>
      <c r="M2249" t="inlineStr">
        <is>
          <t>-15K4.0.1</t>
        </is>
      </c>
    </row>
    <row r="2250">
      <c r="A2250">
        <v>2249</v>
      </c>
      <c r="B2250">
        <f>GS21</f>
        <v>0</v>
      </c>
      <c r="C2250" t="inlineStr">
        <is>
          <t>+ES1</t>
        </is>
      </c>
      <c r="D2250" t="inlineStr">
        <is>
          <t>-15K4.0.1</t>
        </is>
      </c>
      <c r="E2250" t="inlineStr">
        <is>
          <t>DIL_ER-40-G</t>
        </is>
      </c>
      <c r="F2250" t="inlineStr">
        <is>
          <t>40_DIL-E</t>
        </is>
      </c>
      <c r="G2250" t="inlineStr">
        <is>
          <t>HILFSSCHUETZ</t>
        </is>
      </c>
      <c r="H2250" t="inlineStr">
        <is>
          <t>4S</t>
        </is>
      </c>
      <c r="I2250">
        <v>117</v>
      </c>
      <c r="J2250">
        <f>GS21/15.6</f>
        <v>0</v>
      </c>
      <c r="M2250" t="inlineStr">
        <is>
          <t>-15K4.0.1</t>
        </is>
      </c>
    </row>
    <row r="2251">
      <c r="A2251">
        <v>2250</v>
      </c>
      <c r="B2251">
        <f>GS21</f>
        <v>0</v>
      </c>
      <c r="C2251" t="inlineStr">
        <is>
          <t>+ES1</t>
        </is>
      </c>
      <c r="D2251" t="inlineStr">
        <is>
          <t>-15K4.0.1</t>
        </is>
      </c>
      <c r="E2251" t="inlineStr">
        <is>
          <t>40_DIL-E</t>
        </is>
      </c>
      <c r="F2251" t="inlineStr">
        <is>
          <t>40_DIL-E</t>
        </is>
      </c>
      <c r="G2251" t="inlineStr">
        <is>
          <t>HILFSKONTAKTBLOCK</t>
        </is>
      </c>
      <c r="H2251" t="inlineStr">
        <is>
          <t>4S Last+Hilfsschuetz</t>
        </is>
      </c>
      <c r="I2251">
        <v>117</v>
      </c>
      <c r="J2251">
        <f>GS21/15.6</f>
        <v>0</v>
      </c>
      <c r="M2251" t="inlineStr">
        <is>
          <t>-15K4.0.1</t>
        </is>
      </c>
    </row>
    <row r="2252">
      <c r="A2252">
        <v>2251</v>
      </c>
      <c r="B2252">
        <f>GS23</f>
        <v>0</v>
      </c>
      <c r="C2252" t="inlineStr">
        <is>
          <t>+ES1</t>
        </is>
      </c>
      <c r="D2252" t="inlineStr">
        <is>
          <t>-15K4.0.1</t>
        </is>
      </c>
      <c r="E2252" t="inlineStr">
        <is>
          <t>DIL_ER-40-G</t>
        </is>
      </c>
      <c r="F2252" t="inlineStr">
        <is>
          <t>40_DIL-E</t>
        </is>
      </c>
      <c r="G2252" t="inlineStr">
        <is>
          <t>HILFSSCHUETZ</t>
        </is>
      </c>
      <c r="H2252" t="inlineStr">
        <is>
          <t>4S</t>
        </is>
      </c>
      <c r="I2252">
        <v>306</v>
      </c>
      <c r="J2252">
        <f>GS23/15.6</f>
        <v>0</v>
      </c>
      <c r="M2252" t="inlineStr">
        <is>
          <t>-15K4.0.1</t>
        </is>
      </c>
    </row>
    <row r="2253">
      <c r="A2253">
        <v>2252</v>
      </c>
      <c r="B2253">
        <f>GS23</f>
        <v>0</v>
      </c>
      <c r="C2253" t="inlineStr">
        <is>
          <t>+ES1</t>
        </is>
      </c>
      <c r="D2253" t="inlineStr">
        <is>
          <t>-15K4.0.1</t>
        </is>
      </c>
      <c r="E2253" t="inlineStr">
        <is>
          <t>40_DIL-E</t>
        </is>
      </c>
      <c r="F2253" t="inlineStr">
        <is>
          <t>40_DIL-E</t>
        </is>
      </c>
      <c r="G2253" t="inlineStr">
        <is>
          <t>HILFSKONTAKTBLOCK</t>
        </is>
      </c>
      <c r="H2253" t="inlineStr">
        <is>
          <t>4S Last+Hilfsschuetz</t>
        </is>
      </c>
      <c r="I2253">
        <v>306</v>
      </c>
      <c r="J2253">
        <f>GS23/15.6</f>
        <v>0</v>
      </c>
      <c r="M2253" t="inlineStr">
        <is>
          <t>-15K4.0.1</t>
        </is>
      </c>
    </row>
    <row r="2254">
      <c r="A2254">
        <v>2253</v>
      </c>
      <c r="B2254">
        <f>GS24</f>
        <v>0</v>
      </c>
      <c r="C2254" t="inlineStr">
        <is>
          <t>+ES1</t>
        </is>
      </c>
      <c r="D2254" t="inlineStr">
        <is>
          <t>-15K4.0.1</t>
        </is>
      </c>
      <c r="E2254" t="inlineStr">
        <is>
          <t>DIL_ER-40-G</t>
        </is>
      </c>
      <c r="F2254" t="inlineStr">
        <is>
          <t>40_DIL-E</t>
        </is>
      </c>
      <c r="G2254" t="inlineStr">
        <is>
          <t>HILFSSCHUETZ</t>
        </is>
      </c>
      <c r="H2254" t="inlineStr">
        <is>
          <t>4S</t>
        </is>
      </c>
      <c r="I2254">
        <v>1065</v>
      </c>
      <c r="J2254">
        <f>GS24/15.6</f>
        <v>0</v>
      </c>
      <c r="M2254" t="inlineStr">
        <is>
          <t>-15K4.0.1</t>
        </is>
      </c>
    </row>
    <row r="2255">
      <c r="A2255">
        <v>2254</v>
      </c>
      <c r="B2255">
        <f>GS24</f>
        <v>0</v>
      </c>
      <c r="C2255" t="inlineStr">
        <is>
          <t>+ES1</t>
        </is>
      </c>
      <c r="D2255" t="inlineStr">
        <is>
          <t>-15K4.0.1</t>
        </is>
      </c>
      <c r="E2255" t="inlineStr">
        <is>
          <t>40_DIL-E</t>
        </is>
      </c>
      <c r="F2255" t="inlineStr">
        <is>
          <t>40_DIL-E</t>
        </is>
      </c>
      <c r="G2255" t="inlineStr">
        <is>
          <t>HILFSKONTAKTBLOCK</t>
        </is>
      </c>
      <c r="H2255" t="inlineStr">
        <is>
          <t>4S Last+Hilfsschuetz</t>
        </is>
      </c>
      <c r="I2255">
        <v>1065</v>
      </c>
      <c r="J2255">
        <f>GS24/15.6</f>
        <v>0</v>
      </c>
      <c r="M2255" t="inlineStr">
        <is>
          <t>-15K4.0.1</t>
        </is>
      </c>
    </row>
    <row r="2256">
      <c r="A2256">
        <v>2255</v>
      </c>
      <c r="B2256">
        <f>GS25</f>
        <v>0</v>
      </c>
      <c r="C2256" t="inlineStr">
        <is>
          <t>+ES1</t>
        </is>
      </c>
      <c r="D2256" t="inlineStr">
        <is>
          <t>-15K4.0.1</t>
        </is>
      </c>
      <c r="E2256" t="inlineStr">
        <is>
          <t>DIL_ER-40-G</t>
        </is>
      </c>
      <c r="F2256" t="inlineStr">
        <is>
          <t>40_DIL-E</t>
        </is>
      </c>
      <c r="G2256" t="inlineStr">
        <is>
          <t>HILFSSCHUETZ</t>
        </is>
      </c>
      <c r="H2256" t="inlineStr">
        <is>
          <t>4S</t>
        </is>
      </c>
      <c r="I2256">
        <v>121</v>
      </c>
      <c r="J2256">
        <f>GS25/15.6</f>
        <v>0</v>
      </c>
      <c r="M2256" t="inlineStr">
        <is>
          <t>-15K4.0.1</t>
        </is>
      </c>
    </row>
    <row r="2257">
      <c r="A2257">
        <v>2256</v>
      </c>
      <c r="B2257">
        <f>GS25</f>
        <v>0</v>
      </c>
      <c r="C2257" t="inlineStr">
        <is>
          <t>+ES1</t>
        </is>
      </c>
      <c r="D2257" t="inlineStr">
        <is>
          <t>-15K4.0.1</t>
        </is>
      </c>
      <c r="E2257" t="inlineStr">
        <is>
          <t>40_DIL-E</t>
        </is>
      </c>
      <c r="F2257" t="inlineStr">
        <is>
          <t>40_DIL-E</t>
        </is>
      </c>
      <c r="G2257" t="inlineStr">
        <is>
          <t>HILFSKONTAKTBLOCK</t>
        </is>
      </c>
      <c r="H2257" t="inlineStr">
        <is>
          <t>4S Last+Hilfsschuetz</t>
        </is>
      </c>
      <c r="I2257">
        <v>121</v>
      </c>
      <c r="J2257">
        <f>GS25/15.6</f>
        <v>0</v>
      </c>
      <c r="M2257" t="inlineStr">
        <is>
          <t>-15K4.0.1</t>
        </is>
      </c>
    </row>
    <row r="2258">
      <c r="A2258">
        <v>2257</v>
      </c>
      <c r="B2258">
        <f>GS26</f>
        <v>0</v>
      </c>
      <c r="C2258" t="inlineStr">
        <is>
          <t>+ES2</t>
        </is>
      </c>
      <c r="D2258" t="inlineStr">
        <is>
          <t>-15K4.0.1</t>
        </is>
      </c>
      <c r="E2258" t="inlineStr">
        <is>
          <t>DILM-9-10</t>
        </is>
      </c>
      <c r="F2258" t="inlineStr">
        <is>
          <t>DILA-XHI22</t>
        </is>
      </c>
      <c r="G2258" t="inlineStr">
        <is>
          <t>LASTSCHUETZ</t>
        </is>
      </c>
      <c r="H2258" t="inlineStr">
        <is>
          <t>4kW 1S Federzugkl.</t>
        </is>
      </c>
      <c r="I2258">
        <v>154</v>
      </c>
      <c r="J2258">
        <f>GS26/15.6</f>
        <v>0</v>
      </c>
      <c r="M2258" t="inlineStr">
        <is>
          <t>-15K4.0.1</t>
        </is>
      </c>
    </row>
    <row r="2259">
      <c r="A2259">
        <v>2258</v>
      </c>
      <c r="B2259">
        <f>GS26</f>
        <v>0</v>
      </c>
      <c r="C2259" t="inlineStr">
        <is>
          <t>+ES2</t>
        </is>
      </c>
      <c r="D2259" t="inlineStr">
        <is>
          <t>-15K4.0.1</t>
        </is>
      </c>
      <c r="E2259" t="inlineStr">
        <is>
          <t>DILA-XHI22</t>
        </is>
      </c>
      <c r="F2259" t="inlineStr">
        <is>
          <t>DILA-XHI22</t>
        </is>
      </c>
      <c r="G2259" t="inlineStr">
        <is>
          <t>HILFSKONTAKTBLOCK</t>
        </is>
      </c>
      <c r="H2259" t="inlineStr">
        <is>
          <t>2S 2OE Last+Hilfssch. Cage</t>
        </is>
      </c>
      <c r="I2259">
        <v>154</v>
      </c>
      <c r="J2259">
        <f>GS26/15.6</f>
        <v>0</v>
      </c>
      <c r="M2259" t="inlineStr">
        <is>
          <t>-15K4.0.1</t>
        </is>
      </c>
    </row>
    <row r="2260">
      <c r="A2260">
        <v>2259</v>
      </c>
      <c r="B2260">
        <f>GS31</f>
        <v>0</v>
      </c>
      <c r="C2260" t="inlineStr">
        <is>
          <t>+ES1</t>
        </is>
      </c>
      <c r="D2260" t="inlineStr">
        <is>
          <t>-15K4.0.1</t>
        </is>
      </c>
      <c r="E2260" t="inlineStr">
        <is>
          <t>40_DIL-E</t>
        </is>
      </c>
      <c r="F2260" t="inlineStr">
        <is>
          <t>40_DIL-E</t>
        </is>
      </c>
      <c r="G2260" t="inlineStr">
        <is>
          <t>HILFSKONTAKTBLOCK</t>
        </is>
      </c>
      <c r="H2260" t="inlineStr">
        <is>
          <t>4S Last+Hilfsschuetz</t>
        </is>
      </c>
      <c r="I2260">
        <v>297</v>
      </c>
      <c r="J2260">
        <f>GS31/15.6</f>
        <v>0</v>
      </c>
      <c r="M2260" t="inlineStr">
        <is>
          <t>-15K4.0.1</t>
        </is>
      </c>
    </row>
    <row r="2261">
      <c r="A2261">
        <v>2260</v>
      </c>
      <c r="B2261">
        <f>GS31</f>
        <v>0</v>
      </c>
      <c r="C2261" t="inlineStr">
        <is>
          <t>+ES1</t>
        </is>
      </c>
      <c r="D2261" t="inlineStr">
        <is>
          <t>-15K4.0.1</t>
        </is>
      </c>
      <c r="E2261" t="inlineStr">
        <is>
          <t>DIL_ER-40-G</t>
        </is>
      </c>
      <c r="F2261" t="inlineStr">
        <is>
          <t>40_DIL-E</t>
        </is>
      </c>
      <c r="G2261" t="inlineStr">
        <is>
          <t>HILFSSCHUETZ</t>
        </is>
      </c>
      <c r="H2261" t="inlineStr">
        <is>
          <t>4S</t>
        </is>
      </c>
      <c r="I2261">
        <v>297</v>
      </c>
      <c r="J2261">
        <f>GS31/15.6</f>
        <v>0</v>
      </c>
      <c r="M2261" t="inlineStr">
        <is>
          <t>-15K4.0.1</t>
        </is>
      </c>
    </row>
    <row r="2262">
      <c r="A2262">
        <v>2261</v>
      </c>
      <c r="B2262">
        <f>GS32</f>
        <v>0</v>
      </c>
      <c r="C2262" t="inlineStr">
        <is>
          <t>+ES1</t>
        </is>
      </c>
      <c r="D2262" t="inlineStr">
        <is>
          <t>-15K4.0.1</t>
        </is>
      </c>
      <c r="E2262" t="inlineStr">
        <is>
          <t>40_DIL-E</t>
        </is>
      </c>
      <c r="F2262" t="inlineStr">
        <is>
          <t>40_DIL-E</t>
        </is>
      </c>
      <c r="G2262" t="inlineStr">
        <is>
          <t>HILFSKONTAKTBLOCK</t>
        </is>
      </c>
      <c r="H2262" t="inlineStr">
        <is>
          <t>4S Last+Hilfsschuetz</t>
        </is>
      </c>
      <c r="I2262">
        <v>1449</v>
      </c>
      <c r="J2262">
        <f>GS32/15.6</f>
        <v>0</v>
      </c>
      <c r="M2262" t="inlineStr">
        <is>
          <t>-15K4.0.1</t>
        </is>
      </c>
    </row>
    <row r="2263">
      <c r="A2263">
        <v>2262</v>
      </c>
      <c r="B2263">
        <f>GS32</f>
        <v>0</v>
      </c>
      <c r="C2263" t="inlineStr">
        <is>
          <t>+ES1</t>
        </is>
      </c>
      <c r="D2263" t="inlineStr">
        <is>
          <t>-15K4.0.1</t>
        </is>
      </c>
      <c r="E2263" t="inlineStr">
        <is>
          <t>DIL_ER-40-G</t>
        </is>
      </c>
      <c r="F2263" t="inlineStr">
        <is>
          <t>40_DIL-E</t>
        </is>
      </c>
      <c r="G2263" t="inlineStr">
        <is>
          <t>HILFSSCHUETZ</t>
        </is>
      </c>
      <c r="H2263" t="inlineStr">
        <is>
          <t>4S</t>
        </is>
      </c>
      <c r="I2263">
        <v>1449</v>
      </c>
      <c r="J2263">
        <f>GS32/15.6</f>
        <v>0</v>
      </c>
      <c r="M2263" t="inlineStr">
        <is>
          <t>-15K4.0.1</t>
        </is>
      </c>
    </row>
    <row r="2264">
      <c r="A2264">
        <v>2263</v>
      </c>
      <c r="B2264">
        <f>GS33</f>
        <v>0</v>
      </c>
      <c r="C2264" t="inlineStr">
        <is>
          <t>+ES1</t>
        </is>
      </c>
      <c r="D2264" t="inlineStr">
        <is>
          <t>-15K4.0.1</t>
        </is>
      </c>
      <c r="E2264" t="inlineStr">
        <is>
          <t>DIL_ER-40-G</t>
        </is>
      </c>
      <c r="F2264" t="inlineStr">
        <is>
          <t>40_DIL-E</t>
        </is>
      </c>
      <c r="G2264" t="inlineStr">
        <is>
          <t>HILFSSCHUETZ</t>
        </is>
      </c>
      <c r="H2264" t="inlineStr">
        <is>
          <t>4S</t>
        </is>
      </c>
      <c r="I2264">
        <v>451</v>
      </c>
      <c r="J2264">
        <f>GS33/15.6</f>
        <v>0</v>
      </c>
      <c r="M2264" t="inlineStr">
        <is>
          <t>-15K4.0.1</t>
        </is>
      </c>
    </row>
    <row r="2265">
      <c r="A2265">
        <v>2264</v>
      </c>
      <c r="B2265">
        <f>GS33</f>
        <v>0</v>
      </c>
      <c r="C2265" t="inlineStr">
        <is>
          <t>+ES1</t>
        </is>
      </c>
      <c r="D2265" t="inlineStr">
        <is>
          <t>-15K4.0.1</t>
        </is>
      </c>
      <c r="E2265" t="inlineStr">
        <is>
          <t>40_DIL-E</t>
        </is>
      </c>
      <c r="F2265" t="inlineStr">
        <is>
          <t>40_DIL-E</t>
        </is>
      </c>
      <c r="G2265" t="inlineStr">
        <is>
          <t>HILFSKONTAKTBLOCK</t>
        </is>
      </c>
      <c r="H2265" t="inlineStr">
        <is>
          <t>4S Last+Hilfsschuetz</t>
        </is>
      </c>
      <c r="I2265">
        <v>451</v>
      </c>
      <c r="J2265">
        <f>GS33/15.6</f>
        <v>0</v>
      </c>
      <c r="M2265" t="inlineStr">
        <is>
          <t>-15K4.0.1</t>
        </is>
      </c>
    </row>
    <row r="2266">
      <c r="A2266">
        <v>2265</v>
      </c>
      <c r="B2266">
        <f>GS34</f>
        <v>0</v>
      </c>
      <c r="C2266" t="inlineStr">
        <is>
          <t>+ES1</t>
        </is>
      </c>
      <c r="D2266" t="inlineStr">
        <is>
          <t>-15K4.0.1</t>
        </is>
      </c>
      <c r="E2266" t="inlineStr">
        <is>
          <t>40_DIL-E</t>
        </is>
      </c>
      <c r="F2266" t="inlineStr">
        <is>
          <t>40_DIL-E</t>
        </is>
      </c>
      <c r="G2266" t="inlineStr">
        <is>
          <t>HILFSKONTAKTBLOCK</t>
        </is>
      </c>
      <c r="H2266" t="inlineStr">
        <is>
          <t>4S Last+Hilfsschuetz</t>
        </is>
      </c>
      <c r="I2266">
        <v>138</v>
      </c>
      <c r="J2266">
        <f>GS34/15.6</f>
        <v>0</v>
      </c>
      <c r="M2266" t="inlineStr">
        <is>
          <t>-15K4.0.1</t>
        </is>
      </c>
    </row>
    <row r="2267">
      <c r="A2267">
        <v>2266</v>
      </c>
      <c r="B2267">
        <f>GS34</f>
        <v>0</v>
      </c>
      <c r="C2267" t="inlineStr">
        <is>
          <t>+ES1</t>
        </is>
      </c>
      <c r="D2267" t="inlineStr">
        <is>
          <t>-15K4.0.1</t>
        </is>
      </c>
      <c r="E2267" t="inlineStr">
        <is>
          <t>DIL_ER-40-G</t>
        </is>
      </c>
      <c r="F2267" t="inlineStr">
        <is>
          <t>40_DIL-E</t>
        </is>
      </c>
      <c r="G2267" t="inlineStr">
        <is>
          <t>HILFSSCHUETZ</t>
        </is>
      </c>
      <c r="H2267" t="inlineStr">
        <is>
          <t>4S</t>
        </is>
      </c>
      <c r="I2267">
        <v>138</v>
      </c>
      <c r="J2267">
        <f>GS34/15.6</f>
        <v>0</v>
      </c>
      <c r="M2267" t="inlineStr">
        <is>
          <t>-15K4.0.1</t>
        </is>
      </c>
    </row>
    <row r="2268">
      <c r="A2268">
        <v>2267</v>
      </c>
      <c r="B2268">
        <f>GS9x</f>
        <v>0</v>
      </c>
      <c r="C2268" t="inlineStr">
        <is>
          <t>+QVW[h1]01</t>
        </is>
      </c>
      <c r="D2268" t="inlineStr">
        <is>
          <t>-15Q[a+1].5</t>
        </is>
      </c>
      <c r="E2268" t="inlineStr">
        <is>
          <t>DILM-9-10</t>
        </is>
      </c>
      <c r="F2268" t="inlineStr">
        <is>
          <t>#KALK!</t>
        </is>
      </c>
      <c r="G2268" t="inlineStr">
        <is>
          <t>LASTSCHUETZ</t>
        </is>
      </c>
      <c r="H2268" t="inlineStr">
        <is>
          <t>4kW 1S Federzugkl.</t>
        </is>
      </c>
      <c r="I2268">
        <v>197</v>
      </c>
      <c r="J2268">
        <f>GS9x/15.5</f>
        <v>0</v>
      </c>
      <c r="M2268" t="inlineStr">
        <is>
          <t>-15Q[a+1].5</t>
        </is>
      </c>
    </row>
    <row r="2269">
      <c r="A2269">
        <v>2268</v>
      </c>
      <c r="B2269">
        <f>GS05</f>
        <v>0</v>
      </c>
      <c r="C2269" t="inlineStr">
        <is>
          <t>+ES01</t>
        </is>
      </c>
      <c r="D2269" t="inlineStr">
        <is>
          <t>-15Q1</t>
        </is>
      </c>
      <c r="E2269" t="inlineStr">
        <is>
          <t>DILMC40(RDC24)</t>
        </is>
      </c>
      <c r="F2269" t="inlineStr">
        <is>
          <t>DILM150-XHIC40</t>
        </is>
      </c>
      <c r="G2269" t="inlineStr">
        <is>
          <t>LASTSCHUETZ</t>
        </is>
      </c>
      <c r="H2269" t="inlineStr">
        <is>
          <t>18,5kW Federzugkl.</t>
        </is>
      </c>
      <c r="I2269">
        <v>454</v>
      </c>
      <c r="J2269">
        <f>GS05/15.7</f>
        <v>0</v>
      </c>
      <c r="K2269" t="inlineStr">
        <is>
          <t>DIL MC40</t>
        </is>
      </c>
      <c r="M2269" t="inlineStr">
        <is>
          <t>-15Q1</t>
        </is>
      </c>
    </row>
    <row r="2270">
      <c r="A2270">
        <v>2269</v>
      </c>
      <c r="B2270">
        <f>GS05</f>
        <v>0</v>
      </c>
      <c r="C2270" t="inlineStr">
        <is>
          <t>+ES01</t>
        </is>
      </c>
      <c r="D2270" t="inlineStr">
        <is>
          <t>-15Q1</t>
        </is>
      </c>
      <c r="E2270" t="inlineStr">
        <is>
          <t>DILM150-XHIC40</t>
        </is>
      </c>
      <c r="F2270" t="inlineStr">
        <is>
          <t>DILM150-XHIC40</t>
        </is>
      </c>
      <c r="G2270" t="inlineStr">
        <is>
          <t>HILFSKONTAKTBLOCK</t>
        </is>
      </c>
      <c r="H2270" t="inlineStr">
        <is>
          <t>4S ab DILMC40</t>
        </is>
      </c>
      <c r="I2270">
        <v>454</v>
      </c>
      <c r="J2270">
        <f>GS05/15.7</f>
        <v>0</v>
      </c>
      <c r="K2270" t="inlineStr">
        <is>
          <t>DIL MC40</t>
        </is>
      </c>
      <c r="M2270" t="inlineStr">
        <is>
          <t>-15Q1</t>
        </is>
      </c>
    </row>
    <row r="2271">
      <c r="A2271">
        <v>2270</v>
      </c>
      <c r="B2271">
        <f>GS05</f>
        <v>0</v>
      </c>
      <c r="C2271" t="inlineStr">
        <is>
          <t>+LS[p1]</t>
        </is>
      </c>
      <c r="D2271" t="inlineStr">
        <is>
          <t>-15Q1</t>
        </is>
      </c>
      <c r="E2271" t="inlineStr">
        <is>
          <t>DILM-9-10</t>
        </is>
      </c>
      <c r="F2271" t="inlineStr">
        <is>
          <t>#KALK!</t>
        </is>
      </c>
      <c r="G2271" t="inlineStr">
        <is>
          <t>LASTSCHUETZ</t>
        </is>
      </c>
      <c r="H2271" t="inlineStr">
        <is>
          <t>4kW 1S Federzugkl.</t>
        </is>
      </c>
      <c r="I2271">
        <v>158</v>
      </c>
      <c r="J2271">
        <f>GS05/15.5</f>
        <v>0</v>
      </c>
      <c r="M2271" t="inlineStr">
        <is>
          <t>-15Q1</t>
        </is>
      </c>
    </row>
    <row r="2272">
      <c r="A2272">
        <v>2271</v>
      </c>
      <c r="B2272">
        <f>GS06</f>
        <v>0</v>
      </c>
      <c r="C2272" t="inlineStr">
        <is>
          <t>+LS[p1]</t>
        </is>
      </c>
      <c r="D2272" t="inlineStr">
        <is>
          <t>-15Q1</t>
        </is>
      </c>
      <c r="E2272" t="inlineStr">
        <is>
          <t>DILM-9-10</t>
        </is>
      </c>
      <c r="F2272" t="inlineStr">
        <is>
          <t>#KALK!</t>
        </is>
      </c>
      <c r="G2272" t="inlineStr">
        <is>
          <t>LASTSCHUETZ</t>
        </is>
      </c>
      <c r="H2272" t="inlineStr">
        <is>
          <t>4kW 1S Federzugkl.</t>
        </is>
      </c>
      <c r="I2272">
        <v>158</v>
      </c>
      <c r="J2272">
        <f>GS06/15.5</f>
        <v>0</v>
      </c>
      <c r="M2272" t="inlineStr">
        <is>
          <t>-15Q1</t>
        </is>
      </c>
    </row>
    <row r="2273">
      <c r="A2273">
        <v>2272</v>
      </c>
      <c r="B2273">
        <f>GS06</f>
        <v>0</v>
      </c>
      <c r="C2273" t="inlineStr">
        <is>
          <t>+ES01</t>
        </is>
      </c>
      <c r="D2273" t="inlineStr">
        <is>
          <t>-15Q1</t>
        </is>
      </c>
      <c r="E2273" t="inlineStr">
        <is>
          <t>DILM150-XHIC40</t>
        </is>
      </c>
      <c r="F2273" t="inlineStr">
        <is>
          <t>DILM150-XHIC40</t>
        </is>
      </c>
      <c r="G2273" t="inlineStr">
        <is>
          <t>HILFSKONTAKTBLOCK</t>
        </is>
      </c>
      <c r="H2273" t="inlineStr">
        <is>
          <t>4S ab DILMC40</t>
        </is>
      </c>
      <c r="I2273">
        <v>454</v>
      </c>
      <c r="J2273">
        <f>GS06/15.7</f>
        <v>0</v>
      </c>
      <c r="K2273" t="inlineStr">
        <is>
          <t>DIL MC40</t>
        </is>
      </c>
      <c r="M2273" t="inlineStr">
        <is>
          <t>-15Q1</t>
        </is>
      </c>
    </row>
    <row r="2274">
      <c r="A2274">
        <v>2273</v>
      </c>
      <c r="B2274">
        <f>GS06</f>
        <v>0</v>
      </c>
      <c r="C2274" t="inlineStr">
        <is>
          <t>+ES01</t>
        </is>
      </c>
      <c r="D2274" t="inlineStr">
        <is>
          <t>-15Q1</t>
        </is>
      </c>
      <c r="E2274" t="inlineStr">
        <is>
          <t>DILMC40(RDC24)</t>
        </is>
      </c>
      <c r="F2274" t="inlineStr">
        <is>
          <t>DILM150-XHIC40</t>
        </is>
      </c>
      <c r="G2274" t="inlineStr">
        <is>
          <t>LASTSCHUETZ</t>
        </is>
      </c>
      <c r="H2274" t="inlineStr">
        <is>
          <t>18,5kW Federzugkl.</t>
        </is>
      </c>
      <c r="I2274">
        <v>454</v>
      </c>
      <c r="J2274">
        <f>GS06/15.7</f>
        <v>0</v>
      </c>
      <c r="K2274" t="inlineStr">
        <is>
          <t>DIL MC40</t>
        </is>
      </c>
      <c r="M2274" t="inlineStr">
        <is>
          <t>-15Q1</t>
        </is>
      </c>
    </row>
    <row r="2275">
      <c r="A2275">
        <v>2274</v>
      </c>
      <c r="B2275">
        <f>GS07</f>
        <v>0</v>
      </c>
      <c r="C2275" t="inlineStr">
        <is>
          <t>+ES01</t>
        </is>
      </c>
      <c r="D2275" t="inlineStr">
        <is>
          <t>-15Q1</t>
        </is>
      </c>
      <c r="E2275" t="inlineStr">
        <is>
          <t>DILMC40(RDC24)</t>
        </is>
      </c>
      <c r="F2275" t="inlineStr">
        <is>
          <t>DILM150-XHIC40</t>
        </is>
      </c>
      <c r="G2275" t="inlineStr">
        <is>
          <t>LASTSCHUETZ</t>
        </is>
      </c>
      <c r="H2275" t="inlineStr">
        <is>
          <t>18,5kW Federzugkl.</t>
        </is>
      </c>
      <c r="I2275">
        <v>134</v>
      </c>
      <c r="J2275">
        <f>GS07/15.7</f>
        <v>0</v>
      </c>
      <c r="K2275" t="inlineStr">
        <is>
          <t>DIL MC40</t>
        </is>
      </c>
      <c r="M2275" t="inlineStr">
        <is>
          <t>-15Q1</t>
        </is>
      </c>
    </row>
    <row r="2276">
      <c r="A2276">
        <v>2275</v>
      </c>
      <c r="B2276">
        <f>GS07</f>
        <v>0</v>
      </c>
      <c r="C2276" t="inlineStr">
        <is>
          <t>+ES01</t>
        </is>
      </c>
      <c r="D2276" t="inlineStr">
        <is>
          <t>-15Q1</t>
        </is>
      </c>
      <c r="E2276" t="inlineStr">
        <is>
          <t>DILM150-XHIC40</t>
        </is>
      </c>
      <c r="F2276" t="inlineStr">
        <is>
          <t>DILM150-XHIC40</t>
        </is>
      </c>
      <c r="G2276" t="inlineStr">
        <is>
          <t>HILFSKONTAKTBLOCK</t>
        </is>
      </c>
      <c r="H2276" t="inlineStr">
        <is>
          <t>4S ab DILMC40</t>
        </is>
      </c>
      <c r="I2276">
        <v>134</v>
      </c>
      <c r="J2276">
        <f>GS07/15.7</f>
        <v>0</v>
      </c>
      <c r="K2276" t="inlineStr">
        <is>
          <t>DIL MC40</t>
        </is>
      </c>
      <c r="M2276" t="inlineStr">
        <is>
          <t>-15Q1</t>
        </is>
      </c>
    </row>
    <row r="2277">
      <c r="A2277">
        <v>2276</v>
      </c>
      <c r="B2277">
        <f>GS08</f>
        <v>0</v>
      </c>
      <c r="C2277" t="inlineStr">
        <is>
          <t>+LS31</t>
        </is>
      </c>
      <c r="D2277" t="inlineStr">
        <is>
          <t>-15Q1</t>
        </is>
      </c>
      <c r="E2277" t="inlineStr">
        <is>
          <t>DILM-9-10</t>
        </is>
      </c>
      <c r="F2277" t="inlineStr">
        <is>
          <t>#KALK!</t>
        </is>
      </c>
      <c r="G2277" t="inlineStr">
        <is>
          <t>LASTSCHUETZ</t>
        </is>
      </c>
      <c r="H2277" t="inlineStr">
        <is>
          <t>4kW 1S Federzugkl.</t>
        </is>
      </c>
      <c r="I2277">
        <v>160</v>
      </c>
      <c r="J2277">
        <f>GS08/15.5</f>
        <v>0</v>
      </c>
      <c r="M2277" t="inlineStr">
        <is>
          <t>-15Q1</t>
        </is>
      </c>
    </row>
    <row r="2278">
      <c r="A2278">
        <v>2277</v>
      </c>
      <c r="B2278">
        <f>GS08</f>
        <v>0</v>
      </c>
      <c r="C2278" t="inlineStr">
        <is>
          <t>+ES01</t>
        </is>
      </c>
      <c r="D2278" t="inlineStr">
        <is>
          <t>-15Q1</t>
        </is>
      </c>
      <c r="E2278" t="inlineStr">
        <is>
          <t>DILMC40(RDC24)</t>
        </is>
      </c>
      <c r="F2278" t="inlineStr">
        <is>
          <t>DILM150-XHIC40</t>
        </is>
      </c>
      <c r="G2278" t="inlineStr">
        <is>
          <t>LASTSCHUETZ</t>
        </is>
      </c>
      <c r="H2278" t="inlineStr">
        <is>
          <t>18,5kW Federzugkl.</t>
        </is>
      </c>
      <c r="I2278">
        <v>454</v>
      </c>
      <c r="J2278">
        <f>GS08/15.7</f>
        <v>0</v>
      </c>
      <c r="K2278" t="inlineStr">
        <is>
          <t>DIL MC40</t>
        </is>
      </c>
      <c r="M2278" t="inlineStr">
        <is>
          <t>-15Q1</t>
        </is>
      </c>
    </row>
    <row r="2279">
      <c r="A2279">
        <v>2278</v>
      </c>
      <c r="B2279">
        <f>GS08</f>
        <v>0</v>
      </c>
      <c r="C2279" t="inlineStr">
        <is>
          <t>+ES01</t>
        </is>
      </c>
      <c r="D2279" t="inlineStr">
        <is>
          <t>-15Q1</t>
        </is>
      </c>
      <c r="E2279" t="inlineStr">
        <is>
          <t>DILM150-XHIC40</t>
        </is>
      </c>
      <c r="F2279" t="inlineStr">
        <is>
          <t>DILM150-XHIC40</t>
        </is>
      </c>
      <c r="G2279" t="inlineStr">
        <is>
          <t>HILFSKONTAKTBLOCK</t>
        </is>
      </c>
      <c r="H2279" t="inlineStr">
        <is>
          <t>4S ab DILMC40</t>
        </is>
      </c>
      <c r="I2279">
        <v>454</v>
      </c>
      <c r="J2279">
        <f>GS08/15.7</f>
        <v>0</v>
      </c>
      <c r="K2279" t="inlineStr">
        <is>
          <t>DIL MC40</t>
        </is>
      </c>
      <c r="M2279" t="inlineStr">
        <is>
          <t>-15Q1</t>
        </is>
      </c>
    </row>
    <row r="2280">
      <c r="A2280">
        <v>2279</v>
      </c>
      <c r="B2280">
        <f>GS20</f>
        <v>0</v>
      </c>
      <c r="C2280" t="inlineStr">
        <is>
          <t>+ES01</t>
        </is>
      </c>
      <c r="D2280" t="inlineStr">
        <is>
          <t>-15Q1</t>
        </is>
      </c>
      <c r="E2280" t="inlineStr">
        <is>
          <t>DILMC40(RDC24)</t>
        </is>
      </c>
      <c r="F2280" t="inlineStr">
        <is>
          <t>DILM150-XHIC40</t>
        </is>
      </c>
      <c r="G2280" t="inlineStr">
        <is>
          <t>LASTSCHUETZ</t>
        </is>
      </c>
      <c r="H2280" t="inlineStr">
        <is>
          <t>18,5kW Federzugkl.</t>
        </is>
      </c>
      <c r="I2280">
        <v>454</v>
      </c>
      <c r="J2280">
        <f>GS20/15.7</f>
        <v>0</v>
      </c>
      <c r="K2280" t="inlineStr">
        <is>
          <t>DIL MC40</t>
        </is>
      </c>
      <c r="M2280" t="inlineStr">
        <is>
          <t>-15Q1</t>
        </is>
      </c>
    </row>
    <row r="2281">
      <c r="A2281">
        <v>2280</v>
      </c>
      <c r="B2281">
        <f>GS20</f>
        <v>0</v>
      </c>
      <c r="C2281" t="inlineStr">
        <is>
          <t>+ES01</t>
        </is>
      </c>
      <c r="D2281" t="inlineStr">
        <is>
          <t>-15Q1</t>
        </is>
      </c>
      <c r="E2281" t="inlineStr">
        <is>
          <t>DILM150-XHIC40</t>
        </is>
      </c>
      <c r="F2281" t="inlineStr">
        <is>
          <t>DILM150-XHIC40</t>
        </is>
      </c>
      <c r="G2281" t="inlineStr">
        <is>
          <t>HILFSKONTAKTBLOCK</t>
        </is>
      </c>
      <c r="H2281" t="inlineStr">
        <is>
          <t>4S ab DILMC40</t>
        </is>
      </c>
      <c r="I2281">
        <v>454</v>
      </c>
      <c r="J2281">
        <f>GS20/15.7</f>
        <v>0</v>
      </c>
      <c r="K2281" t="inlineStr">
        <is>
          <t>DIL MC40</t>
        </is>
      </c>
      <c r="M2281" t="inlineStr">
        <is>
          <t>-15Q1</t>
        </is>
      </c>
    </row>
    <row r="2282">
      <c r="A2282">
        <v>2281</v>
      </c>
      <c r="B2282">
        <f>GS30</f>
        <v>0</v>
      </c>
      <c r="C2282" t="inlineStr">
        <is>
          <t>+ES01</t>
        </is>
      </c>
      <c r="D2282" t="inlineStr">
        <is>
          <t>-15Q1</t>
        </is>
      </c>
      <c r="E2282" t="inlineStr">
        <is>
          <t>DILM150-XHIC40</t>
        </is>
      </c>
      <c r="F2282" t="inlineStr">
        <is>
          <t>DILM150-XHIC40</t>
        </is>
      </c>
      <c r="G2282" t="inlineStr">
        <is>
          <t>HILFSKONTAKTBLOCK</t>
        </is>
      </c>
      <c r="H2282" t="inlineStr">
        <is>
          <t>4S ab DILMC40</t>
        </is>
      </c>
      <c r="I2282">
        <v>454</v>
      </c>
      <c r="J2282">
        <f>GS30/15.7</f>
        <v>0</v>
      </c>
      <c r="K2282" t="inlineStr">
        <is>
          <t>DIL MC40</t>
        </is>
      </c>
      <c r="M2282" t="inlineStr">
        <is>
          <t>-15Q1</t>
        </is>
      </c>
    </row>
    <row r="2283">
      <c r="A2283">
        <v>2282</v>
      </c>
      <c r="B2283">
        <f>GS30</f>
        <v>0</v>
      </c>
      <c r="C2283" t="inlineStr">
        <is>
          <t>+ES01</t>
        </is>
      </c>
      <c r="D2283" t="inlineStr">
        <is>
          <t>-15Q1</t>
        </is>
      </c>
      <c r="E2283" t="inlineStr">
        <is>
          <t>DILMC40(RDC24)</t>
        </is>
      </c>
      <c r="F2283" t="inlineStr">
        <is>
          <t>DILM150-XHIC40</t>
        </is>
      </c>
      <c r="G2283" t="inlineStr">
        <is>
          <t>LASTSCHUETZ</t>
        </is>
      </c>
      <c r="H2283" t="inlineStr">
        <is>
          <t>18,5kW Federzugkl.</t>
        </is>
      </c>
      <c r="I2283">
        <v>454</v>
      </c>
      <c r="J2283">
        <f>GS30/15.7</f>
        <v>0</v>
      </c>
      <c r="K2283" t="inlineStr">
        <is>
          <t>DIL MC40</t>
        </is>
      </c>
      <c r="M2283" t="inlineStr">
        <is>
          <t>-15Q1</t>
        </is>
      </c>
    </row>
    <row r="2284">
      <c r="A2284">
        <v>2283</v>
      </c>
      <c r="B2284">
        <f>GS35</f>
        <v>0</v>
      </c>
      <c r="C2284" t="inlineStr">
        <is>
          <t>+ES02</t>
        </is>
      </c>
      <c r="D2284" t="inlineStr">
        <is>
          <t>-15Q1</t>
        </is>
      </c>
      <c r="E2284" t="inlineStr">
        <is>
          <t>DILM-40</t>
        </is>
      </c>
      <c r="F2284" t="inlineStr">
        <is>
          <t>DILM150-XHIC22</t>
        </is>
      </c>
      <c r="G2284" t="inlineStr">
        <is>
          <t>LASTSCHUETZ</t>
        </is>
      </c>
      <c r="H2284" t="inlineStr">
        <is>
          <t>18,5kW Federzugkl.</t>
        </is>
      </c>
      <c r="I2284">
        <v>179</v>
      </c>
      <c r="J2284">
        <f>GS35/15.7</f>
        <v>0</v>
      </c>
      <c r="K2284" t="inlineStr">
        <is>
          <t>DIL MC40</t>
        </is>
      </c>
      <c r="M2284" t="inlineStr">
        <is>
          <t>-15Q1</t>
        </is>
      </c>
    </row>
    <row r="2285">
      <c r="A2285">
        <v>2284</v>
      </c>
      <c r="B2285">
        <f>GS35</f>
        <v>0</v>
      </c>
      <c r="C2285" t="inlineStr">
        <is>
          <t>+ES02</t>
        </is>
      </c>
      <c r="D2285" t="inlineStr">
        <is>
          <t>-15Q1</t>
        </is>
      </c>
      <c r="E2285" t="inlineStr">
        <is>
          <t>DILM150-XHIC22</t>
        </is>
      </c>
      <c r="F2285" t="inlineStr">
        <is>
          <t>DILM150-XHIC22</t>
        </is>
      </c>
      <c r="G2285" t="inlineStr">
        <is>
          <t>HILFSKONTAKTBLOCK</t>
        </is>
      </c>
      <c r="H2285" t="inlineStr">
        <is>
          <t>2S 2OE ab DILMC40</t>
        </is>
      </c>
      <c r="I2285">
        <v>179</v>
      </c>
      <c r="J2285">
        <f>GS35/15.7</f>
        <v>0</v>
      </c>
      <c r="K2285" t="inlineStr">
        <is>
          <t>DIL MC40</t>
        </is>
      </c>
      <c r="M2285" t="inlineStr">
        <is>
          <t>-15Q1</t>
        </is>
      </c>
    </row>
    <row r="2286">
      <c r="A2286">
        <v>2285</v>
      </c>
      <c r="B2286">
        <f>GS36</f>
        <v>0</v>
      </c>
      <c r="C2286" t="inlineStr">
        <is>
          <t>+ES02</t>
        </is>
      </c>
      <c r="D2286" t="inlineStr">
        <is>
          <t>-15Q1</t>
        </is>
      </c>
      <c r="E2286" t="inlineStr">
        <is>
          <t>DILMC40(RDC24)</t>
        </is>
      </c>
      <c r="F2286" t="inlineStr">
        <is>
          <t>DILM150-XHIC22</t>
        </is>
      </c>
      <c r="G2286" t="inlineStr">
        <is>
          <t>LASTSCHUETZ</t>
        </is>
      </c>
      <c r="H2286" t="inlineStr">
        <is>
          <t>18,5kW Federzugkl.</t>
        </is>
      </c>
      <c r="I2286">
        <v>180</v>
      </c>
      <c r="J2286">
        <f>GS36/15.7</f>
        <v>0</v>
      </c>
      <c r="K2286" t="inlineStr">
        <is>
          <t>DIL MC40</t>
        </is>
      </c>
      <c r="M2286" t="inlineStr">
        <is>
          <t>-15Q1</t>
        </is>
      </c>
    </row>
    <row r="2287">
      <c r="A2287">
        <v>2286</v>
      </c>
      <c r="B2287">
        <f>GS36</f>
        <v>0</v>
      </c>
      <c r="C2287" t="inlineStr">
        <is>
          <t>+ES02</t>
        </is>
      </c>
      <c r="D2287" t="inlineStr">
        <is>
          <t>-15Q1</t>
        </is>
      </c>
      <c r="E2287" t="inlineStr">
        <is>
          <t>DILM150-XHIC22</t>
        </is>
      </c>
      <c r="F2287" t="inlineStr">
        <is>
          <t>DILM150-XHIC22</t>
        </is>
      </c>
      <c r="G2287" t="inlineStr">
        <is>
          <t>HILFSKONTAKTBLOCK</t>
        </is>
      </c>
      <c r="H2287" t="inlineStr">
        <is>
          <t>2S 2OE ab DILMC40</t>
        </is>
      </c>
      <c r="I2287">
        <v>180</v>
      </c>
      <c r="J2287">
        <f>GS36/15.7</f>
        <v>0</v>
      </c>
      <c r="K2287" t="inlineStr">
        <is>
          <t>DIL MC40</t>
        </is>
      </c>
      <c r="M2287" t="inlineStr">
        <is>
          <t>-15Q1</t>
        </is>
      </c>
    </row>
    <row r="2288">
      <c r="A2288">
        <v>2287</v>
      </c>
      <c r="B2288">
        <f>GS37</f>
        <v>0</v>
      </c>
      <c r="C2288" t="inlineStr">
        <is>
          <t>+ES02</t>
        </is>
      </c>
      <c r="D2288" t="inlineStr">
        <is>
          <t>-15Q1</t>
        </is>
      </c>
      <c r="E2288" t="inlineStr">
        <is>
          <t>DILMC40(RDC24)</t>
        </is>
      </c>
      <c r="F2288" t="inlineStr">
        <is>
          <t>DILM150-XHIC40</t>
        </is>
      </c>
      <c r="G2288" t="inlineStr">
        <is>
          <t>LASTSCHUETZ</t>
        </is>
      </c>
      <c r="H2288" t="inlineStr">
        <is>
          <t>18,5kW Federzugkl.</t>
        </is>
      </c>
      <c r="I2288">
        <v>167</v>
      </c>
      <c r="J2288">
        <f>GS37/15.7</f>
        <v>0</v>
      </c>
      <c r="K2288" t="inlineStr">
        <is>
          <t>DIL MC40</t>
        </is>
      </c>
      <c r="M2288" t="inlineStr">
        <is>
          <t>-15Q1</t>
        </is>
      </c>
    </row>
    <row r="2289">
      <c r="A2289">
        <v>2288</v>
      </c>
      <c r="B2289">
        <f>GS37</f>
        <v>0</v>
      </c>
      <c r="C2289" t="inlineStr">
        <is>
          <t>+ES02</t>
        </is>
      </c>
      <c r="D2289" t="inlineStr">
        <is>
          <t>-15Q1</t>
        </is>
      </c>
      <c r="E2289" t="inlineStr">
        <is>
          <t>DILM150-XHIC40</t>
        </is>
      </c>
      <c r="F2289" t="inlineStr">
        <is>
          <t>DILM150-XHIC40</t>
        </is>
      </c>
      <c r="G2289" t="inlineStr">
        <is>
          <t>HILFSKONTAKTBLOCK</t>
        </is>
      </c>
      <c r="H2289" t="inlineStr">
        <is>
          <t>4S ab DILMC40</t>
        </is>
      </c>
      <c r="I2289">
        <v>167</v>
      </c>
      <c r="J2289">
        <f>GS37/15.7</f>
        <v>0</v>
      </c>
      <c r="K2289" t="inlineStr">
        <is>
          <t>DIL MC40</t>
        </is>
      </c>
      <c r="M2289" t="inlineStr">
        <is>
          <t>-15Q1</t>
        </is>
      </c>
    </row>
    <row r="2290">
      <c r="A2290">
        <v>2289</v>
      </c>
      <c r="B2290">
        <f>GS38</f>
        <v>0</v>
      </c>
      <c r="C2290" t="inlineStr">
        <is>
          <t>+ES02</t>
        </is>
      </c>
      <c r="D2290" t="inlineStr">
        <is>
          <t>-15Q1</t>
        </is>
      </c>
      <c r="E2290" t="inlineStr">
        <is>
          <t>DILMC40(RDC24)</t>
        </is>
      </c>
      <c r="F2290" t="inlineStr">
        <is>
          <t>DILM150-XHIC40</t>
        </is>
      </c>
      <c r="G2290" t="inlineStr">
        <is>
          <t>LASTSCHUETZ</t>
        </is>
      </c>
      <c r="H2290" t="inlineStr">
        <is>
          <t>18,5kW Federzugkl.</t>
        </is>
      </c>
      <c r="I2290">
        <v>153</v>
      </c>
      <c r="J2290">
        <f>GS38/15.7</f>
        <v>0</v>
      </c>
      <c r="K2290" t="inlineStr">
        <is>
          <t>DIL MC40</t>
        </is>
      </c>
      <c r="M2290" t="inlineStr">
        <is>
          <t>-15Q1</t>
        </is>
      </c>
    </row>
    <row r="2291">
      <c r="A2291">
        <v>2290</v>
      </c>
      <c r="B2291">
        <f>GS38</f>
        <v>0</v>
      </c>
      <c r="C2291" t="inlineStr">
        <is>
          <t>+ES02</t>
        </is>
      </c>
      <c r="D2291" t="inlineStr">
        <is>
          <t>-15Q1</t>
        </is>
      </c>
      <c r="E2291" t="inlineStr">
        <is>
          <t>DILM150-XHIC40</t>
        </is>
      </c>
      <c r="F2291" t="inlineStr">
        <is>
          <t>DILM150-XHIC40</t>
        </is>
      </c>
      <c r="G2291" t="inlineStr">
        <is>
          <t>HILFSKONTAKTBLOCK</t>
        </is>
      </c>
      <c r="H2291" t="inlineStr">
        <is>
          <t>4S ab DILMC40</t>
        </is>
      </c>
      <c r="I2291">
        <v>153</v>
      </c>
      <c r="J2291">
        <f>GS38/15.7</f>
        <v>0</v>
      </c>
      <c r="K2291" t="inlineStr">
        <is>
          <t>DIL MC40</t>
        </is>
      </c>
      <c r="M2291" t="inlineStr">
        <is>
          <t>-15Q1</t>
        </is>
      </c>
    </row>
    <row r="2292">
      <c r="A2292">
        <v>2291</v>
      </c>
      <c r="B2292">
        <f>GS39</f>
        <v>0</v>
      </c>
      <c r="C2292" t="inlineStr">
        <is>
          <t>+ES02</t>
        </is>
      </c>
      <c r="D2292" t="inlineStr">
        <is>
          <t>-15Q1</t>
        </is>
      </c>
      <c r="E2292" t="inlineStr">
        <is>
          <t>DILMC40(RDC24)</t>
        </is>
      </c>
      <c r="F2292" t="inlineStr">
        <is>
          <t>DILM150-XHIC40</t>
        </is>
      </c>
      <c r="G2292" t="inlineStr">
        <is>
          <t>LASTSCHUETZ</t>
        </is>
      </c>
      <c r="H2292" t="inlineStr">
        <is>
          <t>18,5kW Federzugkl.</t>
        </is>
      </c>
      <c r="I2292">
        <v>192</v>
      </c>
      <c r="J2292">
        <f>GS39/15.7</f>
        <v>0</v>
      </c>
      <c r="K2292" t="inlineStr">
        <is>
          <t>DIL MC40</t>
        </is>
      </c>
      <c r="M2292" t="inlineStr">
        <is>
          <t>-15Q1</t>
        </is>
      </c>
    </row>
    <row r="2293">
      <c r="A2293">
        <v>2292</v>
      </c>
      <c r="B2293">
        <f>GS39</f>
        <v>0</v>
      </c>
      <c r="C2293" t="inlineStr">
        <is>
          <t>+ES02</t>
        </is>
      </c>
      <c r="D2293" t="inlineStr">
        <is>
          <t>-15Q1</t>
        </is>
      </c>
      <c r="E2293" t="inlineStr">
        <is>
          <t>DILM150-XHIC40</t>
        </is>
      </c>
      <c r="F2293" t="inlineStr">
        <is>
          <t>DILM150-XHIC40</t>
        </is>
      </c>
      <c r="G2293" t="inlineStr">
        <is>
          <t>HILFSKONTAKTBLOCK</t>
        </is>
      </c>
      <c r="H2293" t="inlineStr">
        <is>
          <t>4S ab DILMC40</t>
        </is>
      </c>
      <c r="I2293">
        <v>192</v>
      </c>
      <c r="J2293">
        <f>GS39/15.7</f>
        <v>0</v>
      </c>
      <c r="K2293" t="inlineStr">
        <is>
          <t>DIL MC40</t>
        </is>
      </c>
      <c r="M2293" t="inlineStr">
        <is>
          <t>-15Q1</t>
        </is>
      </c>
    </row>
    <row r="2294">
      <c r="A2294">
        <v>2293</v>
      </c>
      <c r="B2294">
        <f>GS40</f>
        <v>0</v>
      </c>
      <c r="C2294" t="inlineStr">
        <is>
          <t>+LS[ll]</t>
        </is>
      </c>
      <c r="D2294" t="inlineStr">
        <is>
          <t>-15Q1</t>
        </is>
      </c>
      <c r="E2294" t="inlineStr">
        <is>
          <t>DILA-XHI22</t>
        </is>
      </c>
      <c r="F2294" t="inlineStr">
        <is>
          <t>DILA-XHI22</t>
        </is>
      </c>
      <c r="G2294" t="inlineStr">
        <is>
          <t>HILFSKONTAKTBLOCK</t>
        </is>
      </c>
      <c r="H2294" t="inlineStr">
        <is>
          <t>2S 2OE Last+Hilfssch. Cage</t>
        </is>
      </c>
      <c r="I2294">
        <v>190</v>
      </c>
      <c r="J2294">
        <f>GS40/15.7</f>
        <v>0</v>
      </c>
      <c r="M2294" t="inlineStr">
        <is>
          <t>-15Q1</t>
        </is>
      </c>
    </row>
    <row r="2295">
      <c r="A2295">
        <v>2294</v>
      </c>
      <c r="B2295">
        <f>GS40</f>
        <v>0</v>
      </c>
      <c r="C2295" t="inlineStr">
        <is>
          <t>+LS[ll]</t>
        </is>
      </c>
      <c r="D2295" t="inlineStr">
        <is>
          <t>-15Q1</t>
        </is>
      </c>
      <c r="E2295" t="inlineStr">
        <is>
          <t>DILM-9-10</t>
        </is>
      </c>
      <c r="F2295" t="inlineStr">
        <is>
          <t>DILA-XHI22</t>
        </is>
      </c>
      <c r="G2295" t="inlineStr">
        <is>
          <t>LASTSCHUETZ</t>
        </is>
      </c>
      <c r="H2295" t="inlineStr">
        <is>
          <t>4kW 1S Federzugkl.</t>
        </is>
      </c>
      <c r="I2295">
        <v>190</v>
      </c>
      <c r="J2295">
        <f>GS40/15.7</f>
        <v>0</v>
      </c>
      <c r="M2295" t="inlineStr">
        <is>
          <t>-15Q1</t>
        </is>
      </c>
    </row>
    <row r="2296">
      <c r="A2296">
        <v>2295</v>
      </c>
      <c r="B2296">
        <f>GS44</f>
        <v>0</v>
      </c>
      <c r="C2296" t="inlineStr">
        <is>
          <t>+LS[ll]</t>
        </is>
      </c>
      <c r="D2296" t="inlineStr">
        <is>
          <t>-15Q1</t>
        </is>
      </c>
      <c r="E2296" t="inlineStr">
        <is>
          <t>DILM-9-10</t>
        </is>
      </c>
      <c r="F2296" t="inlineStr">
        <is>
          <t>DILA-XHI22</t>
        </is>
      </c>
      <c r="G2296" t="inlineStr">
        <is>
          <t>LASTSCHUETZ</t>
        </is>
      </c>
      <c r="H2296" t="inlineStr">
        <is>
          <t>4kW 1S Federzugkl.</t>
        </is>
      </c>
      <c r="I2296">
        <v>202</v>
      </c>
      <c r="J2296">
        <f>GS44/15.7</f>
        <v>0</v>
      </c>
      <c r="M2296" t="inlineStr">
        <is>
          <t>-15Q1</t>
        </is>
      </c>
    </row>
    <row r="2297">
      <c r="A2297">
        <v>2296</v>
      </c>
      <c r="B2297">
        <f>GS44</f>
        <v>0</v>
      </c>
      <c r="C2297" t="inlineStr">
        <is>
          <t>+LS[ll]</t>
        </is>
      </c>
      <c r="D2297" t="inlineStr">
        <is>
          <t>-15Q1</t>
        </is>
      </c>
      <c r="E2297" t="inlineStr">
        <is>
          <t>DILA-XHI22</t>
        </is>
      </c>
      <c r="F2297" t="inlineStr">
        <is>
          <t>DILA-XHI22</t>
        </is>
      </c>
      <c r="G2297" t="inlineStr">
        <is>
          <t>HILFSKONTAKTBLOCK</t>
        </is>
      </c>
      <c r="H2297" t="inlineStr">
        <is>
          <t>2S 2OE Last+Hilfssch. Cage</t>
        </is>
      </c>
      <c r="I2297">
        <v>202</v>
      </c>
      <c r="J2297">
        <f>GS44/15.7</f>
        <v>0</v>
      </c>
      <c r="M2297" t="inlineStr">
        <is>
          <t>-15Q1</t>
        </is>
      </c>
    </row>
    <row r="2298">
      <c r="A2298">
        <v>2297</v>
      </c>
      <c r="B2298">
        <f>GS45</f>
        <v>0</v>
      </c>
      <c r="C2298" t="inlineStr">
        <is>
          <t>+LS</t>
        </is>
      </c>
      <c r="D2298" t="inlineStr">
        <is>
          <t>-15Q1</t>
        </is>
      </c>
      <c r="E2298" t="inlineStr">
        <is>
          <t>DILM-9-10</t>
        </is>
      </c>
      <c r="F2298" t="inlineStr">
        <is>
          <t>DILA-XHI22</t>
        </is>
      </c>
      <c r="G2298" t="inlineStr">
        <is>
          <t>LASTSCHUETZ</t>
        </is>
      </c>
      <c r="H2298" t="inlineStr">
        <is>
          <t>4kW 1S Federzugkl.</t>
        </is>
      </c>
      <c r="I2298">
        <v>162</v>
      </c>
      <c r="J2298">
        <f>GS45/15.7</f>
        <v>0</v>
      </c>
      <c r="M2298" t="inlineStr">
        <is>
          <t>-15Q1</t>
        </is>
      </c>
    </row>
    <row r="2299">
      <c r="A2299">
        <v>2298</v>
      </c>
      <c r="B2299">
        <f>GS45</f>
        <v>0</v>
      </c>
      <c r="C2299" t="inlineStr">
        <is>
          <t>+LS</t>
        </is>
      </c>
      <c r="D2299" t="inlineStr">
        <is>
          <t>-15Q1</t>
        </is>
      </c>
      <c r="E2299" t="inlineStr">
        <is>
          <t>DILA-XHI22</t>
        </is>
      </c>
      <c r="F2299" t="inlineStr">
        <is>
          <t>DILA-XHI22</t>
        </is>
      </c>
      <c r="G2299" t="inlineStr">
        <is>
          <t>HILFSKONTAKTBLOCK</t>
        </is>
      </c>
      <c r="H2299" t="inlineStr">
        <is>
          <t>2S 2OE Last+Hilfssch. Cage</t>
        </is>
      </c>
      <c r="I2299">
        <v>162</v>
      </c>
      <c r="J2299">
        <f>GS45/15.7</f>
        <v>0</v>
      </c>
      <c r="M2299" t="inlineStr">
        <is>
          <t>-15Q1</t>
        </is>
      </c>
    </row>
    <row r="2300">
      <c r="A2300">
        <v>2299</v>
      </c>
      <c r="B2300">
        <f>GS46</f>
        <v>0</v>
      </c>
      <c r="C2300" t="inlineStr">
        <is>
          <t>+ES02</t>
        </is>
      </c>
      <c r="D2300" t="inlineStr">
        <is>
          <t>-15Q1</t>
        </is>
      </c>
      <c r="E2300" t="inlineStr">
        <is>
          <t>DILMC40(RDC24)</t>
        </is>
      </c>
      <c r="F2300" t="inlineStr">
        <is>
          <t>DILM150-XHIC40</t>
        </is>
      </c>
      <c r="G2300" t="inlineStr">
        <is>
          <t>LASTSCHUETZ</t>
        </is>
      </c>
      <c r="H2300" t="inlineStr">
        <is>
          <t>18,5kW Federzugkl.</t>
        </is>
      </c>
      <c r="I2300">
        <v>159</v>
      </c>
      <c r="J2300">
        <f>GS46/15.7</f>
        <v>0</v>
      </c>
      <c r="K2300" t="inlineStr">
        <is>
          <t>DIL MC40</t>
        </is>
      </c>
      <c r="M2300" t="inlineStr">
        <is>
          <t>-15Q1</t>
        </is>
      </c>
    </row>
    <row r="2301">
      <c r="A2301">
        <v>2300</v>
      </c>
      <c r="B2301">
        <f>GS46</f>
        <v>0</v>
      </c>
      <c r="C2301" t="inlineStr">
        <is>
          <t>+ES02</t>
        </is>
      </c>
      <c r="D2301" t="inlineStr">
        <is>
          <t>-15Q1</t>
        </is>
      </c>
      <c r="E2301" t="inlineStr">
        <is>
          <t>DILM150-XHIC40</t>
        </is>
      </c>
      <c r="F2301" t="inlineStr">
        <is>
          <t>DILM150-XHIC40</t>
        </is>
      </c>
      <c r="G2301" t="inlineStr">
        <is>
          <t>HILFSKONTAKTBLOCK</t>
        </is>
      </c>
      <c r="H2301" t="inlineStr">
        <is>
          <t>4S ab DILMC40</t>
        </is>
      </c>
      <c r="I2301">
        <v>159</v>
      </c>
      <c r="J2301">
        <f>GS46/15.7</f>
        <v>0</v>
      </c>
      <c r="K2301" t="inlineStr">
        <is>
          <t>DIL MC40</t>
        </is>
      </c>
      <c r="M2301" t="inlineStr">
        <is>
          <t>-15Q1</t>
        </is>
      </c>
    </row>
    <row r="2302">
      <c r="A2302">
        <v>2301</v>
      </c>
      <c r="B2302">
        <f>GS47</f>
        <v>0</v>
      </c>
      <c r="C2302" t="inlineStr">
        <is>
          <t>+ES02</t>
        </is>
      </c>
      <c r="D2302" t="inlineStr">
        <is>
          <t>-15Q1</t>
        </is>
      </c>
      <c r="E2302" t="inlineStr">
        <is>
          <t>DILMC40(RDC24)</t>
        </is>
      </c>
      <c r="F2302" t="inlineStr">
        <is>
          <t>DILM150-XHIC40</t>
        </is>
      </c>
      <c r="G2302" t="inlineStr">
        <is>
          <t>LASTSCHUETZ</t>
        </is>
      </c>
      <c r="H2302" t="inlineStr">
        <is>
          <t>18,5kW Federzugkl.</t>
        </is>
      </c>
      <c r="I2302">
        <v>159</v>
      </c>
      <c r="J2302">
        <f>GS47/15.7</f>
        <v>0</v>
      </c>
      <c r="K2302" t="inlineStr">
        <is>
          <t>DIL MC40</t>
        </is>
      </c>
      <c r="M2302" t="inlineStr">
        <is>
          <t>-15Q1</t>
        </is>
      </c>
    </row>
    <row r="2303">
      <c r="A2303">
        <v>2302</v>
      </c>
      <c r="B2303">
        <f>GS47</f>
        <v>0</v>
      </c>
      <c r="C2303" t="inlineStr">
        <is>
          <t>+ES02</t>
        </is>
      </c>
      <c r="D2303" t="inlineStr">
        <is>
          <t>-15Q1</t>
        </is>
      </c>
      <c r="E2303" t="inlineStr">
        <is>
          <t>DILM150-XHIC40</t>
        </is>
      </c>
      <c r="F2303" t="inlineStr">
        <is>
          <t>DILM150-XHIC40</t>
        </is>
      </c>
      <c r="G2303" t="inlineStr">
        <is>
          <t>HILFSKONTAKTBLOCK</t>
        </is>
      </c>
      <c r="H2303" t="inlineStr">
        <is>
          <t>4S ab DILMC40</t>
        </is>
      </c>
      <c r="I2303">
        <v>159</v>
      </c>
      <c r="J2303">
        <f>GS47/15.7</f>
        <v>0</v>
      </c>
      <c r="K2303" t="inlineStr">
        <is>
          <t>DIL MC40</t>
        </is>
      </c>
      <c r="M2303" t="inlineStr">
        <is>
          <t>-15Q1</t>
        </is>
      </c>
    </row>
    <row r="2304">
      <c r="A2304">
        <v>2303</v>
      </c>
      <c r="B2304">
        <f>GS48</f>
        <v>0</v>
      </c>
      <c r="C2304" t="inlineStr">
        <is>
          <t>+ES02</t>
        </is>
      </c>
      <c r="D2304" t="inlineStr">
        <is>
          <t>-15Q1</t>
        </is>
      </c>
      <c r="E2304" t="inlineStr">
        <is>
          <t>DILMC40(RDC24)</t>
        </is>
      </c>
      <c r="F2304" t="inlineStr">
        <is>
          <t>DILM150-XHIC40</t>
        </is>
      </c>
      <c r="G2304" t="inlineStr">
        <is>
          <t>LASTSCHUETZ</t>
        </is>
      </c>
      <c r="H2304" t="inlineStr">
        <is>
          <t>18,5kW Federzugkl.</t>
        </is>
      </c>
      <c r="I2304">
        <v>158</v>
      </c>
      <c r="J2304">
        <f>GS48/15.7</f>
        <v>0</v>
      </c>
      <c r="K2304" t="inlineStr">
        <is>
          <t>DIL MC40</t>
        </is>
      </c>
      <c r="M2304" t="inlineStr">
        <is>
          <t>-15Q1</t>
        </is>
      </c>
    </row>
    <row r="2305">
      <c r="A2305">
        <v>2304</v>
      </c>
      <c r="B2305">
        <f>GS48</f>
        <v>0</v>
      </c>
      <c r="C2305" t="inlineStr">
        <is>
          <t>+ES02</t>
        </is>
      </c>
      <c r="D2305" t="inlineStr">
        <is>
          <t>-15Q1</t>
        </is>
      </c>
      <c r="E2305" t="inlineStr">
        <is>
          <t>DILM150-XHIC40</t>
        </is>
      </c>
      <c r="F2305" t="inlineStr">
        <is>
          <t>DILM150-XHIC40</t>
        </is>
      </c>
      <c r="G2305" t="inlineStr">
        <is>
          <t>HILFSKONTAKTBLOCK</t>
        </is>
      </c>
      <c r="H2305" t="inlineStr">
        <is>
          <t>4S ab DILMC40</t>
        </is>
      </c>
      <c r="I2305">
        <v>158</v>
      </c>
      <c r="J2305">
        <f>GS48/15.7</f>
        <v>0</v>
      </c>
      <c r="K2305" t="inlineStr">
        <is>
          <t>DIL MC40</t>
        </is>
      </c>
      <c r="M2305" t="inlineStr">
        <is>
          <t>-15Q1</t>
        </is>
      </c>
    </row>
    <row r="2306">
      <c r="A2306">
        <v>2305</v>
      </c>
      <c r="B2306">
        <f>GS49</f>
        <v>0</v>
      </c>
      <c r="C2306" t="inlineStr">
        <is>
          <t>+ES02</t>
        </is>
      </c>
      <c r="D2306" t="inlineStr">
        <is>
          <t>-15Q1</t>
        </is>
      </c>
      <c r="E2306" t="inlineStr">
        <is>
          <t>DILMC40(RDC24)</t>
        </is>
      </c>
      <c r="F2306" t="inlineStr">
        <is>
          <t>DILM150-XHIC40</t>
        </is>
      </c>
      <c r="G2306" t="inlineStr">
        <is>
          <t>LASTSCHUETZ</t>
        </is>
      </c>
      <c r="H2306" t="inlineStr">
        <is>
          <t>18,5kW Federzugkl.</t>
        </is>
      </c>
      <c r="I2306">
        <v>157</v>
      </c>
      <c r="J2306">
        <f>GS49/15.7</f>
        <v>0</v>
      </c>
      <c r="K2306" t="inlineStr">
        <is>
          <t>DIL MC40</t>
        </is>
      </c>
      <c r="M2306" t="inlineStr">
        <is>
          <t>-15Q1</t>
        </is>
      </c>
    </row>
    <row r="2307">
      <c r="A2307">
        <v>2306</v>
      </c>
      <c r="B2307">
        <f>GS49</f>
        <v>0</v>
      </c>
      <c r="C2307" t="inlineStr">
        <is>
          <t>+ES02</t>
        </is>
      </c>
      <c r="D2307" t="inlineStr">
        <is>
          <t>-15Q1</t>
        </is>
      </c>
      <c r="E2307" t="inlineStr">
        <is>
          <t>DILM150-XHIC40</t>
        </is>
      </c>
      <c r="F2307" t="inlineStr">
        <is>
          <t>DILM150-XHIC40</t>
        </is>
      </c>
      <c r="G2307" t="inlineStr">
        <is>
          <t>HILFSKONTAKTBLOCK</t>
        </is>
      </c>
      <c r="H2307" t="inlineStr">
        <is>
          <t>4S ab DILMC40</t>
        </is>
      </c>
      <c r="I2307">
        <v>157</v>
      </c>
      <c r="J2307">
        <f>GS49/15.7</f>
        <v>0</v>
      </c>
      <c r="K2307" t="inlineStr">
        <is>
          <t>DIL MC40</t>
        </is>
      </c>
      <c r="M2307" t="inlineStr">
        <is>
          <t>-15Q1</t>
        </is>
      </c>
    </row>
    <row r="2308">
      <c r="A2308">
        <v>2307</v>
      </c>
      <c r="B2308">
        <f>GS4x</f>
        <v>0</v>
      </c>
      <c r="C2308" t="inlineStr">
        <is>
          <t>+LS[ll]</t>
        </is>
      </c>
      <c r="D2308" t="inlineStr">
        <is>
          <t>-15Q1</t>
        </is>
      </c>
      <c r="E2308" t="inlineStr">
        <is>
          <t>DILA-XHI22</t>
        </is>
      </c>
      <c r="F2308" t="inlineStr">
        <is>
          <t>DILA-XHI22</t>
        </is>
      </c>
      <c r="G2308" t="inlineStr">
        <is>
          <t>HILFSKONTAKTBLOCK</t>
        </is>
      </c>
      <c r="H2308" t="inlineStr">
        <is>
          <t>2S 2OE Last+Hilfssch. Cage</t>
        </is>
      </c>
      <c r="I2308">
        <v>191</v>
      </c>
      <c r="J2308">
        <f>GS4x/15.7</f>
        <v>0</v>
      </c>
      <c r="M2308" t="inlineStr">
        <is>
          <t>-15Q1</t>
        </is>
      </c>
    </row>
    <row r="2309">
      <c r="A2309">
        <v>2308</v>
      </c>
      <c r="B2309">
        <f>GS4x</f>
        <v>0</v>
      </c>
      <c r="C2309" t="inlineStr">
        <is>
          <t>+LS[ll]</t>
        </is>
      </c>
      <c r="D2309" t="inlineStr">
        <is>
          <t>-15Q1</t>
        </is>
      </c>
      <c r="E2309" t="inlineStr">
        <is>
          <t>DILM-9-10</t>
        </is>
      </c>
      <c r="F2309" t="inlineStr">
        <is>
          <t>DILA-XHI22</t>
        </is>
      </c>
      <c r="G2309" t="inlineStr">
        <is>
          <t>LASTSCHUETZ</t>
        </is>
      </c>
      <c r="H2309" t="inlineStr">
        <is>
          <t>4kW 1S Federzugkl.</t>
        </is>
      </c>
      <c r="I2309">
        <v>191</v>
      </c>
      <c r="J2309">
        <f>GS4x/15.7</f>
        <v>0</v>
      </c>
      <c r="M2309" t="inlineStr">
        <is>
          <t>-15Q1</t>
        </is>
      </c>
    </row>
    <row r="2310">
      <c r="A2310">
        <v>2309</v>
      </c>
      <c r="B2310">
        <f>GS51</f>
        <v>0</v>
      </c>
      <c r="C2310" t="inlineStr">
        <is>
          <t>+ES01</t>
        </is>
      </c>
      <c r="D2310" t="inlineStr">
        <is>
          <t>-15Q1</t>
        </is>
      </c>
      <c r="E2310" t="inlineStr">
        <is>
          <t>DILM150-XHIC40</t>
        </is>
      </c>
      <c r="F2310" t="inlineStr">
        <is>
          <t>DILM150-XHIC40</t>
        </is>
      </c>
      <c r="G2310" t="inlineStr">
        <is>
          <t>HILFSKONTAKTBLOCK</t>
        </is>
      </c>
      <c r="H2310" t="inlineStr">
        <is>
          <t>4S ab DILMC40</t>
        </is>
      </c>
      <c r="I2310">
        <v>188</v>
      </c>
      <c r="J2310">
        <f>GS51/15.7</f>
        <v>0</v>
      </c>
      <c r="K2310" t="inlineStr">
        <is>
          <t>DIL MC40</t>
        </is>
      </c>
      <c r="M2310" t="inlineStr">
        <is>
          <t>-15Q1</t>
        </is>
      </c>
    </row>
    <row r="2311">
      <c r="A2311">
        <v>2310</v>
      </c>
      <c r="B2311">
        <f>GS51</f>
        <v>0</v>
      </c>
      <c r="C2311" t="inlineStr">
        <is>
          <t>+ES01</t>
        </is>
      </c>
      <c r="D2311" t="inlineStr">
        <is>
          <t>-15Q1</t>
        </is>
      </c>
      <c r="E2311" t="inlineStr">
        <is>
          <t>DILMC40(RDC24)</t>
        </is>
      </c>
      <c r="F2311" t="inlineStr">
        <is>
          <t>DILM150-XHIC40</t>
        </is>
      </c>
      <c r="G2311" t="inlineStr">
        <is>
          <t>LASTSCHUETZ</t>
        </is>
      </c>
      <c r="H2311" t="inlineStr">
        <is>
          <t>18,5kW Federzugkl.</t>
        </is>
      </c>
      <c r="I2311">
        <v>188</v>
      </c>
      <c r="J2311">
        <f>GS51/15.7</f>
        <v>0</v>
      </c>
      <c r="K2311" t="inlineStr">
        <is>
          <t>DIL MC40</t>
        </is>
      </c>
      <c r="M2311" t="inlineStr">
        <is>
          <t>-15Q1</t>
        </is>
      </c>
    </row>
    <row r="2312">
      <c r="A2312">
        <v>2311</v>
      </c>
      <c r="B2312">
        <f>GS52</f>
        <v>0</v>
      </c>
      <c r="C2312" t="inlineStr">
        <is>
          <t>+ES01</t>
        </is>
      </c>
      <c r="D2312" t="inlineStr">
        <is>
          <t>-15Q1</t>
        </is>
      </c>
      <c r="E2312" t="inlineStr">
        <is>
          <t>DILM150-XHIC40</t>
        </is>
      </c>
      <c r="F2312" t="inlineStr">
        <is>
          <t>DILM150-XHIC40</t>
        </is>
      </c>
      <c r="G2312" t="inlineStr">
        <is>
          <t>HILFSKONTAKTBLOCK</t>
        </is>
      </c>
      <c r="H2312" t="inlineStr">
        <is>
          <t>4S ab DILMC40</t>
        </is>
      </c>
      <c r="I2312">
        <v>143</v>
      </c>
      <c r="J2312">
        <f>GS52/15.7</f>
        <v>0</v>
      </c>
      <c r="K2312" t="inlineStr">
        <is>
          <t>DIL MC40</t>
        </is>
      </c>
      <c r="M2312" t="inlineStr">
        <is>
          <t>-15Q1</t>
        </is>
      </c>
    </row>
    <row r="2313">
      <c r="A2313">
        <v>2312</v>
      </c>
      <c r="B2313">
        <f>GS52</f>
        <v>0</v>
      </c>
      <c r="C2313" t="inlineStr">
        <is>
          <t>+ES01</t>
        </is>
      </c>
      <c r="D2313" t="inlineStr">
        <is>
          <t>-15Q1</t>
        </is>
      </c>
      <c r="E2313" t="inlineStr">
        <is>
          <t>DILMC40(RDC24)</t>
        </is>
      </c>
      <c r="F2313" t="inlineStr">
        <is>
          <t>DILM150-XHIC40</t>
        </is>
      </c>
      <c r="G2313" t="inlineStr">
        <is>
          <t>LASTSCHUETZ</t>
        </is>
      </c>
      <c r="H2313" t="inlineStr">
        <is>
          <t>18,5kW Federzugkl.</t>
        </is>
      </c>
      <c r="I2313">
        <v>143</v>
      </c>
      <c r="J2313">
        <f>GS52/15.7</f>
        <v>0</v>
      </c>
      <c r="K2313" t="inlineStr">
        <is>
          <t>DIL MC40</t>
        </is>
      </c>
      <c r="M2313" t="inlineStr">
        <is>
          <t>-15Q1</t>
        </is>
      </c>
    </row>
    <row r="2314">
      <c r="A2314">
        <v>2313</v>
      </c>
      <c r="B2314">
        <f>GS53</f>
        <v>0</v>
      </c>
      <c r="C2314" t="inlineStr">
        <is>
          <t>+ES01</t>
        </is>
      </c>
      <c r="D2314" t="inlineStr">
        <is>
          <t>-15Q1</t>
        </is>
      </c>
      <c r="E2314" t="inlineStr">
        <is>
          <t>DILM150-XHIC40</t>
        </is>
      </c>
      <c r="F2314" t="inlineStr">
        <is>
          <t>DILM150-XHIC40</t>
        </is>
      </c>
      <c r="G2314" t="inlineStr">
        <is>
          <t>HILFSKONTAKTBLOCK</t>
        </is>
      </c>
      <c r="H2314" t="inlineStr">
        <is>
          <t>4S ab DILMC40</t>
        </is>
      </c>
      <c r="I2314">
        <v>215</v>
      </c>
      <c r="J2314">
        <f>GS53/15.7</f>
        <v>0</v>
      </c>
      <c r="K2314" t="inlineStr">
        <is>
          <t>DIL MC40</t>
        </is>
      </c>
      <c r="M2314" t="inlineStr">
        <is>
          <t>-15Q1</t>
        </is>
      </c>
    </row>
    <row r="2315">
      <c r="A2315">
        <v>2314</v>
      </c>
      <c r="B2315">
        <f>GS53</f>
        <v>0</v>
      </c>
      <c r="C2315" t="inlineStr">
        <is>
          <t>+ES01</t>
        </is>
      </c>
      <c r="D2315" t="inlineStr">
        <is>
          <t>-15Q1</t>
        </is>
      </c>
      <c r="E2315" t="inlineStr">
        <is>
          <t>DILMC40(RDC24)</t>
        </is>
      </c>
      <c r="F2315" t="inlineStr">
        <is>
          <t>DILM150-XHIC40</t>
        </is>
      </c>
      <c r="G2315" t="inlineStr">
        <is>
          <t>LASTSCHUETZ</t>
        </is>
      </c>
      <c r="H2315" t="inlineStr">
        <is>
          <t>18,5kW Federzugkl.</t>
        </is>
      </c>
      <c r="I2315">
        <v>215</v>
      </c>
      <c r="J2315">
        <f>GS53/15.7</f>
        <v>0</v>
      </c>
      <c r="K2315" t="inlineStr">
        <is>
          <t>DIL MC40</t>
        </is>
      </c>
      <c r="M2315" t="inlineStr">
        <is>
          <t>-15Q1</t>
        </is>
      </c>
    </row>
    <row r="2316">
      <c r="A2316">
        <v>2315</v>
      </c>
      <c r="B2316">
        <f>GS55</f>
        <v>0</v>
      </c>
      <c r="C2316" t="inlineStr">
        <is>
          <t>+ES01</t>
        </is>
      </c>
      <c r="D2316" t="inlineStr">
        <is>
          <t>-15Q1</t>
        </is>
      </c>
      <c r="E2316" t="inlineStr">
        <is>
          <t>DILM150-XHIC40</t>
        </is>
      </c>
      <c r="F2316" t="inlineStr">
        <is>
          <t>DILM150-XHIC40</t>
        </is>
      </c>
      <c r="G2316" t="inlineStr">
        <is>
          <t>HILFSKONTAKTBLOCK</t>
        </is>
      </c>
      <c r="H2316" t="inlineStr">
        <is>
          <t>4S ab DILMC40</t>
        </is>
      </c>
      <c r="I2316">
        <v>238</v>
      </c>
      <c r="J2316">
        <f>GS55/15.7</f>
        <v>0</v>
      </c>
      <c r="K2316" t="inlineStr">
        <is>
          <t>DIL MC40</t>
        </is>
      </c>
      <c r="M2316" t="inlineStr">
        <is>
          <t>-15Q1</t>
        </is>
      </c>
    </row>
    <row r="2317">
      <c r="A2317">
        <v>2316</v>
      </c>
      <c r="B2317">
        <f>GS55</f>
        <v>0</v>
      </c>
      <c r="C2317" t="inlineStr">
        <is>
          <t>+ES01</t>
        </is>
      </c>
      <c r="D2317" t="inlineStr">
        <is>
          <t>-15Q1</t>
        </is>
      </c>
      <c r="E2317" t="inlineStr">
        <is>
          <t>DILMC40(RDC24)</t>
        </is>
      </c>
      <c r="F2317" t="inlineStr">
        <is>
          <t>DILM150-XHIC40</t>
        </is>
      </c>
      <c r="G2317" t="inlineStr">
        <is>
          <t>LASTSCHUETZ</t>
        </is>
      </c>
      <c r="H2317" t="inlineStr">
        <is>
          <t>18,5kW Federzugkl.</t>
        </is>
      </c>
      <c r="I2317">
        <v>238</v>
      </c>
      <c r="J2317">
        <f>GS55/15.7</f>
        <v>0</v>
      </c>
      <c r="K2317" t="inlineStr">
        <is>
          <t>DIL MC40</t>
        </is>
      </c>
      <c r="M2317" t="inlineStr">
        <is>
          <t>-15Q1</t>
        </is>
      </c>
    </row>
    <row r="2318">
      <c r="A2318">
        <v>2317</v>
      </c>
      <c r="B2318">
        <f>GS69</f>
        <v>0</v>
      </c>
      <c r="C2318" t="inlineStr">
        <is>
          <t>+ES01</t>
        </is>
      </c>
      <c r="D2318" t="inlineStr">
        <is>
          <t>-15Q1</t>
        </is>
      </c>
      <c r="E2318" t="inlineStr">
        <is>
          <t>DILM150-XHIC40</t>
        </is>
      </c>
      <c r="F2318" t="inlineStr">
        <is>
          <t>DILM150-XHIC40</t>
        </is>
      </c>
      <c r="G2318" t="inlineStr">
        <is>
          <t>HILFSKONTAKTBLOCK</t>
        </is>
      </c>
      <c r="H2318" t="inlineStr">
        <is>
          <t>4S ab DILMC40</t>
        </is>
      </c>
      <c r="I2318">
        <v>173</v>
      </c>
      <c r="J2318">
        <f>GS69/15.6</f>
        <v>0</v>
      </c>
      <c r="K2318" t="inlineStr">
        <is>
          <t>DIL MC40</t>
        </is>
      </c>
      <c r="M2318" t="inlineStr">
        <is>
          <t>-15Q1</t>
        </is>
      </c>
    </row>
    <row r="2319">
      <c r="A2319">
        <v>2318</v>
      </c>
      <c r="B2319">
        <f>GS69</f>
        <v>0</v>
      </c>
      <c r="C2319" t="inlineStr">
        <is>
          <t>+ES01</t>
        </is>
      </c>
      <c r="D2319" t="inlineStr">
        <is>
          <t>-15Q1</t>
        </is>
      </c>
      <c r="E2319" t="inlineStr">
        <is>
          <t>DILMC40(RDC24)</t>
        </is>
      </c>
      <c r="F2319" t="inlineStr">
        <is>
          <t>DILM150-XHIC40</t>
        </is>
      </c>
      <c r="G2319" t="inlineStr">
        <is>
          <t>LASTSCHUETZ</t>
        </is>
      </c>
      <c r="H2319" t="inlineStr">
        <is>
          <t>18,5kW Federzugkl.</t>
        </is>
      </c>
      <c r="I2319">
        <v>173</v>
      </c>
      <c r="J2319">
        <f>GS69/15.6</f>
        <v>0</v>
      </c>
      <c r="K2319" t="inlineStr">
        <is>
          <t>DIL MC40</t>
        </is>
      </c>
      <c r="M2319" t="inlineStr">
        <is>
          <t>-15Q1</t>
        </is>
      </c>
    </row>
    <row r="2320">
      <c r="A2320">
        <v>2319</v>
      </c>
      <c r="B2320">
        <f>GS79</f>
        <v>0</v>
      </c>
      <c r="C2320" t="inlineStr">
        <is>
          <t>+ES01</t>
        </is>
      </c>
      <c r="D2320" t="inlineStr">
        <is>
          <t>-15Q1</t>
        </is>
      </c>
      <c r="E2320" t="inlineStr">
        <is>
          <t>DILM-9-10</t>
        </is>
      </c>
      <c r="F2320" t="inlineStr">
        <is>
          <t>#KALK!</t>
        </is>
      </c>
      <c r="G2320" t="inlineStr">
        <is>
          <t>LASTSCHUETZ</t>
        </is>
      </c>
      <c r="H2320" t="inlineStr">
        <is>
          <t>4kW 1S Federzugkl.</t>
        </is>
      </c>
      <c r="I2320">
        <v>166</v>
      </c>
      <c r="J2320">
        <f>GS79/15.5</f>
        <v>0</v>
      </c>
      <c r="M2320" t="inlineStr">
        <is>
          <t>-15Q1</t>
        </is>
      </c>
    </row>
    <row r="2321">
      <c r="A2321">
        <v>2320</v>
      </c>
      <c r="B2321">
        <f>GS7x</f>
        <v>0</v>
      </c>
      <c r="C2321" t="inlineStr">
        <is>
          <t>+ES01</t>
        </is>
      </c>
      <c r="D2321" t="inlineStr">
        <is>
          <t>-15Q1</t>
        </is>
      </c>
      <c r="E2321" t="inlineStr">
        <is>
          <t>DILM-9-10</t>
        </is>
      </c>
      <c r="F2321" t="inlineStr">
        <is>
          <t>#KALK!</t>
        </is>
      </c>
      <c r="G2321" t="inlineStr">
        <is>
          <t>LASTSCHUETZ</t>
        </is>
      </c>
      <c r="H2321" t="inlineStr">
        <is>
          <t>4kW 1S Federzugkl.</t>
        </is>
      </c>
      <c r="I2321">
        <v>190</v>
      </c>
      <c r="J2321">
        <f>GS7x/15.6</f>
        <v>0</v>
      </c>
      <c r="M2321" t="inlineStr">
        <is>
          <t>-15Q1</t>
        </is>
      </c>
    </row>
    <row r="2322">
      <c r="A2322">
        <v>2321</v>
      </c>
      <c r="B2322">
        <f>GS7x</f>
        <v>0</v>
      </c>
      <c r="C2322" t="inlineStr">
        <is>
          <t>+ES01</t>
        </is>
      </c>
      <c r="D2322" t="inlineStr">
        <is>
          <t>-15Q1</t>
        </is>
      </c>
      <c r="E2322" t="inlineStr">
        <is>
          <t>DILM-9-10</t>
        </is>
      </c>
      <c r="F2322" t="inlineStr">
        <is>
          <t>#KALK!</t>
        </is>
      </c>
      <c r="G2322" t="inlineStr">
        <is>
          <t>LASTSCHUETZ</t>
        </is>
      </c>
      <c r="H2322" t="inlineStr">
        <is>
          <t>4kW 1S Federzugkl.</t>
        </is>
      </c>
      <c r="I2322">
        <v>202</v>
      </c>
      <c r="J2322">
        <f>GS7x/15.6</f>
        <v>0</v>
      </c>
      <c r="M2322" t="inlineStr">
        <is>
          <t>-15Q1</t>
        </is>
      </c>
    </row>
    <row r="2323">
      <c r="A2323">
        <v>2322</v>
      </c>
      <c r="B2323">
        <f>GS90</f>
        <v>0</v>
      </c>
      <c r="C2323" t="inlineStr">
        <is>
          <t>+ES02</t>
        </is>
      </c>
      <c r="D2323" t="inlineStr">
        <is>
          <t>-15Q1</t>
        </is>
      </c>
      <c r="E2323" t="inlineStr">
        <is>
          <t>DILMC40(RDC24)</t>
        </is>
      </c>
      <c r="F2323" t="inlineStr">
        <is>
          <t>DILM150-XHIC40</t>
        </is>
      </c>
      <c r="G2323" t="inlineStr">
        <is>
          <t>LASTSCHUETZ</t>
        </is>
      </c>
      <c r="H2323" t="inlineStr">
        <is>
          <t>18,5kW Federzugkl.</t>
        </is>
      </c>
      <c r="I2323">
        <v>155</v>
      </c>
      <c r="J2323">
        <f>GS90/15.7</f>
        <v>0</v>
      </c>
      <c r="K2323" t="inlineStr">
        <is>
          <t>DIL MC40</t>
        </is>
      </c>
      <c r="M2323" t="inlineStr">
        <is>
          <t>-15Q1</t>
        </is>
      </c>
    </row>
    <row r="2324">
      <c r="A2324">
        <v>2323</v>
      </c>
      <c r="B2324">
        <f>GS90</f>
        <v>0</v>
      </c>
      <c r="C2324" t="inlineStr">
        <is>
          <t>+ES02</t>
        </is>
      </c>
      <c r="D2324" t="inlineStr">
        <is>
          <t>-15Q1</t>
        </is>
      </c>
      <c r="E2324" t="inlineStr">
        <is>
          <t>DILM150-XHIC40</t>
        </is>
      </c>
      <c r="F2324" t="inlineStr">
        <is>
          <t>DILM150-XHIC40</t>
        </is>
      </c>
      <c r="G2324" t="inlineStr">
        <is>
          <t>HILFSKONTAKTBLOCK</t>
        </is>
      </c>
      <c r="H2324" t="inlineStr">
        <is>
          <t>4S ab DILMC40</t>
        </is>
      </c>
      <c r="I2324">
        <v>155</v>
      </c>
      <c r="J2324">
        <f>GS90/15.7</f>
        <v>0</v>
      </c>
      <c r="K2324" t="inlineStr">
        <is>
          <t>DIL MC40</t>
        </is>
      </c>
      <c r="M2324" t="inlineStr">
        <is>
          <t>-15Q1</t>
        </is>
      </c>
    </row>
    <row r="2325">
      <c r="A2325">
        <v>2324</v>
      </c>
      <c r="B2325">
        <f>GS91</f>
        <v>0</v>
      </c>
      <c r="C2325" t="inlineStr">
        <is>
          <t>+ES02</t>
        </is>
      </c>
      <c r="D2325" t="inlineStr">
        <is>
          <t>-15Q1</t>
        </is>
      </c>
      <c r="E2325" t="inlineStr">
        <is>
          <t>DILMC40(RDC24)</t>
        </is>
      </c>
      <c r="F2325" t="inlineStr">
        <is>
          <t>DILM150-XHIC40</t>
        </is>
      </c>
      <c r="G2325" t="inlineStr">
        <is>
          <t>LASTSCHUETZ</t>
        </is>
      </c>
      <c r="H2325" t="inlineStr">
        <is>
          <t>18,5kW Federzugkl.</t>
        </is>
      </c>
      <c r="I2325">
        <v>156</v>
      </c>
      <c r="J2325">
        <f>GS91/15.7</f>
        <v>0</v>
      </c>
      <c r="K2325" t="inlineStr">
        <is>
          <t>DIL MC40</t>
        </is>
      </c>
      <c r="M2325" t="inlineStr">
        <is>
          <t>-15Q1</t>
        </is>
      </c>
    </row>
    <row r="2326">
      <c r="A2326">
        <v>2325</v>
      </c>
      <c r="B2326">
        <f>GS91</f>
        <v>0</v>
      </c>
      <c r="C2326" t="inlineStr">
        <is>
          <t>+ES02</t>
        </is>
      </c>
      <c r="D2326" t="inlineStr">
        <is>
          <t>-15Q1</t>
        </is>
      </c>
      <c r="E2326" t="inlineStr">
        <is>
          <t>DILM150-XHIC40</t>
        </is>
      </c>
      <c r="F2326" t="inlineStr">
        <is>
          <t>DILM150-XHIC40</t>
        </is>
      </c>
      <c r="G2326" t="inlineStr">
        <is>
          <t>HILFSKONTAKTBLOCK</t>
        </is>
      </c>
      <c r="H2326" t="inlineStr">
        <is>
          <t>4S ab DILMC40</t>
        </is>
      </c>
      <c r="I2326">
        <v>156</v>
      </c>
      <c r="J2326">
        <f>GS91/15.7</f>
        <v>0</v>
      </c>
      <c r="K2326" t="inlineStr">
        <is>
          <t>DIL MC40</t>
        </is>
      </c>
      <c r="M2326" t="inlineStr">
        <is>
          <t>-15Q1</t>
        </is>
      </c>
    </row>
    <row r="2327">
      <c r="A2327">
        <v>2326</v>
      </c>
      <c r="B2327">
        <f>GS92</f>
        <v>0</v>
      </c>
      <c r="C2327" t="inlineStr">
        <is>
          <t>+ES02</t>
        </is>
      </c>
      <c r="D2327" t="inlineStr">
        <is>
          <t>-15Q1</t>
        </is>
      </c>
      <c r="E2327" t="inlineStr">
        <is>
          <t>DILMC40(RDC24)</t>
        </is>
      </c>
      <c r="F2327" t="inlineStr">
        <is>
          <t>DILM150-XHIC40</t>
        </is>
      </c>
      <c r="G2327" t="inlineStr">
        <is>
          <t>LASTSCHUETZ</t>
        </is>
      </c>
      <c r="H2327" t="inlineStr">
        <is>
          <t>18,5kW Federzugkl.</t>
        </is>
      </c>
      <c r="I2327">
        <v>155</v>
      </c>
      <c r="J2327">
        <f>GS92/15.7</f>
        <v>0</v>
      </c>
      <c r="K2327" t="inlineStr">
        <is>
          <t>DIL MC40</t>
        </is>
      </c>
      <c r="M2327" t="inlineStr">
        <is>
          <t>-15Q1</t>
        </is>
      </c>
    </row>
    <row r="2328">
      <c r="A2328">
        <v>2327</v>
      </c>
      <c r="B2328">
        <f>GS92</f>
        <v>0</v>
      </c>
      <c r="C2328" t="inlineStr">
        <is>
          <t>+ES02</t>
        </is>
      </c>
      <c r="D2328" t="inlineStr">
        <is>
          <t>-15Q1</t>
        </is>
      </c>
      <c r="E2328" t="inlineStr">
        <is>
          <t>DILM150-XHIC40</t>
        </is>
      </c>
      <c r="F2328" t="inlineStr">
        <is>
          <t>DILM150-XHIC40</t>
        </is>
      </c>
      <c r="G2328" t="inlineStr">
        <is>
          <t>HILFSKONTAKTBLOCK</t>
        </is>
      </c>
      <c r="H2328" t="inlineStr">
        <is>
          <t>4S ab DILMC40</t>
        </is>
      </c>
      <c r="I2328">
        <v>155</v>
      </c>
      <c r="J2328">
        <f>GS92/15.7</f>
        <v>0</v>
      </c>
      <c r="K2328" t="inlineStr">
        <is>
          <t>DIL MC40</t>
        </is>
      </c>
      <c r="M2328" t="inlineStr">
        <is>
          <t>-15Q1</t>
        </is>
      </c>
    </row>
    <row r="2329">
      <c r="A2329">
        <v>2328</v>
      </c>
      <c r="B2329">
        <f>GS93</f>
        <v>0</v>
      </c>
      <c r="C2329" t="inlineStr">
        <is>
          <t>+ES02</t>
        </is>
      </c>
      <c r="D2329" t="inlineStr">
        <is>
          <t>-15Q1</t>
        </is>
      </c>
      <c r="E2329" t="inlineStr">
        <is>
          <t>DILMC40(RDC24)</t>
        </is>
      </c>
      <c r="F2329" t="inlineStr">
        <is>
          <t>DILM150-XHIC40</t>
        </is>
      </c>
      <c r="G2329" t="inlineStr">
        <is>
          <t>LASTSCHUETZ</t>
        </is>
      </c>
      <c r="H2329" t="inlineStr">
        <is>
          <t>18,5kW Federzugkl.</t>
        </is>
      </c>
      <c r="I2329">
        <v>579</v>
      </c>
      <c r="J2329">
        <f>GS93/15.7</f>
        <v>0</v>
      </c>
      <c r="K2329" t="inlineStr">
        <is>
          <t>DIL MC40</t>
        </is>
      </c>
      <c r="M2329" t="inlineStr">
        <is>
          <t>-15Q1</t>
        </is>
      </c>
    </row>
    <row r="2330">
      <c r="A2330">
        <v>2329</v>
      </c>
      <c r="B2330">
        <f>GS93</f>
        <v>0</v>
      </c>
      <c r="C2330" t="inlineStr">
        <is>
          <t>+ES02</t>
        </is>
      </c>
      <c r="D2330" t="inlineStr">
        <is>
          <t>-15Q1</t>
        </is>
      </c>
      <c r="E2330" t="inlineStr">
        <is>
          <t>DILM150-XHIC40</t>
        </is>
      </c>
      <c r="F2330" t="inlineStr">
        <is>
          <t>DILM150-XHIC40</t>
        </is>
      </c>
      <c r="G2330" t="inlineStr">
        <is>
          <t>HILFSKONTAKTBLOCK</t>
        </is>
      </c>
      <c r="H2330" t="inlineStr">
        <is>
          <t>4S ab DILMC40</t>
        </is>
      </c>
      <c r="I2330">
        <v>579</v>
      </c>
      <c r="J2330">
        <f>GS93/15.7</f>
        <v>0</v>
      </c>
      <c r="K2330" t="inlineStr">
        <is>
          <t>DIL MC40</t>
        </is>
      </c>
      <c r="M2330" t="inlineStr">
        <is>
          <t>-15Q1</t>
        </is>
      </c>
    </row>
    <row r="2331">
      <c r="A2331">
        <v>2330</v>
      </c>
      <c r="B2331">
        <f>GS94</f>
        <v>0</v>
      </c>
      <c r="C2331" t="inlineStr">
        <is>
          <t>+ES02</t>
        </is>
      </c>
      <c r="D2331" t="inlineStr">
        <is>
          <t>-15Q1</t>
        </is>
      </c>
      <c r="E2331" t="inlineStr">
        <is>
          <t>DILM150-XHIC40</t>
        </is>
      </c>
      <c r="F2331" t="inlineStr">
        <is>
          <t>DILM150-XHIC40</t>
        </is>
      </c>
      <c r="G2331" t="inlineStr">
        <is>
          <t>HILFSKONTAKTBLOCK</t>
        </is>
      </c>
      <c r="H2331" t="inlineStr">
        <is>
          <t>4S ab DILMC40</t>
        </is>
      </c>
      <c r="I2331">
        <v>163</v>
      </c>
      <c r="J2331">
        <f>GS94/15.7</f>
        <v>0</v>
      </c>
      <c r="K2331" t="inlineStr">
        <is>
          <t>DIL MC40</t>
        </is>
      </c>
      <c r="M2331" t="inlineStr">
        <is>
          <t>-15Q1</t>
        </is>
      </c>
    </row>
    <row r="2332">
      <c r="A2332">
        <v>2331</v>
      </c>
      <c r="B2332">
        <f>GS94</f>
        <v>0</v>
      </c>
      <c r="C2332" t="inlineStr">
        <is>
          <t>+ES02</t>
        </is>
      </c>
      <c r="D2332" t="inlineStr">
        <is>
          <t>-15Q1</t>
        </is>
      </c>
      <c r="E2332" t="inlineStr">
        <is>
          <t>DILMC40(RDC24)</t>
        </is>
      </c>
      <c r="F2332" t="inlineStr">
        <is>
          <t>DILM150-XHIC40</t>
        </is>
      </c>
      <c r="G2332" t="inlineStr">
        <is>
          <t>LASTSCHUETZ</t>
        </is>
      </c>
      <c r="H2332" t="inlineStr">
        <is>
          <t>18,5kW Federzugkl.</t>
        </is>
      </c>
      <c r="I2332">
        <v>163</v>
      </c>
      <c r="J2332">
        <f>GS94/15.7</f>
        <v>0</v>
      </c>
      <c r="K2332" t="inlineStr">
        <is>
          <t>DIL MC40</t>
        </is>
      </c>
      <c r="M2332" t="inlineStr">
        <is>
          <t>-15Q1</t>
        </is>
      </c>
    </row>
    <row r="2333">
      <c r="A2333">
        <v>2332</v>
      </c>
      <c r="B2333">
        <f>GS95</f>
        <v>0</v>
      </c>
      <c r="C2333" t="inlineStr">
        <is>
          <t>+ES02</t>
        </is>
      </c>
      <c r="D2333" t="inlineStr">
        <is>
          <t>-15Q1</t>
        </is>
      </c>
      <c r="E2333" t="inlineStr">
        <is>
          <t>DILM150-XHIC40</t>
        </is>
      </c>
      <c r="F2333" t="inlineStr">
        <is>
          <t>DILM150-XHIC40</t>
        </is>
      </c>
      <c r="G2333" t="inlineStr">
        <is>
          <t>HILFSKONTAKTBLOCK</t>
        </is>
      </c>
      <c r="H2333" t="inlineStr">
        <is>
          <t>4S ab DILMC40</t>
        </is>
      </c>
      <c r="I2333">
        <v>163</v>
      </c>
      <c r="J2333">
        <f>GS95/15.7</f>
        <v>0</v>
      </c>
      <c r="K2333" t="inlineStr">
        <is>
          <t>DIL MC40</t>
        </is>
      </c>
      <c r="M2333" t="inlineStr">
        <is>
          <t>-15Q1</t>
        </is>
      </c>
    </row>
    <row r="2334">
      <c r="A2334">
        <v>2333</v>
      </c>
      <c r="B2334">
        <f>GS95</f>
        <v>0</v>
      </c>
      <c r="C2334" t="inlineStr">
        <is>
          <t>+ES02</t>
        </is>
      </c>
      <c r="D2334" t="inlineStr">
        <is>
          <t>-15Q1</t>
        </is>
      </c>
      <c r="E2334" t="inlineStr">
        <is>
          <t>DILMC40(RDC24)</t>
        </is>
      </c>
      <c r="F2334" t="inlineStr">
        <is>
          <t>DILM150-XHIC40</t>
        </is>
      </c>
      <c r="G2334" t="inlineStr">
        <is>
          <t>LASTSCHUETZ</t>
        </is>
      </c>
      <c r="H2334" t="inlineStr">
        <is>
          <t>18,5kW Federzugkl.</t>
        </is>
      </c>
      <c r="I2334">
        <v>163</v>
      </c>
      <c r="J2334">
        <f>GS95/15.7</f>
        <v>0</v>
      </c>
      <c r="K2334" t="inlineStr">
        <is>
          <t>DIL MC40</t>
        </is>
      </c>
      <c r="M2334" t="inlineStr">
        <is>
          <t>-15Q1</t>
        </is>
      </c>
    </row>
    <row r="2335">
      <c r="A2335">
        <v>2334</v>
      </c>
      <c r="B2335">
        <f>GS96</f>
        <v>0</v>
      </c>
      <c r="C2335" t="inlineStr">
        <is>
          <t>+ES02</t>
        </is>
      </c>
      <c r="D2335" t="inlineStr">
        <is>
          <t>-15Q1</t>
        </is>
      </c>
      <c r="E2335" t="inlineStr">
        <is>
          <t>DILMC40(RDC24)</t>
        </is>
      </c>
      <c r="F2335" t="inlineStr">
        <is>
          <t>DILM150-XHIC40</t>
        </is>
      </c>
      <c r="G2335" t="inlineStr">
        <is>
          <t>LASTSCHUETZ</t>
        </is>
      </c>
      <c r="H2335" t="inlineStr">
        <is>
          <t>18,5kW Federzugkl.</t>
        </is>
      </c>
      <c r="I2335">
        <v>163</v>
      </c>
      <c r="J2335">
        <f>GS96/15.7</f>
        <v>0</v>
      </c>
      <c r="K2335" t="inlineStr">
        <is>
          <t>DIL MC40</t>
        </is>
      </c>
      <c r="M2335" t="inlineStr">
        <is>
          <t>-15Q1</t>
        </is>
      </c>
    </row>
    <row r="2336">
      <c r="A2336">
        <v>2335</v>
      </c>
      <c r="B2336">
        <f>GS96</f>
        <v>0</v>
      </c>
      <c r="C2336" t="inlineStr">
        <is>
          <t>+ES02</t>
        </is>
      </c>
      <c r="D2336" t="inlineStr">
        <is>
          <t>-15Q1</t>
        </is>
      </c>
      <c r="E2336" t="inlineStr">
        <is>
          <t>DILM150-XHIC40</t>
        </is>
      </c>
      <c r="F2336" t="inlineStr">
        <is>
          <t>DILM150-XHIC40</t>
        </is>
      </c>
      <c r="G2336" t="inlineStr">
        <is>
          <t>HILFSKONTAKTBLOCK</t>
        </is>
      </c>
      <c r="H2336" t="inlineStr">
        <is>
          <t>4S ab DILMC40</t>
        </is>
      </c>
      <c r="I2336">
        <v>163</v>
      </c>
      <c r="J2336">
        <f>GS96/15.7</f>
        <v>0</v>
      </c>
      <c r="K2336" t="inlineStr">
        <is>
          <t>DIL MC40</t>
        </is>
      </c>
      <c r="M2336" t="inlineStr">
        <is>
          <t>-15Q1</t>
        </is>
      </c>
    </row>
    <row r="2337">
      <c r="A2337">
        <v>2336</v>
      </c>
      <c r="B2337">
        <f>GS97</f>
        <v>0</v>
      </c>
      <c r="C2337" t="inlineStr">
        <is>
          <t>+ES02</t>
        </is>
      </c>
      <c r="D2337" t="inlineStr">
        <is>
          <t>-15Q1</t>
        </is>
      </c>
      <c r="E2337" t="inlineStr">
        <is>
          <t>DILMC40(RDC24)</t>
        </is>
      </c>
      <c r="F2337" t="inlineStr">
        <is>
          <t>DILM150-XHIC40</t>
        </is>
      </c>
      <c r="G2337" t="inlineStr">
        <is>
          <t>LASTSCHUETZ</t>
        </is>
      </c>
      <c r="H2337" t="inlineStr">
        <is>
          <t>18,5kW Federzugkl.</t>
        </is>
      </c>
      <c r="I2337">
        <v>163</v>
      </c>
      <c r="J2337">
        <f>GS97/15.7</f>
        <v>0</v>
      </c>
      <c r="K2337" t="inlineStr">
        <is>
          <t>DIL MC40</t>
        </is>
      </c>
      <c r="M2337" t="inlineStr">
        <is>
          <t>-15Q1</t>
        </is>
      </c>
    </row>
    <row r="2338">
      <c r="A2338">
        <v>2337</v>
      </c>
      <c r="B2338">
        <f>GS97</f>
        <v>0</v>
      </c>
      <c r="C2338" t="inlineStr">
        <is>
          <t>+ES02</t>
        </is>
      </c>
      <c r="D2338" t="inlineStr">
        <is>
          <t>-15Q1</t>
        </is>
      </c>
      <c r="E2338" t="inlineStr">
        <is>
          <t>DILM150-XHIC40</t>
        </is>
      </c>
      <c r="F2338" t="inlineStr">
        <is>
          <t>DILM150-XHIC40</t>
        </is>
      </c>
      <c r="G2338" t="inlineStr">
        <is>
          <t>HILFSKONTAKTBLOCK</t>
        </is>
      </c>
      <c r="H2338" t="inlineStr">
        <is>
          <t>4S ab DILMC40</t>
        </is>
      </c>
      <c r="I2338">
        <v>163</v>
      </c>
      <c r="J2338">
        <f>GS97/15.7</f>
        <v>0</v>
      </c>
      <c r="K2338" t="inlineStr">
        <is>
          <t>DIL MC40</t>
        </is>
      </c>
      <c r="M2338" t="inlineStr">
        <is>
          <t>-15Q1</t>
        </is>
      </c>
    </row>
    <row r="2339">
      <c r="A2339">
        <v>2338</v>
      </c>
      <c r="B2339">
        <f>GS67</f>
        <v>0</v>
      </c>
      <c r="C2339" t="inlineStr">
        <is>
          <t>+LS[ll]</t>
        </is>
      </c>
      <c r="D2339" t="inlineStr">
        <is>
          <t>-15Q2</t>
        </is>
      </c>
      <c r="E2339" t="inlineStr">
        <is>
          <t>DILM-9-10</t>
        </is>
      </c>
      <c r="F2339" t="inlineStr">
        <is>
          <t>DILA-XHI22</t>
        </is>
      </c>
      <c r="G2339" t="inlineStr">
        <is>
          <t>LASTSCHUETZ</t>
        </is>
      </c>
      <c r="H2339" t="inlineStr">
        <is>
          <t>4kW 1S Federzugkl.</t>
        </is>
      </c>
      <c r="I2339">
        <v>159</v>
      </c>
      <c r="J2339">
        <f>GS67/15.6</f>
        <v>0</v>
      </c>
      <c r="M2339" t="inlineStr">
        <is>
          <t>-15Q2</t>
        </is>
      </c>
    </row>
    <row r="2340">
      <c r="A2340">
        <v>2339</v>
      </c>
      <c r="B2340">
        <f>GS67</f>
        <v>0</v>
      </c>
      <c r="C2340" t="inlineStr">
        <is>
          <t>+LS</t>
        </is>
      </c>
      <c r="D2340" t="inlineStr">
        <is>
          <t>-15Q2</t>
        </is>
      </c>
      <c r="E2340" t="inlineStr">
        <is>
          <t>DILM-9-10</t>
        </is>
      </c>
      <c r="F2340" t="inlineStr">
        <is>
          <t>DILA-XHI22</t>
        </is>
      </c>
      <c r="G2340" t="inlineStr">
        <is>
          <t>LASTSCHUETZ</t>
        </is>
      </c>
      <c r="H2340" t="inlineStr">
        <is>
          <t>4kW 1S Federzugkl.</t>
        </is>
      </c>
      <c r="I2340">
        <v>159</v>
      </c>
      <c r="J2340">
        <f>GS67/15.6</f>
        <v>0</v>
      </c>
      <c r="M2340" t="inlineStr">
        <is>
          <t>-15Q2</t>
        </is>
      </c>
    </row>
    <row r="2341">
      <c r="A2341">
        <v>2340</v>
      </c>
      <c r="B2341">
        <f>GS67</f>
        <v>0</v>
      </c>
      <c r="C2341" t="inlineStr">
        <is>
          <t>+LS</t>
        </is>
      </c>
      <c r="D2341" t="inlineStr">
        <is>
          <t>-15Q2</t>
        </is>
      </c>
      <c r="E2341" t="inlineStr">
        <is>
          <t>DILA-XHI22</t>
        </is>
      </c>
      <c r="F2341" t="inlineStr">
        <is>
          <t>DILA-XHI22</t>
        </is>
      </c>
      <c r="G2341" t="inlineStr">
        <is>
          <t>HILFSKONTAKTBLOCK</t>
        </is>
      </c>
      <c r="H2341" t="inlineStr">
        <is>
          <t>2S 2OE Last+Hilfssch. Cage</t>
        </is>
      </c>
      <c r="I2341">
        <v>159</v>
      </c>
      <c r="J2341">
        <f>GS67/15.6</f>
        <v>0</v>
      </c>
      <c r="M2341" t="inlineStr">
        <is>
          <t>-15Q2</t>
        </is>
      </c>
    </row>
    <row r="2342">
      <c r="A2342">
        <v>2341</v>
      </c>
      <c r="B2342">
        <f>GS67</f>
        <v>0</v>
      </c>
      <c r="C2342" t="inlineStr">
        <is>
          <t>+LS[ll]</t>
        </is>
      </c>
      <c r="D2342" t="inlineStr">
        <is>
          <t>-15Q2</t>
        </is>
      </c>
      <c r="E2342" t="inlineStr">
        <is>
          <t>DILA-XHI22</t>
        </is>
      </c>
      <c r="F2342" t="inlineStr">
        <is>
          <t>DILA-XHI22</t>
        </is>
      </c>
      <c r="G2342" t="inlineStr">
        <is>
          <t>HILFSKONTAKTBLOCK</t>
        </is>
      </c>
      <c r="H2342" t="inlineStr">
        <is>
          <t>2S 2OE Last+Hilfssch. Cage</t>
        </is>
      </c>
      <c r="I2342">
        <v>159</v>
      </c>
      <c r="J2342">
        <f>GS67/15.6</f>
        <v>0</v>
      </c>
      <c r="M2342" t="inlineStr">
        <is>
          <t>-15Q2</t>
        </is>
      </c>
    </row>
    <row r="2343">
      <c r="A2343">
        <v>2342</v>
      </c>
      <c r="B2343">
        <f>GS79</f>
        <v>0</v>
      </c>
      <c r="C2343" t="inlineStr">
        <is>
          <t>+ES01</t>
        </is>
      </c>
      <c r="D2343" t="inlineStr">
        <is>
          <t>-15Q2</t>
        </is>
      </c>
      <c r="E2343" t="inlineStr">
        <is>
          <t>DILM-9-10</t>
        </is>
      </c>
      <c r="F2343" t="inlineStr">
        <is>
          <t>#KALK!</t>
        </is>
      </c>
      <c r="G2343" t="inlineStr">
        <is>
          <t>LASTSCHUETZ</t>
        </is>
      </c>
      <c r="H2343" t="inlineStr">
        <is>
          <t>4kW 1S Federzugkl.</t>
        </is>
      </c>
      <c r="I2343">
        <v>166</v>
      </c>
      <c r="J2343">
        <f>GS79/15.6</f>
        <v>0</v>
      </c>
      <c r="M2343" t="inlineStr">
        <is>
          <t>-15Q2</t>
        </is>
      </c>
    </row>
    <row r="2344">
      <c r="A2344">
        <v>2343</v>
      </c>
      <c r="B2344">
        <f>GS79</f>
        <v>0</v>
      </c>
      <c r="C2344" t="inlineStr">
        <is>
          <t>+ES01</t>
        </is>
      </c>
      <c r="D2344" t="inlineStr">
        <is>
          <t>-15Q4.0</t>
        </is>
      </c>
      <c r="E2344" t="inlineStr">
        <is>
          <t>DILM-9-10</t>
        </is>
      </c>
      <c r="F2344" t="inlineStr">
        <is>
          <t>DILA-XHI22</t>
        </is>
      </c>
      <c r="G2344" t="inlineStr">
        <is>
          <t>LASTSCHUETZ</t>
        </is>
      </c>
      <c r="H2344" t="inlineStr">
        <is>
          <t>4kW 1S Federzugkl.</t>
        </is>
      </c>
      <c r="I2344">
        <v>166</v>
      </c>
      <c r="J2344">
        <f>GS79/15.4</f>
        <v>0</v>
      </c>
      <c r="M2344" t="inlineStr">
        <is>
          <t>-15Q4.0</t>
        </is>
      </c>
    </row>
    <row r="2345">
      <c r="A2345">
        <v>2344</v>
      </c>
      <c r="B2345">
        <f>GS79</f>
        <v>0</v>
      </c>
      <c r="C2345" t="inlineStr">
        <is>
          <t>+ES01</t>
        </is>
      </c>
      <c r="D2345" t="inlineStr">
        <is>
          <t>-15Q4.0</t>
        </is>
      </c>
      <c r="E2345" t="inlineStr">
        <is>
          <t>DILA-XHI22</t>
        </is>
      </c>
      <c r="F2345" t="inlineStr">
        <is>
          <t>DILA-XHI22</t>
        </is>
      </c>
      <c r="G2345" t="inlineStr">
        <is>
          <t>HILFSKONTAKTBLOCK</t>
        </is>
      </c>
      <c r="H2345" t="inlineStr">
        <is>
          <t>2S 2OE Last+Hilfssch. Cage</t>
        </is>
      </c>
      <c r="I2345">
        <v>166</v>
      </c>
      <c r="J2345">
        <f>GS79/15.4</f>
        <v>0</v>
      </c>
      <c r="M2345" t="inlineStr">
        <is>
          <t>-15Q4.0</t>
        </is>
      </c>
    </row>
    <row r="2346">
      <c r="A2346">
        <v>2345</v>
      </c>
      <c r="B2346">
        <f>GS7x</f>
        <v>0</v>
      </c>
      <c r="C2346" t="inlineStr">
        <is>
          <t>+ES01</t>
        </is>
      </c>
      <c r="D2346" t="inlineStr">
        <is>
          <t>-15Q4.0</t>
        </is>
      </c>
      <c r="E2346" t="inlineStr">
        <is>
          <t>DILM-9-10</t>
        </is>
      </c>
      <c r="F2346" t="inlineStr">
        <is>
          <t>#ÜBERLAUF!</t>
        </is>
      </c>
      <c r="G2346" t="inlineStr">
        <is>
          <t>LASTSCHUETZ</t>
        </is>
      </c>
      <c r="H2346" t="inlineStr">
        <is>
          <t>4kW 1S Federzugkl.</t>
        </is>
      </c>
      <c r="I2346">
        <v>190</v>
      </c>
      <c r="J2346">
        <f>GS7x/15.5</f>
        <v>0</v>
      </c>
      <c r="M2346" t="inlineStr">
        <is>
          <t>-15Q4.0</t>
        </is>
      </c>
    </row>
    <row r="2347">
      <c r="A2347">
        <v>2346</v>
      </c>
      <c r="B2347">
        <f>GS7x</f>
        <v>0</v>
      </c>
      <c r="C2347" t="inlineStr">
        <is>
          <t>+ES01</t>
        </is>
      </c>
      <c r="D2347" t="inlineStr">
        <is>
          <t>-15Q4.0</t>
        </is>
      </c>
      <c r="E2347" t="inlineStr">
        <is>
          <t>DILM-9-10</t>
        </is>
      </c>
      <c r="F2347" t="inlineStr">
        <is>
          <t>#ÜBERLAUF!</t>
        </is>
      </c>
      <c r="G2347" t="inlineStr">
        <is>
          <t>LASTSCHUETZ</t>
        </is>
      </c>
      <c r="H2347" t="inlineStr">
        <is>
          <t>4kW 1S Federzugkl.</t>
        </is>
      </c>
      <c r="I2347">
        <v>202</v>
      </c>
      <c r="J2347">
        <f>GS7x/15.5</f>
        <v>0</v>
      </c>
      <c r="M2347" t="inlineStr">
        <is>
          <t>-15Q4.0</t>
        </is>
      </c>
    </row>
    <row r="2348">
      <c r="A2348">
        <v>2347</v>
      </c>
      <c r="B2348">
        <f>GS7x</f>
        <v>0</v>
      </c>
      <c r="C2348" t="inlineStr">
        <is>
          <t>+ES01</t>
        </is>
      </c>
      <c r="D2348" t="inlineStr">
        <is>
          <t>-15Q4.0</t>
        </is>
      </c>
      <c r="E2348" t="inlineStr">
        <is>
          <t>DILA-XHI22</t>
        </is>
      </c>
      <c r="F2348" t="inlineStr">
        <is>
          <t>#ÜBERLAUF!</t>
        </is>
      </c>
      <c r="G2348" t="inlineStr">
        <is>
          <t>HILFSKONTAKTBLOCK</t>
        </is>
      </c>
      <c r="H2348" t="inlineStr">
        <is>
          <t>2S 2OE Last+Hilfssch. Cage</t>
        </is>
      </c>
      <c r="I2348">
        <v>202</v>
      </c>
      <c r="J2348">
        <f>GS7x/15.5</f>
        <v>0</v>
      </c>
      <c r="M2348" t="inlineStr">
        <is>
          <t>-15Q4.0</t>
        </is>
      </c>
    </row>
    <row r="2349">
      <c r="A2349">
        <v>2348</v>
      </c>
      <c r="B2349">
        <f>GS7x</f>
        <v>0</v>
      </c>
      <c r="C2349" t="inlineStr">
        <is>
          <t>+ES01</t>
        </is>
      </c>
      <c r="D2349" t="inlineStr">
        <is>
          <t>-15Q4.0</t>
        </is>
      </c>
      <c r="E2349" t="inlineStr">
        <is>
          <t>DILA-XHI22</t>
        </is>
      </c>
      <c r="F2349" t="inlineStr">
        <is>
          <t>#ÜBERLAUF!</t>
        </is>
      </c>
      <c r="G2349" t="inlineStr">
        <is>
          <t>HILFSKONTAKTBLOCK</t>
        </is>
      </c>
      <c r="H2349" t="inlineStr">
        <is>
          <t>2S 2OE Last+Hilfssch. Cage</t>
        </is>
      </c>
      <c r="I2349">
        <v>190</v>
      </c>
      <c r="J2349">
        <f>GS7x/15.5</f>
        <v>0</v>
      </c>
      <c r="M2349" t="inlineStr">
        <is>
          <t>-15Q4.0</t>
        </is>
      </c>
    </row>
    <row r="2350">
      <c r="A2350">
        <v>2349</v>
      </c>
      <c r="B2350">
        <f>GS55</f>
        <v>0</v>
      </c>
      <c r="C2350" t="inlineStr">
        <is>
          <t>+LS26</t>
        </is>
      </c>
      <c r="D2350" t="inlineStr">
        <is>
          <t>-1605Q1</t>
        </is>
      </c>
      <c r="E2350" t="inlineStr">
        <is>
          <t>DILA-XHI22</t>
        </is>
      </c>
      <c r="F2350" t="inlineStr">
        <is>
          <t>DILA-XHI22</t>
        </is>
      </c>
      <c r="G2350" t="inlineStr">
        <is>
          <t>HILFSKONTAKTBLOCK</t>
        </is>
      </c>
      <c r="H2350" t="inlineStr">
        <is>
          <t>2S 2OE Last+Hilfssch. Cage</t>
        </is>
      </c>
      <c r="I2350">
        <v>1802</v>
      </c>
      <c r="J2350">
        <f>GS55/1605.6</f>
        <v>0</v>
      </c>
      <c r="K2350" t="inlineStr">
        <is>
          <t>DIL MC25</t>
        </is>
      </c>
      <c r="M2350" t="inlineStr">
        <is>
          <t>-1605Q1</t>
        </is>
      </c>
    </row>
    <row r="2351">
      <c r="A2351">
        <v>2350</v>
      </c>
      <c r="B2351">
        <f>GS55</f>
        <v>0</v>
      </c>
      <c r="C2351" t="inlineStr">
        <is>
          <t>+LS26</t>
        </is>
      </c>
      <c r="D2351" t="inlineStr">
        <is>
          <t>-1605Q1</t>
        </is>
      </c>
      <c r="E2351" t="inlineStr">
        <is>
          <t>DILMC25-10(RDC24)</t>
        </is>
      </c>
      <c r="F2351" t="inlineStr">
        <is>
          <t>DILA-XHI22</t>
        </is>
      </c>
      <c r="G2351" t="inlineStr">
        <is>
          <t>LASTSCHUETZ</t>
        </is>
      </c>
      <c r="H2351" t="inlineStr">
        <is>
          <t>11kW 1S Federzugkl.</t>
        </is>
      </c>
      <c r="I2351">
        <v>1802</v>
      </c>
      <c r="J2351">
        <f>GS55/1605.6</f>
        <v>0</v>
      </c>
      <c r="K2351" t="inlineStr">
        <is>
          <t>DIL MC25</t>
        </is>
      </c>
      <c r="M2351" t="inlineStr">
        <is>
          <t>-1605Q1</t>
        </is>
      </c>
    </row>
    <row r="2352">
      <c r="A2352">
        <v>2351</v>
      </c>
      <c r="B2352">
        <f>GS55</f>
        <v>0</v>
      </c>
      <c r="C2352" t="inlineStr">
        <is>
          <t>+LS26</t>
        </is>
      </c>
      <c r="D2352" t="inlineStr">
        <is>
          <t>-1607Q1629.1</t>
        </is>
      </c>
      <c r="E2352" t="inlineStr">
        <is>
          <t>DILM-9-10</t>
        </is>
      </c>
      <c r="F2352" t="inlineStr">
        <is>
          <t>#KALK!</t>
        </is>
      </c>
      <c r="G2352" t="inlineStr">
        <is>
          <t>LASTSCHUETZ</t>
        </is>
      </c>
      <c r="H2352" t="inlineStr">
        <is>
          <t>4kW 1S Federzugkl.</t>
        </is>
      </c>
      <c r="I2352">
        <v>1803</v>
      </c>
      <c r="J2352">
        <f>GS55/1607.6</f>
        <v>0</v>
      </c>
      <c r="K2352" t="inlineStr">
        <is>
          <t>DIL MC9</t>
        </is>
      </c>
      <c r="M2352" t="inlineStr">
        <is>
          <t>-1607Q1629.1</t>
        </is>
      </c>
    </row>
    <row r="2353">
      <c r="A2353">
        <v>2352</v>
      </c>
      <c r="B2353">
        <f>GS35</f>
        <v>0</v>
      </c>
      <c r="C2353" t="inlineStr">
        <is>
          <t>+LS02</t>
        </is>
      </c>
      <c r="D2353" t="inlineStr">
        <is>
          <t>-160K1</t>
        </is>
      </c>
      <c r="E2353" t="inlineStr">
        <is>
          <t>DILA-40</t>
        </is>
      </c>
      <c r="F2353" t="inlineStr">
        <is>
          <t>#KALK!</t>
        </is>
      </c>
      <c r="G2353" t="inlineStr">
        <is>
          <t>HILFSSCHUETZ</t>
        </is>
      </c>
      <c r="H2353" t="inlineStr">
        <is>
          <t>4S Federzugkl.</t>
        </is>
      </c>
      <c r="I2353">
        <v>140</v>
      </c>
      <c r="J2353">
        <f>GS35/160.6</f>
        <v>0</v>
      </c>
      <c r="M2353" t="inlineStr">
        <is>
          <t>-160K1</t>
        </is>
      </c>
    </row>
    <row r="2354">
      <c r="A2354">
        <v>2353</v>
      </c>
      <c r="B2354">
        <f>GS36</f>
        <v>0</v>
      </c>
      <c r="C2354" t="inlineStr">
        <is>
          <t>+LS02</t>
        </is>
      </c>
      <c r="D2354" t="inlineStr">
        <is>
          <t>-160K2</t>
        </is>
      </c>
      <c r="E2354" t="inlineStr">
        <is>
          <t>DILM-9-01</t>
        </is>
      </c>
      <c r="F2354" t="inlineStr">
        <is>
          <t>#KALK!</t>
        </is>
      </c>
      <c r="G2354" t="inlineStr">
        <is>
          <t>LASTSCHUETZ</t>
        </is>
      </c>
      <c r="H2354" t="inlineStr">
        <is>
          <t>4kW 1Oe Federzugkl.</t>
        </is>
      </c>
      <c r="I2354">
        <v>333</v>
      </c>
      <c r="J2354">
        <f>GS36/160.7</f>
        <v>0</v>
      </c>
      <c r="L2354" t="inlineStr">
        <is>
          <t>Lichtvorhang KF</t>
        </is>
      </c>
      <c r="M2354" t="inlineStr">
        <is>
          <t>Lichtvorhang KF
-160K2</t>
        </is>
      </c>
    </row>
    <row r="2355">
      <c r="A2355">
        <v>2354</v>
      </c>
      <c r="B2355">
        <f>GS35</f>
        <v>0</v>
      </c>
      <c r="C2355" t="inlineStr">
        <is>
          <t>+LS02</t>
        </is>
      </c>
      <c r="D2355" t="inlineStr">
        <is>
          <t>-160K107.0</t>
        </is>
      </c>
      <c r="E2355" t="inlineStr">
        <is>
          <t>DILA-40</t>
        </is>
      </c>
      <c r="F2355" t="inlineStr">
        <is>
          <t>#KALK!</t>
        </is>
      </c>
      <c r="G2355" t="inlineStr">
        <is>
          <t>HILFSSCHUETZ</t>
        </is>
      </c>
      <c r="H2355" t="inlineStr">
        <is>
          <t>4S Federzugkl.</t>
        </is>
      </c>
      <c r="I2355">
        <v>140</v>
      </c>
      <c r="J2355">
        <f>GS35/160.7</f>
        <v>0</v>
      </c>
      <c r="M2355" t="inlineStr">
        <is>
          <t>-160K107.0</t>
        </is>
      </c>
    </row>
    <row r="2356">
      <c r="A2356">
        <v>2355</v>
      </c>
      <c r="B2356">
        <f>GS20</f>
        <v>0</v>
      </c>
      <c r="C2356" t="inlineStr">
        <is>
          <t>+LS02</t>
        </is>
      </c>
      <c r="D2356" t="inlineStr">
        <is>
          <t>-160K110.4</t>
        </is>
      </c>
      <c r="E2356" t="inlineStr">
        <is>
          <t>DILA-40</t>
        </is>
      </c>
      <c r="F2356" t="inlineStr">
        <is>
          <t>#KALK!</t>
        </is>
      </c>
      <c r="G2356" t="inlineStr">
        <is>
          <t>HILFSSCHUETZ</t>
        </is>
      </c>
      <c r="H2356" t="inlineStr">
        <is>
          <t>4S Federzugkl.</t>
        </is>
      </c>
      <c r="I2356">
        <v>1183</v>
      </c>
      <c r="J2356">
        <f>GS20/160.7</f>
        <v>0</v>
      </c>
      <c r="M2356" t="inlineStr">
        <is>
          <t>-160K110.4</t>
        </is>
      </c>
    </row>
    <row r="2357">
      <c r="A2357">
        <v>2356</v>
      </c>
      <c r="B2357">
        <f>GS36</f>
        <v>0</v>
      </c>
      <c r="C2357" t="inlineStr">
        <is>
          <t>+LS03</t>
        </is>
      </c>
      <c r="D2357" t="inlineStr">
        <is>
          <t>-175K1</t>
        </is>
      </c>
      <c r="E2357" t="inlineStr">
        <is>
          <t>DILA-40</t>
        </is>
      </c>
      <c r="F2357" t="inlineStr">
        <is>
          <t>DILA-XHIC40</t>
        </is>
      </c>
      <c r="G2357" t="inlineStr">
        <is>
          <t>HILFSSCHUETZ</t>
        </is>
      </c>
      <c r="H2357" t="inlineStr">
        <is>
          <t>4S Federzugkl.</t>
        </is>
      </c>
      <c r="I2357">
        <v>348</v>
      </c>
      <c r="J2357">
        <f>GS36/175.5</f>
        <v>0</v>
      </c>
      <c r="M2357" t="inlineStr">
        <is>
          <t>-175K1</t>
        </is>
      </c>
    </row>
    <row r="2358">
      <c r="A2358">
        <v>2357</v>
      </c>
      <c r="B2358">
        <f>GS02</f>
        <v>0</v>
      </c>
      <c r="C2358" t="inlineStr">
        <is>
          <t>+LS2</t>
        </is>
      </c>
      <c r="D2358" t="inlineStr">
        <is>
          <t>-160K23.2</t>
        </is>
      </c>
      <c r="E2358" t="inlineStr">
        <is>
          <t>DIL_EM-10-G</t>
        </is>
      </c>
      <c r="F2358" t="inlineStr">
        <is>
          <t>#KALK!</t>
        </is>
      </c>
      <c r="G2358" t="inlineStr">
        <is>
          <t>LASTSCHUETZ</t>
        </is>
      </c>
      <c r="H2358" t="inlineStr">
        <is>
          <t>4kW 1S</t>
        </is>
      </c>
      <c r="I2358">
        <v>561</v>
      </c>
      <c r="J2358">
        <f>GS02/160.6</f>
        <v>0</v>
      </c>
      <c r="M2358" t="inlineStr">
        <is>
          <t>-160K23.2</t>
        </is>
      </c>
    </row>
    <row r="2359">
      <c r="A2359">
        <v>2358</v>
      </c>
      <c r="B2359">
        <f>GS02</f>
        <v>0</v>
      </c>
      <c r="C2359" t="inlineStr">
        <is>
          <t>+LS2</t>
        </is>
      </c>
      <c r="D2359" t="inlineStr">
        <is>
          <t>-160K23.3</t>
        </is>
      </c>
      <c r="E2359" t="inlineStr">
        <is>
          <t>DIL_EM-10-G</t>
        </is>
      </c>
      <c r="F2359" t="inlineStr">
        <is>
          <t>#KALK!</t>
        </is>
      </c>
      <c r="G2359" t="inlineStr">
        <is>
          <t>LASTSCHUETZ</t>
        </is>
      </c>
      <c r="H2359" t="inlineStr">
        <is>
          <t>4kW 1S</t>
        </is>
      </c>
      <c r="I2359">
        <v>561</v>
      </c>
      <c r="J2359">
        <f>GS02/160.6</f>
        <v>0</v>
      </c>
      <c r="M2359" t="inlineStr">
        <is>
          <t>-160K23.3</t>
        </is>
      </c>
    </row>
    <row r="2360">
      <c r="A2360">
        <v>2359</v>
      </c>
      <c r="B2360">
        <f>GS31</f>
        <v>0</v>
      </c>
      <c r="C2360" t="inlineStr">
        <is>
          <t>+LS2</t>
        </is>
      </c>
      <c r="D2360" t="inlineStr">
        <is>
          <t>-160K27.4</t>
        </is>
      </c>
      <c r="E2360" t="inlineStr">
        <is>
          <t>DIL_EM-10-G</t>
        </is>
      </c>
      <c r="F2360" t="inlineStr">
        <is>
          <t>#KALK!</t>
        </is>
      </c>
      <c r="G2360" t="inlineStr">
        <is>
          <t>LASTSCHUETZ</t>
        </is>
      </c>
      <c r="H2360" t="inlineStr">
        <is>
          <t>4kW 1S</t>
        </is>
      </c>
      <c r="I2360">
        <v>444</v>
      </c>
      <c r="J2360">
        <f>GS31/160.6</f>
        <v>0</v>
      </c>
      <c r="M2360" t="inlineStr">
        <is>
          <t>-160K27.4</t>
        </is>
      </c>
    </row>
    <row r="2361">
      <c r="A2361">
        <v>2360</v>
      </c>
      <c r="B2361">
        <f>GS31</f>
        <v>0</v>
      </c>
      <c r="C2361" t="inlineStr">
        <is>
          <t>+LS2</t>
        </is>
      </c>
      <c r="D2361" t="inlineStr">
        <is>
          <t>-160K27.5</t>
        </is>
      </c>
      <c r="E2361" t="inlineStr">
        <is>
          <t>DIL_EM-10-G</t>
        </is>
      </c>
      <c r="F2361" t="inlineStr">
        <is>
          <t>#KALK!</t>
        </is>
      </c>
      <c r="G2361" t="inlineStr">
        <is>
          <t>LASTSCHUETZ</t>
        </is>
      </c>
      <c r="H2361" t="inlineStr">
        <is>
          <t>4kW 1S</t>
        </is>
      </c>
      <c r="I2361">
        <v>444</v>
      </c>
      <c r="J2361">
        <f>GS31/160.6</f>
        <v>0</v>
      </c>
      <c r="M2361" t="inlineStr">
        <is>
          <t>-160K27.5</t>
        </is>
      </c>
    </row>
    <row r="2362">
      <c r="A2362">
        <v>2361</v>
      </c>
      <c r="B2362">
        <f>GS32</f>
        <v>0</v>
      </c>
      <c r="C2362" t="inlineStr">
        <is>
          <t>+LS3</t>
        </is>
      </c>
      <c r="D2362" t="inlineStr">
        <is>
          <t>-160K28.6</t>
        </is>
      </c>
      <c r="E2362" t="inlineStr">
        <is>
          <t>DIL_EM-10-G</t>
        </is>
      </c>
      <c r="F2362" t="inlineStr">
        <is>
          <t>#KALK!</t>
        </is>
      </c>
      <c r="G2362" t="inlineStr">
        <is>
          <t>LASTSCHUETZ</t>
        </is>
      </c>
      <c r="H2362" t="inlineStr">
        <is>
          <t>4kW 1S</t>
        </is>
      </c>
      <c r="I2362">
        <v>1395</v>
      </c>
      <c r="J2362">
        <f>GS32/160.6</f>
        <v>0</v>
      </c>
      <c r="M2362" t="inlineStr">
        <is>
          <t>-160K28.6</t>
        </is>
      </c>
    </row>
    <row r="2363">
      <c r="A2363">
        <v>2362</v>
      </c>
      <c r="B2363">
        <f>GS32</f>
        <v>0</v>
      </c>
      <c r="C2363" t="inlineStr">
        <is>
          <t>+LS3</t>
        </is>
      </c>
      <c r="D2363" t="inlineStr">
        <is>
          <t>-160K28.7</t>
        </is>
      </c>
      <c r="E2363" t="inlineStr">
        <is>
          <t>DIL_EM-10-G</t>
        </is>
      </c>
      <c r="F2363" t="inlineStr">
        <is>
          <t>#KALK!</t>
        </is>
      </c>
      <c r="G2363" t="inlineStr">
        <is>
          <t>LASTSCHUETZ</t>
        </is>
      </c>
      <c r="H2363" t="inlineStr">
        <is>
          <t>4kW 1S</t>
        </is>
      </c>
      <c r="I2363">
        <v>1395</v>
      </c>
      <c r="J2363">
        <f>GS32/160.6</f>
        <v>0</v>
      </c>
      <c r="M2363" t="inlineStr">
        <is>
          <t>-160K28.7</t>
        </is>
      </c>
    </row>
    <row r="2364">
      <c r="A2364">
        <v>2363</v>
      </c>
      <c r="B2364">
        <f>GS26</f>
        <v>0</v>
      </c>
      <c r="C2364" t="inlineStr">
        <is>
          <t>+LS2</t>
        </is>
      </c>
      <c r="D2364" t="inlineStr">
        <is>
          <t>-160K3513.3</t>
        </is>
      </c>
      <c r="E2364" t="inlineStr">
        <is>
          <t>DILM-9-10</t>
        </is>
      </c>
      <c r="F2364" t="inlineStr">
        <is>
          <t>#KALK!</t>
        </is>
      </c>
      <c r="G2364" t="inlineStr">
        <is>
          <t>LASTSCHUETZ</t>
        </is>
      </c>
      <c r="H2364" t="inlineStr">
        <is>
          <t>4kW 1S Federzugkl.</t>
        </is>
      </c>
      <c r="I2364">
        <v>656</v>
      </c>
      <c r="J2364">
        <f>GS26/160.8</f>
        <v>0</v>
      </c>
      <c r="M2364" t="inlineStr">
        <is>
          <t>-160K3513.3</t>
        </is>
      </c>
    </row>
    <row r="2365">
      <c r="A2365">
        <v>2364</v>
      </c>
      <c r="B2365">
        <f>GS11</f>
        <v>0</v>
      </c>
      <c r="C2365" t="inlineStr">
        <is>
          <t>+LS3</t>
        </is>
      </c>
      <c r="D2365" t="inlineStr">
        <is>
          <t>-160K39.2</t>
        </is>
      </c>
      <c r="E2365" t="inlineStr">
        <is>
          <t>DIL_EM-10-G</t>
        </is>
      </c>
      <c r="F2365" t="inlineStr">
        <is>
          <t>#KALK!</t>
        </is>
      </c>
      <c r="G2365" t="inlineStr">
        <is>
          <t>LASTSCHUETZ</t>
        </is>
      </c>
      <c r="H2365" t="inlineStr">
        <is>
          <t>4kW 1S</t>
        </is>
      </c>
      <c r="I2365">
        <v>271</v>
      </c>
      <c r="J2365">
        <f>GS11/160.6</f>
        <v>0</v>
      </c>
      <c r="M2365" t="inlineStr">
        <is>
          <t>-160K39.2</t>
        </is>
      </c>
    </row>
    <row r="2366">
      <c r="A2366">
        <v>2365</v>
      </c>
      <c r="B2366">
        <f>GS21</f>
        <v>0</v>
      </c>
      <c r="C2366" t="inlineStr">
        <is>
          <t>+LS3</t>
        </is>
      </c>
      <c r="D2366" t="inlineStr">
        <is>
          <t>-160K39.2</t>
        </is>
      </c>
      <c r="E2366" t="inlineStr">
        <is>
          <t>DIL_EM-10-G</t>
        </is>
      </c>
      <c r="F2366" t="inlineStr">
        <is>
          <t>#KALK!</t>
        </is>
      </c>
      <c r="G2366" t="inlineStr">
        <is>
          <t>LASTSCHUETZ</t>
        </is>
      </c>
      <c r="H2366" t="inlineStr">
        <is>
          <t>4kW 1S</t>
        </is>
      </c>
      <c r="I2366">
        <v>245</v>
      </c>
      <c r="J2366">
        <f>GS21/160.6</f>
        <v>0</v>
      </c>
      <c r="M2366" t="inlineStr">
        <is>
          <t>-160K39.2</t>
        </is>
      </c>
    </row>
    <row r="2367">
      <c r="A2367">
        <v>2366</v>
      </c>
      <c r="B2367">
        <f>GC03</f>
        <v>0</v>
      </c>
      <c r="C2367" t="inlineStr">
        <is>
          <t>+LS3</t>
        </is>
      </c>
      <c r="D2367" t="inlineStr">
        <is>
          <t>-160K59.3</t>
        </is>
      </c>
      <c r="E2367" t="inlineStr">
        <is>
          <t>DIL_EM-10-G</t>
        </is>
      </c>
      <c r="F2367" t="inlineStr">
        <is>
          <t>#KALK!</t>
        </is>
      </c>
      <c r="G2367" t="inlineStr">
        <is>
          <t>LASTSCHUETZ</t>
        </is>
      </c>
      <c r="H2367" t="inlineStr">
        <is>
          <t>4kW 1S</t>
        </is>
      </c>
      <c r="I2367">
        <v>718</v>
      </c>
      <c r="J2367">
        <f>GC03/160.8</f>
        <v>0</v>
      </c>
      <c r="M2367" t="inlineStr">
        <is>
          <t>-160K59.3</t>
        </is>
      </c>
    </row>
    <row r="2368">
      <c r="A2368">
        <v>2367</v>
      </c>
      <c r="B2368">
        <f>GS25</f>
        <v>0</v>
      </c>
      <c r="C2368" t="inlineStr">
        <is>
          <t>+LS3</t>
        </is>
      </c>
      <c r="D2368" t="inlineStr">
        <is>
          <t>-160K65.3</t>
        </is>
      </c>
      <c r="E2368" t="inlineStr">
        <is>
          <t>DIL_EM-10-G</t>
        </is>
      </c>
      <c r="F2368" t="inlineStr">
        <is>
          <t>#KALK!</t>
        </is>
      </c>
      <c r="G2368" t="inlineStr">
        <is>
          <t>LASTSCHUETZ</t>
        </is>
      </c>
      <c r="H2368" t="inlineStr">
        <is>
          <t>4kW 1S</t>
        </is>
      </c>
      <c r="I2368">
        <v>281</v>
      </c>
      <c r="J2368">
        <f>GS25/160.7</f>
        <v>0</v>
      </c>
      <c r="M2368" t="inlineStr">
        <is>
          <t>-160K65.3</t>
        </is>
      </c>
    </row>
    <row r="2369">
      <c r="A2369">
        <v>2368</v>
      </c>
      <c r="B2369">
        <f>GS14</f>
        <v>0</v>
      </c>
      <c r="C2369" t="inlineStr">
        <is>
          <t>+LS3</t>
        </is>
      </c>
      <c r="D2369" t="inlineStr">
        <is>
          <t>-160K66.6</t>
        </is>
      </c>
      <c r="E2369" t="inlineStr">
        <is>
          <t>DIL_EM-10-G</t>
        </is>
      </c>
      <c r="F2369" t="inlineStr">
        <is>
          <t>#KALK!</t>
        </is>
      </c>
      <c r="G2369" t="inlineStr">
        <is>
          <t>LASTSCHUETZ</t>
        </is>
      </c>
      <c r="H2369" t="inlineStr">
        <is>
          <t>4kW 1S</t>
        </is>
      </c>
      <c r="I2369">
        <v>286</v>
      </c>
      <c r="J2369">
        <f>GS14/160.6</f>
        <v>0</v>
      </c>
      <c r="M2369" t="inlineStr">
        <is>
          <t>-160K66.6</t>
        </is>
      </c>
    </row>
    <row r="2370">
      <c r="A2370">
        <v>2369</v>
      </c>
      <c r="B2370">
        <f>GS24</f>
        <v>0</v>
      </c>
      <c r="C2370" t="inlineStr">
        <is>
          <t>+LS3</t>
        </is>
      </c>
      <c r="D2370" t="inlineStr">
        <is>
          <t>-160K66.6</t>
        </is>
      </c>
      <c r="E2370" t="inlineStr">
        <is>
          <t>DIL_EM-10-G</t>
        </is>
      </c>
      <c r="F2370" t="inlineStr">
        <is>
          <t>#KALK!</t>
        </is>
      </c>
      <c r="G2370" t="inlineStr">
        <is>
          <t>LASTSCHUETZ</t>
        </is>
      </c>
      <c r="H2370" t="inlineStr">
        <is>
          <t>4kW 1S</t>
        </is>
      </c>
      <c r="I2370">
        <v>919</v>
      </c>
      <c r="J2370">
        <f>GS24/160.6</f>
        <v>0</v>
      </c>
      <c r="M2370" t="inlineStr">
        <is>
          <t>-160K66.6</t>
        </is>
      </c>
    </row>
    <row r="2371">
      <c r="A2371">
        <v>2370</v>
      </c>
      <c r="B2371">
        <f>GS14</f>
        <v>0</v>
      </c>
      <c r="C2371" t="inlineStr">
        <is>
          <t>+LS3</t>
        </is>
      </c>
      <c r="D2371" t="inlineStr">
        <is>
          <t>-160K66.7</t>
        </is>
      </c>
      <c r="E2371" t="inlineStr">
        <is>
          <t>DIL_EM-10-G</t>
        </is>
      </c>
      <c r="F2371" t="inlineStr">
        <is>
          <t>#KALK!</t>
        </is>
      </c>
      <c r="G2371" t="inlineStr">
        <is>
          <t>LASTSCHUETZ</t>
        </is>
      </c>
      <c r="H2371" t="inlineStr">
        <is>
          <t>4kW 1S</t>
        </is>
      </c>
      <c r="I2371">
        <v>286</v>
      </c>
      <c r="J2371">
        <f>GS14/160.6</f>
        <v>0</v>
      </c>
      <c r="M2371" t="inlineStr">
        <is>
          <t>-160K66.7</t>
        </is>
      </c>
    </row>
    <row r="2372">
      <c r="A2372">
        <v>2371</v>
      </c>
      <c r="B2372">
        <f>GS11</f>
        <v>0</v>
      </c>
      <c r="C2372" t="inlineStr">
        <is>
          <t>+LS3</t>
        </is>
      </c>
      <c r="D2372" t="inlineStr">
        <is>
          <t>-160K80.4</t>
        </is>
      </c>
      <c r="E2372" t="inlineStr">
        <is>
          <t>DIL_EM-10-G</t>
        </is>
      </c>
      <c r="F2372" t="inlineStr">
        <is>
          <t>#KALK!</t>
        </is>
      </c>
      <c r="G2372" t="inlineStr">
        <is>
          <t>LASTSCHUETZ</t>
        </is>
      </c>
      <c r="H2372" t="inlineStr">
        <is>
          <t>4kW 1S</t>
        </is>
      </c>
      <c r="I2372">
        <v>271</v>
      </c>
      <c r="J2372">
        <f>GS11/160.6</f>
        <v>0</v>
      </c>
      <c r="M2372" t="inlineStr">
        <is>
          <t>-160K80.4</t>
        </is>
      </c>
    </row>
    <row r="2373">
      <c r="A2373">
        <v>2372</v>
      </c>
      <c r="B2373">
        <f>GS21</f>
        <v>0</v>
      </c>
      <c r="C2373" t="inlineStr">
        <is>
          <t>+LS3</t>
        </is>
      </c>
      <c r="D2373" t="inlineStr">
        <is>
          <t>-160K80.4</t>
        </is>
      </c>
      <c r="E2373" t="inlineStr">
        <is>
          <t>DIL_EM-10-G</t>
        </is>
      </c>
      <c r="F2373" t="inlineStr">
        <is>
          <t>#KALK!</t>
        </is>
      </c>
      <c r="G2373" t="inlineStr">
        <is>
          <t>LASTSCHUETZ</t>
        </is>
      </c>
      <c r="H2373" t="inlineStr">
        <is>
          <t>4kW 1S</t>
        </is>
      </c>
      <c r="I2373">
        <v>245</v>
      </c>
      <c r="J2373">
        <f>GS21/160.6</f>
        <v>0</v>
      </c>
      <c r="M2373" t="inlineStr">
        <is>
          <t>-160K80.4</t>
        </is>
      </c>
    </row>
    <row r="2374">
      <c r="A2374">
        <v>2373</v>
      </c>
      <c r="B2374">
        <f>GS01</f>
        <v>0</v>
      </c>
      <c r="C2374" t="inlineStr">
        <is>
          <t>+LS3</t>
        </is>
      </c>
      <c r="D2374" t="inlineStr">
        <is>
          <t>-160K94.4</t>
        </is>
      </c>
      <c r="E2374" t="inlineStr">
        <is>
          <t>DIL_EM-10-G</t>
        </is>
      </c>
      <c r="F2374" t="inlineStr">
        <is>
          <t>#KALK!</t>
        </is>
      </c>
      <c r="G2374" t="inlineStr">
        <is>
          <t>LASTSCHUETZ</t>
        </is>
      </c>
      <c r="H2374" t="inlineStr">
        <is>
          <t>4kW 1S</t>
        </is>
      </c>
      <c r="I2374">
        <v>322</v>
      </c>
      <c r="J2374">
        <f>GS01/160.6</f>
        <v>0</v>
      </c>
      <c r="M2374" t="inlineStr">
        <is>
          <t>-160K94.4</t>
        </is>
      </c>
    </row>
    <row r="2375">
      <c r="A2375">
        <v>2374</v>
      </c>
      <c r="B2375">
        <f>GS20</f>
        <v>0</v>
      </c>
      <c r="C2375" t="inlineStr">
        <is>
          <t>+LS02</t>
        </is>
      </c>
      <c r="D2375" t="inlineStr">
        <is>
          <t>-160Q1</t>
        </is>
      </c>
      <c r="E2375" t="inlineStr">
        <is>
          <t>DILA-XHI22</t>
        </is>
      </c>
      <c r="F2375" t="inlineStr">
        <is>
          <t>DILA-XHI22</t>
        </is>
      </c>
      <c r="G2375" t="inlineStr">
        <is>
          <t>HILFSKONTAKTBLOCK</t>
        </is>
      </c>
      <c r="H2375" t="inlineStr">
        <is>
          <t>2S 2OE Last+Hilfssch. Cage</t>
        </is>
      </c>
      <c r="I2375">
        <v>1183</v>
      </c>
      <c r="J2375">
        <f>GS20/160.4</f>
        <v>0</v>
      </c>
      <c r="K2375" t="inlineStr">
        <is>
          <t>DIL MC25</t>
        </is>
      </c>
      <c r="M2375" t="inlineStr">
        <is>
          <t>-160Q1</t>
        </is>
      </c>
    </row>
    <row r="2376">
      <c r="A2376">
        <v>2375</v>
      </c>
      <c r="B2376">
        <f>GS20</f>
        <v>0</v>
      </c>
      <c r="C2376" t="inlineStr">
        <is>
          <t>+LS02</t>
        </is>
      </c>
      <c r="D2376" t="inlineStr">
        <is>
          <t>-160Q1</t>
        </is>
      </c>
      <c r="E2376" t="inlineStr">
        <is>
          <t>DILMC25-10(RDC24)</t>
        </is>
      </c>
      <c r="F2376" t="inlineStr">
        <is>
          <t>DILA-XHI22</t>
        </is>
      </c>
      <c r="G2376" t="inlineStr">
        <is>
          <t>LASTSCHUETZ</t>
        </is>
      </c>
      <c r="H2376" t="inlineStr">
        <is>
          <t>11kW 1S Federzugkl.</t>
        </is>
      </c>
      <c r="I2376">
        <v>1183</v>
      </c>
      <c r="J2376">
        <f>GS20/160.4</f>
        <v>0</v>
      </c>
      <c r="K2376" t="inlineStr">
        <is>
          <t>DIL MC25</t>
        </is>
      </c>
      <c r="M2376" t="inlineStr">
        <is>
          <t>-160Q1</t>
        </is>
      </c>
    </row>
    <row r="2377">
      <c r="A2377">
        <v>2376</v>
      </c>
      <c r="B2377">
        <f>GS35</f>
        <v>0</v>
      </c>
      <c r="C2377" t="inlineStr">
        <is>
          <t>+LS02</t>
        </is>
      </c>
      <c r="D2377" t="inlineStr">
        <is>
          <t>-160Q1</t>
        </is>
      </c>
      <c r="E2377" t="inlineStr">
        <is>
          <t>DILA-XHI22</t>
        </is>
      </c>
      <c r="F2377" t="inlineStr">
        <is>
          <t>DILA-XHI22</t>
        </is>
      </c>
      <c r="G2377" t="inlineStr">
        <is>
          <t>HILFSKONTAKTBLOCK</t>
        </is>
      </c>
      <c r="H2377" t="inlineStr">
        <is>
          <t>2S 2OE Last+Hilfssch. Cage</t>
        </is>
      </c>
      <c r="I2377">
        <v>140</v>
      </c>
      <c r="J2377">
        <f>GS35/160.4</f>
        <v>0</v>
      </c>
      <c r="K2377" t="inlineStr">
        <is>
          <t>DIL MC25</t>
        </is>
      </c>
      <c r="M2377" t="inlineStr">
        <is>
          <t>-160Q1</t>
        </is>
      </c>
    </row>
    <row r="2378">
      <c r="A2378">
        <v>2377</v>
      </c>
      <c r="B2378">
        <f>GS35</f>
        <v>0</v>
      </c>
      <c r="C2378" t="inlineStr">
        <is>
          <t>+LS02</t>
        </is>
      </c>
      <c r="D2378" t="inlineStr">
        <is>
          <t>-160Q1</t>
        </is>
      </c>
      <c r="E2378" t="inlineStr">
        <is>
          <t>DILM-25-10</t>
        </is>
      </c>
      <c r="F2378" t="inlineStr">
        <is>
          <t>DILA-XHI22</t>
        </is>
      </c>
      <c r="G2378" t="inlineStr">
        <is>
          <t>LASTSCHUETZ</t>
        </is>
      </c>
      <c r="H2378" t="inlineStr">
        <is>
          <t>11kW 1S Federzugkl.</t>
        </is>
      </c>
      <c r="I2378">
        <v>140</v>
      </c>
      <c r="J2378">
        <f>GS35/160.4</f>
        <v>0</v>
      </c>
      <c r="K2378" t="inlineStr">
        <is>
          <t>DIL MC25</t>
        </is>
      </c>
      <c r="M2378" t="inlineStr">
        <is>
          <t>-160Q1</t>
        </is>
      </c>
    </row>
    <row r="2379">
      <c r="A2379">
        <v>2378</v>
      </c>
      <c r="B2379">
        <f>GS06</f>
        <v>0</v>
      </c>
      <c r="C2379" t="inlineStr">
        <is>
          <t>+LS02</t>
        </is>
      </c>
      <c r="D2379" t="inlineStr">
        <is>
          <t>-160Q110.6</t>
        </is>
      </c>
      <c r="E2379" t="inlineStr">
        <is>
          <t>DILA-XHI22</t>
        </is>
      </c>
      <c r="F2379" t="inlineStr">
        <is>
          <t>DILA-XHI22</t>
        </is>
      </c>
      <c r="G2379" t="inlineStr">
        <is>
          <t>HILFSKONTAKTBLOCK</t>
        </is>
      </c>
      <c r="H2379" t="inlineStr">
        <is>
          <t>2S 2OE Last+Hilfssch. Cage</t>
        </is>
      </c>
      <c r="I2379">
        <v>2852</v>
      </c>
      <c r="J2379">
        <f>GS06/160.6</f>
        <v>0</v>
      </c>
      <c r="M2379" t="inlineStr">
        <is>
          <t>-160Q110.6</t>
        </is>
      </c>
    </row>
    <row r="2380">
      <c r="A2380">
        <v>2379</v>
      </c>
      <c r="B2380">
        <f>GS06</f>
        <v>0</v>
      </c>
      <c r="C2380" t="inlineStr">
        <is>
          <t>+LS02</t>
        </is>
      </c>
      <c r="D2380" t="inlineStr">
        <is>
          <t>-160Q110.6</t>
        </is>
      </c>
      <c r="E2380" t="inlineStr">
        <is>
          <t>DILM-9-01</t>
        </is>
      </c>
      <c r="F2380" t="inlineStr">
        <is>
          <t>DILA-XHI22</t>
        </is>
      </c>
      <c r="G2380" t="inlineStr">
        <is>
          <t>LASTSCHUETZ</t>
        </is>
      </c>
      <c r="H2380" t="inlineStr">
        <is>
          <t>4kW 1Oe Federzugkl.</t>
        </is>
      </c>
      <c r="I2380">
        <v>2852</v>
      </c>
      <c r="J2380">
        <f>GS06/160.6</f>
        <v>0</v>
      </c>
      <c r="M2380" t="inlineStr">
        <is>
          <t>-160Q110.6</t>
        </is>
      </c>
    </row>
    <row r="2381">
      <c r="A2381">
        <v>2380</v>
      </c>
      <c r="B2381">
        <f>GS06</f>
        <v>0</v>
      </c>
      <c r="C2381" t="inlineStr">
        <is>
          <t>+LS02</t>
        </is>
      </c>
      <c r="D2381" t="inlineStr">
        <is>
          <t>-160Q110.7</t>
        </is>
      </c>
      <c r="E2381" t="inlineStr">
        <is>
          <t>DILA-XHI22</t>
        </is>
      </c>
      <c r="F2381" t="inlineStr">
        <is>
          <t>DILA-XHI22</t>
        </is>
      </c>
      <c r="G2381" t="inlineStr">
        <is>
          <t>HILFSKONTAKTBLOCK</t>
        </is>
      </c>
      <c r="H2381" t="inlineStr">
        <is>
          <t>2S 2OE Last+Hilfssch. Cage</t>
        </is>
      </c>
      <c r="I2381">
        <v>2852</v>
      </c>
      <c r="J2381">
        <f>GS06/160.7</f>
        <v>0</v>
      </c>
      <c r="M2381" t="inlineStr">
        <is>
          <t>-160Q110.7</t>
        </is>
      </c>
    </row>
    <row r="2382">
      <c r="A2382">
        <v>2381</v>
      </c>
      <c r="B2382">
        <f>GS06</f>
        <v>0</v>
      </c>
      <c r="C2382" t="inlineStr">
        <is>
          <t>+LS02</t>
        </is>
      </c>
      <c r="D2382" t="inlineStr">
        <is>
          <t>-160Q110.7</t>
        </is>
      </c>
      <c r="E2382" t="inlineStr">
        <is>
          <t>DILM-9-01</t>
        </is>
      </c>
      <c r="F2382" t="inlineStr">
        <is>
          <t>DILA-XHI22</t>
        </is>
      </c>
      <c r="G2382" t="inlineStr">
        <is>
          <t>LASTSCHUETZ</t>
        </is>
      </c>
      <c r="H2382" t="inlineStr">
        <is>
          <t>4kW 1Oe Federzugkl.</t>
        </is>
      </c>
      <c r="I2382">
        <v>2852</v>
      </c>
      <c r="J2382">
        <f>GS06/160.7</f>
        <v>0</v>
      </c>
      <c r="M2382" t="inlineStr">
        <is>
          <t>-160Q110.7</t>
        </is>
      </c>
    </row>
    <row r="2383">
      <c r="A2383">
        <v>2382</v>
      </c>
      <c r="B2383">
        <f>GS95</f>
        <v>0</v>
      </c>
      <c r="C2383" t="inlineStr">
        <is>
          <t>+LS15</t>
        </is>
      </c>
      <c r="D2383" t="inlineStr">
        <is>
          <t>-160Q171.5</t>
        </is>
      </c>
      <c r="E2383" t="inlineStr">
        <is>
          <t>DILM-9-10</t>
        </is>
      </c>
      <c r="F2383" t="inlineStr">
        <is>
          <t>#KALK!</t>
        </is>
      </c>
      <c r="G2383" t="inlineStr">
        <is>
          <t>LASTSCHUETZ</t>
        </is>
      </c>
      <c r="H2383" t="inlineStr">
        <is>
          <t>4kW 1S Federzugkl.</t>
        </is>
      </c>
      <c r="I2383">
        <v>250</v>
      </c>
      <c r="J2383">
        <f>GS95/160.5</f>
        <v>0</v>
      </c>
      <c r="M2383" t="inlineStr">
        <is>
          <t>-160Q171.5</t>
        </is>
      </c>
    </row>
    <row r="2384">
      <c r="A2384">
        <v>2383</v>
      </c>
      <c r="B2384">
        <f>GS97</f>
        <v>0</v>
      </c>
      <c r="C2384" t="inlineStr">
        <is>
          <t>+LS15</t>
        </is>
      </c>
      <c r="D2384" t="inlineStr">
        <is>
          <t>-160Q171.5</t>
        </is>
      </c>
      <c r="E2384" t="inlineStr">
        <is>
          <t>DILM-9-10</t>
        </is>
      </c>
      <c r="F2384" t="inlineStr">
        <is>
          <t>#KALK!</t>
        </is>
      </c>
      <c r="G2384" t="inlineStr">
        <is>
          <t>LASTSCHUETZ</t>
        </is>
      </c>
      <c r="H2384" t="inlineStr">
        <is>
          <t>4kW 1S Federzugkl.</t>
        </is>
      </c>
      <c r="I2384">
        <v>250</v>
      </c>
      <c r="J2384">
        <f>GS97/160.5</f>
        <v>0</v>
      </c>
      <c r="M2384" t="inlineStr">
        <is>
          <t>-160Q171.5</t>
        </is>
      </c>
    </row>
    <row r="2385">
      <c r="A2385">
        <v>2384</v>
      </c>
      <c r="B2385">
        <f>GS91</f>
        <v>0</v>
      </c>
      <c r="C2385" t="inlineStr">
        <is>
          <t>+LS02</t>
        </is>
      </c>
      <c r="D2385" t="inlineStr">
        <is>
          <t>-160Q442.5</t>
        </is>
      </c>
      <c r="E2385" t="inlineStr">
        <is>
          <t>DILM-9-10</t>
        </is>
      </c>
      <c r="F2385" t="inlineStr">
        <is>
          <t>#KALK!</t>
        </is>
      </c>
      <c r="G2385" t="inlineStr">
        <is>
          <t>LASTSCHUETZ</t>
        </is>
      </c>
      <c r="H2385" t="inlineStr">
        <is>
          <t>4kW 1S Federzugkl.</t>
        </is>
      </c>
      <c r="I2385">
        <v>348</v>
      </c>
      <c r="J2385">
        <f>GS91/160.5</f>
        <v>0</v>
      </c>
      <c r="M2385" t="inlineStr">
        <is>
          <t>-160Q442.5</t>
        </is>
      </c>
    </row>
    <row r="2386">
      <c r="A2386">
        <v>2385</v>
      </c>
      <c r="B2386">
        <f>GS90</f>
        <v>0</v>
      </c>
      <c r="C2386" t="inlineStr">
        <is>
          <t>+LS17</t>
        </is>
      </c>
      <c r="D2386" t="inlineStr">
        <is>
          <t>-1615K1301.0</t>
        </is>
      </c>
      <c r="E2386" t="inlineStr">
        <is>
          <t>DILA-40</t>
        </is>
      </c>
      <c r="F2386" t="inlineStr">
        <is>
          <t>#KALK!</t>
        </is>
      </c>
      <c r="G2386" t="inlineStr">
        <is>
          <t>HILFSSCHUETZ</t>
        </is>
      </c>
      <c r="H2386" t="inlineStr">
        <is>
          <t>4S Federzugkl.</t>
        </is>
      </c>
      <c r="I2386">
        <v>2552</v>
      </c>
      <c r="J2386">
        <f>GS90/1615.7</f>
        <v>0</v>
      </c>
      <c r="M2386" t="inlineStr">
        <is>
          <t>-1615K1301.0</t>
        </is>
      </c>
    </row>
    <row r="2387">
      <c r="A2387">
        <v>2386</v>
      </c>
      <c r="B2387">
        <f>GS90</f>
        <v>0</v>
      </c>
      <c r="C2387" t="inlineStr">
        <is>
          <t>+LS17</t>
        </is>
      </c>
      <c r="D2387" t="inlineStr">
        <is>
          <t>-1615Q1</t>
        </is>
      </c>
      <c r="E2387" t="inlineStr">
        <is>
          <t>DILMC25-10(RDC24)</t>
        </is>
      </c>
      <c r="F2387" t="inlineStr">
        <is>
          <t>DILA-XHI22</t>
        </is>
      </c>
      <c r="G2387" t="inlineStr">
        <is>
          <t>LASTSCHUETZ</t>
        </is>
      </c>
      <c r="H2387" t="inlineStr">
        <is>
          <t>11kW 1S Federzugkl.</t>
        </is>
      </c>
      <c r="I2387">
        <v>2552</v>
      </c>
      <c r="J2387">
        <f>GS90/1615.4</f>
        <v>0</v>
      </c>
      <c r="K2387" t="inlineStr">
        <is>
          <t>DIL MC25</t>
        </is>
      </c>
      <c r="M2387" t="inlineStr">
        <is>
          <t>-1615Q1</t>
        </is>
      </c>
    </row>
    <row r="2388">
      <c r="A2388">
        <v>2387</v>
      </c>
      <c r="B2388">
        <f>GS90</f>
        <v>0</v>
      </c>
      <c r="C2388" t="inlineStr">
        <is>
          <t>+LS17</t>
        </is>
      </c>
      <c r="D2388" t="inlineStr">
        <is>
          <t>-1615Q1</t>
        </is>
      </c>
      <c r="E2388" t="inlineStr">
        <is>
          <t>DILA-XHI22</t>
        </is>
      </c>
      <c r="F2388" t="inlineStr">
        <is>
          <t>DILA-XHI22</t>
        </is>
      </c>
      <c r="G2388" t="inlineStr">
        <is>
          <t>HILFSKONTAKTBLOCK</t>
        </is>
      </c>
      <c r="H2388" t="inlineStr">
        <is>
          <t>2S 2OE Last+Hilfssch. Cage</t>
        </is>
      </c>
      <c r="I2388">
        <v>2552</v>
      </c>
      <c r="J2388">
        <f>GS90/1615.4</f>
        <v>0</v>
      </c>
      <c r="K2388" t="inlineStr">
        <is>
          <t>DIL MC25</t>
        </is>
      </c>
      <c r="M2388" t="inlineStr">
        <is>
          <t>-1615Q1</t>
        </is>
      </c>
    </row>
    <row r="2389">
      <c r="A2389">
        <v>2388</v>
      </c>
      <c r="B2389">
        <f>GS90</f>
        <v>0</v>
      </c>
      <c r="C2389" t="inlineStr">
        <is>
          <t>+LS17</t>
        </is>
      </c>
      <c r="D2389" t="inlineStr">
        <is>
          <t>-1617Q1301.1</t>
        </is>
      </c>
      <c r="E2389" t="inlineStr">
        <is>
          <t>DILM-9-10</t>
        </is>
      </c>
      <c r="F2389" t="inlineStr">
        <is>
          <t>#KALK!</t>
        </is>
      </c>
      <c r="G2389" t="inlineStr">
        <is>
          <t>LASTSCHUETZ</t>
        </is>
      </c>
      <c r="H2389" t="inlineStr">
        <is>
          <t>4kW 1S Federzugkl.</t>
        </is>
      </c>
      <c r="I2389">
        <v>2431</v>
      </c>
      <c r="J2389">
        <f>GS90/1617.5</f>
        <v>0</v>
      </c>
      <c r="M2389" t="inlineStr">
        <is>
          <t>-1617Q1301.1</t>
        </is>
      </c>
    </row>
    <row r="2390">
      <c r="A2390">
        <v>2389</v>
      </c>
      <c r="B2390">
        <f>GS90</f>
        <v>0</v>
      </c>
      <c r="C2390" t="inlineStr">
        <is>
          <t>+LS17</t>
        </is>
      </c>
      <c r="D2390" t="inlineStr">
        <is>
          <t>-1618Q1301.2</t>
        </is>
      </c>
      <c r="E2390" t="inlineStr">
        <is>
          <t>DILM-9-10</t>
        </is>
      </c>
      <c r="F2390" t="inlineStr">
        <is>
          <t>#KALK!</t>
        </is>
      </c>
      <c r="G2390" t="inlineStr">
        <is>
          <t>LASTSCHUETZ</t>
        </is>
      </c>
      <c r="H2390" t="inlineStr">
        <is>
          <t>4kW 1S Federzugkl.</t>
        </is>
      </c>
      <c r="I2390">
        <v>2507</v>
      </c>
      <c r="J2390">
        <f>GS90/1618.5</f>
        <v>0</v>
      </c>
      <c r="M2390" t="inlineStr">
        <is>
          <t>-1618Q1301.2</t>
        </is>
      </c>
    </row>
    <row r="2391">
      <c r="A2391">
        <v>2390</v>
      </c>
      <c r="B2391">
        <f>GS55</f>
        <v>0</v>
      </c>
      <c r="C2391" t="inlineStr">
        <is>
          <t>+LS26</t>
        </is>
      </c>
      <c r="D2391" t="inlineStr">
        <is>
          <t>-1619K1641.4</t>
        </is>
      </c>
      <c r="E2391" t="inlineStr">
        <is>
          <t>DILA-22</t>
        </is>
      </c>
      <c r="F2391" t="inlineStr">
        <is>
          <t>#KALK!</t>
        </is>
      </c>
      <c r="G2391" t="inlineStr">
        <is>
          <t>HILFSSCHUETZ</t>
        </is>
      </c>
      <c r="H2391" t="inlineStr">
        <is>
          <t>2S 2Oe Federzugkl.</t>
        </is>
      </c>
      <c r="I2391">
        <v>1816</v>
      </c>
      <c r="J2391">
        <f>GS55/1619.6</f>
        <v>0</v>
      </c>
      <c r="M2391" t="inlineStr">
        <is>
          <t>-1619K1641.4</t>
        </is>
      </c>
    </row>
    <row r="2392">
      <c r="A2392">
        <v>2391</v>
      </c>
      <c r="B2392">
        <f>GS55</f>
        <v>0</v>
      </c>
      <c r="C2392" t="inlineStr">
        <is>
          <t>+LS26</t>
        </is>
      </c>
      <c r="D2392" t="inlineStr">
        <is>
          <t>-1619Q1</t>
        </is>
      </c>
      <c r="E2392" t="inlineStr">
        <is>
          <t>DILM-9-10</t>
        </is>
      </c>
      <c r="F2392" t="inlineStr">
        <is>
          <t>DILA-XHI22</t>
        </is>
      </c>
      <c r="G2392" t="inlineStr">
        <is>
          <t>LASTSCHUETZ</t>
        </is>
      </c>
      <c r="H2392" t="inlineStr">
        <is>
          <t>4kW 1S Federzugkl.</t>
        </is>
      </c>
      <c r="I2392">
        <v>1816</v>
      </c>
      <c r="J2392">
        <f>GS55/1619.4</f>
        <v>0</v>
      </c>
      <c r="K2392" t="inlineStr">
        <is>
          <t>DIL MC9</t>
        </is>
      </c>
      <c r="M2392" t="inlineStr">
        <is>
          <t>-1619Q1</t>
        </is>
      </c>
    </row>
    <row r="2393">
      <c r="A2393">
        <v>2392</v>
      </c>
      <c r="B2393">
        <f>GS55</f>
        <v>0</v>
      </c>
      <c r="C2393" t="inlineStr">
        <is>
          <t>+LS26</t>
        </is>
      </c>
      <c r="D2393" t="inlineStr">
        <is>
          <t>-1619Q1</t>
        </is>
      </c>
      <c r="E2393" t="inlineStr">
        <is>
          <t>DILA-XHI22</t>
        </is>
      </c>
      <c r="F2393" t="inlineStr">
        <is>
          <t>DILA-XHI22</t>
        </is>
      </c>
      <c r="G2393" t="inlineStr">
        <is>
          <t>HILFSKONTAKTBLOCK</t>
        </is>
      </c>
      <c r="H2393" t="inlineStr">
        <is>
          <t>2S 2OE Last+Hilfssch. Cage</t>
        </is>
      </c>
      <c r="I2393">
        <v>1816</v>
      </c>
      <c r="J2393">
        <f>GS55/1619.4</f>
        <v>0</v>
      </c>
      <c r="K2393" t="inlineStr">
        <is>
          <t>DIL MC9</t>
        </is>
      </c>
      <c r="M2393" t="inlineStr">
        <is>
          <t>-1619Q1</t>
        </is>
      </c>
    </row>
    <row r="2394">
      <c r="A2394">
        <v>2393</v>
      </c>
      <c r="B2394">
        <f>GS7x</f>
        <v>0</v>
      </c>
      <c r="C2394" t="inlineStr">
        <is>
          <t>+LS[l2]</t>
        </is>
      </c>
      <c r="D2394" t="inlineStr">
        <is>
          <t>-161K[a+1].0</t>
        </is>
      </c>
      <c r="E2394" t="inlineStr">
        <is>
          <t>DILA-40</t>
        </is>
      </c>
      <c r="F2394" t="inlineStr">
        <is>
          <t>#KALK!</t>
        </is>
      </c>
      <c r="G2394" t="inlineStr">
        <is>
          <t>HILFSSCHUETZ</t>
        </is>
      </c>
      <c r="H2394" t="inlineStr">
        <is>
          <t>4S Federzugkl.</t>
        </is>
      </c>
      <c r="I2394">
        <v>205</v>
      </c>
      <c r="J2394">
        <f>GS7x/161.7</f>
        <v>0</v>
      </c>
      <c r="M2394" t="inlineStr">
        <is>
          <t>-161K[a+1].0</t>
        </is>
      </c>
    </row>
    <row r="2395">
      <c r="A2395">
        <v>2394</v>
      </c>
      <c r="B2395">
        <f>GS7x</f>
        <v>0</v>
      </c>
      <c r="C2395" t="inlineStr">
        <is>
          <t>+LS[l2]</t>
        </is>
      </c>
      <c r="D2395" t="inlineStr">
        <is>
          <t>-161K[a+1].1</t>
        </is>
      </c>
      <c r="E2395" t="inlineStr">
        <is>
          <t>DILA-40</t>
        </is>
      </c>
      <c r="F2395" t="inlineStr">
        <is>
          <t>#KALK!</t>
        </is>
      </c>
      <c r="G2395" t="inlineStr">
        <is>
          <t>HILFSSCHUETZ</t>
        </is>
      </c>
      <c r="H2395" t="inlineStr">
        <is>
          <t>4S Federzugkl.</t>
        </is>
      </c>
      <c r="I2395">
        <v>205</v>
      </c>
      <c r="J2395">
        <f>GS7x/161.8</f>
        <v>0</v>
      </c>
      <c r="M2395" t="inlineStr">
        <is>
          <t>-161K[a+1].1</t>
        </is>
      </c>
    </row>
    <row r="2396">
      <c r="A2396">
        <v>2395</v>
      </c>
      <c r="B2396">
        <f>GS02</f>
        <v>0</v>
      </c>
      <c r="C2396" t="inlineStr">
        <is>
          <t>+LS2</t>
        </is>
      </c>
      <c r="D2396" t="inlineStr">
        <is>
          <t>-161K23.7</t>
        </is>
      </c>
      <c r="E2396" t="inlineStr">
        <is>
          <t>DIL_EM-10-G</t>
        </is>
      </c>
      <c r="F2396" t="inlineStr">
        <is>
          <t>#KALK!</t>
        </is>
      </c>
      <c r="G2396" t="inlineStr">
        <is>
          <t>LASTSCHUETZ</t>
        </is>
      </c>
      <c r="H2396" t="inlineStr">
        <is>
          <t>4kW 1S</t>
        </is>
      </c>
      <c r="I2396">
        <v>562</v>
      </c>
      <c r="J2396">
        <f>GS02/161.7</f>
        <v>0</v>
      </c>
      <c r="M2396" t="inlineStr">
        <is>
          <t>-161K23.7</t>
        </is>
      </c>
    </row>
    <row r="2397">
      <c r="A2397">
        <v>2396</v>
      </c>
      <c r="B2397">
        <f>GS31</f>
        <v>0</v>
      </c>
      <c r="C2397" t="inlineStr">
        <is>
          <t>+LS2</t>
        </is>
      </c>
      <c r="D2397" t="inlineStr">
        <is>
          <t>-161K28.1</t>
        </is>
      </c>
      <c r="E2397" t="inlineStr">
        <is>
          <t>DIL_EM-10-G</t>
        </is>
      </c>
      <c r="F2397" t="inlineStr">
        <is>
          <t>#KALK!</t>
        </is>
      </c>
      <c r="G2397" t="inlineStr">
        <is>
          <t>LASTSCHUETZ</t>
        </is>
      </c>
      <c r="H2397" t="inlineStr">
        <is>
          <t>4kW 1S</t>
        </is>
      </c>
      <c r="I2397">
        <v>445</v>
      </c>
      <c r="J2397">
        <f>GS31/161.7</f>
        <v>0</v>
      </c>
      <c r="M2397" t="inlineStr">
        <is>
          <t>-161K28.1</t>
        </is>
      </c>
    </row>
    <row r="2398">
      <c r="A2398">
        <v>2397</v>
      </c>
      <c r="B2398">
        <f>GS32</f>
        <v>0</v>
      </c>
      <c r="C2398" t="inlineStr">
        <is>
          <t>+LS3</t>
        </is>
      </c>
      <c r="D2398" t="inlineStr">
        <is>
          <t>-161K29.3</t>
        </is>
      </c>
      <c r="E2398" t="inlineStr">
        <is>
          <t>DIL_EM-10-G</t>
        </is>
      </c>
      <c r="F2398" t="inlineStr">
        <is>
          <t>#KALK!</t>
        </is>
      </c>
      <c r="G2398" t="inlineStr">
        <is>
          <t>LASTSCHUETZ</t>
        </is>
      </c>
      <c r="H2398" t="inlineStr">
        <is>
          <t>4kW 1S</t>
        </is>
      </c>
      <c r="I2398">
        <v>1394</v>
      </c>
      <c r="J2398">
        <f>GS32/161.7</f>
        <v>0</v>
      </c>
      <c r="M2398" t="inlineStr">
        <is>
          <t>-161K29.3</t>
        </is>
      </c>
    </row>
    <row r="2399">
      <c r="A2399">
        <v>2398</v>
      </c>
      <c r="B2399">
        <f>GS26</f>
        <v>0</v>
      </c>
      <c r="C2399" t="inlineStr">
        <is>
          <t>+LS2</t>
        </is>
      </c>
      <c r="D2399" t="inlineStr">
        <is>
          <t>-161K3513.4</t>
        </is>
      </c>
      <c r="E2399" t="inlineStr">
        <is>
          <t>DILM-9-01</t>
        </is>
      </c>
      <c r="F2399" t="inlineStr">
        <is>
          <t>#KALK!</t>
        </is>
      </c>
      <c r="G2399" t="inlineStr">
        <is>
          <t>LASTSCHUETZ</t>
        </is>
      </c>
      <c r="H2399" t="inlineStr">
        <is>
          <t>4kW 1Oe Federzugkl.</t>
        </is>
      </c>
      <c r="I2399">
        <v>655</v>
      </c>
      <c r="J2399">
        <f>GS26/161.6</f>
        <v>0</v>
      </c>
      <c r="M2399" t="inlineStr">
        <is>
          <t>-161K3513.4</t>
        </is>
      </c>
    </row>
    <row r="2400">
      <c r="A2400">
        <v>2399</v>
      </c>
      <c r="B2400">
        <f>GS26</f>
        <v>0</v>
      </c>
      <c r="C2400" t="inlineStr">
        <is>
          <t>+LS2</t>
        </is>
      </c>
      <c r="D2400" t="inlineStr">
        <is>
          <t>-161K3513.5</t>
        </is>
      </c>
      <c r="E2400" t="inlineStr">
        <is>
          <t>DILM-9-10</t>
        </is>
      </c>
      <c r="F2400" t="inlineStr">
        <is>
          <t>#KALK!</t>
        </is>
      </c>
      <c r="G2400" t="inlineStr">
        <is>
          <t>LASTSCHUETZ</t>
        </is>
      </c>
      <c r="H2400" t="inlineStr">
        <is>
          <t>4kW 1S Federzugkl.</t>
        </is>
      </c>
      <c r="I2400">
        <v>655</v>
      </c>
      <c r="J2400">
        <f>GS26/161.7</f>
        <v>0</v>
      </c>
      <c r="M2400" t="inlineStr">
        <is>
          <t>-161K3513.5</t>
        </is>
      </c>
    </row>
    <row r="2401">
      <c r="A2401">
        <v>2400</v>
      </c>
      <c r="B2401">
        <f>GS26</f>
        <v>0</v>
      </c>
      <c r="C2401" t="inlineStr">
        <is>
          <t>+LS2</t>
        </is>
      </c>
      <c r="D2401" t="inlineStr">
        <is>
          <t>-161K3514.7</t>
        </is>
      </c>
      <c r="E2401" t="inlineStr">
        <is>
          <t>DILM-9-01</t>
        </is>
      </c>
      <c r="F2401" t="inlineStr">
        <is>
          <t>#KALK!</t>
        </is>
      </c>
      <c r="G2401" t="inlineStr">
        <is>
          <t>LASTSCHUETZ</t>
        </is>
      </c>
      <c r="H2401" t="inlineStr">
        <is>
          <t>4kW 1Oe Federzugkl.</t>
        </is>
      </c>
      <c r="I2401">
        <v>655</v>
      </c>
      <c r="J2401">
        <f>GS26/161.6</f>
        <v>0</v>
      </c>
      <c r="M2401" t="inlineStr">
        <is>
          <t>-161K3514.7</t>
        </is>
      </c>
    </row>
    <row r="2402">
      <c r="A2402">
        <v>2401</v>
      </c>
      <c r="B2402">
        <f>GS11</f>
        <v>0</v>
      </c>
      <c r="C2402" t="inlineStr">
        <is>
          <t>+LS3</t>
        </is>
      </c>
      <c r="D2402" t="inlineStr">
        <is>
          <t>-161K39.3</t>
        </is>
      </c>
      <c r="E2402" t="inlineStr">
        <is>
          <t>DIL_EM-10-G</t>
        </is>
      </c>
      <c r="F2402" t="inlineStr">
        <is>
          <t>#KALK!</t>
        </is>
      </c>
      <c r="G2402" t="inlineStr">
        <is>
          <t>LASTSCHUETZ</t>
        </is>
      </c>
      <c r="H2402" t="inlineStr">
        <is>
          <t>4kW 1S</t>
        </is>
      </c>
      <c r="I2402">
        <v>272</v>
      </c>
      <c r="J2402">
        <f>GS11/161.6</f>
        <v>0</v>
      </c>
      <c r="M2402" t="inlineStr">
        <is>
          <t>-161K39.3</t>
        </is>
      </c>
    </row>
    <row r="2403">
      <c r="A2403">
        <v>2402</v>
      </c>
      <c r="B2403">
        <f>GS21</f>
        <v>0</v>
      </c>
      <c r="C2403" t="inlineStr">
        <is>
          <t>+LS3</t>
        </is>
      </c>
      <c r="D2403" t="inlineStr">
        <is>
          <t>-161K39.3</t>
        </is>
      </c>
      <c r="E2403" t="inlineStr">
        <is>
          <t>DIL_EM-10-G</t>
        </is>
      </c>
      <c r="F2403" t="inlineStr">
        <is>
          <t>#KALK!</t>
        </is>
      </c>
      <c r="G2403" t="inlineStr">
        <is>
          <t>LASTSCHUETZ</t>
        </is>
      </c>
      <c r="H2403" t="inlineStr">
        <is>
          <t>4kW 1S</t>
        </is>
      </c>
      <c r="I2403">
        <v>246</v>
      </c>
      <c r="J2403">
        <f>GS21/161.6</f>
        <v>0</v>
      </c>
      <c r="M2403" t="inlineStr">
        <is>
          <t>-161K39.3</t>
        </is>
      </c>
    </row>
    <row r="2404">
      <c r="A2404">
        <v>2403</v>
      </c>
      <c r="B2404">
        <f>GC03</f>
        <v>0</v>
      </c>
      <c r="C2404" t="inlineStr">
        <is>
          <t>+LS3</t>
        </is>
      </c>
      <c r="D2404" t="inlineStr">
        <is>
          <t>-161K59.7</t>
        </is>
      </c>
      <c r="E2404" t="inlineStr">
        <is>
          <t>DIL_EM-10-G</t>
        </is>
      </c>
      <c r="F2404" t="inlineStr">
        <is>
          <t>#KALK!</t>
        </is>
      </c>
      <c r="G2404" t="inlineStr">
        <is>
          <t>LASTSCHUETZ</t>
        </is>
      </c>
      <c r="H2404" t="inlineStr">
        <is>
          <t>4kW 1S</t>
        </is>
      </c>
      <c r="I2404">
        <v>717</v>
      </c>
      <c r="J2404">
        <f>GC03/161.7</f>
        <v>0</v>
      </c>
      <c r="M2404" t="inlineStr">
        <is>
          <t>-161K59.7</t>
        </is>
      </c>
    </row>
    <row r="2405">
      <c r="A2405">
        <v>2404</v>
      </c>
      <c r="B2405">
        <f>GS25</f>
        <v>0</v>
      </c>
      <c r="C2405" t="inlineStr">
        <is>
          <t>+LS3</t>
        </is>
      </c>
      <c r="D2405" t="inlineStr">
        <is>
          <t>-161K65.4</t>
        </is>
      </c>
      <c r="E2405" t="inlineStr">
        <is>
          <t>DIL_EM-10-G</t>
        </is>
      </c>
      <c r="F2405" t="inlineStr">
        <is>
          <t>#KALK!</t>
        </is>
      </c>
      <c r="G2405" t="inlineStr">
        <is>
          <t>LASTSCHUETZ</t>
        </is>
      </c>
      <c r="H2405" t="inlineStr">
        <is>
          <t>4kW 1S</t>
        </is>
      </c>
      <c r="I2405">
        <v>282</v>
      </c>
      <c r="J2405">
        <f>GS25/161.6</f>
        <v>0</v>
      </c>
      <c r="M2405" t="inlineStr">
        <is>
          <t>-161K65.4</t>
        </is>
      </c>
    </row>
    <row r="2406">
      <c r="A2406">
        <v>2405</v>
      </c>
      <c r="B2406">
        <f>GS25</f>
        <v>0</v>
      </c>
      <c r="C2406" t="inlineStr">
        <is>
          <t>+LS3</t>
        </is>
      </c>
      <c r="D2406" t="inlineStr">
        <is>
          <t>-161K65.5</t>
        </is>
      </c>
      <c r="E2406" t="inlineStr">
        <is>
          <t>DIL_EM-10-G</t>
        </is>
      </c>
      <c r="F2406" t="inlineStr">
        <is>
          <t>#KALK!</t>
        </is>
      </c>
      <c r="G2406" t="inlineStr">
        <is>
          <t>LASTSCHUETZ</t>
        </is>
      </c>
      <c r="H2406" t="inlineStr">
        <is>
          <t>4kW 1S</t>
        </is>
      </c>
      <c r="I2406">
        <v>282</v>
      </c>
      <c r="J2406">
        <f>GS25/161.6</f>
        <v>0</v>
      </c>
      <c r="M2406" t="inlineStr">
        <is>
          <t>-161K65.5</t>
        </is>
      </c>
    </row>
    <row r="2407">
      <c r="A2407">
        <v>2406</v>
      </c>
      <c r="B2407">
        <f>GS24</f>
        <v>0</v>
      </c>
      <c r="C2407" t="inlineStr">
        <is>
          <t>+LS3</t>
        </is>
      </c>
      <c r="D2407" t="inlineStr">
        <is>
          <t>-161K67.2</t>
        </is>
      </c>
      <c r="E2407" t="inlineStr">
        <is>
          <t>DIL_EM-10-G</t>
        </is>
      </c>
      <c r="F2407" t="inlineStr">
        <is>
          <t>#KALK!</t>
        </is>
      </c>
      <c r="G2407" t="inlineStr">
        <is>
          <t>LASTSCHUETZ</t>
        </is>
      </c>
      <c r="H2407" t="inlineStr">
        <is>
          <t>4kW 1S</t>
        </is>
      </c>
      <c r="I2407">
        <v>918</v>
      </c>
      <c r="J2407">
        <f>GS24/161.7</f>
        <v>0</v>
      </c>
      <c r="M2407" t="inlineStr">
        <is>
          <t>-161K67.2</t>
        </is>
      </c>
    </row>
    <row r="2408">
      <c r="A2408">
        <v>2407</v>
      </c>
      <c r="B2408">
        <f>GS11</f>
        <v>0</v>
      </c>
      <c r="C2408" t="inlineStr">
        <is>
          <t>+LS3</t>
        </is>
      </c>
      <c r="D2408" t="inlineStr">
        <is>
          <t>-161K80.5</t>
        </is>
      </c>
      <c r="E2408" t="inlineStr">
        <is>
          <t>DIL_EM-10-G</t>
        </is>
      </c>
      <c r="F2408" t="inlineStr">
        <is>
          <t>#KALK!</t>
        </is>
      </c>
      <c r="G2408" t="inlineStr">
        <is>
          <t>LASTSCHUETZ</t>
        </is>
      </c>
      <c r="H2408" t="inlineStr">
        <is>
          <t>4kW 1S</t>
        </is>
      </c>
      <c r="I2408">
        <v>272</v>
      </c>
      <c r="J2408">
        <f>GS11/161.6</f>
        <v>0</v>
      </c>
      <c r="M2408" t="inlineStr">
        <is>
          <t>-161K80.5</t>
        </is>
      </c>
    </row>
    <row r="2409">
      <c r="A2409">
        <v>2408</v>
      </c>
      <c r="B2409">
        <f>GS21</f>
        <v>0</v>
      </c>
      <c r="C2409" t="inlineStr">
        <is>
          <t>+LS3</t>
        </is>
      </c>
      <c r="D2409" t="inlineStr">
        <is>
          <t>-161K80.5</t>
        </is>
      </c>
      <c r="E2409" t="inlineStr">
        <is>
          <t>DIL_EM-10-G</t>
        </is>
      </c>
      <c r="F2409" t="inlineStr">
        <is>
          <t>#KALK!</t>
        </is>
      </c>
      <c r="G2409" t="inlineStr">
        <is>
          <t>LASTSCHUETZ</t>
        </is>
      </c>
      <c r="H2409" t="inlineStr">
        <is>
          <t>4kW 1S</t>
        </is>
      </c>
      <c r="I2409">
        <v>246</v>
      </c>
      <c r="J2409">
        <f>GS21/161.6</f>
        <v>0</v>
      </c>
      <c r="M2409" t="inlineStr">
        <is>
          <t>-161K80.5</t>
        </is>
      </c>
    </row>
    <row r="2410">
      <c r="A2410">
        <v>2409</v>
      </c>
      <c r="B2410">
        <f>GS7x</f>
        <v>0</v>
      </c>
      <c r="C2410" t="inlineStr">
        <is>
          <t>+LS[l2]</t>
        </is>
      </c>
      <c r="D2410" t="inlineStr">
        <is>
          <t>-161Q1</t>
        </is>
      </c>
      <c r="E2410" t="inlineStr">
        <is>
          <t>DILMC40(RDC24)</t>
        </is>
      </c>
      <c r="F2410" t="inlineStr">
        <is>
          <t>DILM150-XHIC22</t>
        </is>
      </c>
      <c r="G2410" t="inlineStr">
        <is>
          <t>LASTSCHUETZ</t>
        </is>
      </c>
      <c r="H2410" t="inlineStr">
        <is>
          <t>18,5kW Federzugkl.</t>
        </is>
      </c>
      <c r="I2410">
        <v>205</v>
      </c>
      <c r="J2410">
        <f>GS7x/161.4</f>
        <v>0</v>
      </c>
      <c r="K2410" t="inlineStr">
        <is>
          <t>DILMC40</t>
        </is>
      </c>
      <c r="M2410" t="inlineStr">
        <is>
          <t>-161Q1</t>
        </is>
      </c>
    </row>
    <row r="2411">
      <c r="A2411">
        <v>2410</v>
      </c>
      <c r="B2411">
        <f>GS7x</f>
        <v>0</v>
      </c>
      <c r="C2411" t="inlineStr">
        <is>
          <t>+LS[l2]</t>
        </is>
      </c>
      <c r="D2411" t="inlineStr">
        <is>
          <t>-161Q1</t>
        </is>
      </c>
      <c r="E2411" t="inlineStr">
        <is>
          <t>DILM150-XHIC22</t>
        </is>
      </c>
      <c r="F2411" t="inlineStr">
        <is>
          <t>DILM150-XHIC22</t>
        </is>
      </c>
      <c r="G2411" t="inlineStr">
        <is>
          <t>HILFSKONTAKTBLOCK</t>
        </is>
      </c>
      <c r="H2411" t="inlineStr">
        <is>
          <t>2S 2OE ab DILMC40</t>
        </is>
      </c>
      <c r="I2411">
        <v>205</v>
      </c>
      <c r="J2411">
        <f>GS7x/161.4</f>
        <v>0</v>
      </c>
      <c r="K2411" t="inlineStr">
        <is>
          <t>DILMC40</t>
        </is>
      </c>
      <c r="M2411" t="inlineStr">
        <is>
          <t>-161Q1</t>
        </is>
      </c>
    </row>
    <row r="2412">
      <c r="A2412">
        <v>2411</v>
      </c>
      <c r="B2412">
        <f>GS35</f>
        <v>0</v>
      </c>
      <c r="C2412" t="inlineStr">
        <is>
          <t>+LS02</t>
        </is>
      </c>
      <c r="D2412" t="inlineStr">
        <is>
          <t>-161Q107.2</t>
        </is>
      </c>
      <c r="E2412" t="inlineStr">
        <is>
          <t>DILM-9-10</t>
        </is>
      </c>
      <c r="F2412" t="inlineStr">
        <is>
          <t>#KALK!</t>
        </is>
      </c>
      <c r="G2412" t="inlineStr">
        <is>
          <t>LASTSCHUETZ</t>
        </is>
      </c>
      <c r="H2412" t="inlineStr">
        <is>
          <t>4kW 1S Federzugkl.</t>
        </is>
      </c>
      <c r="I2412">
        <v>139</v>
      </c>
      <c r="J2412">
        <f>GS35/161.6</f>
        <v>0</v>
      </c>
      <c r="M2412" t="inlineStr">
        <is>
          <t>-161Q107.2</t>
        </is>
      </c>
    </row>
    <row r="2413">
      <c r="A2413">
        <v>2412</v>
      </c>
      <c r="B2413">
        <f>GS06</f>
        <v>0</v>
      </c>
      <c r="C2413" t="inlineStr">
        <is>
          <t>+LS02</t>
        </is>
      </c>
      <c r="D2413" t="inlineStr">
        <is>
          <t>-161Q111.0</t>
        </is>
      </c>
      <c r="E2413" t="inlineStr">
        <is>
          <t>DILA-XHI22</t>
        </is>
      </c>
      <c r="F2413" t="inlineStr">
        <is>
          <t>DILA-XHI22</t>
        </is>
      </c>
      <c r="G2413" t="inlineStr">
        <is>
          <t>HILFSKONTAKTBLOCK</t>
        </is>
      </c>
      <c r="H2413" t="inlineStr">
        <is>
          <t>2S 2OE Last+Hilfssch. Cage</t>
        </is>
      </c>
      <c r="I2413">
        <v>2850</v>
      </c>
      <c r="J2413">
        <f>GS06/161.6</f>
        <v>0</v>
      </c>
      <c r="M2413" t="inlineStr">
        <is>
          <t>-161Q111.0</t>
        </is>
      </c>
    </row>
    <row r="2414">
      <c r="A2414">
        <v>2413</v>
      </c>
      <c r="B2414">
        <f>GS06</f>
        <v>0</v>
      </c>
      <c r="C2414" t="inlineStr">
        <is>
          <t>+LS02</t>
        </is>
      </c>
      <c r="D2414" t="inlineStr">
        <is>
          <t>-161Q111.0</t>
        </is>
      </c>
      <c r="E2414" t="inlineStr">
        <is>
          <t>DILM-9-01</t>
        </is>
      </c>
      <c r="F2414" t="inlineStr">
        <is>
          <t>DILA-XHI22</t>
        </is>
      </c>
      <c r="G2414" t="inlineStr">
        <is>
          <t>LASTSCHUETZ</t>
        </is>
      </c>
      <c r="H2414" t="inlineStr">
        <is>
          <t>4kW 1Oe Federzugkl.</t>
        </is>
      </c>
      <c r="I2414">
        <v>2850</v>
      </c>
      <c r="J2414">
        <f>GS06/161.6</f>
        <v>0</v>
      </c>
      <c r="M2414" t="inlineStr">
        <is>
          <t>-161Q111.0</t>
        </is>
      </c>
    </row>
    <row r="2415">
      <c r="A2415">
        <v>2414</v>
      </c>
      <c r="B2415">
        <f>GS06</f>
        <v>0</v>
      </c>
      <c r="C2415" t="inlineStr">
        <is>
          <t>+LS02</t>
        </is>
      </c>
      <c r="D2415" t="inlineStr">
        <is>
          <t>-161Q111.1</t>
        </is>
      </c>
      <c r="E2415" t="inlineStr">
        <is>
          <t>DILA-XHI22</t>
        </is>
      </c>
      <c r="F2415" t="inlineStr">
        <is>
          <t>DILA-XHI22</t>
        </is>
      </c>
      <c r="G2415" t="inlineStr">
        <is>
          <t>HILFSKONTAKTBLOCK</t>
        </is>
      </c>
      <c r="H2415" t="inlineStr">
        <is>
          <t>2S 2OE Last+Hilfssch. Cage</t>
        </is>
      </c>
      <c r="I2415">
        <v>2850</v>
      </c>
      <c r="J2415">
        <f>GS06/161.7</f>
        <v>0</v>
      </c>
      <c r="M2415" t="inlineStr">
        <is>
          <t>-161Q111.1</t>
        </is>
      </c>
    </row>
    <row r="2416">
      <c r="A2416">
        <v>2415</v>
      </c>
      <c r="B2416">
        <f>GS06</f>
        <v>0</v>
      </c>
      <c r="C2416" t="inlineStr">
        <is>
          <t>+LS02</t>
        </is>
      </c>
      <c r="D2416" t="inlineStr">
        <is>
          <t>-161Q111.1</t>
        </is>
      </c>
      <c r="E2416" t="inlineStr">
        <is>
          <t>DILM-9-01</t>
        </is>
      </c>
      <c r="F2416" t="inlineStr">
        <is>
          <t>DILA-XHI22</t>
        </is>
      </c>
      <c r="G2416" t="inlineStr">
        <is>
          <t>LASTSCHUETZ</t>
        </is>
      </c>
      <c r="H2416" t="inlineStr">
        <is>
          <t>4kW 1Oe Federzugkl.</t>
        </is>
      </c>
      <c r="I2416">
        <v>2850</v>
      </c>
      <c r="J2416">
        <f>GS06/161.7</f>
        <v>0</v>
      </c>
      <c r="M2416" t="inlineStr">
        <is>
          <t>-161Q111.1</t>
        </is>
      </c>
    </row>
    <row r="2417">
      <c r="A2417">
        <v>2416</v>
      </c>
      <c r="B2417">
        <f>GS7x</f>
        <v>0</v>
      </c>
      <c r="C2417" t="inlineStr">
        <is>
          <t>+LS[l2]</t>
        </is>
      </c>
      <c r="D2417" t="inlineStr">
        <is>
          <t>-161Q2</t>
        </is>
      </c>
      <c r="E2417" t="inlineStr">
        <is>
          <t>DILM150-XHIC22</t>
        </is>
      </c>
      <c r="F2417" t="inlineStr">
        <is>
          <t>DILM150-XHIC22</t>
        </is>
      </c>
      <c r="G2417" t="inlineStr">
        <is>
          <t>HILFSKONTAKTBLOCK</t>
        </is>
      </c>
      <c r="H2417" t="inlineStr">
        <is>
          <t>2S 2OE ab DILMC40</t>
        </is>
      </c>
      <c r="I2417">
        <v>205</v>
      </c>
      <c r="J2417">
        <f>GS7x/161.6</f>
        <v>0</v>
      </c>
      <c r="K2417" t="inlineStr">
        <is>
          <t>DILMC40</t>
        </is>
      </c>
      <c r="M2417" t="inlineStr">
        <is>
          <t>-161Q2</t>
        </is>
      </c>
    </row>
    <row r="2418">
      <c r="A2418">
        <v>2417</v>
      </c>
      <c r="B2418">
        <f>GS7x</f>
        <v>0</v>
      </c>
      <c r="C2418" t="inlineStr">
        <is>
          <t>+LS[l2]</t>
        </is>
      </c>
      <c r="D2418" t="inlineStr">
        <is>
          <t>-161Q2</t>
        </is>
      </c>
      <c r="E2418" t="inlineStr">
        <is>
          <t>DILMC40(RDC24)</t>
        </is>
      </c>
      <c r="F2418" t="inlineStr">
        <is>
          <t>DILM150-XHIC22</t>
        </is>
      </c>
      <c r="G2418" t="inlineStr">
        <is>
          <t>LASTSCHUETZ</t>
        </is>
      </c>
      <c r="H2418" t="inlineStr">
        <is>
          <t>18,5kW Federzugkl.</t>
        </is>
      </c>
      <c r="I2418">
        <v>205</v>
      </c>
      <c r="J2418">
        <f>GS7x/161.6</f>
        <v>0</v>
      </c>
      <c r="K2418" t="inlineStr">
        <is>
          <t>DILMC40</t>
        </is>
      </c>
      <c r="M2418" t="inlineStr">
        <is>
          <t>-161Q2</t>
        </is>
      </c>
    </row>
    <row r="2419">
      <c r="A2419">
        <v>2418</v>
      </c>
      <c r="B2419">
        <f>GS37</f>
        <v>0</v>
      </c>
      <c r="C2419" t="inlineStr">
        <is>
          <t>+LS02</t>
        </is>
      </c>
      <c r="D2419" t="inlineStr">
        <is>
          <t>-161Q423.0</t>
        </is>
      </c>
      <c r="E2419" t="inlineStr">
        <is>
          <t>DILM-9-10</t>
        </is>
      </c>
      <c r="F2419" t="inlineStr">
        <is>
          <t>#KALK!</t>
        </is>
      </c>
      <c r="G2419" t="inlineStr">
        <is>
          <t>LASTSCHUETZ</t>
        </is>
      </c>
      <c r="H2419" t="inlineStr">
        <is>
          <t>4kW 1S Federzugkl.</t>
        </is>
      </c>
      <c r="I2419">
        <v>303</v>
      </c>
      <c r="J2419">
        <f>GS37/161.6</f>
        <v>0</v>
      </c>
      <c r="M2419" t="inlineStr">
        <is>
          <t>-161Q423.0</t>
        </is>
      </c>
    </row>
    <row r="2420">
      <c r="A2420">
        <v>2419</v>
      </c>
      <c r="B2420">
        <f>GS91</f>
        <v>0</v>
      </c>
      <c r="C2420" t="inlineStr">
        <is>
          <t>+LS02</t>
        </is>
      </c>
      <c r="D2420" t="inlineStr">
        <is>
          <t>-161Q442.6</t>
        </is>
      </c>
      <c r="E2420" t="inlineStr">
        <is>
          <t>DILM-9-10</t>
        </is>
      </c>
      <c r="F2420" t="inlineStr">
        <is>
          <t>#KALK!</t>
        </is>
      </c>
      <c r="G2420" t="inlineStr">
        <is>
          <t>LASTSCHUETZ</t>
        </is>
      </c>
      <c r="H2420" t="inlineStr">
        <is>
          <t>4kW 1S Federzugkl.</t>
        </is>
      </c>
      <c r="I2420">
        <v>349</v>
      </c>
      <c r="J2420">
        <f>GS91/161.5</f>
        <v>0</v>
      </c>
      <c r="M2420" t="inlineStr">
        <is>
          <t>-161Q442.6</t>
        </is>
      </c>
    </row>
    <row r="2421">
      <c r="A2421">
        <v>2420</v>
      </c>
      <c r="B2421">
        <f>GS38</f>
        <v>0</v>
      </c>
      <c r="C2421" t="inlineStr">
        <is>
          <t>+LS02</t>
        </is>
      </c>
      <c r="D2421" t="inlineStr">
        <is>
          <t>-161Q714.4</t>
        </is>
      </c>
      <c r="E2421" t="inlineStr">
        <is>
          <t>DILMC12-10(24VDC)</t>
        </is>
      </c>
      <c r="F2421" t="inlineStr">
        <is>
          <t>#KALK!</t>
        </is>
      </c>
      <c r="G2421" t="inlineStr">
        <is>
          <t>LASTSCHUETZ</t>
        </is>
      </c>
      <c r="H2421" t="inlineStr">
        <is>
          <t>5,5kW 1S Federzugkl.</t>
        </is>
      </c>
      <c r="I2421">
        <v>284</v>
      </c>
      <c r="J2421">
        <f>GS38/161.5</f>
        <v>0</v>
      </c>
      <c r="K2421" t="inlineStr">
        <is>
          <t>DIL MC12</t>
        </is>
      </c>
      <c r="M2421" t="inlineStr">
        <is>
          <t>-161Q714.4</t>
        </is>
      </c>
    </row>
    <row r="2422">
      <c r="A2422">
        <v>2421</v>
      </c>
      <c r="B2422">
        <f>GS39</f>
        <v>0</v>
      </c>
      <c r="C2422" t="inlineStr">
        <is>
          <t>+LS02</t>
        </is>
      </c>
      <c r="D2422" t="inlineStr">
        <is>
          <t>-161Q714.4</t>
        </is>
      </c>
      <c r="E2422" t="inlineStr">
        <is>
          <t>DILMC12-10(24VDC)</t>
        </is>
      </c>
      <c r="F2422" t="inlineStr">
        <is>
          <t>#KALK!</t>
        </is>
      </c>
      <c r="G2422" t="inlineStr">
        <is>
          <t>LASTSCHUETZ</t>
        </is>
      </c>
      <c r="H2422" t="inlineStr">
        <is>
          <t>5,5kW 1S Federzugkl.</t>
        </is>
      </c>
      <c r="I2422">
        <v>347</v>
      </c>
      <c r="J2422">
        <f>GS39/161.5</f>
        <v>0</v>
      </c>
      <c r="K2422" t="inlineStr">
        <is>
          <t>DIL MC12</t>
        </is>
      </c>
      <c r="M2422" t="inlineStr">
        <is>
          <t>-161Q714.4</t>
        </is>
      </c>
    </row>
    <row r="2423">
      <c r="A2423">
        <v>2422</v>
      </c>
      <c r="B2423">
        <f>GS11</f>
        <v>0</v>
      </c>
      <c r="C2423" t="inlineStr">
        <is>
          <t>+LS3</t>
        </is>
      </c>
      <c r="D2423" t="inlineStr">
        <is>
          <t>-162.1K82.7</t>
        </is>
      </c>
      <c r="E2423" t="inlineStr">
        <is>
          <t>DIL_EM-10-G</t>
        </is>
      </c>
      <c r="F2423" t="inlineStr">
        <is>
          <t>#KALK!</t>
        </is>
      </c>
      <c r="G2423" t="inlineStr">
        <is>
          <t>LASTSCHUETZ</t>
        </is>
      </c>
      <c r="H2423" t="inlineStr">
        <is>
          <t>4kW 1S</t>
        </is>
      </c>
      <c r="I2423">
        <v>1059</v>
      </c>
      <c r="J2423">
        <f>GS11/162.1.7</f>
        <v>0</v>
      </c>
      <c r="M2423" t="inlineStr">
        <is>
          <t>-162.1K82.7</t>
        </is>
      </c>
    </row>
    <row r="2424">
      <c r="A2424">
        <v>2423</v>
      </c>
      <c r="B2424">
        <f>GS11</f>
        <v>0</v>
      </c>
      <c r="C2424" t="inlineStr">
        <is>
          <t>+LS3</t>
        </is>
      </c>
      <c r="D2424" t="inlineStr">
        <is>
          <t>-162.2K83.2</t>
        </is>
      </c>
      <c r="E2424" t="inlineStr">
        <is>
          <t>DIL_EM-10-G</t>
        </is>
      </c>
      <c r="F2424" t="inlineStr">
        <is>
          <t>#KALK!</t>
        </is>
      </c>
      <c r="G2424" t="inlineStr">
        <is>
          <t>LASTSCHUETZ</t>
        </is>
      </c>
      <c r="H2424" t="inlineStr">
        <is>
          <t>4kW 1S</t>
        </is>
      </c>
      <c r="I2424">
        <v>1060</v>
      </c>
      <c r="J2424">
        <f>GS11/162.2.6</f>
        <v>0</v>
      </c>
      <c r="M2424" t="inlineStr">
        <is>
          <t>-162.2K83.2</t>
        </is>
      </c>
    </row>
    <row r="2425">
      <c r="A2425">
        <v>2424</v>
      </c>
      <c r="B2425">
        <f>GS31</f>
        <v>0</v>
      </c>
      <c r="C2425" t="inlineStr">
        <is>
          <t>+LS2</t>
        </is>
      </c>
      <c r="D2425" t="inlineStr">
        <is>
          <t>-162K28.3</t>
        </is>
      </c>
      <c r="E2425" t="inlineStr">
        <is>
          <t>DIL_EM-10-G</t>
        </is>
      </c>
      <c r="F2425" t="inlineStr">
        <is>
          <t>#KALK!</t>
        </is>
      </c>
      <c r="G2425" t="inlineStr">
        <is>
          <t>LASTSCHUETZ</t>
        </is>
      </c>
      <c r="H2425" t="inlineStr">
        <is>
          <t>4kW 1S</t>
        </is>
      </c>
      <c r="I2425">
        <v>446</v>
      </c>
      <c r="J2425">
        <f>GS31/162.7</f>
        <v>0</v>
      </c>
      <c r="M2425" t="inlineStr">
        <is>
          <t>-162K28.3</t>
        </is>
      </c>
    </row>
    <row r="2426">
      <c r="A2426">
        <v>2425</v>
      </c>
      <c r="B2426">
        <f>GS32</f>
        <v>0</v>
      </c>
      <c r="C2426" t="inlineStr">
        <is>
          <t>+LS3</t>
        </is>
      </c>
      <c r="D2426" t="inlineStr">
        <is>
          <t>-162K29.4</t>
        </is>
      </c>
      <c r="E2426" t="inlineStr">
        <is>
          <t>DIL_EM-10-G</t>
        </is>
      </c>
      <c r="F2426" t="inlineStr">
        <is>
          <t>#KALK!</t>
        </is>
      </c>
      <c r="G2426" t="inlineStr">
        <is>
          <t>LASTSCHUETZ</t>
        </is>
      </c>
      <c r="H2426" t="inlineStr">
        <is>
          <t>4kW 1S</t>
        </is>
      </c>
      <c r="I2426">
        <v>1393</v>
      </c>
      <c r="J2426">
        <f>GS32/162.6</f>
        <v>0</v>
      </c>
      <c r="M2426" t="inlineStr">
        <is>
          <t>-162K29.4</t>
        </is>
      </c>
    </row>
    <row r="2427">
      <c r="A2427">
        <v>2426</v>
      </c>
      <c r="B2427">
        <f>GS26</f>
        <v>0</v>
      </c>
      <c r="C2427" t="inlineStr">
        <is>
          <t>+LS2</t>
        </is>
      </c>
      <c r="D2427" t="inlineStr">
        <is>
          <t>-162K3514.1</t>
        </is>
      </c>
      <c r="E2427" t="inlineStr">
        <is>
          <t>DILM-9-10</t>
        </is>
      </c>
      <c r="F2427" t="inlineStr">
        <is>
          <t>#KALK!</t>
        </is>
      </c>
      <c r="G2427" t="inlineStr">
        <is>
          <t>LASTSCHUETZ</t>
        </is>
      </c>
      <c r="H2427" t="inlineStr">
        <is>
          <t>4kW 1S Federzugkl.</t>
        </is>
      </c>
      <c r="I2427">
        <v>654</v>
      </c>
      <c r="J2427">
        <f>GS26/162.8</f>
        <v>0</v>
      </c>
      <c r="M2427" t="inlineStr">
        <is>
          <t>-162K3514.1</t>
        </is>
      </c>
    </row>
    <row r="2428">
      <c r="A2428">
        <v>2427</v>
      </c>
      <c r="B2428">
        <f>GS11</f>
        <v>0</v>
      </c>
      <c r="C2428" t="inlineStr">
        <is>
          <t>+LS3</t>
        </is>
      </c>
      <c r="D2428" t="inlineStr">
        <is>
          <t>-162K39.4</t>
        </is>
      </c>
      <c r="E2428" t="inlineStr">
        <is>
          <t>DIL_EM-10-G</t>
        </is>
      </c>
      <c r="F2428" t="inlineStr">
        <is>
          <t>#KALK!</t>
        </is>
      </c>
      <c r="G2428" t="inlineStr">
        <is>
          <t>LASTSCHUETZ</t>
        </is>
      </c>
      <c r="H2428" t="inlineStr">
        <is>
          <t>4kW 1S</t>
        </is>
      </c>
      <c r="I2428">
        <v>273</v>
      </c>
      <c r="J2428">
        <f>GS11/162.6</f>
        <v>0</v>
      </c>
      <c r="M2428" t="inlineStr">
        <is>
          <t>-162K39.4</t>
        </is>
      </c>
    </row>
    <row r="2429">
      <c r="A2429">
        <v>2428</v>
      </c>
      <c r="B2429">
        <f>GS21</f>
        <v>0</v>
      </c>
      <c r="C2429" t="inlineStr">
        <is>
          <t>+LS3</t>
        </is>
      </c>
      <c r="D2429" t="inlineStr">
        <is>
          <t>-162K39.4</t>
        </is>
      </c>
      <c r="E2429" t="inlineStr">
        <is>
          <t>DIL_EM-10-G</t>
        </is>
      </c>
      <c r="F2429" t="inlineStr">
        <is>
          <t>#KALK!</t>
        </is>
      </c>
      <c r="G2429" t="inlineStr">
        <is>
          <t>LASTSCHUETZ</t>
        </is>
      </c>
      <c r="H2429" t="inlineStr">
        <is>
          <t>4kW 1S</t>
        </is>
      </c>
      <c r="I2429">
        <v>247</v>
      </c>
      <c r="J2429">
        <f>GS21/162.6</f>
        <v>0</v>
      </c>
      <c r="M2429" t="inlineStr">
        <is>
          <t>-162K39.4</t>
        </is>
      </c>
    </row>
    <row r="2430">
      <c r="A2430">
        <v>2429</v>
      </c>
      <c r="B2430">
        <f>GS25</f>
        <v>0</v>
      </c>
      <c r="C2430" t="inlineStr">
        <is>
          <t>+LS3</t>
        </is>
      </c>
      <c r="D2430" t="inlineStr">
        <is>
          <t>-162K65.6</t>
        </is>
      </c>
      <c r="E2430" t="inlineStr">
        <is>
          <t>DIL_EM-10-G</t>
        </is>
      </c>
      <c r="F2430" t="inlineStr">
        <is>
          <t>#KALK!</t>
        </is>
      </c>
      <c r="G2430" t="inlineStr">
        <is>
          <t>LASTSCHUETZ</t>
        </is>
      </c>
      <c r="H2430" t="inlineStr">
        <is>
          <t>4kW 1S</t>
        </is>
      </c>
      <c r="I2430">
        <v>283</v>
      </c>
      <c r="J2430">
        <f>GS25/162.6</f>
        <v>0</v>
      </c>
      <c r="M2430" t="inlineStr">
        <is>
          <t>-162K65.6</t>
        </is>
      </c>
    </row>
    <row r="2431">
      <c r="A2431">
        <v>2430</v>
      </c>
      <c r="B2431">
        <f>GS25</f>
        <v>0</v>
      </c>
      <c r="C2431" t="inlineStr">
        <is>
          <t>+LS3</t>
        </is>
      </c>
      <c r="D2431" t="inlineStr">
        <is>
          <t>-162K65.7</t>
        </is>
      </c>
      <c r="E2431" t="inlineStr">
        <is>
          <t>DIL_EM-10-G</t>
        </is>
      </c>
      <c r="F2431" t="inlineStr">
        <is>
          <t>#KALK!</t>
        </is>
      </c>
      <c r="G2431" t="inlineStr">
        <is>
          <t>LASTSCHUETZ</t>
        </is>
      </c>
      <c r="H2431" t="inlineStr">
        <is>
          <t>4kW 1S</t>
        </is>
      </c>
      <c r="I2431">
        <v>283</v>
      </c>
      <c r="J2431">
        <f>GS25/162.6</f>
        <v>0</v>
      </c>
      <c r="M2431" t="inlineStr">
        <is>
          <t>-162K65.7</t>
        </is>
      </c>
    </row>
    <row r="2432">
      <c r="A2432">
        <v>2431</v>
      </c>
      <c r="B2432">
        <f>GS24</f>
        <v>0</v>
      </c>
      <c r="C2432" t="inlineStr">
        <is>
          <t>+LS3</t>
        </is>
      </c>
      <c r="D2432" t="inlineStr">
        <is>
          <t>-162K67.3</t>
        </is>
      </c>
      <c r="E2432" t="inlineStr">
        <is>
          <t>DIL_EM-10-G</t>
        </is>
      </c>
      <c r="F2432" t="inlineStr">
        <is>
          <t>#KALK!</t>
        </is>
      </c>
      <c r="G2432" t="inlineStr">
        <is>
          <t>LASTSCHUETZ</t>
        </is>
      </c>
      <c r="H2432" t="inlineStr">
        <is>
          <t>4kW 1S</t>
        </is>
      </c>
      <c r="I2432">
        <v>917</v>
      </c>
      <c r="J2432">
        <f>GS24/162.6</f>
        <v>0</v>
      </c>
      <c r="M2432" t="inlineStr">
        <is>
          <t>-162K67.3</t>
        </is>
      </c>
    </row>
    <row r="2433">
      <c r="A2433">
        <v>2432</v>
      </c>
      <c r="B2433">
        <f>GS24</f>
        <v>0</v>
      </c>
      <c r="C2433" t="inlineStr">
        <is>
          <t>+LS3</t>
        </is>
      </c>
      <c r="D2433" t="inlineStr">
        <is>
          <t>-162K67.4</t>
        </is>
      </c>
      <c r="E2433" t="inlineStr">
        <is>
          <t>DIL_EM-10-G</t>
        </is>
      </c>
      <c r="F2433" t="inlineStr">
        <is>
          <t>#KALK!</t>
        </is>
      </c>
      <c r="G2433" t="inlineStr">
        <is>
          <t>LASTSCHUETZ</t>
        </is>
      </c>
      <c r="H2433" t="inlineStr">
        <is>
          <t>4kW 1S</t>
        </is>
      </c>
      <c r="I2433">
        <v>917</v>
      </c>
      <c r="J2433">
        <f>GS24/162.6</f>
        <v>0</v>
      </c>
      <c r="M2433" t="inlineStr">
        <is>
          <t>-162K67.4</t>
        </is>
      </c>
    </row>
    <row r="2434">
      <c r="A2434">
        <v>2433</v>
      </c>
      <c r="B2434">
        <f>GS11</f>
        <v>0</v>
      </c>
      <c r="C2434" t="inlineStr">
        <is>
          <t>+LS3</t>
        </is>
      </c>
      <c r="D2434" t="inlineStr">
        <is>
          <t>-162K80.6</t>
        </is>
      </c>
      <c r="E2434" t="inlineStr">
        <is>
          <t>DIL_EM-10-G</t>
        </is>
      </c>
      <c r="F2434" t="inlineStr">
        <is>
          <t>#KALK!</t>
        </is>
      </c>
      <c r="G2434" t="inlineStr">
        <is>
          <t>LASTSCHUETZ</t>
        </is>
      </c>
      <c r="H2434" t="inlineStr">
        <is>
          <t>4kW 1S</t>
        </is>
      </c>
      <c r="I2434">
        <v>273</v>
      </c>
      <c r="J2434">
        <f>GS11/162.6</f>
        <v>0</v>
      </c>
      <c r="M2434" t="inlineStr">
        <is>
          <t>-162K80.6</t>
        </is>
      </c>
    </row>
    <row r="2435">
      <c r="A2435">
        <v>2434</v>
      </c>
      <c r="B2435">
        <f>GS21</f>
        <v>0</v>
      </c>
      <c r="C2435" t="inlineStr">
        <is>
          <t>+LS3</t>
        </is>
      </c>
      <c r="D2435" t="inlineStr">
        <is>
          <t>-162K80.6</t>
        </is>
      </c>
      <c r="E2435" t="inlineStr">
        <is>
          <t>DIL_EM-10-G</t>
        </is>
      </c>
      <c r="F2435" t="inlineStr">
        <is>
          <t>#KALK!</t>
        </is>
      </c>
      <c r="G2435" t="inlineStr">
        <is>
          <t>LASTSCHUETZ</t>
        </is>
      </c>
      <c r="H2435" t="inlineStr">
        <is>
          <t>4kW 1S</t>
        </is>
      </c>
      <c r="I2435">
        <v>247</v>
      </c>
      <c r="J2435">
        <f>GS21/162.6</f>
        <v>0</v>
      </c>
      <c r="M2435" t="inlineStr">
        <is>
          <t>-162K80.6</t>
        </is>
      </c>
    </row>
    <row r="2436">
      <c r="A2436">
        <v>2435</v>
      </c>
      <c r="B2436">
        <f>GS37</f>
        <v>0</v>
      </c>
      <c r="C2436" t="inlineStr">
        <is>
          <t>+LS02</t>
        </is>
      </c>
      <c r="D2436" t="inlineStr">
        <is>
          <t>-162Q423.2</t>
        </is>
      </c>
      <c r="E2436" t="inlineStr">
        <is>
          <t>DILM-9-10</t>
        </is>
      </c>
      <c r="F2436" t="inlineStr">
        <is>
          <t>#KALK!</t>
        </is>
      </c>
      <c r="G2436" t="inlineStr">
        <is>
          <t>LASTSCHUETZ</t>
        </is>
      </c>
      <c r="H2436" t="inlineStr">
        <is>
          <t>4kW 1S Federzugkl.</t>
        </is>
      </c>
      <c r="I2436">
        <v>304</v>
      </c>
      <c r="J2436">
        <f>GS37/162.6</f>
        <v>0</v>
      </c>
      <c r="M2436" t="inlineStr">
        <is>
          <t>-162Q423.2</t>
        </is>
      </c>
    </row>
    <row r="2437">
      <c r="A2437">
        <v>2436</v>
      </c>
      <c r="B2437">
        <f>GS91</f>
        <v>0</v>
      </c>
      <c r="C2437" t="inlineStr">
        <is>
          <t>+LS02</t>
        </is>
      </c>
      <c r="D2437" t="inlineStr">
        <is>
          <t>-162Q442.7</t>
        </is>
      </c>
      <c r="E2437" t="inlineStr">
        <is>
          <t>DILM-9-10</t>
        </is>
      </c>
      <c r="F2437" t="inlineStr">
        <is>
          <t>#KALK!</t>
        </is>
      </c>
      <c r="G2437" t="inlineStr">
        <is>
          <t>LASTSCHUETZ</t>
        </is>
      </c>
      <c r="H2437" t="inlineStr">
        <is>
          <t>4kW 1S Federzugkl.</t>
        </is>
      </c>
      <c r="I2437">
        <v>350</v>
      </c>
      <c r="J2437">
        <f>GS91/162.5</f>
        <v>0</v>
      </c>
      <c r="M2437" t="inlineStr">
        <is>
          <t>-162Q442.7</t>
        </is>
      </c>
    </row>
    <row r="2438">
      <c r="A2438">
        <v>2437</v>
      </c>
      <c r="B2438">
        <f>GS11</f>
        <v>0</v>
      </c>
      <c r="C2438" t="inlineStr">
        <is>
          <t>+LS3</t>
        </is>
      </c>
      <c r="D2438" t="inlineStr">
        <is>
          <t>-163.1K83.5</t>
        </is>
      </c>
      <c r="E2438" t="inlineStr">
        <is>
          <t>DIL_EM-10-G</t>
        </is>
      </c>
      <c r="F2438" t="inlineStr">
        <is>
          <t>#KALK!</t>
        </is>
      </c>
      <c r="G2438" t="inlineStr">
        <is>
          <t>LASTSCHUETZ</t>
        </is>
      </c>
      <c r="H2438" t="inlineStr">
        <is>
          <t>4kW 1S</t>
        </is>
      </c>
      <c r="I2438">
        <v>1061</v>
      </c>
      <c r="J2438">
        <f>GS11/163.1.6</f>
        <v>0</v>
      </c>
      <c r="M2438" t="inlineStr">
        <is>
          <t>-163.1K83.5</t>
        </is>
      </c>
    </row>
    <row r="2439">
      <c r="A2439">
        <v>2438</v>
      </c>
      <c r="B2439">
        <f>GS11</f>
        <v>0</v>
      </c>
      <c r="C2439" t="inlineStr">
        <is>
          <t>+LS3</t>
        </is>
      </c>
      <c r="D2439" t="inlineStr">
        <is>
          <t>-163.1K83.6</t>
        </is>
      </c>
      <c r="E2439" t="inlineStr">
        <is>
          <t>DIL_EM-10-G</t>
        </is>
      </c>
      <c r="F2439" t="inlineStr">
        <is>
          <t>#KALK!</t>
        </is>
      </c>
      <c r="G2439" t="inlineStr">
        <is>
          <t>LASTSCHUETZ</t>
        </is>
      </c>
      <c r="H2439" t="inlineStr">
        <is>
          <t>4kW 1S</t>
        </is>
      </c>
      <c r="I2439">
        <v>1061</v>
      </c>
      <c r="J2439">
        <f>GS11/163.1.6</f>
        <v>0</v>
      </c>
      <c r="M2439" t="inlineStr">
        <is>
          <t>-163.1K83.6</t>
        </is>
      </c>
    </row>
    <row r="2440">
      <c r="A2440">
        <v>2439</v>
      </c>
      <c r="B2440">
        <f>GS92</f>
        <v>0</v>
      </c>
      <c r="C2440" t="inlineStr">
        <is>
          <t>+LS02</t>
        </is>
      </c>
      <c r="D2440" t="inlineStr">
        <is>
          <t>-163K159.5</t>
        </is>
      </c>
      <c r="E2440" t="inlineStr">
        <is>
          <t>DILA-22</t>
        </is>
      </c>
      <c r="F2440" t="inlineStr">
        <is>
          <t>#KALK!</t>
        </is>
      </c>
      <c r="G2440" t="inlineStr">
        <is>
          <t>HILFSSCHUETZ</t>
        </is>
      </c>
      <c r="H2440" t="inlineStr">
        <is>
          <t>2S 2Oe Federzugkl.</t>
        </is>
      </c>
      <c r="I2440">
        <v>309</v>
      </c>
      <c r="J2440">
        <f>GS92/163.6</f>
        <v>0</v>
      </c>
      <c r="M2440" t="inlineStr">
        <is>
          <t>-163K159.5</t>
        </is>
      </c>
    </row>
    <row r="2441">
      <c r="A2441">
        <v>2440</v>
      </c>
      <c r="B2441">
        <f>GS93</f>
        <v>0</v>
      </c>
      <c r="C2441" t="inlineStr">
        <is>
          <t>+LS02</t>
        </is>
      </c>
      <c r="D2441" t="inlineStr">
        <is>
          <t>-163K159.5</t>
        </is>
      </c>
      <c r="E2441" t="inlineStr">
        <is>
          <t>DILA-22</t>
        </is>
      </c>
      <c r="F2441" t="inlineStr">
        <is>
          <t>#KALK!</t>
        </is>
      </c>
      <c r="G2441" t="inlineStr">
        <is>
          <t>HILFSSCHUETZ</t>
        </is>
      </c>
      <c r="H2441" t="inlineStr">
        <is>
          <t>2S 2Oe Federzugkl.</t>
        </is>
      </c>
      <c r="I2441">
        <v>722</v>
      </c>
      <c r="J2441">
        <f>GS93/163.6</f>
        <v>0</v>
      </c>
      <c r="M2441" t="inlineStr">
        <is>
          <t>-163K159.5</t>
        </is>
      </c>
    </row>
    <row r="2442">
      <c r="A2442">
        <v>2441</v>
      </c>
      <c r="B2442">
        <f>GS31</f>
        <v>0</v>
      </c>
      <c r="C2442" t="inlineStr">
        <is>
          <t>+LS2</t>
        </is>
      </c>
      <c r="D2442" t="inlineStr">
        <is>
          <t>-163K28.4</t>
        </is>
      </c>
      <c r="E2442" t="inlineStr">
        <is>
          <t>DIL_EM-10-G</t>
        </is>
      </c>
      <c r="F2442" t="inlineStr">
        <is>
          <t>#KALK!</t>
        </is>
      </c>
      <c r="G2442" t="inlineStr">
        <is>
          <t>LASTSCHUETZ</t>
        </is>
      </c>
      <c r="H2442" t="inlineStr">
        <is>
          <t>4kW 1S</t>
        </is>
      </c>
      <c r="I2442">
        <v>447</v>
      </c>
      <c r="J2442">
        <f>GS31/163.6</f>
        <v>0</v>
      </c>
      <c r="M2442" t="inlineStr">
        <is>
          <t>-163K28.4</t>
        </is>
      </c>
    </row>
    <row r="2443">
      <c r="A2443">
        <v>2442</v>
      </c>
      <c r="B2443">
        <f>GS32</f>
        <v>0</v>
      </c>
      <c r="C2443" t="inlineStr">
        <is>
          <t>+LS3</t>
        </is>
      </c>
      <c r="D2443" t="inlineStr">
        <is>
          <t>-163K29.5</t>
        </is>
      </c>
      <c r="E2443" t="inlineStr">
        <is>
          <t>DIL_EM-10-G</t>
        </is>
      </c>
      <c r="F2443" t="inlineStr">
        <is>
          <t>#KALK!</t>
        </is>
      </c>
      <c r="G2443" t="inlineStr">
        <is>
          <t>LASTSCHUETZ</t>
        </is>
      </c>
      <c r="H2443" t="inlineStr">
        <is>
          <t>4kW 1S</t>
        </is>
      </c>
      <c r="I2443">
        <v>1392</v>
      </c>
      <c r="J2443">
        <f>GS32/163.6</f>
        <v>0</v>
      </c>
      <c r="M2443" t="inlineStr">
        <is>
          <t>-163K29.5</t>
        </is>
      </c>
    </row>
    <row r="2444">
      <c r="A2444">
        <v>2443</v>
      </c>
      <c r="B2444">
        <f>GS32</f>
        <v>0</v>
      </c>
      <c r="C2444" t="inlineStr">
        <is>
          <t>+LS3</t>
        </is>
      </c>
      <c r="D2444" t="inlineStr">
        <is>
          <t>-163K29.6</t>
        </is>
      </c>
      <c r="E2444" t="inlineStr">
        <is>
          <t>DIL_EM-10-G</t>
        </is>
      </c>
      <c r="F2444" t="inlineStr">
        <is>
          <t>#KALK!</t>
        </is>
      </c>
      <c r="G2444" t="inlineStr">
        <is>
          <t>LASTSCHUETZ</t>
        </is>
      </c>
      <c r="H2444" t="inlineStr">
        <is>
          <t>4kW 1S</t>
        </is>
      </c>
      <c r="I2444">
        <v>1392</v>
      </c>
      <c r="J2444">
        <f>GS32/163.6</f>
        <v>0</v>
      </c>
      <c r="M2444" t="inlineStr">
        <is>
          <t>-163K29.6</t>
        </is>
      </c>
    </row>
    <row r="2445">
      <c r="A2445">
        <v>2444</v>
      </c>
      <c r="B2445">
        <f>GS24</f>
        <v>0</v>
      </c>
      <c r="C2445" t="inlineStr">
        <is>
          <t>+LS3</t>
        </is>
      </c>
      <c r="D2445" t="inlineStr">
        <is>
          <t>-163K67.5</t>
        </is>
      </c>
      <c r="E2445" t="inlineStr">
        <is>
          <t>DIL_EM-10-G</t>
        </is>
      </c>
      <c r="F2445" t="inlineStr">
        <is>
          <t>#KALK!</t>
        </is>
      </c>
      <c r="G2445" t="inlineStr">
        <is>
          <t>LASTSCHUETZ</t>
        </is>
      </c>
      <c r="H2445" t="inlineStr">
        <is>
          <t>4kW 1S</t>
        </is>
      </c>
      <c r="I2445">
        <v>916</v>
      </c>
      <c r="J2445">
        <f>GS24/163.6</f>
        <v>0</v>
      </c>
      <c r="M2445" t="inlineStr">
        <is>
          <t>-163K67.5</t>
        </is>
      </c>
    </row>
    <row r="2446">
      <c r="A2446">
        <v>2445</v>
      </c>
      <c r="B2446">
        <f>GS24</f>
        <v>0</v>
      </c>
      <c r="C2446" t="inlineStr">
        <is>
          <t>+LS3</t>
        </is>
      </c>
      <c r="D2446" t="inlineStr">
        <is>
          <t>-163K67.6</t>
        </is>
      </c>
      <c r="E2446" t="inlineStr">
        <is>
          <t>DIL_EM-10-G</t>
        </is>
      </c>
      <c r="F2446" t="inlineStr">
        <is>
          <t>#KALK!</t>
        </is>
      </c>
      <c r="G2446" t="inlineStr">
        <is>
          <t>LASTSCHUETZ</t>
        </is>
      </c>
      <c r="H2446" t="inlineStr">
        <is>
          <t>4kW 1S</t>
        </is>
      </c>
      <c r="I2446">
        <v>916</v>
      </c>
      <c r="J2446">
        <f>GS24/163.6</f>
        <v>0</v>
      </c>
      <c r="M2446" t="inlineStr">
        <is>
          <t>-163K67.6</t>
        </is>
      </c>
    </row>
    <row r="2447">
      <c r="A2447">
        <v>2446</v>
      </c>
      <c r="B2447">
        <f>GS21</f>
        <v>0</v>
      </c>
      <c r="C2447" t="inlineStr">
        <is>
          <t>+LS3</t>
        </is>
      </c>
      <c r="D2447" t="inlineStr">
        <is>
          <t>-163K81.3</t>
        </is>
      </c>
      <c r="E2447" t="inlineStr">
        <is>
          <t>DIL_EM-10-G</t>
        </is>
      </c>
      <c r="F2447" t="inlineStr">
        <is>
          <t>#KALK!</t>
        </is>
      </c>
      <c r="G2447" t="inlineStr">
        <is>
          <t>LASTSCHUETZ</t>
        </is>
      </c>
      <c r="H2447" t="inlineStr">
        <is>
          <t>4kW 1S</t>
        </is>
      </c>
      <c r="I2447">
        <v>248</v>
      </c>
      <c r="J2447">
        <f>GS21/163.7</f>
        <v>0</v>
      </c>
      <c r="M2447" t="inlineStr">
        <is>
          <t>-163K81.3</t>
        </is>
      </c>
    </row>
    <row r="2448">
      <c r="A2448">
        <v>2447</v>
      </c>
      <c r="B2448">
        <f>GS11</f>
        <v>0</v>
      </c>
      <c r="C2448" t="inlineStr">
        <is>
          <t>+LS3</t>
        </is>
      </c>
      <c r="D2448" t="inlineStr">
        <is>
          <t>-163K83.3</t>
        </is>
      </c>
      <c r="E2448" t="inlineStr">
        <is>
          <t>DIL_EM-10-G</t>
        </is>
      </c>
      <c r="F2448" t="inlineStr">
        <is>
          <t>#KALK!</t>
        </is>
      </c>
      <c r="G2448" t="inlineStr">
        <is>
          <t>LASTSCHUETZ</t>
        </is>
      </c>
      <c r="H2448" t="inlineStr">
        <is>
          <t>4kW 1S</t>
        </is>
      </c>
      <c r="I2448">
        <v>274</v>
      </c>
      <c r="J2448">
        <f>GS11/163.6</f>
        <v>0</v>
      </c>
      <c r="M2448" t="inlineStr">
        <is>
          <t>-163K83.3</t>
        </is>
      </c>
    </row>
    <row r="2449">
      <c r="A2449">
        <v>2448</v>
      </c>
      <c r="B2449">
        <f>GS11</f>
        <v>0</v>
      </c>
      <c r="C2449" t="inlineStr">
        <is>
          <t>+LS3</t>
        </is>
      </c>
      <c r="D2449" t="inlineStr">
        <is>
          <t>-163K83.4</t>
        </is>
      </c>
      <c r="E2449" t="inlineStr">
        <is>
          <t>DIL_EM-10-G</t>
        </is>
      </c>
      <c r="F2449" t="inlineStr">
        <is>
          <t>#KALK!</t>
        </is>
      </c>
      <c r="G2449" t="inlineStr">
        <is>
          <t>LASTSCHUETZ</t>
        </is>
      </c>
      <c r="H2449" t="inlineStr">
        <is>
          <t>4kW 1S</t>
        </is>
      </c>
      <c r="I2449">
        <v>274</v>
      </c>
      <c r="J2449">
        <f>GS11/163.6</f>
        <v>0</v>
      </c>
      <c r="M2449" t="inlineStr">
        <is>
          <t>-163K83.4</t>
        </is>
      </c>
    </row>
    <row r="2450">
      <c r="A2450">
        <v>2449</v>
      </c>
      <c r="B2450">
        <f>GS92</f>
        <v>0</v>
      </c>
      <c r="C2450" t="inlineStr">
        <is>
          <t>+LS02</t>
        </is>
      </c>
      <c r="D2450" t="inlineStr">
        <is>
          <t>-163Q1</t>
        </is>
      </c>
      <c r="E2450" t="inlineStr">
        <is>
          <t>DILMC25-10(RDC24)</t>
        </is>
      </c>
      <c r="F2450" t="inlineStr">
        <is>
          <t>DILA-XHIC31</t>
        </is>
      </c>
      <c r="G2450" t="inlineStr">
        <is>
          <t>LASTSCHUETZ</t>
        </is>
      </c>
      <c r="H2450" t="inlineStr">
        <is>
          <t>11kW 1S Federzugkl.</t>
        </is>
      </c>
      <c r="I2450">
        <v>309</v>
      </c>
      <c r="J2450">
        <f>GS92/163.2</f>
        <v>0</v>
      </c>
      <c r="M2450" t="inlineStr">
        <is>
          <t>-163Q1</t>
        </is>
      </c>
    </row>
    <row r="2451">
      <c r="A2451">
        <v>2450</v>
      </c>
      <c r="B2451">
        <f>GS92</f>
        <v>0</v>
      </c>
      <c r="C2451" t="inlineStr">
        <is>
          <t>+LS02</t>
        </is>
      </c>
      <c r="D2451" t="inlineStr">
        <is>
          <t>-163Q1</t>
        </is>
      </c>
      <c r="E2451" t="inlineStr">
        <is>
          <t>DILA-XHIC31</t>
        </is>
      </c>
      <c r="F2451" t="inlineStr">
        <is>
          <t>DILA-XHIC31</t>
        </is>
      </c>
      <c r="G2451" t="inlineStr">
        <is>
          <t>HILFSKONTAKTBLOCK</t>
        </is>
      </c>
      <c r="H2451" t="inlineStr">
        <is>
          <t>3S 1OE Last+Hilfssch. Cage</t>
        </is>
      </c>
      <c r="I2451">
        <v>309</v>
      </c>
      <c r="J2451">
        <f>GS92/163.2</f>
        <v>0</v>
      </c>
      <c r="M2451" t="inlineStr">
        <is>
          <t>-163Q1</t>
        </is>
      </c>
    </row>
    <row r="2452">
      <c r="A2452">
        <v>2451</v>
      </c>
      <c r="B2452">
        <f>GS93</f>
        <v>0</v>
      </c>
      <c r="C2452" t="inlineStr">
        <is>
          <t>+LS02</t>
        </is>
      </c>
      <c r="D2452" t="inlineStr">
        <is>
          <t>-163Q1</t>
        </is>
      </c>
      <c r="E2452" t="inlineStr">
        <is>
          <t>DILMC25-10(RDC24)</t>
        </is>
      </c>
      <c r="F2452" t="inlineStr">
        <is>
          <t>DILA-XHIC31</t>
        </is>
      </c>
      <c r="G2452" t="inlineStr">
        <is>
          <t>LASTSCHUETZ</t>
        </is>
      </c>
      <c r="H2452" t="inlineStr">
        <is>
          <t>11kW 1S Federzugkl.</t>
        </is>
      </c>
      <c r="I2452">
        <v>722</v>
      </c>
      <c r="J2452">
        <f>GS93/163.2</f>
        <v>0</v>
      </c>
      <c r="M2452" t="inlineStr">
        <is>
          <t>-163Q1</t>
        </is>
      </c>
    </row>
    <row r="2453">
      <c r="A2453">
        <v>2452</v>
      </c>
      <c r="B2453">
        <f>GS93</f>
        <v>0</v>
      </c>
      <c r="C2453" t="inlineStr">
        <is>
          <t>+LS02</t>
        </is>
      </c>
      <c r="D2453" t="inlineStr">
        <is>
          <t>-163Q1</t>
        </is>
      </c>
      <c r="E2453" t="inlineStr">
        <is>
          <t>DILA-XHIC31</t>
        </is>
      </c>
      <c r="F2453" t="inlineStr">
        <is>
          <t>DILA-XHIC31</t>
        </is>
      </c>
      <c r="G2453" t="inlineStr">
        <is>
          <t>HILFSKONTAKTBLOCK</t>
        </is>
      </c>
      <c r="H2453" t="inlineStr">
        <is>
          <t>3S 1OE Last+Hilfssch. Cage</t>
        </is>
      </c>
      <c r="I2453">
        <v>722</v>
      </c>
      <c r="J2453">
        <f>GS93/163.2</f>
        <v>0</v>
      </c>
      <c r="M2453" t="inlineStr">
        <is>
          <t>-163Q1</t>
        </is>
      </c>
    </row>
    <row r="2454">
      <c r="A2454">
        <v>2453</v>
      </c>
      <c r="B2454">
        <f>GS06</f>
        <v>0</v>
      </c>
      <c r="C2454" t="inlineStr">
        <is>
          <t>+LS02</t>
        </is>
      </c>
      <c r="D2454" t="inlineStr">
        <is>
          <t>-163Q111.2</t>
        </is>
      </c>
      <c r="E2454" t="inlineStr">
        <is>
          <t>DILM-9-10</t>
        </is>
      </c>
      <c r="F2454" t="inlineStr">
        <is>
          <t>#KALK!</t>
        </is>
      </c>
      <c r="G2454" t="inlineStr">
        <is>
          <t>LASTSCHUETZ</t>
        </is>
      </c>
      <c r="H2454" t="inlineStr">
        <is>
          <t>4kW 1S Federzugkl.</t>
        </is>
      </c>
      <c r="I2454">
        <v>2847</v>
      </c>
      <c r="J2454">
        <f>GS06/163.6</f>
        <v>0</v>
      </c>
      <c r="K2454" t="inlineStr">
        <is>
          <t>DIL MC9</t>
        </is>
      </c>
      <c r="M2454" t="inlineStr">
        <is>
          <t>-163Q111.2</t>
        </is>
      </c>
    </row>
    <row r="2455">
      <c r="A2455">
        <v>2454</v>
      </c>
      <c r="B2455">
        <f>GS92</f>
        <v>0</v>
      </c>
      <c r="C2455" t="inlineStr">
        <is>
          <t>+LS02</t>
        </is>
      </c>
      <c r="D2455" t="inlineStr">
        <is>
          <t>-163Q2</t>
        </is>
      </c>
      <c r="E2455" t="inlineStr">
        <is>
          <t>DILM-9-01</t>
        </is>
      </c>
      <c r="F2455" t="inlineStr">
        <is>
          <t>#KALK!</t>
        </is>
      </c>
      <c r="G2455" t="inlineStr">
        <is>
          <t>LASTSCHUETZ</t>
        </is>
      </c>
      <c r="H2455" t="inlineStr">
        <is>
          <t>4kW 1Oe Federzugkl.</t>
        </is>
      </c>
      <c r="I2455">
        <v>309</v>
      </c>
      <c r="J2455">
        <f>GS92/163.3</f>
        <v>0</v>
      </c>
      <c r="M2455" t="inlineStr">
        <is>
          <t>-163Q2</t>
        </is>
      </c>
    </row>
    <row r="2456">
      <c r="A2456">
        <v>2455</v>
      </c>
      <c r="B2456">
        <f>GS93</f>
        <v>0</v>
      </c>
      <c r="C2456" t="inlineStr">
        <is>
          <t>+LS02</t>
        </is>
      </c>
      <c r="D2456" t="inlineStr">
        <is>
          <t>-163Q2</t>
        </is>
      </c>
      <c r="E2456" t="inlineStr">
        <is>
          <t>DILM-9-01</t>
        </is>
      </c>
      <c r="F2456" t="inlineStr">
        <is>
          <t>#KALK!</t>
        </is>
      </c>
      <c r="G2456" t="inlineStr">
        <is>
          <t>LASTSCHUETZ</t>
        </is>
      </c>
      <c r="H2456" t="inlineStr">
        <is>
          <t>4kW 1Oe Federzugkl.</t>
        </is>
      </c>
      <c r="I2456">
        <v>722</v>
      </c>
      <c r="J2456">
        <f>GS93/163.3</f>
        <v>0</v>
      </c>
      <c r="M2456" t="inlineStr">
        <is>
          <t>-163Q2</t>
        </is>
      </c>
    </row>
    <row r="2457">
      <c r="A2457">
        <v>2456</v>
      </c>
      <c r="B2457">
        <f>GS11</f>
        <v>0</v>
      </c>
      <c r="C2457" t="inlineStr">
        <is>
          <t>+LS3</t>
        </is>
      </c>
      <c r="D2457" t="inlineStr">
        <is>
          <t>-164.1K85.0</t>
        </is>
      </c>
      <c r="E2457" t="inlineStr">
        <is>
          <t>DIL_EM-10-G</t>
        </is>
      </c>
      <c r="F2457" t="inlineStr">
        <is>
          <t>#KALK!</t>
        </is>
      </c>
      <c r="G2457" t="inlineStr">
        <is>
          <t>LASTSCHUETZ</t>
        </is>
      </c>
      <c r="H2457" t="inlineStr">
        <is>
          <t>4kW 1S</t>
        </is>
      </c>
      <c r="I2457">
        <v>1062</v>
      </c>
      <c r="J2457">
        <f>GS11/164.1.7</f>
        <v>0</v>
      </c>
      <c r="M2457" t="inlineStr">
        <is>
          <t>-164.1K85.0</t>
        </is>
      </c>
    </row>
    <row r="2458">
      <c r="A2458">
        <v>2457</v>
      </c>
      <c r="B2458">
        <f>GS11</f>
        <v>0</v>
      </c>
      <c r="C2458" t="inlineStr">
        <is>
          <t>+LS3</t>
        </is>
      </c>
      <c r="D2458" t="inlineStr">
        <is>
          <t>-164.2K85.3</t>
        </is>
      </c>
      <c r="E2458" t="inlineStr">
        <is>
          <t>DIL_EM-10-G</t>
        </is>
      </c>
      <c r="F2458" t="inlineStr">
        <is>
          <t>#KALK!</t>
        </is>
      </c>
      <c r="G2458" t="inlineStr">
        <is>
          <t>LASTSCHUETZ</t>
        </is>
      </c>
      <c r="H2458" t="inlineStr">
        <is>
          <t>4kW 1S</t>
        </is>
      </c>
      <c r="I2458">
        <v>1063</v>
      </c>
      <c r="J2458">
        <f>GS11/164.2.6</f>
        <v>0</v>
      </c>
      <c r="M2458" t="inlineStr">
        <is>
          <t>-164.2K85.3</t>
        </is>
      </c>
    </row>
    <row r="2459">
      <c r="A2459">
        <v>2458</v>
      </c>
      <c r="B2459">
        <f>GS06</f>
        <v>0</v>
      </c>
      <c r="C2459" t="inlineStr">
        <is>
          <t>+ES04</t>
        </is>
      </c>
      <c r="D2459" t="inlineStr">
        <is>
          <t>-1645K34.0</t>
        </is>
      </c>
      <c r="E2459" t="inlineStr">
        <is>
          <t>DILA-40</t>
        </is>
      </c>
      <c r="F2459" t="inlineStr">
        <is>
          <t>#KALK!</t>
        </is>
      </c>
      <c r="G2459" t="inlineStr">
        <is>
          <t>HILFSSCHUETZ</t>
        </is>
      </c>
      <c r="H2459" t="inlineStr">
        <is>
          <t>4S Federzugkl.</t>
        </is>
      </c>
      <c r="I2459">
        <v>3639</v>
      </c>
      <c r="J2459">
        <f>GS06/1645.3</f>
        <v>0</v>
      </c>
      <c r="M2459" t="inlineStr">
        <is>
          <t>-1645K34.0</t>
        </is>
      </c>
    </row>
    <row r="2460">
      <c r="A2460">
        <v>2459</v>
      </c>
      <c r="B2460">
        <f>GS06</f>
        <v>0</v>
      </c>
      <c r="C2460" t="inlineStr">
        <is>
          <t>+ES03</t>
        </is>
      </c>
      <c r="D2460" t="inlineStr">
        <is>
          <t>-1645Q1</t>
        </is>
      </c>
      <c r="E2460" t="inlineStr">
        <is>
          <t>DILM150-XHIC40</t>
        </is>
      </c>
      <c r="F2460" t="inlineStr">
        <is>
          <t>DILM150-XHIC40</t>
        </is>
      </c>
      <c r="G2460" t="inlineStr">
        <is>
          <t>HILFSKONTAKTBLOCK</t>
        </is>
      </c>
      <c r="H2460" t="inlineStr">
        <is>
          <t>4S ab DILMC40</t>
        </is>
      </c>
      <c r="I2460">
        <v>3639</v>
      </c>
      <c r="J2460">
        <f>GS06/1645.4</f>
        <v>0</v>
      </c>
      <c r="K2460" t="inlineStr">
        <is>
          <t>DIL MC40</t>
        </is>
      </c>
      <c r="M2460" t="inlineStr">
        <is>
          <t>-1645Q1</t>
        </is>
      </c>
    </row>
    <row r="2461">
      <c r="A2461">
        <v>2460</v>
      </c>
      <c r="B2461">
        <f>GS06</f>
        <v>0</v>
      </c>
      <c r="C2461" t="inlineStr">
        <is>
          <t>+ES03</t>
        </is>
      </c>
      <c r="D2461" t="inlineStr">
        <is>
          <t>-1645Q1</t>
        </is>
      </c>
      <c r="E2461" t="inlineStr">
        <is>
          <t>DILMC40(RDC24)</t>
        </is>
      </c>
      <c r="F2461" t="inlineStr">
        <is>
          <t>DILM150-XHIC40</t>
        </is>
      </c>
      <c r="G2461" t="inlineStr">
        <is>
          <t>LASTSCHUETZ</t>
        </is>
      </c>
      <c r="H2461" t="inlineStr">
        <is>
          <t>18,5kW Federzugkl.</t>
        </is>
      </c>
      <c r="I2461">
        <v>3639</v>
      </c>
      <c r="J2461">
        <f>GS06/1645.4</f>
        <v>0</v>
      </c>
      <c r="K2461" t="inlineStr">
        <is>
          <t>DIL MC40</t>
        </is>
      </c>
      <c r="M2461" t="inlineStr">
        <is>
          <t>-1645Q1</t>
        </is>
      </c>
    </row>
    <row r="2462">
      <c r="A2462">
        <v>2461</v>
      </c>
      <c r="B2462">
        <f>GS06</f>
        <v>0</v>
      </c>
      <c r="C2462" t="inlineStr">
        <is>
          <t>+ES04</t>
        </is>
      </c>
      <c r="D2462" t="inlineStr">
        <is>
          <t>-1646K34.1</t>
        </is>
      </c>
      <c r="E2462" t="inlineStr">
        <is>
          <t>DILA-XHIC40</t>
        </is>
      </c>
      <c r="F2462" t="inlineStr">
        <is>
          <t>DILA-XHIC40</t>
        </is>
      </c>
      <c r="G2462" t="inlineStr">
        <is>
          <t>HILFSKONTAKTBLOCK</t>
        </is>
      </c>
      <c r="H2462" t="inlineStr">
        <is>
          <t>4S Last+Hilfssch. Cage</t>
        </is>
      </c>
      <c r="I2462">
        <v>3641</v>
      </c>
      <c r="J2462">
        <f>GS06/1646.2</f>
        <v>0</v>
      </c>
      <c r="M2462" t="inlineStr">
        <is>
          <t>-1646K34.1</t>
        </is>
      </c>
    </row>
    <row r="2463">
      <c r="A2463">
        <v>2462</v>
      </c>
      <c r="B2463">
        <f>GS06</f>
        <v>0</v>
      </c>
      <c r="C2463" t="inlineStr">
        <is>
          <t>+ES04</t>
        </is>
      </c>
      <c r="D2463" t="inlineStr">
        <is>
          <t>-1646K34.1</t>
        </is>
      </c>
      <c r="E2463" t="inlineStr">
        <is>
          <t>DILA-40</t>
        </is>
      </c>
      <c r="F2463" t="inlineStr">
        <is>
          <t>DILA-XHIC40</t>
        </is>
      </c>
      <c r="G2463" t="inlineStr">
        <is>
          <t>HILFSSCHUETZ</t>
        </is>
      </c>
      <c r="H2463" t="inlineStr">
        <is>
          <t>4S Federzugkl.</t>
        </is>
      </c>
      <c r="I2463">
        <v>3641</v>
      </c>
      <c r="J2463">
        <f>GS06/1646.2</f>
        <v>0</v>
      </c>
      <c r="M2463" t="inlineStr">
        <is>
          <t>-1646K34.1</t>
        </is>
      </c>
    </row>
    <row r="2464">
      <c r="A2464">
        <v>2463</v>
      </c>
      <c r="B2464">
        <f>GS7x</f>
        <v>0</v>
      </c>
      <c r="C2464" t="inlineStr">
        <is>
          <t>+LS[l2]</t>
        </is>
      </c>
      <c r="D2464" t="inlineStr">
        <is>
          <t>-164K[a+1].2</t>
        </is>
      </c>
      <c r="E2464" t="inlineStr">
        <is>
          <t>DILA-22</t>
        </is>
      </c>
      <c r="F2464" t="inlineStr">
        <is>
          <t>#KALK!</t>
        </is>
      </c>
      <c r="G2464" t="inlineStr">
        <is>
          <t>HILFSSCHUETZ</t>
        </is>
      </c>
      <c r="H2464" t="inlineStr">
        <is>
          <t>2S 2Oe Federzugkl.</t>
        </is>
      </c>
      <c r="I2464">
        <v>208</v>
      </c>
      <c r="J2464">
        <f>GS7x/164.2</f>
        <v>0</v>
      </c>
      <c r="M2464" t="inlineStr">
        <is>
          <t>-164K[a+1].2</t>
        </is>
      </c>
    </row>
    <row r="2465">
      <c r="A2465">
        <v>2464</v>
      </c>
      <c r="B2465">
        <f>GS7x</f>
        <v>0</v>
      </c>
      <c r="C2465" t="inlineStr">
        <is>
          <t>+LS[l2]</t>
        </is>
      </c>
      <c r="D2465" t="inlineStr">
        <is>
          <t>-164K[a+1].7</t>
        </is>
      </c>
      <c r="E2465" t="inlineStr">
        <is>
          <t>DILA-40</t>
        </is>
      </c>
      <c r="F2465" t="inlineStr">
        <is>
          <t>#KALK!</t>
        </is>
      </c>
      <c r="G2465" t="inlineStr">
        <is>
          <t>HILFSSCHUETZ</t>
        </is>
      </c>
      <c r="H2465" t="inlineStr">
        <is>
          <t>4S Federzugkl.</t>
        </is>
      </c>
      <c r="I2465">
        <v>208</v>
      </c>
      <c r="J2465">
        <f>GS7x/164.2</f>
        <v>0</v>
      </c>
      <c r="M2465" t="inlineStr">
        <is>
          <t>-164K[a+1].7</t>
        </is>
      </c>
    </row>
    <row r="2466">
      <c r="A2466">
        <v>2465</v>
      </c>
      <c r="B2466">
        <f>GS52</f>
        <v>0</v>
      </c>
      <c r="C2466" t="inlineStr">
        <is>
          <t>+LS02</t>
        </is>
      </c>
      <c r="D2466" t="inlineStr">
        <is>
          <t>-164K1</t>
        </is>
      </c>
      <c r="E2466" t="inlineStr">
        <is>
          <t>DILA-40</t>
        </is>
      </c>
      <c r="F2466" t="inlineStr">
        <is>
          <t>#KALK!</t>
        </is>
      </c>
      <c r="G2466" t="inlineStr">
        <is>
          <t>HILFSSCHUETZ</t>
        </is>
      </c>
      <c r="H2466" t="inlineStr">
        <is>
          <t>4S Federzugkl.</t>
        </is>
      </c>
      <c r="I2466">
        <v>1665</v>
      </c>
      <c r="J2466">
        <f>GS52/164.7</f>
        <v>0</v>
      </c>
      <c r="M2466" t="inlineStr">
        <is>
          <t>-164K1</t>
        </is>
      </c>
    </row>
    <row r="2467">
      <c r="A2467">
        <v>2466</v>
      </c>
      <c r="B2467">
        <f>GS52</f>
        <v>0</v>
      </c>
      <c r="C2467" t="inlineStr">
        <is>
          <t>+LS02</t>
        </is>
      </c>
      <c r="D2467" t="inlineStr">
        <is>
          <t>-164K113.1</t>
        </is>
      </c>
      <c r="E2467" t="inlineStr">
        <is>
          <t>DILA-22</t>
        </is>
      </c>
      <c r="F2467" t="inlineStr">
        <is>
          <t>#KALK!</t>
        </is>
      </c>
      <c r="G2467" t="inlineStr">
        <is>
          <t>HILFSSCHUETZ</t>
        </is>
      </c>
      <c r="H2467" t="inlineStr">
        <is>
          <t>2S 2Oe Federzugkl.</t>
        </is>
      </c>
      <c r="I2467">
        <v>1665</v>
      </c>
      <c r="J2467">
        <f>GS52/164.5</f>
        <v>0</v>
      </c>
      <c r="M2467" t="inlineStr">
        <is>
          <t>-164K113.1</t>
        </is>
      </c>
    </row>
    <row r="2468">
      <c r="A2468">
        <v>2467</v>
      </c>
      <c r="B2468">
        <f>GS32</f>
        <v>0</v>
      </c>
      <c r="C2468" t="inlineStr">
        <is>
          <t>+LS3</t>
        </is>
      </c>
      <c r="D2468" t="inlineStr">
        <is>
          <t>-164K29.7</t>
        </is>
      </c>
      <c r="E2468" t="inlineStr">
        <is>
          <t>DIL_EM-10-G</t>
        </is>
      </c>
      <c r="F2468" t="inlineStr">
        <is>
          <t>#KALK!</t>
        </is>
      </c>
      <c r="G2468" t="inlineStr">
        <is>
          <t>LASTSCHUETZ</t>
        </is>
      </c>
      <c r="H2468" t="inlineStr">
        <is>
          <t>4kW 1S</t>
        </is>
      </c>
      <c r="I2468">
        <v>1391</v>
      </c>
      <c r="J2468">
        <f>GS32/164.6</f>
        <v>0</v>
      </c>
      <c r="M2468" t="inlineStr">
        <is>
          <t>-164K29.7</t>
        </is>
      </c>
    </row>
    <row r="2469">
      <c r="A2469">
        <v>2468</v>
      </c>
      <c r="B2469">
        <f>GS32</f>
        <v>0</v>
      </c>
      <c r="C2469" t="inlineStr">
        <is>
          <t>+LS3</t>
        </is>
      </c>
      <c r="D2469" t="inlineStr">
        <is>
          <t>-164K30.0</t>
        </is>
      </c>
      <c r="E2469" t="inlineStr">
        <is>
          <t>DIL_EM-10-G</t>
        </is>
      </c>
      <c r="F2469" t="inlineStr">
        <is>
          <t>#KALK!</t>
        </is>
      </c>
      <c r="G2469" t="inlineStr">
        <is>
          <t>LASTSCHUETZ</t>
        </is>
      </c>
      <c r="H2469" t="inlineStr">
        <is>
          <t>4kW 1S</t>
        </is>
      </c>
      <c r="I2469">
        <v>1391</v>
      </c>
      <c r="J2469">
        <f>GS32/164.6</f>
        <v>0</v>
      </c>
      <c r="M2469" t="inlineStr">
        <is>
          <t>-164K30.0</t>
        </is>
      </c>
    </row>
    <row r="2470">
      <c r="A2470">
        <v>2469</v>
      </c>
      <c r="B2470">
        <f>GS11</f>
        <v>0</v>
      </c>
      <c r="C2470" t="inlineStr">
        <is>
          <t>+LS3</t>
        </is>
      </c>
      <c r="D2470" t="inlineStr">
        <is>
          <t>-164K84.2</t>
        </is>
      </c>
      <c r="E2470" t="inlineStr">
        <is>
          <t>DIL_EM-10-G</t>
        </is>
      </c>
      <c r="F2470" t="inlineStr">
        <is>
          <t>#KALK!</t>
        </is>
      </c>
      <c r="G2470" t="inlineStr">
        <is>
          <t>LASTSCHUETZ</t>
        </is>
      </c>
      <c r="H2470" t="inlineStr">
        <is>
          <t>4kW 1S</t>
        </is>
      </c>
      <c r="I2470">
        <v>275</v>
      </c>
      <c r="J2470">
        <f>GS11/164.7</f>
        <v>0</v>
      </c>
      <c r="M2470" t="inlineStr">
        <is>
          <t>-164K84.2</t>
        </is>
      </c>
    </row>
    <row r="2471">
      <c r="A2471">
        <v>2470</v>
      </c>
      <c r="B2471">
        <f>GS52</f>
        <v>0</v>
      </c>
      <c r="C2471" t="inlineStr">
        <is>
          <t>+LS02</t>
        </is>
      </c>
      <c r="D2471" t="inlineStr">
        <is>
          <t>-164Q1</t>
        </is>
      </c>
      <c r="E2471" t="inlineStr">
        <is>
          <t>DILA-XHIC31</t>
        </is>
      </c>
      <c r="F2471" t="inlineStr">
        <is>
          <t>DILA-XHIC31</t>
        </is>
      </c>
      <c r="G2471" t="inlineStr">
        <is>
          <t>HILFSKONTAKTBLOCK</t>
        </is>
      </c>
      <c r="H2471" t="inlineStr">
        <is>
          <t>3S 1OE Last+Hilfssch. Cage</t>
        </is>
      </c>
      <c r="I2471">
        <v>1665</v>
      </c>
      <c r="J2471">
        <f>GS52/164.4</f>
        <v>0</v>
      </c>
      <c r="K2471" t="inlineStr">
        <is>
          <t>DIL MC12</t>
        </is>
      </c>
      <c r="M2471" t="inlineStr">
        <is>
          <t>-164Q1</t>
        </is>
      </c>
    </row>
    <row r="2472">
      <c r="A2472">
        <v>2471</v>
      </c>
      <c r="B2472">
        <f>GS69</f>
        <v>0</v>
      </c>
      <c r="C2472" t="inlineStr">
        <is>
          <t>+1KKLG</t>
        </is>
      </c>
      <c r="D2472" t="inlineStr">
        <is>
          <t>-1652K1</t>
        </is>
      </c>
      <c r="E2472" t="inlineStr">
        <is>
          <t>DILM-9-01</t>
        </is>
      </c>
      <c r="F2472" t="inlineStr">
        <is>
          <t>#KALK!</t>
        </is>
      </c>
      <c r="G2472" t="inlineStr">
        <is>
          <t>LASTSCHUETZ</t>
        </is>
      </c>
      <c r="H2472" t="inlineStr">
        <is>
          <t>4kW 1Oe Federzugkl.</t>
        </is>
      </c>
      <c r="I2472">
        <v>519</v>
      </c>
      <c r="J2472">
        <f>GS69/1652.6</f>
        <v>0</v>
      </c>
      <c r="M2472" t="inlineStr">
        <is>
          <t>-1652K1</t>
        </is>
      </c>
    </row>
    <row r="2473">
      <c r="A2473">
        <v>2472</v>
      </c>
      <c r="B2473">
        <f>GS69</f>
        <v>0</v>
      </c>
      <c r="C2473" t="inlineStr">
        <is>
          <t>+1KKLG</t>
        </is>
      </c>
      <c r="D2473" t="inlineStr">
        <is>
          <t>-1652K2</t>
        </is>
      </c>
      <c r="E2473" t="inlineStr">
        <is>
          <t>DILM-9-01</t>
        </is>
      </c>
      <c r="F2473" t="inlineStr">
        <is>
          <t>#KALK!</t>
        </is>
      </c>
      <c r="G2473" t="inlineStr">
        <is>
          <t>LASTSCHUETZ</t>
        </is>
      </c>
      <c r="H2473" t="inlineStr">
        <is>
          <t>4kW 1Oe Federzugkl.</t>
        </is>
      </c>
      <c r="I2473">
        <v>519</v>
      </c>
      <c r="J2473">
        <f>GS69/1652.7</f>
        <v>0</v>
      </c>
      <c r="M2473" t="inlineStr">
        <is>
          <t>-1652K2</t>
        </is>
      </c>
    </row>
    <row r="2474">
      <c r="A2474">
        <v>2473</v>
      </c>
      <c r="B2474">
        <f>GS90</f>
        <v>0</v>
      </c>
      <c r="C2474" t="inlineStr">
        <is>
          <t>+LS18</t>
        </is>
      </c>
      <c r="D2474" t="inlineStr">
        <is>
          <t>-1655K1305.4</t>
        </is>
      </c>
      <c r="E2474" t="inlineStr">
        <is>
          <t>DILA-40</t>
        </is>
      </c>
      <c r="F2474" t="inlineStr">
        <is>
          <t>#KALK!</t>
        </is>
      </c>
      <c r="G2474" t="inlineStr">
        <is>
          <t>HILFSSCHUETZ</t>
        </is>
      </c>
      <c r="H2474" t="inlineStr">
        <is>
          <t>4S Federzugkl.</t>
        </is>
      </c>
      <c r="I2474">
        <v>2590</v>
      </c>
      <c r="J2474">
        <f>GS90/1655.7</f>
        <v>0</v>
      </c>
      <c r="M2474" t="inlineStr">
        <is>
          <t>-1655K1305.4</t>
        </is>
      </c>
    </row>
    <row r="2475">
      <c r="A2475">
        <v>2474</v>
      </c>
      <c r="B2475">
        <f>GS55</f>
        <v>0</v>
      </c>
      <c r="C2475" t="inlineStr">
        <is>
          <t>+LS27</t>
        </is>
      </c>
      <c r="D2475" t="inlineStr">
        <is>
          <t>-1655Q1</t>
        </is>
      </c>
      <c r="E2475" t="inlineStr">
        <is>
          <t>DILA-XHI22</t>
        </is>
      </c>
      <c r="F2475" t="inlineStr">
        <is>
          <t>DILA-XHI22</t>
        </is>
      </c>
      <c r="G2475" t="inlineStr">
        <is>
          <t>HILFSKONTAKTBLOCK</t>
        </is>
      </c>
      <c r="H2475" t="inlineStr">
        <is>
          <t>2S 2OE Last+Hilfssch. Cage</t>
        </is>
      </c>
      <c r="I2475">
        <v>1801</v>
      </c>
      <c r="J2475">
        <f>GS55/1655.6</f>
        <v>0</v>
      </c>
      <c r="K2475" t="inlineStr">
        <is>
          <t>DIL MC25</t>
        </is>
      </c>
      <c r="M2475" t="inlineStr">
        <is>
          <t>-1655Q1</t>
        </is>
      </c>
    </row>
    <row r="2476">
      <c r="A2476">
        <v>2475</v>
      </c>
      <c r="B2476">
        <f>GS55</f>
        <v>0</v>
      </c>
      <c r="C2476" t="inlineStr">
        <is>
          <t>+LS27</t>
        </is>
      </c>
      <c r="D2476" t="inlineStr">
        <is>
          <t>-1655Q1</t>
        </is>
      </c>
      <c r="E2476" t="inlineStr">
        <is>
          <t>DILMC25-10(RDC24)</t>
        </is>
      </c>
      <c r="F2476" t="inlineStr">
        <is>
          <t>DILA-XHI22</t>
        </is>
      </c>
      <c r="G2476" t="inlineStr">
        <is>
          <t>LASTSCHUETZ</t>
        </is>
      </c>
      <c r="H2476" t="inlineStr">
        <is>
          <t>11kW 1S Federzugkl.</t>
        </is>
      </c>
      <c r="I2476">
        <v>1801</v>
      </c>
      <c r="J2476">
        <f>GS55/1655.6</f>
        <v>0</v>
      </c>
      <c r="K2476" t="inlineStr">
        <is>
          <t>DIL MC25</t>
        </is>
      </c>
      <c r="M2476" t="inlineStr">
        <is>
          <t>-1655Q1</t>
        </is>
      </c>
    </row>
    <row r="2477">
      <c r="A2477">
        <v>2476</v>
      </c>
      <c r="B2477">
        <f>GS90</f>
        <v>0</v>
      </c>
      <c r="C2477" t="inlineStr">
        <is>
          <t>+LS18</t>
        </is>
      </c>
      <c r="D2477" t="inlineStr">
        <is>
          <t>-1655Q1</t>
        </is>
      </c>
      <c r="E2477" t="inlineStr">
        <is>
          <t>DILMC25-10(RDC24)</t>
        </is>
      </c>
      <c r="F2477" t="inlineStr">
        <is>
          <t>DILA-XHI22</t>
        </is>
      </c>
      <c r="G2477" t="inlineStr">
        <is>
          <t>LASTSCHUETZ</t>
        </is>
      </c>
      <c r="H2477" t="inlineStr">
        <is>
          <t>11kW 1S Federzugkl.</t>
        </is>
      </c>
      <c r="I2477">
        <v>2590</v>
      </c>
      <c r="J2477">
        <f>GS90/1655.4</f>
        <v>0</v>
      </c>
      <c r="K2477" t="inlineStr">
        <is>
          <t>DIL MC25</t>
        </is>
      </c>
      <c r="M2477" t="inlineStr">
        <is>
          <t>-1655Q1</t>
        </is>
      </c>
    </row>
    <row r="2478">
      <c r="A2478">
        <v>2477</v>
      </c>
      <c r="B2478">
        <f>GS90</f>
        <v>0</v>
      </c>
      <c r="C2478" t="inlineStr">
        <is>
          <t>+LS18</t>
        </is>
      </c>
      <c r="D2478" t="inlineStr">
        <is>
          <t>-1655Q1</t>
        </is>
      </c>
      <c r="E2478" t="inlineStr">
        <is>
          <t>DILA-XHI22</t>
        </is>
      </c>
      <c r="F2478" t="inlineStr">
        <is>
          <t>DILA-XHI22</t>
        </is>
      </c>
      <c r="G2478" t="inlineStr">
        <is>
          <t>HILFSKONTAKTBLOCK</t>
        </is>
      </c>
      <c r="H2478" t="inlineStr">
        <is>
          <t>2S 2OE Last+Hilfssch. Cage</t>
        </is>
      </c>
      <c r="I2478">
        <v>2590</v>
      </c>
      <c r="J2478">
        <f>GS90/1655.4</f>
        <v>0</v>
      </c>
      <c r="K2478" t="inlineStr">
        <is>
          <t>DIL MC25</t>
        </is>
      </c>
      <c r="M2478" t="inlineStr">
        <is>
          <t>-1655Q1</t>
        </is>
      </c>
    </row>
    <row r="2479">
      <c r="A2479">
        <v>2478</v>
      </c>
      <c r="B2479">
        <f>GS55</f>
        <v>0</v>
      </c>
      <c r="C2479" t="inlineStr">
        <is>
          <t>+LS27</t>
        </is>
      </c>
      <c r="D2479" t="inlineStr">
        <is>
          <t>-1658Q1005.1</t>
        </is>
      </c>
      <c r="E2479" t="inlineStr">
        <is>
          <t>DILM-9-10</t>
        </is>
      </c>
      <c r="F2479" t="inlineStr">
        <is>
          <t>#KALK!</t>
        </is>
      </c>
      <c r="G2479" t="inlineStr">
        <is>
          <t>LASTSCHUETZ</t>
        </is>
      </c>
      <c r="H2479" t="inlineStr">
        <is>
          <t>4kW 1S Federzugkl.</t>
        </is>
      </c>
      <c r="I2479">
        <v>1851</v>
      </c>
      <c r="J2479">
        <f>GS55/1658.6</f>
        <v>0</v>
      </c>
      <c r="K2479" t="inlineStr">
        <is>
          <t>DIL MC9</t>
        </is>
      </c>
      <c r="M2479" t="inlineStr">
        <is>
          <t>-1658Q1005.1</t>
        </is>
      </c>
    </row>
    <row r="2480">
      <c r="A2480">
        <v>2479</v>
      </c>
      <c r="B2480">
        <f>GS04</f>
        <v>0</v>
      </c>
      <c r="C2480" t="inlineStr">
        <is>
          <t>+LS3</t>
        </is>
      </c>
      <c r="D2480" t="inlineStr">
        <is>
          <t>-165K1</t>
        </is>
      </c>
      <c r="E2480" t="inlineStr">
        <is>
          <t>DIL_0AM</t>
        </is>
      </c>
      <c r="F2480" t="inlineStr">
        <is>
          <t>22_DIL-M</t>
        </is>
      </c>
      <c r="G2480" t="inlineStr">
        <is>
          <t>LASTSCHUETZ</t>
        </is>
      </c>
      <c r="H2480" t="inlineStr">
        <is>
          <t>11 kW</t>
        </is>
      </c>
      <c r="I2480">
        <v>415</v>
      </c>
      <c r="J2480">
        <f>GS04/165.2</f>
        <v>0</v>
      </c>
      <c r="K2480" t="inlineStr">
        <is>
          <t>DIL0AM</t>
        </is>
      </c>
      <c r="M2480" t="inlineStr">
        <is>
          <t>-165K1</t>
        </is>
      </c>
    </row>
    <row r="2481">
      <c r="A2481">
        <v>2480</v>
      </c>
      <c r="B2481">
        <f>GS04</f>
        <v>0</v>
      </c>
      <c r="C2481" t="inlineStr">
        <is>
          <t>+LS3</t>
        </is>
      </c>
      <c r="D2481" t="inlineStr">
        <is>
          <t>-165K1</t>
        </is>
      </c>
      <c r="E2481" t="inlineStr">
        <is>
          <t>22_DIL-M</t>
        </is>
      </c>
      <c r="F2481" t="inlineStr">
        <is>
          <t>22_DIL-M</t>
        </is>
      </c>
      <c r="G2481" t="inlineStr">
        <is>
          <t>HILFSKONTAKTBLOCK</t>
        </is>
      </c>
      <c r="H2481" t="inlineStr">
        <is>
          <t>2S 2OE Lastschuetz DIL M</t>
        </is>
      </c>
      <c r="I2481">
        <v>415</v>
      </c>
      <c r="J2481">
        <f>GS04/165.2</f>
        <v>0</v>
      </c>
      <c r="K2481" t="inlineStr">
        <is>
          <t>DIL0AM</t>
        </is>
      </c>
      <c r="M2481" t="inlineStr">
        <is>
          <t>-165K1</t>
        </is>
      </c>
    </row>
    <row r="2482">
      <c r="A2482">
        <v>2481</v>
      </c>
      <c r="B2482">
        <f>GS7x</f>
        <v>0</v>
      </c>
      <c r="C2482" t="inlineStr">
        <is>
          <t>+LS[l2]</t>
        </is>
      </c>
      <c r="D2482" t="inlineStr">
        <is>
          <t>-165K1</t>
        </is>
      </c>
      <c r="E2482" t="inlineStr">
        <is>
          <t>DILA-22</t>
        </is>
      </c>
      <c r="F2482" t="inlineStr">
        <is>
          <t>#KALK!</t>
        </is>
      </c>
      <c r="G2482" t="inlineStr">
        <is>
          <t>HILFSSCHUETZ</t>
        </is>
      </c>
      <c r="H2482" t="inlineStr">
        <is>
          <t>2S 2Oe Federzugkl.</t>
        </is>
      </c>
      <c r="I2482">
        <v>209</v>
      </c>
      <c r="J2482">
        <f>GS7x/165.7</f>
        <v>0</v>
      </c>
      <c r="M2482" t="inlineStr">
        <is>
          <t>-165K1</t>
        </is>
      </c>
    </row>
    <row r="2483">
      <c r="A2483">
        <v>2482</v>
      </c>
      <c r="B2483">
        <f>GS94</f>
        <v>0</v>
      </c>
      <c r="C2483" t="inlineStr">
        <is>
          <t>+LS15</t>
        </is>
      </c>
      <c r="D2483" t="inlineStr">
        <is>
          <t>-165K173.4</t>
        </is>
      </c>
      <c r="E2483" t="inlineStr">
        <is>
          <t>DILA-40</t>
        </is>
      </c>
      <c r="F2483" t="inlineStr">
        <is>
          <t>#KALK!</t>
        </is>
      </c>
      <c r="G2483" t="inlineStr">
        <is>
          <t>HILFSSCHUETZ</t>
        </is>
      </c>
      <c r="H2483" t="inlineStr">
        <is>
          <t>4S Federzugkl.</t>
        </is>
      </c>
      <c r="I2483">
        <v>255</v>
      </c>
      <c r="J2483">
        <f>GS94/165.7</f>
        <v>0</v>
      </c>
      <c r="M2483" t="inlineStr">
        <is>
          <t>-165K173.4</t>
        </is>
      </c>
    </row>
    <row r="2484">
      <c r="A2484">
        <v>2483</v>
      </c>
      <c r="B2484">
        <f>GS95</f>
        <v>0</v>
      </c>
      <c r="C2484" t="inlineStr">
        <is>
          <t>+LS15</t>
        </is>
      </c>
      <c r="D2484" t="inlineStr">
        <is>
          <t>-165K173.4</t>
        </is>
      </c>
      <c r="E2484" t="inlineStr">
        <is>
          <t>DILA-40</t>
        </is>
      </c>
      <c r="F2484" t="inlineStr">
        <is>
          <t>#KALK!</t>
        </is>
      </c>
      <c r="G2484" t="inlineStr">
        <is>
          <t>HILFSSCHUETZ</t>
        </is>
      </c>
      <c r="H2484" t="inlineStr">
        <is>
          <t>4S Federzugkl.</t>
        </is>
      </c>
      <c r="I2484">
        <v>255</v>
      </c>
      <c r="J2484">
        <f>GS95/165.7</f>
        <v>0</v>
      </c>
      <c r="M2484" t="inlineStr">
        <is>
          <t>-165K173.4</t>
        </is>
      </c>
    </row>
    <row r="2485">
      <c r="A2485">
        <v>2484</v>
      </c>
      <c r="B2485">
        <f>GS96</f>
        <v>0</v>
      </c>
      <c r="C2485" t="inlineStr">
        <is>
          <t>+LS15</t>
        </is>
      </c>
      <c r="D2485" t="inlineStr">
        <is>
          <t>-165K173.4</t>
        </is>
      </c>
      <c r="E2485" t="inlineStr">
        <is>
          <t>DILA-40</t>
        </is>
      </c>
      <c r="F2485" t="inlineStr">
        <is>
          <t>#KALK!</t>
        </is>
      </c>
      <c r="G2485" t="inlineStr">
        <is>
          <t>HILFSSCHUETZ</t>
        </is>
      </c>
      <c r="H2485" t="inlineStr">
        <is>
          <t>4S Federzugkl.</t>
        </is>
      </c>
      <c r="I2485">
        <v>255</v>
      </c>
      <c r="J2485">
        <f>GS96/165.7</f>
        <v>0</v>
      </c>
      <c r="M2485" t="inlineStr">
        <is>
          <t>-165K173.4</t>
        </is>
      </c>
    </row>
    <row r="2486">
      <c r="A2486">
        <v>2485</v>
      </c>
      <c r="B2486">
        <f>GS97</f>
        <v>0</v>
      </c>
      <c r="C2486" t="inlineStr">
        <is>
          <t>+LS15</t>
        </is>
      </c>
      <c r="D2486" t="inlineStr">
        <is>
          <t>-165K173.4</t>
        </is>
      </c>
      <c r="E2486" t="inlineStr">
        <is>
          <t>DILA-40</t>
        </is>
      </c>
      <c r="F2486" t="inlineStr">
        <is>
          <t>#KALK!</t>
        </is>
      </c>
      <c r="G2486" t="inlineStr">
        <is>
          <t>HILFSSCHUETZ</t>
        </is>
      </c>
      <c r="H2486" t="inlineStr">
        <is>
          <t>4S Federzugkl.</t>
        </is>
      </c>
      <c r="I2486">
        <v>255</v>
      </c>
      <c r="J2486">
        <f>GS97/165.7</f>
        <v>0</v>
      </c>
      <c r="M2486" t="inlineStr">
        <is>
          <t>-165K173.4</t>
        </is>
      </c>
    </row>
    <row r="2487">
      <c r="A2487">
        <v>2486</v>
      </c>
      <c r="B2487">
        <f>GS7x</f>
        <v>0</v>
      </c>
      <c r="C2487" t="inlineStr">
        <is>
          <t>+LS[l2]</t>
        </is>
      </c>
      <c r="D2487" t="inlineStr">
        <is>
          <t>-165K2</t>
        </is>
      </c>
      <c r="E2487" t="inlineStr">
        <is>
          <t>DILA-22</t>
        </is>
      </c>
      <c r="F2487" t="inlineStr">
        <is>
          <t>#KALK!</t>
        </is>
      </c>
      <c r="G2487" t="inlineStr">
        <is>
          <t>HILFSSCHUETZ</t>
        </is>
      </c>
      <c r="H2487" t="inlineStr">
        <is>
          <t>2S 2Oe Federzugkl.</t>
        </is>
      </c>
      <c r="I2487">
        <v>209</v>
      </c>
      <c r="J2487">
        <f>GS7x/165.8</f>
        <v>0</v>
      </c>
      <c r="M2487" t="inlineStr">
        <is>
          <t>-165K2</t>
        </is>
      </c>
    </row>
    <row r="2488">
      <c r="A2488">
        <v>2487</v>
      </c>
      <c r="B2488">
        <f>GS32</f>
        <v>0</v>
      </c>
      <c r="C2488" t="inlineStr">
        <is>
          <t>+LS3</t>
        </is>
      </c>
      <c r="D2488" t="inlineStr">
        <is>
          <t>-165K30.1</t>
        </is>
      </c>
      <c r="E2488" t="inlineStr">
        <is>
          <t>DIL_EM-10-G</t>
        </is>
      </c>
      <c r="F2488" t="inlineStr">
        <is>
          <t>#KALK!</t>
        </is>
      </c>
      <c r="G2488" t="inlineStr">
        <is>
          <t>LASTSCHUETZ</t>
        </is>
      </c>
      <c r="H2488" t="inlineStr">
        <is>
          <t>4kW 1S</t>
        </is>
      </c>
      <c r="I2488">
        <v>1390</v>
      </c>
      <c r="J2488">
        <f>GS32/165.6</f>
        <v>0</v>
      </c>
      <c r="M2488" t="inlineStr">
        <is>
          <t>-165K30.1</t>
        </is>
      </c>
    </row>
    <row r="2489">
      <c r="A2489">
        <v>2488</v>
      </c>
      <c r="B2489">
        <f>GS32</f>
        <v>0</v>
      </c>
      <c r="C2489" t="inlineStr">
        <is>
          <t>+LS3</t>
        </is>
      </c>
      <c r="D2489" t="inlineStr">
        <is>
          <t>-165K30.2</t>
        </is>
      </c>
      <c r="E2489" t="inlineStr">
        <is>
          <t>DIL_EM-10-G</t>
        </is>
      </c>
      <c r="F2489" t="inlineStr">
        <is>
          <t>#KALK!</t>
        </is>
      </c>
      <c r="G2489" t="inlineStr">
        <is>
          <t>LASTSCHUETZ</t>
        </is>
      </c>
      <c r="H2489" t="inlineStr">
        <is>
          <t>4kW 1S</t>
        </is>
      </c>
      <c r="I2489">
        <v>1390</v>
      </c>
      <c r="J2489">
        <f>GS32/165.6</f>
        <v>0</v>
      </c>
      <c r="M2489" t="inlineStr">
        <is>
          <t>-165K30.2</t>
        </is>
      </c>
    </row>
    <row r="2490">
      <c r="A2490">
        <v>2489</v>
      </c>
      <c r="B2490">
        <f>GS90</f>
        <v>0</v>
      </c>
      <c r="C2490" t="inlineStr">
        <is>
          <t>+LS02</t>
        </is>
      </c>
      <c r="D2490" t="inlineStr">
        <is>
          <t>-165K445.0</t>
        </is>
      </c>
      <c r="E2490" t="inlineStr">
        <is>
          <t>DILA-40</t>
        </is>
      </c>
      <c r="F2490" t="inlineStr">
        <is>
          <t>#KALK!</t>
        </is>
      </c>
      <c r="G2490" t="inlineStr">
        <is>
          <t>HILFSSCHUETZ</t>
        </is>
      </c>
      <c r="H2490" t="inlineStr">
        <is>
          <t>4S Federzugkl.</t>
        </is>
      </c>
      <c r="I2490">
        <v>1084</v>
      </c>
      <c r="J2490">
        <f>GS90/165.7</f>
        <v>0</v>
      </c>
      <c r="M2490" t="inlineStr">
        <is>
          <t>-165K445.0</t>
        </is>
      </c>
    </row>
    <row r="2491">
      <c r="A2491">
        <v>2490</v>
      </c>
      <c r="B2491">
        <f>GS05</f>
        <v>0</v>
      </c>
      <c r="C2491" t="inlineStr">
        <is>
          <t>+LS02</t>
        </is>
      </c>
      <c r="D2491" t="inlineStr">
        <is>
          <t>-165Q1</t>
        </is>
      </c>
      <c r="E2491" t="inlineStr">
        <is>
          <t>DILA-XHI22</t>
        </is>
      </c>
      <c r="F2491" t="inlineStr">
        <is>
          <t>DILA-XHI22</t>
        </is>
      </c>
      <c r="G2491" t="inlineStr">
        <is>
          <t>HILFSKONTAKTBLOCK</t>
        </is>
      </c>
      <c r="H2491" t="inlineStr">
        <is>
          <t>2S 2OE Last+Hilfssch. Cage</t>
        </is>
      </c>
      <c r="I2491">
        <v>1963</v>
      </c>
      <c r="J2491">
        <f>GS05/165.6</f>
        <v>0</v>
      </c>
      <c r="K2491" t="inlineStr">
        <is>
          <t>DIL MC25</t>
        </is>
      </c>
      <c r="M2491" t="inlineStr">
        <is>
          <t>-165Q1</t>
        </is>
      </c>
    </row>
    <row r="2492">
      <c r="A2492">
        <v>2491</v>
      </c>
      <c r="B2492">
        <f>GS05</f>
        <v>0</v>
      </c>
      <c r="C2492" t="inlineStr">
        <is>
          <t>+LS02</t>
        </is>
      </c>
      <c r="D2492" t="inlineStr">
        <is>
          <t>-165Q1</t>
        </is>
      </c>
      <c r="E2492" t="inlineStr">
        <is>
          <t>DILMC25-10(RDC24)</t>
        </is>
      </c>
      <c r="F2492" t="inlineStr">
        <is>
          <t>DILA-XHI22</t>
        </is>
      </c>
      <c r="G2492" t="inlineStr">
        <is>
          <t>LASTSCHUETZ</t>
        </is>
      </c>
      <c r="H2492" t="inlineStr">
        <is>
          <t>11kW 1S Federzugkl.</t>
        </is>
      </c>
      <c r="I2492">
        <v>1963</v>
      </c>
      <c r="J2492">
        <f>GS05/165.6</f>
        <v>0</v>
      </c>
      <c r="K2492" t="inlineStr">
        <is>
          <t>DIL MC25</t>
        </is>
      </c>
      <c r="M2492" t="inlineStr">
        <is>
          <t>-165Q1</t>
        </is>
      </c>
    </row>
    <row r="2493">
      <c r="A2493">
        <v>2492</v>
      </c>
      <c r="B2493">
        <f>GS07</f>
        <v>0</v>
      </c>
      <c r="C2493" t="inlineStr">
        <is>
          <t>+LS02</t>
        </is>
      </c>
      <c r="D2493" t="inlineStr">
        <is>
          <t>-165Q1</t>
        </is>
      </c>
      <c r="E2493" t="inlineStr">
        <is>
          <t>DILMC25-10(RDC24)</t>
        </is>
      </c>
      <c r="F2493" t="inlineStr">
        <is>
          <t>DILA-XHI22</t>
        </is>
      </c>
      <c r="G2493" t="inlineStr">
        <is>
          <t>LASTSCHUETZ</t>
        </is>
      </c>
      <c r="H2493" t="inlineStr">
        <is>
          <t>11kW 1S Federzugkl.</t>
        </is>
      </c>
      <c r="I2493">
        <v>317</v>
      </c>
      <c r="J2493">
        <f>GS07/165.6</f>
        <v>0</v>
      </c>
      <c r="K2493" t="inlineStr">
        <is>
          <t>DIL MC25</t>
        </is>
      </c>
      <c r="M2493" t="inlineStr">
        <is>
          <t>-165Q1</t>
        </is>
      </c>
    </row>
    <row r="2494">
      <c r="A2494">
        <v>2493</v>
      </c>
      <c r="B2494">
        <f>GS07</f>
        <v>0</v>
      </c>
      <c r="C2494" t="inlineStr">
        <is>
          <t>+LS02</t>
        </is>
      </c>
      <c r="D2494" t="inlineStr">
        <is>
          <t>-165Q1</t>
        </is>
      </c>
      <c r="E2494" t="inlineStr">
        <is>
          <t>DILA-XHI22</t>
        </is>
      </c>
      <c r="F2494" t="inlineStr">
        <is>
          <t>DILA-XHI22</t>
        </is>
      </c>
      <c r="G2494" t="inlineStr">
        <is>
          <t>HILFSKONTAKTBLOCK</t>
        </is>
      </c>
      <c r="H2494" t="inlineStr">
        <is>
          <t>2S 2OE Last+Hilfssch. Cage</t>
        </is>
      </c>
      <c r="I2494">
        <v>317</v>
      </c>
      <c r="J2494">
        <f>GS07/165.6</f>
        <v>0</v>
      </c>
      <c r="K2494" t="inlineStr">
        <is>
          <t>DIL MC25</t>
        </is>
      </c>
      <c r="M2494" t="inlineStr">
        <is>
          <t>-165Q1</t>
        </is>
      </c>
    </row>
    <row r="2495">
      <c r="A2495">
        <v>2494</v>
      </c>
      <c r="B2495">
        <f>GS08</f>
        <v>0</v>
      </c>
      <c r="C2495" t="inlineStr">
        <is>
          <t>+LS02</t>
        </is>
      </c>
      <c r="D2495" t="inlineStr">
        <is>
          <t>-165Q1</t>
        </is>
      </c>
      <c r="E2495" t="inlineStr">
        <is>
          <t>DILA-XHI22</t>
        </is>
      </c>
      <c r="F2495" t="inlineStr">
        <is>
          <t>DILA-XHI22</t>
        </is>
      </c>
      <c r="G2495" t="inlineStr">
        <is>
          <t>HILFSKONTAKTBLOCK</t>
        </is>
      </c>
      <c r="H2495" t="inlineStr">
        <is>
          <t>2S 2OE Last+Hilfssch. Cage</t>
        </is>
      </c>
      <c r="I2495">
        <v>2940</v>
      </c>
      <c r="J2495">
        <f>GS08/165.6</f>
        <v>0</v>
      </c>
      <c r="K2495" t="inlineStr">
        <is>
          <t>DIL MC25</t>
        </is>
      </c>
      <c r="M2495" t="inlineStr">
        <is>
          <t>-165Q1</t>
        </is>
      </c>
    </row>
    <row r="2496">
      <c r="A2496">
        <v>2495</v>
      </c>
      <c r="B2496">
        <f>GS08</f>
        <v>0</v>
      </c>
      <c r="C2496" t="inlineStr">
        <is>
          <t>+LS02</t>
        </is>
      </c>
      <c r="D2496" t="inlineStr">
        <is>
          <t>-165Q1</t>
        </is>
      </c>
      <c r="E2496" t="inlineStr">
        <is>
          <t>DILMC25-10(RDC24)</t>
        </is>
      </c>
      <c r="F2496" t="inlineStr">
        <is>
          <t>DILA-XHI22</t>
        </is>
      </c>
      <c r="G2496" t="inlineStr">
        <is>
          <t>LASTSCHUETZ</t>
        </is>
      </c>
      <c r="H2496" t="inlineStr">
        <is>
          <t>11kW 1S Federzugkl.</t>
        </is>
      </c>
      <c r="I2496">
        <v>2940</v>
      </c>
      <c r="J2496">
        <f>GS08/165.6</f>
        <v>0</v>
      </c>
      <c r="K2496" t="inlineStr">
        <is>
          <t>DIL MC25</t>
        </is>
      </c>
      <c r="M2496" t="inlineStr">
        <is>
          <t>-165Q1</t>
        </is>
      </c>
    </row>
    <row r="2497">
      <c r="A2497">
        <v>2496</v>
      </c>
      <c r="B2497">
        <f>GS90</f>
        <v>0</v>
      </c>
      <c r="C2497" t="inlineStr">
        <is>
          <t>+LS02</t>
        </is>
      </c>
      <c r="D2497" t="inlineStr">
        <is>
          <t>-165Q1</t>
        </is>
      </c>
      <c r="E2497" t="inlineStr">
        <is>
          <t>DILA-XHI22</t>
        </is>
      </c>
      <c r="F2497" t="inlineStr">
        <is>
          <t>DILA-XHI22</t>
        </is>
      </c>
      <c r="G2497" t="inlineStr">
        <is>
          <t>HILFSKONTAKTBLOCK</t>
        </is>
      </c>
      <c r="H2497" t="inlineStr">
        <is>
          <t>2S 2OE Last+Hilfssch. Cage</t>
        </is>
      </c>
      <c r="I2497">
        <v>1084</v>
      </c>
      <c r="J2497">
        <f>GS90/165.4</f>
        <v>0</v>
      </c>
      <c r="K2497" t="inlineStr">
        <is>
          <t>DIL MC25</t>
        </is>
      </c>
      <c r="M2497" t="inlineStr">
        <is>
          <t>-165Q1</t>
        </is>
      </c>
    </row>
    <row r="2498">
      <c r="A2498">
        <v>2497</v>
      </c>
      <c r="B2498">
        <f>GS90</f>
        <v>0</v>
      </c>
      <c r="C2498" t="inlineStr">
        <is>
          <t>+LS02</t>
        </is>
      </c>
      <c r="D2498" t="inlineStr">
        <is>
          <t>-165Q1</t>
        </is>
      </c>
      <c r="E2498" t="inlineStr">
        <is>
          <t>DILMC25-10(RDC24)</t>
        </is>
      </c>
      <c r="F2498" t="inlineStr">
        <is>
          <t>DILA-XHI22</t>
        </is>
      </c>
      <c r="G2498" t="inlineStr">
        <is>
          <t>LASTSCHUETZ</t>
        </is>
      </c>
      <c r="H2498" t="inlineStr">
        <is>
          <t>11kW 1S Federzugkl.</t>
        </is>
      </c>
      <c r="I2498">
        <v>1084</v>
      </c>
      <c r="J2498">
        <f>GS90/165.4</f>
        <v>0</v>
      </c>
      <c r="K2498" t="inlineStr">
        <is>
          <t>DIL MC25</t>
        </is>
      </c>
      <c r="M2498" t="inlineStr">
        <is>
          <t>-165Q1</t>
        </is>
      </c>
    </row>
    <row r="2499">
      <c r="A2499">
        <v>2498</v>
      </c>
      <c r="B2499">
        <f>GS94</f>
        <v>0</v>
      </c>
      <c r="C2499" t="inlineStr">
        <is>
          <t>+LS15</t>
        </is>
      </c>
      <c r="D2499" t="inlineStr">
        <is>
          <t>-165Q1</t>
        </is>
      </c>
      <c r="E2499" t="inlineStr">
        <is>
          <t>DILA-XHI22</t>
        </is>
      </c>
      <c r="F2499" t="inlineStr">
        <is>
          <t>DILA-XHI22</t>
        </is>
      </c>
      <c r="G2499" t="inlineStr">
        <is>
          <t>HILFSKONTAKTBLOCK</t>
        </is>
      </c>
      <c r="H2499" t="inlineStr">
        <is>
          <t>2S 2OE Last+Hilfssch. Cage</t>
        </is>
      </c>
      <c r="I2499">
        <v>255</v>
      </c>
      <c r="J2499">
        <f>GS94/165.4</f>
        <v>0</v>
      </c>
      <c r="K2499" t="inlineStr">
        <is>
          <t>DIL MC25</t>
        </is>
      </c>
      <c r="M2499" t="inlineStr">
        <is>
          <t>-165Q1</t>
        </is>
      </c>
    </row>
    <row r="2500">
      <c r="A2500">
        <v>2499</v>
      </c>
      <c r="B2500">
        <f>GS94</f>
        <v>0</v>
      </c>
      <c r="C2500" t="inlineStr">
        <is>
          <t>+LS15</t>
        </is>
      </c>
      <c r="D2500" t="inlineStr">
        <is>
          <t>-165Q1</t>
        </is>
      </c>
      <c r="E2500" t="inlineStr">
        <is>
          <t>DILMC25-10(RDC24)</t>
        </is>
      </c>
      <c r="F2500" t="inlineStr">
        <is>
          <t>DILA-XHI22</t>
        </is>
      </c>
      <c r="G2500" t="inlineStr">
        <is>
          <t>LASTSCHUETZ</t>
        </is>
      </c>
      <c r="H2500" t="inlineStr">
        <is>
          <t>11kW 1S Federzugkl.</t>
        </is>
      </c>
      <c r="I2500">
        <v>255</v>
      </c>
      <c r="J2500">
        <f>GS94/165.4</f>
        <v>0</v>
      </c>
      <c r="K2500" t="inlineStr">
        <is>
          <t>DIL MC25</t>
        </is>
      </c>
      <c r="M2500" t="inlineStr">
        <is>
          <t>-165Q1</t>
        </is>
      </c>
    </row>
    <row r="2501">
      <c r="A2501">
        <v>2500</v>
      </c>
      <c r="B2501">
        <f>GS95</f>
        <v>0</v>
      </c>
      <c r="C2501" t="inlineStr">
        <is>
          <t>+LS15</t>
        </is>
      </c>
      <c r="D2501" t="inlineStr">
        <is>
          <t>-165Q1</t>
        </is>
      </c>
      <c r="E2501" t="inlineStr">
        <is>
          <t>DILA-XHI22</t>
        </is>
      </c>
      <c r="F2501" t="inlineStr">
        <is>
          <t>DILA-XHI22</t>
        </is>
      </c>
      <c r="G2501" t="inlineStr">
        <is>
          <t>HILFSKONTAKTBLOCK</t>
        </is>
      </c>
      <c r="H2501" t="inlineStr">
        <is>
          <t>2S 2OE Last+Hilfssch. Cage</t>
        </is>
      </c>
      <c r="I2501">
        <v>255</v>
      </c>
      <c r="J2501">
        <f>GS95/165.4</f>
        <v>0</v>
      </c>
      <c r="K2501" t="inlineStr">
        <is>
          <t>DIL MC25</t>
        </is>
      </c>
      <c r="M2501" t="inlineStr">
        <is>
          <t>-165Q1</t>
        </is>
      </c>
    </row>
    <row r="2502">
      <c r="A2502">
        <v>2501</v>
      </c>
      <c r="B2502">
        <f>GS95</f>
        <v>0</v>
      </c>
      <c r="C2502" t="inlineStr">
        <is>
          <t>+LS15</t>
        </is>
      </c>
      <c r="D2502" t="inlineStr">
        <is>
          <t>-165Q1</t>
        </is>
      </c>
      <c r="E2502" t="inlineStr">
        <is>
          <t>DILMC25-10(RDC24)</t>
        </is>
      </c>
      <c r="F2502" t="inlineStr">
        <is>
          <t>DILA-XHI22</t>
        </is>
      </c>
      <c r="G2502" t="inlineStr">
        <is>
          <t>LASTSCHUETZ</t>
        </is>
      </c>
      <c r="H2502" t="inlineStr">
        <is>
          <t>11kW 1S Federzugkl.</t>
        </is>
      </c>
      <c r="I2502">
        <v>255</v>
      </c>
      <c r="J2502">
        <f>GS95/165.4</f>
        <v>0</v>
      </c>
      <c r="K2502" t="inlineStr">
        <is>
          <t>DIL MC25</t>
        </is>
      </c>
      <c r="M2502" t="inlineStr">
        <is>
          <t>-165Q1</t>
        </is>
      </c>
    </row>
    <row r="2503">
      <c r="A2503">
        <v>2502</v>
      </c>
      <c r="B2503">
        <f>GS96</f>
        <v>0</v>
      </c>
      <c r="C2503" t="inlineStr">
        <is>
          <t>+LS15</t>
        </is>
      </c>
      <c r="D2503" t="inlineStr">
        <is>
          <t>-165Q1</t>
        </is>
      </c>
      <c r="E2503" t="inlineStr">
        <is>
          <t>DILA-XHI22</t>
        </is>
      </c>
      <c r="F2503" t="inlineStr">
        <is>
          <t>DILA-XHI22</t>
        </is>
      </c>
      <c r="G2503" t="inlineStr">
        <is>
          <t>HILFSKONTAKTBLOCK</t>
        </is>
      </c>
      <c r="H2503" t="inlineStr">
        <is>
          <t>2S 2OE Last+Hilfssch. Cage</t>
        </is>
      </c>
      <c r="I2503">
        <v>255</v>
      </c>
      <c r="J2503">
        <f>GS96/165.4</f>
        <v>0</v>
      </c>
      <c r="K2503" t="inlineStr">
        <is>
          <t>DIL MC25</t>
        </is>
      </c>
      <c r="M2503" t="inlineStr">
        <is>
          <t>-165Q1</t>
        </is>
      </c>
    </row>
    <row r="2504">
      <c r="A2504">
        <v>2503</v>
      </c>
      <c r="B2504">
        <f>GS96</f>
        <v>0</v>
      </c>
      <c r="C2504" t="inlineStr">
        <is>
          <t>+LS15</t>
        </is>
      </c>
      <c r="D2504" t="inlineStr">
        <is>
          <t>-165Q1</t>
        </is>
      </c>
      <c r="E2504" t="inlineStr">
        <is>
          <t>DILMC25-10(RDC24)</t>
        </is>
      </c>
      <c r="F2504" t="inlineStr">
        <is>
          <t>DILA-XHI22</t>
        </is>
      </c>
      <c r="G2504" t="inlineStr">
        <is>
          <t>LASTSCHUETZ</t>
        </is>
      </c>
      <c r="H2504" t="inlineStr">
        <is>
          <t>11kW 1S Federzugkl.</t>
        </is>
      </c>
      <c r="I2504">
        <v>255</v>
      </c>
      <c r="J2504">
        <f>GS96/165.4</f>
        <v>0</v>
      </c>
      <c r="K2504" t="inlineStr">
        <is>
          <t>DIL MC25</t>
        </is>
      </c>
      <c r="M2504" t="inlineStr">
        <is>
          <t>-165Q1</t>
        </is>
      </c>
    </row>
    <row r="2505">
      <c r="A2505">
        <v>2504</v>
      </c>
      <c r="B2505">
        <f>GS97</f>
        <v>0</v>
      </c>
      <c r="C2505" t="inlineStr">
        <is>
          <t>+LS15</t>
        </is>
      </c>
      <c r="D2505" t="inlineStr">
        <is>
          <t>-165Q1</t>
        </is>
      </c>
      <c r="E2505" t="inlineStr">
        <is>
          <t>DILA-XHI22</t>
        </is>
      </c>
      <c r="F2505" t="inlineStr">
        <is>
          <t>DILA-XHI22</t>
        </is>
      </c>
      <c r="G2505" t="inlineStr">
        <is>
          <t>HILFSKONTAKTBLOCK</t>
        </is>
      </c>
      <c r="H2505" t="inlineStr">
        <is>
          <t>2S 2OE Last+Hilfssch. Cage</t>
        </is>
      </c>
      <c r="I2505">
        <v>255</v>
      </c>
      <c r="J2505">
        <f>GS97/165.4</f>
        <v>0</v>
      </c>
      <c r="K2505" t="inlineStr">
        <is>
          <t>DIL MC25</t>
        </is>
      </c>
      <c r="M2505" t="inlineStr">
        <is>
          <t>-165Q1</t>
        </is>
      </c>
    </row>
    <row r="2506">
      <c r="A2506">
        <v>2505</v>
      </c>
      <c r="B2506">
        <f>GS97</f>
        <v>0</v>
      </c>
      <c r="C2506" t="inlineStr">
        <is>
          <t>+LS15</t>
        </is>
      </c>
      <c r="D2506" t="inlineStr">
        <is>
          <t>-165Q1</t>
        </is>
      </c>
      <c r="E2506" t="inlineStr">
        <is>
          <t>DILMC25-10(RDC24)</t>
        </is>
      </c>
      <c r="F2506" t="inlineStr">
        <is>
          <t>DILA-XHI22</t>
        </is>
      </c>
      <c r="G2506" t="inlineStr">
        <is>
          <t>LASTSCHUETZ</t>
        </is>
      </c>
      <c r="H2506" t="inlineStr">
        <is>
          <t>11kW 1S Federzugkl.</t>
        </is>
      </c>
      <c r="I2506">
        <v>255</v>
      </c>
      <c r="J2506">
        <f>GS97/165.4</f>
        <v>0</v>
      </c>
      <c r="K2506" t="inlineStr">
        <is>
          <t>DIL MC25</t>
        </is>
      </c>
      <c r="M2506" t="inlineStr">
        <is>
          <t>-165Q1</t>
        </is>
      </c>
    </row>
    <row r="2507">
      <c r="A2507">
        <v>2506</v>
      </c>
      <c r="B2507">
        <f>GS90</f>
        <v>0</v>
      </c>
      <c r="C2507" t="inlineStr">
        <is>
          <t>+LS18</t>
        </is>
      </c>
      <c r="D2507" t="inlineStr">
        <is>
          <t>-1660K1305.6</t>
        </is>
      </c>
      <c r="E2507" t="inlineStr">
        <is>
          <t>DILA-22</t>
        </is>
      </c>
      <c r="F2507" t="inlineStr">
        <is>
          <t>#KALK!</t>
        </is>
      </c>
      <c r="G2507" t="inlineStr">
        <is>
          <t>HILFSSCHUETZ</t>
        </is>
      </c>
      <c r="H2507" t="inlineStr">
        <is>
          <t>2S 2Oe Federzugkl.</t>
        </is>
      </c>
      <c r="I2507">
        <v>2595</v>
      </c>
      <c r="J2507">
        <f>GS90/1660.6</f>
        <v>0</v>
      </c>
      <c r="M2507" t="inlineStr">
        <is>
          <t>-1660K1305.6</t>
        </is>
      </c>
    </row>
    <row r="2508">
      <c r="A2508">
        <v>2507</v>
      </c>
      <c r="B2508">
        <f>GS90</f>
        <v>0</v>
      </c>
      <c r="C2508" t="inlineStr">
        <is>
          <t>+LS18</t>
        </is>
      </c>
      <c r="D2508" t="inlineStr">
        <is>
          <t>-1660Q1</t>
        </is>
      </c>
      <c r="E2508" t="inlineStr">
        <is>
          <t>DILMC25-10(RDC24)</t>
        </is>
      </c>
      <c r="F2508" t="inlineStr">
        <is>
          <t>DILA-XHIC31</t>
        </is>
      </c>
      <c r="G2508" t="inlineStr">
        <is>
          <t>LASTSCHUETZ</t>
        </is>
      </c>
      <c r="H2508" t="inlineStr">
        <is>
          <t>11kW 1S Federzugkl.</t>
        </is>
      </c>
      <c r="I2508">
        <v>2595</v>
      </c>
      <c r="J2508">
        <f>GS90/1660.2</f>
        <v>0</v>
      </c>
      <c r="M2508" t="inlineStr">
        <is>
          <t>-1660Q1</t>
        </is>
      </c>
    </row>
    <row r="2509">
      <c r="A2509">
        <v>2508</v>
      </c>
      <c r="B2509">
        <f>GS90</f>
        <v>0</v>
      </c>
      <c r="C2509" t="inlineStr">
        <is>
          <t>+LS18</t>
        </is>
      </c>
      <c r="D2509" t="inlineStr">
        <is>
          <t>-1660Q1</t>
        </is>
      </c>
      <c r="E2509" t="inlineStr">
        <is>
          <t>DILA-XHIC31</t>
        </is>
      </c>
      <c r="F2509" t="inlineStr">
        <is>
          <t>DILA-XHIC31</t>
        </is>
      </c>
      <c r="G2509" t="inlineStr">
        <is>
          <t>HILFSKONTAKTBLOCK</t>
        </is>
      </c>
      <c r="H2509" t="inlineStr">
        <is>
          <t>3S 1OE Last+Hilfssch. Cage</t>
        </is>
      </c>
      <c r="I2509">
        <v>2595</v>
      </c>
      <c r="J2509">
        <f>GS90/1660.2</f>
        <v>0</v>
      </c>
      <c r="M2509" t="inlineStr">
        <is>
          <t>-1660Q1</t>
        </is>
      </c>
    </row>
    <row r="2510">
      <c r="A2510">
        <v>2509</v>
      </c>
      <c r="B2510">
        <f>GS55</f>
        <v>0</v>
      </c>
      <c r="C2510" t="inlineStr">
        <is>
          <t>+LS27</t>
        </is>
      </c>
      <c r="D2510" t="inlineStr">
        <is>
          <t>-1660Q1005.2</t>
        </is>
      </c>
      <c r="E2510" t="inlineStr">
        <is>
          <t>DILM-9-10</t>
        </is>
      </c>
      <c r="F2510" t="inlineStr">
        <is>
          <t>#KALK!</t>
        </is>
      </c>
      <c r="G2510" t="inlineStr">
        <is>
          <t>LASTSCHUETZ</t>
        </is>
      </c>
      <c r="H2510" t="inlineStr">
        <is>
          <t>4kW 1S Federzugkl.</t>
        </is>
      </c>
      <c r="I2510">
        <v>1853</v>
      </c>
      <c r="J2510">
        <f>GS55/1660.6</f>
        <v>0</v>
      </c>
      <c r="K2510" t="inlineStr">
        <is>
          <t>DIL MC9</t>
        </is>
      </c>
      <c r="M2510" t="inlineStr">
        <is>
          <t>-1660Q1005.2</t>
        </is>
      </c>
    </row>
    <row r="2511">
      <c r="A2511">
        <v>2510</v>
      </c>
      <c r="B2511">
        <f>GS90</f>
        <v>0</v>
      </c>
      <c r="C2511" t="inlineStr">
        <is>
          <t>+LS18</t>
        </is>
      </c>
      <c r="D2511" t="inlineStr">
        <is>
          <t>-1660Q2</t>
        </is>
      </c>
      <c r="E2511" t="inlineStr">
        <is>
          <t>DILM-9-01</t>
        </is>
      </c>
      <c r="F2511" t="inlineStr">
        <is>
          <t>#KALK!</t>
        </is>
      </c>
      <c r="G2511" t="inlineStr">
        <is>
          <t>LASTSCHUETZ</t>
        </is>
      </c>
      <c r="H2511" t="inlineStr">
        <is>
          <t>4kW 1Oe Federzugkl.</t>
        </is>
      </c>
      <c r="I2511">
        <v>2595</v>
      </c>
      <c r="J2511">
        <f>GS90/1660.3</f>
        <v>0</v>
      </c>
      <c r="M2511" t="inlineStr">
        <is>
          <t>-1660Q2</t>
        </is>
      </c>
    </row>
    <row r="2512">
      <c r="A2512">
        <v>2511</v>
      </c>
      <c r="B2512">
        <f>GS55</f>
        <v>0</v>
      </c>
      <c r="C2512" t="inlineStr">
        <is>
          <t>+LS27</t>
        </is>
      </c>
      <c r="D2512" t="inlineStr">
        <is>
          <t>-1662Q1005.3</t>
        </is>
      </c>
      <c r="E2512" t="inlineStr">
        <is>
          <t>DILM-9-10</t>
        </is>
      </c>
      <c r="F2512" t="inlineStr">
        <is>
          <t>#KALK!</t>
        </is>
      </c>
      <c r="G2512" t="inlineStr">
        <is>
          <t>LASTSCHUETZ</t>
        </is>
      </c>
      <c r="H2512" t="inlineStr">
        <is>
          <t>4kW 1S Federzugkl.</t>
        </is>
      </c>
      <c r="I2512">
        <v>1855</v>
      </c>
      <c r="J2512">
        <f>GS55/1662.6</f>
        <v>0</v>
      </c>
      <c r="K2512" t="inlineStr">
        <is>
          <t>DIL MC9</t>
        </is>
      </c>
      <c r="M2512" t="inlineStr">
        <is>
          <t>-1662Q1005.3</t>
        </is>
      </c>
    </row>
    <row r="2513">
      <c r="A2513">
        <v>2512</v>
      </c>
      <c r="B2513">
        <f>GS55</f>
        <v>0</v>
      </c>
      <c r="C2513" t="inlineStr">
        <is>
          <t>+LS27</t>
        </is>
      </c>
      <c r="D2513" t="inlineStr">
        <is>
          <t>-1664Q1005.4</t>
        </is>
      </c>
      <c r="E2513" t="inlineStr">
        <is>
          <t>DILM-9-10</t>
        </is>
      </c>
      <c r="F2513" t="inlineStr">
        <is>
          <t>#KALK!</t>
        </is>
      </c>
      <c r="G2513" t="inlineStr">
        <is>
          <t>LASTSCHUETZ</t>
        </is>
      </c>
      <c r="H2513" t="inlineStr">
        <is>
          <t>4kW 1S Federzugkl.</t>
        </is>
      </c>
      <c r="I2513">
        <v>1857</v>
      </c>
      <c r="J2513">
        <f>GS55/1664.6</f>
        <v>0</v>
      </c>
      <c r="K2513" t="inlineStr">
        <is>
          <t>DIL MC9</t>
        </is>
      </c>
      <c r="M2513" t="inlineStr">
        <is>
          <t>-1664Q1005.4</t>
        </is>
      </c>
    </row>
    <row r="2514">
      <c r="A2514">
        <v>2513</v>
      </c>
      <c r="B2514">
        <f>GS90</f>
        <v>0</v>
      </c>
      <c r="C2514" t="inlineStr">
        <is>
          <t>+LS18</t>
        </is>
      </c>
      <c r="D2514" t="inlineStr">
        <is>
          <t>-1665K1307.0</t>
        </is>
      </c>
      <c r="E2514" t="inlineStr">
        <is>
          <t>DILA-40</t>
        </is>
      </c>
      <c r="F2514" t="inlineStr">
        <is>
          <t>#KALK!</t>
        </is>
      </c>
      <c r="G2514" t="inlineStr">
        <is>
          <t>HILFSSCHUETZ</t>
        </is>
      </c>
      <c r="H2514" t="inlineStr">
        <is>
          <t>4S Federzugkl.</t>
        </is>
      </c>
      <c r="I2514">
        <v>2600</v>
      </c>
      <c r="J2514">
        <f>GS90/1665.7</f>
        <v>0</v>
      </c>
      <c r="M2514" t="inlineStr">
        <is>
          <t>-1665K1307.0</t>
        </is>
      </c>
    </row>
    <row r="2515">
      <c r="A2515">
        <v>2514</v>
      </c>
      <c r="B2515">
        <f>GS90</f>
        <v>0</v>
      </c>
      <c r="C2515" t="inlineStr">
        <is>
          <t>+LS18</t>
        </is>
      </c>
      <c r="D2515" t="inlineStr">
        <is>
          <t>-1665Q1</t>
        </is>
      </c>
      <c r="E2515" t="inlineStr">
        <is>
          <t>DILMC25-10(RDC24)</t>
        </is>
      </c>
      <c r="F2515" t="inlineStr">
        <is>
          <t>DILA-XHI22</t>
        </is>
      </c>
      <c r="G2515" t="inlineStr">
        <is>
          <t>LASTSCHUETZ</t>
        </is>
      </c>
      <c r="H2515" t="inlineStr">
        <is>
          <t>11kW 1S Federzugkl.</t>
        </is>
      </c>
      <c r="I2515">
        <v>2600</v>
      </c>
      <c r="J2515">
        <f>GS90/1665.4</f>
        <v>0</v>
      </c>
      <c r="K2515" t="inlineStr">
        <is>
          <t>DIL MC25</t>
        </is>
      </c>
      <c r="M2515" t="inlineStr">
        <is>
          <t>-1665Q1</t>
        </is>
      </c>
    </row>
    <row r="2516">
      <c r="A2516">
        <v>2515</v>
      </c>
      <c r="B2516">
        <f>GS90</f>
        <v>0</v>
      </c>
      <c r="C2516" t="inlineStr">
        <is>
          <t>+LS18</t>
        </is>
      </c>
      <c r="D2516" t="inlineStr">
        <is>
          <t>-1665Q1</t>
        </is>
      </c>
      <c r="E2516" t="inlineStr">
        <is>
          <t>DILA-XHI22</t>
        </is>
      </c>
      <c r="F2516" t="inlineStr">
        <is>
          <t>DILA-XHI22</t>
        </is>
      </c>
      <c r="G2516" t="inlineStr">
        <is>
          <t>HILFSKONTAKTBLOCK</t>
        </is>
      </c>
      <c r="H2516" t="inlineStr">
        <is>
          <t>2S 2OE Last+Hilfssch. Cage</t>
        </is>
      </c>
      <c r="I2516">
        <v>2600</v>
      </c>
      <c r="J2516">
        <f>GS90/1665.4</f>
        <v>0</v>
      </c>
      <c r="K2516" t="inlineStr">
        <is>
          <t>DIL MC25</t>
        </is>
      </c>
      <c r="M2516" t="inlineStr">
        <is>
          <t>-1665Q1</t>
        </is>
      </c>
    </row>
    <row r="2517">
      <c r="A2517">
        <v>2516</v>
      </c>
      <c r="B2517">
        <f>GS55</f>
        <v>0</v>
      </c>
      <c r="C2517" t="inlineStr">
        <is>
          <t>+LS27</t>
        </is>
      </c>
      <c r="D2517" t="inlineStr">
        <is>
          <t>-1666Q1005.5</t>
        </is>
      </c>
      <c r="E2517" t="inlineStr">
        <is>
          <t>DILM-9-10</t>
        </is>
      </c>
      <c r="F2517" t="inlineStr">
        <is>
          <t>#KALK!</t>
        </is>
      </c>
      <c r="G2517" t="inlineStr">
        <is>
          <t>LASTSCHUETZ</t>
        </is>
      </c>
      <c r="H2517" t="inlineStr">
        <is>
          <t>4kW 1S Federzugkl.</t>
        </is>
      </c>
      <c r="I2517">
        <v>1859</v>
      </c>
      <c r="J2517">
        <f>GS55/1666.6</f>
        <v>0</v>
      </c>
      <c r="K2517" t="inlineStr">
        <is>
          <t>DIL MC9</t>
        </is>
      </c>
      <c r="M2517" t="inlineStr">
        <is>
          <t>-1666Q1005.5</t>
        </is>
      </c>
    </row>
    <row r="2518">
      <c r="A2518">
        <v>2517</v>
      </c>
      <c r="B2518">
        <f>GS90</f>
        <v>0</v>
      </c>
      <c r="C2518" t="inlineStr">
        <is>
          <t>+LS18</t>
        </is>
      </c>
      <c r="D2518" t="inlineStr">
        <is>
          <t>-1668Q1307.2</t>
        </is>
      </c>
      <c r="E2518" t="inlineStr">
        <is>
          <t>DILM-9-10</t>
        </is>
      </c>
      <c r="F2518" t="inlineStr">
        <is>
          <t>#KALK!</t>
        </is>
      </c>
      <c r="G2518" t="inlineStr">
        <is>
          <t>LASTSCHUETZ</t>
        </is>
      </c>
      <c r="H2518" t="inlineStr">
        <is>
          <t>4kW 1S Federzugkl.</t>
        </is>
      </c>
      <c r="I2518">
        <v>2603</v>
      </c>
      <c r="J2518">
        <f>GS90/1668.5</f>
        <v>0</v>
      </c>
      <c r="M2518" t="inlineStr">
        <is>
          <t>-1668Q1307.2</t>
        </is>
      </c>
    </row>
    <row r="2519">
      <c r="A2519">
        <v>2518</v>
      </c>
      <c r="B2519">
        <f>GS32</f>
        <v>0</v>
      </c>
      <c r="C2519" t="inlineStr">
        <is>
          <t>+LS3</t>
        </is>
      </c>
      <c r="D2519" t="inlineStr">
        <is>
          <t>-166K30.3</t>
        </is>
      </c>
      <c r="E2519" t="inlineStr">
        <is>
          <t>DIL_EM-10-G</t>
        </is>
      </c>
      <c r="F2519" t="inlineStr">
        <is>
          <t>#KALK!</t>
        </is>
      </c>
      <c r="G2519" t="inlineStr">
        <is>
          <t>LASTSCHUETZ</t>
        </is>
      </c>
      <c r="H2519" t="inlineStr">
        <is>
          <t>4kW 1S</t>
        </is>
      </c>
      <c r="I2519">
        <v>1389</v>
      </c>
      <c r="J2519">
        <f>GS32/166.6</f>
        <v>0</v>
      </c>
      <c r="M2519" t="inlineStr">
        <is>
          <t>-166K30.3</t>
        </is>
      </c>
    </row>
    <row r="2520">
      <c r="A2520">
        <v>2519</v>
      </c>
      <c r="B2520">
        <f>GS32</f>
        <v>0</v>
      </c>
      <c r="C2520" t="inlineStr">
        <is>
          <t>+LS3</t>
        </is>
      </c>
      <c r="D2520" t="inlineStr">
        <is>
          <t>-166K30.4</t>
        </is>
      </c>
      <c r="E2520" t="inlineStr">
        <is>
          <t>DIL_EM-10-G</t>
        </is>
      </c>
      <c r="F2520" t="inlineStr">
        <is>
          <t>#KALK!</t>
        </is>
      </c>
      <c r="G2520" t="inlineStr">
        <is>
          <t>LASTSCHUETZ</t>
        </is>
      </c>
      <c r="H2520" t="inlineStr">
        <is>
          <t>4kW 1S</t>
        </is>
      </c>
      <c r="I2520">
        <v>1389</v>
      </c>
      <c r="J2520">
        <f>GS32/166.6</f>
        <v>0</v>
      </c>
      <c r="M2520" t="inlineStr">
        <is>
          <t>-166K30.4</t>
        </is>
      </c>
    </row>
    <row r="2521">
      <c r="A2521">
        <v>2520</v>
      </c>
      <c r="B2521">
        <f>GS90</f>
        <v>0</v>
      </c>
      <c r="C2521" t="inlineStr">
        <is>
          <t>+LS02</t>
        </is>
      </c>
      <c r="D2521" t="inlineStr">
        <is>
          <t>-166Q445.1</t>
        </is>
      </c>
      <c r="E2521" t="inlineStr">
        <is>
          <t>DILM-9-10</t>
        </is>
      </c>
      <c r="F2521" t="inlineStr">
        <is>
          <t>#KALK!</t>
        </is>
      </c>
      <c r="G2521" t="inlineStr">
        <is>
          <t>LASTSCHUETZ</t>
        </is>
      </c>
      <c r="H2521" t="inlineStr">
        <is>
          <t>4kW 1S Federzugkl.</t>
        </is>
      </c>
      <c r="I2521">
        <v>1083</v>
      </c>
      <c r="J2521">
        <f>GS90/166.5</f>
        <v>0</v>
      </c>
      <c r="M2521" t="inlineStr">
        <is>
          <t>-166Q445.1</t>
        </is>
      </c>
    </row>
    <row r="2522">
      <c r="A2522">
        <v>2521</v>
      </c>
      <c r="B2522">
        <f>GS38</f>
        <v>0</v>
      </c>
      <c r="C2522" t="inlineStr">
        <is>
          <t>+LS02</t>
        </is>
      </c>
      <c r="D2522" t="inlineStr">
        <is>
          <t>-166Q715.2</t>
        </is>
      </c>
      <c r="E2522" t="inlineStr">
        <is>
          <t>DILM-9-10</t>
        </is>
      </c>
      <c r="F2522" t="inlineStr">
        <is>
          <t>#KALK!</t>
        </is>
      </c>
      <c r="G2522" t="inlineStr">
        <is>
          <t>LASTSCHUETZ</t>
        </is>
      </c>
      <c r="H2522" t="inlineStr">
        <is>
          <t>4kW 1S Federzugkl.</t>
        </is>
      </c>
      <c r="I2522">
        <v>298</v>
      </c>
      <c r="J2522">
        <f>GS38/166.5</f>
        <v>0</v>
      </c>
      <c r="M2522" t="inlineStr">
        <is>
          <t>-166Q715.2</t>
        </is>
      </c>
    </row>
    <row r="2523">
      <c r="A2523">
        <v>2522</v>
      </c>
      <c r="B2523">
        <f>GS39</f>
        <v>0</v>
      </c>
      <c r="C2523" t="inlineStr">
        <is>
          <t>+LS02</t>
        </is>
      </c>
      <c r="D2523" t="inlineStr">
        <is>
          <t>-166Q715.2</t>
        </is>
      </c>
      <c r="E2523" t="inlineStr">
        <is>
          <t>DILM-9-10</t>
        </is>
      </c>
      <c r="F2523" t="inlineStr">
        <is>
          <t>#KALK!</t>
        </is>
      </c>
      <c r="G2523" t="inlineStr">
        <is>
          <t>LASTSCHUETZ</t>
        </is>
      </c>
      <c r="H2523" t="inlineStr">
        <is>
          <t>4kW 1S Federzugkl.</t>
        </is>
      </c>
      <c r="I2523">
        <v>352</v>
      </c>
      <c r="J2523">
        <f>GS39/166.5</f>
        <v>0</v>
      </c>
      <c r="M2523" t="inlineStr">
        <is>
          <t>-166Q715.2</t>
        </is>
      </c>
    </row>
    <row r="2524">
      <c r="A2524">
        <v>2523</v>
      </c>
      <c r="B2524">
        <f>GS90</f>
        <v>0</v>
      </c>
      <c r="C2524" t="inlineStr">
        <is>
          <t>+LS18</t>
        </is>
      </c>
      <c r="D2524" t="inlineStr">
        <is>
          <t>-1675K1311.0</t>
        </is>
      </c>
      <c r="E2524" t="inlineStr">
        <is>
          <t>DILA-40</t>
        </is>
      </c>
      <c r="F2524" t="inlineStr">
        <is>
          <t>#KALK!</t>
        </is>
      </c>
      <c r="G2524" t="inlineStr">
        <is>
          <t>HILFSSCHUETZ</t>
        </is>
      </c>
      <c r="H2524" t="inlineStr">
        <is>
          <t>4S Federzugkl.</t>
        </is>
      </c>
      <c r="I2524">
        <v>2610</v>
      </c>
      <c r="J2524">
        <f>GS90/1675.7</f>
        <v>0</v>
      </c>
      <c r="M2524" t="inlineStr">
        <is>
          <t>-1675K1311.0</t>
        </is>
      </c>
    </row>
    <row r="2525">
      <c r="A2525">
        <v>2524</v>
      </c>
      <c r="B2525">
        <f>GS90</f>
        <v>0</v>
      </c>
      <c r="C2525" t="inlineStr">
        <is>
          <t>+LS18</t>
        </is>
      </c>
      <c r="D2525" t="inlineStr">
        <is>
          <t>-1675Q1</t>
        </is>
      </c>
      <c r="E2525" t="inlineStr">
        <is>
          <t>DILMC25-10(RDC24)</t>
        </is>
      </c>
      <c r="F2525" t="inlineStr">
        <is>
          <t>DILA-XHI22</t>
        </is>
      </c>
      <c r="G2525" t="inlineStr">
        <is>
          <t>LASTSCHUETZ</t>
        </is>
      </c>
      <c r="H2525" t="inlineStr">
        <is>
          <t>11kW 1S Federzugkl.</t>
        </is>
      </c>
      <c r="I2525">
        <v>2610</v>
      </c>
      <c r="J2525">
        <f>GS90/1675.4</f>
        <v>0</v>
      </c>
      <c r="K2525" t="inlineStr">
        <is>
          <t>DIL MC25</t>
        </is>
      </c>
      <c r="M2525" t="inlineStr">
        <is>
          <t>-1675Q1</t>
        </is>
      </c>
    </row>
    <row r="2526">
      <c r="A2526">
        <v>2525</v>
      </c>
      <c r="B2526">
        <f>GS90</f>
        <v>0</v>
      </c>
      <c r="C2526" t="inlineStr">
        <is>
          <t>+LS18</t>
        </is>
      </c>
      <c r="D2526" t="inlineStr">
        <is>
          <t>-1675Q1</t>
        </is>
      </c>
      <c r="E2526" t="inlineStr">
        <is>
          <t>DILA-XHI22</t>
        </is>
      </c>
      <c r="F2526" t="inlineStr">
        <is>
          <t>DILA-XHI22</t>
        </is>
      </c>
      <c r="G2526" t="inlineStr">
        <is>
          <t>HILFSKONTAKTBLOCK</t>
        </is>
      </c>
      <c r="H2526" t="inlineStr">
        <is>
          <t>2S 2OE Last+Hilfssch. Cage</t>
        </is>
      </c>
      <c r="I2526">
        <v>2610</v>
      </c>
      <c r="J2526">
        <f>GS90/1675.4</f>
        <v>0</v>
      </c>
      <c r="K2526" t="inlineStr">
        <is>
          <t>DIL MC25</t>
        </is>
      </c>
      <c r="M2526" t="inlineStr">
        <is>
          <t>-1675Q1</t>
        </is>
      </c>
    </row>
    <row r="2527">
      <c r="A2527">
        <v>2526</v>
      </c>
      <c r="B2527">
        <f>GS90</f>
        <v>0</v>
      </c>
      <c r="C2527" t="inlineStr">
        <is>
          <t>+LS18</t>
        </is>
      </c>
      <c r="D2527" t="inlineStr">
        <is>
          <t>-1677Q1311.2</t>
        </is>
      </c>
      <c r="E2527" t="inlineStr">
        <is>
          <t>DILM-9-10</t>
        </is>
      </c>
      <c r="F2527" t="inlineStr">
        <is>
          <t>#KALK!</t>
        </is>
      </c>
      <c r="G2527" t="inlineStr">
        <is>
          <t>LASTSCHUETZ</t>
        </is>
      </c>
      <c r="H2527" t="inlineStr">
        <is>
          <t>4kW 1S Federzugkl.</t>
        </is>
      </c>
      <c r="I2527">
        <v>2612</v>
      </c>
      <c r="J2527">
        <f>GS90/1677.5</f>
        <v>0</v>
      </c>
      <c r="M2527" t="inlineStr">
        <is>
          <t>-1677Q1311.2</t>
        </is>
      </c>
    </row>
    <row r="2528">
      <c r="A2528">
        <v>2527</v>
      </c>
      <c r="B2528">
        <f>GS90</f>
        <v>0</v>
      </c>
      <c r="C2528" t="inlineStr">
        <is>
          <t>+LS18</t>
        </is>
      </c>
      <c r="D2528" t="inlineStr">
        <is>
          <t>-1679Q1311.3</t>
        </is>
      </c>
      <c r="E2528" t="inlineStr">
        <is>
          <t>DILM-9-10</t>
        </is>
      </c>
      <c r="F2528" t="inlineStr">
        <is>
          <t>#KALK!</t>
        </is>
      </c>
      <c r="G2528" t="inlineStr">
        <is>
          <t>LASTSCHUETZ</t>
        </is>
      </c>
      <c r="H2528" t="inlineStr">
        <is>
          <t>4kW 1S Federzugkl.</t>
        </is>
      </c>
      <c r="I2528">
        <v>2614</v>
      </c>
      <c r="J2528">
        <f>GS90/1679.5</f>
        <v>0</v>
      </c>
      <c r="M2528" t="inlineStr">
        <is>
          <t>-1679Q1311.3</t>
        </is>
      </c>
    </row>
    <row r="2529">
      <c r="A2529">
        <v>2528</v>
      </c>
      <c r="B2529">
        <f>GS7x</f>
        <v>0</v>
      </c>
      <c r="C2529" t="inlineStr">
        <is>
          <t>+LS[l2]</t>
        </is>
      </c>
      <c r="D2529" t="inlineStr">
        <is>
          <t>-167K[a+2].2</t>
        </is>
      </c>
      <c r="E2529" t="inlineStr">
        <is>
          <t>DILA-22</t>
        </is>
      </c>
      <c r="F2529" t="inlineStr">
        <is>
          <t>#KALK!</t>
        </is>
      </c>
      <c r="G2529" t="inlineStr">
        <is>
          <t>HILFSSCHUETZ</t>
        </is>
      </c>
      <c r="H2529" t="inlineStr">
        <is>
          <t>2S 2Oe Federzugkl.</t>
        </is>
      </c>
      <c r="I2529">
        <v>211</v>
      </c>
      <c r="J2529">
        <f>GS7x/167.6</f>
        <v>0</v>
      </c>
      <c r="M2529" t="inlineStr">
        <is>
          <t>-167K[a+2].2</t>
        </is>
      </c>
    </row>
    <row r="2530">
      <c r="A2530">
        <v>2529</v>
      </c>
      <c r="B2530">
        <f>GS7x</f>
        <v>0</v>
      </c>
      <c r="C2530" t="inlineStr">
        <is>
          <t>+LS[l2]</t>
        </is>
      </c>
      <c r="D2530" t="inlineStr">
        <is>
          <t>-167K[a+3].1</t>
        </is>
      </c>
      <c r="E2530" t="inlineStr">
        <is>
          <t>DILA-22</t>
        </is>
      </c>
      <c r="F2530" t="inlineStr">
        <is>
          <t>#KALK!</t>
        </is>
      </c>
      <c r="G2530" t="inlineStr">
        <is>
          <t>HILFSSCHUETZ</t>
        </is>
      </c>
      <c r="H2530" t="inlineStr">
        <is>
          <t>2S 2Oe Federzugkl.</t>
        </is>
      </c>
      <c r="I2530">
        <v>211</v>
      </c>
      <c r="J2530">
        <f>GS7x/167.7</f>
        <v>0</v>
      </c>
      <c r="M2530" t="inlineStr">
        <is>
          <t>-167K[a+3].1</t>
        </is>
      </c>
    </row>
    <row r="2531">
      <c r="A2531">
        <v>2530</v>
      </c>
      <c r="B2531">
        <f>GC22</f>
        <v>0</v>
      </c>
      <c r="C2531" t="inlineStr">
        <is>
          <t>+LS2</t>
        </is>
      </c>
      <c r="D2531" t="inlineStr">
        <is>
          <t>-167K1</t>
        </is>
      </c>
      <c r="E2531" t="inlineStr">
        <is>
          <t>DIL_0AM</t>
        </is>
      </c>
      <c r="F2531" t="inlineStr">
        <is>
          <t>22_DIL-M</t>
        </is>
      </c>
      <c r="G2531" t="inlineStr">
        <is>
          <t>LASTSCHUETZ</t>
        </is>
      </c>
      <c r="H2531" t="inlineStr">
        <is>
          <t>11 kW</t>
        </is>
      </c>
      <c r="I2531">
        <v>674</v>
      </c>
      <c r="J2531">
        <f>GC22/167.2</f>
        <v>0</v>
      </c>
      <c r="K2531" t="inlineStr">
        <is>
          <t>DIL0AM</t>
        </is>
      </c>
      <c r="M2531" t="inlineStr">
        <is>
          <t>-167K1</t>
        </is>
      </c>
    </row>
    <row r="2532">
      <c r="A2532">
        <v>2531</v>
      </c>
      <c r="B2532">
        <f>GC22</f>
        <v>0</v>
      </c>
      <c r="C2532" t="inlineStr">
        <is>
          <t>+LS2</t>
        </is>
      </c>
      <c r="D2532" t="inlineStr">
        <is>
          <t>-167K1</t>
        </is>
      </c>
      <c r="E2532" t="inlineStr">
        <is>
          <t>22_DIL-M</t>
        </is>
      </c>
      <c r="F2532" t="inlineStr">
        <is>
          <t>22_DIL-M</t>
        </is>
      </c>
      <c r="G2532" t="inlineStr">
        <is>
          <t>HILFSKONTAKTBLOCK</t>
        </is>
      </c>
      <c r="H2532" t="inlineStr">
        <is>
          <t>2S 2OE Lastschuetz DIL M</t>
        </is>
      </c>
      <c r="I2532">
        <v>674</v>
      </c>
      <c r="J2532">
        <f>GC22/167.2</f>
        <v>0</v>
      </c>
      <c r="K2532" t="inlineStr">
        <is>
          <t>DIL0AM</t>
        </is>
      </c>
      <c r="M2532" t="inlineStr">
        <is>
          <t>-167K1</t>
        </is>
      </c>
    </row>
    <row r="2533">
      <c r="A2533">
        <v>2532</v>
      </c>
      <c r="B2533">
        <f>GS12</f>
        <v>0</v>
      </c>
      <c r="C2533" t="inlineStr">
        <is>
          <t>+LS2</t>
        </is>
      </c>
      <c r="D2533" t="inlineStr">
        <is>
          <t>-167K1</t>
        </is>
      </c>
      <c r="E2533" t="inlineStr">
        <is>
          <t>22_DIL-M</t>
        </is>
      </c>
      <c r="F2533" t="inlineStr">
        <is>
          <t>22_DIL-M</t>
        </is>
      </c>
      <c r="G2533" t="inlineStr">
        <is>
          <t>HILFSKONTAKTBLOCK</t>
        </is>
      </c>
      <c r="H2533" t="inlineStr">
        <is>
          <t>2S 2OE Lastschuetz DIL M</t>
        </is>
      </c>
      <c r="I2533">
        <v>299</v>
      </c>
      <c r="J2533">
        <f>GS12/167.2</f>
        <v>0</v>
      </c>
      <c r="K2533" t="inlineStr">
        <is>
          <t>DIL0AM</t>
        </is>
      </c>
      <c r="M2533" t="inlineStr">
        <is>
          <t>-167K1</t>
        </is>
      </c>
    </row>
    <row r="2534">
      <c r="A2534">
        <v>2533</v>
      </c>
      <c r="B2534">
        <f>GS12</f>
        <v>0</v>
      </c>
      <c r="C2534" t="inlineStr">
        <is>
          <t>+LS2</t>
        </is>
      </c>
      <c r="D2534" t="inlineStr">
        <is>
          <t>-167K1</t>
        </is>
      </c>
      <c r="E2534" t="inlineStr">
        <is>
          <t>DIL_0AM</t>
        </is>
      </c>
      <c r="F2534" t="inlineStr">
        <is>
          <t>22_DIL-M</t>
        </is>
      </c>
      <c r="G2534" t="inlineStr">
        <is>
          <t>LASTSCHUETZ</t>
        </is>
      </c>
      <c r="H2534" t="inlineStr">
        <is>
          <t>11 kW</t>
        </is>
      </c>
      <c r="I2534">
        <v>299</v>
      </c>
      <c r="J2534">
        <f>GS12/167.2</f>
        <v>0</v>
      </c>
      <c r="K2534" t="inlineStr">
        <is>
          <t>DIL0AM</t>
        </is>
      </c>
      <c r="M2534" t="inlineStr">
        <is>
          <t>-167K1</t>
        </is>
      </c>
    </row>
    <row r="2535">
      <c r="A2535">
        <v>2534</v>
      </c>
      <c r="B2535">
        <f>GS14</f>
        <v>0</v>
      </c>
      <c r="C2535" t="inlineStr">
        <is>
          <t>+LS3</t>
        </is>
      </c>
      <c r="D2535" t="inlineStr">
        <is>
          <t>-167K1</t>
        </is>
      </c>
      <c r="E2535" t="inlineStr">
        <is>
          <t>DIL_0AM</t>
        </is>
      </c>
      <c r="F2535" t="inlineStr">
        <is>
          <t>22_DIL-M</t>
        </is>
      </c>
      <c r="G2535" t="inlineStr">
        <is>
          <t>LASTSCHUETZ</t>
        </is>
      </c>
      <c r="H2535" t="inlineStr">
        <is>
          <t>11 kW</t>
        </is>
      </c>
      <c r="I2535">
        <v>293</v>
      </c>
      <c r="J2535">
        <f>GS14/167.2</f>
        <v>0</v>
      </c>
      <c r="K2535" t="inlineStr">
        <is>
          <t>DIL0AM</t>
        </is>
      </c>
      <c r="M2535" t="inlineStr">
        <is>
          <t>-167K1</t>
        </is>
      </c>
    </row>
    <row r="2536">
      <c r="A2536">
        <v>2535</v>
      </c>
      <c r="B2536">
        <f>GS14</f>
        <v>0</v>
      </c>
      <c r="C2536" t="inlineStr">
        <is>
          <t>+LS3</t>
        </is>
      </c>
      <c r="D2536" t="inlineStr">
        <is>
          <t>-167K1</t>
        </is>
      </c>
      <c r="E2536" t="inlineStr">
        <is>
          <t>22_DIL-M</t>
        </is>
      </c>
      <c r="F2536" t="inlineStr">
        <is>
          <t>22_DIL-M</t>
        </is>
      </c>
      <c r="G2536" t="inlineStr">
        <is>
          <t>HILFSKONTAKTBLOCK</t>
        </is>
      </c>
      <c r="H2536" t="inlineStr">
        <is>
          <t>2S 2OE Lastschuetz DIL M</t>
        </is>
      </c>
      <c r="I2536">
        <v>293</v>
      </c>
      <c r="J2536">
        <f>GS14/167.2</f>
        <v>0</v>
      </c>
      <c r="K2536" t="inlineStr">
        <is>
          <t>DIL0AM</t>
        </is>
      </c>
      <c r="M2536" t="inlineStr">
        <is>
          <t>-167K1</t>
        </is>
      </c>
    </row>
    <row r="2537">
      <c r="A2537">
        <v>2536</v>
      </c>
      <c r="B2537">
        <f>GS32</f>
        <v>0</v>
      </c>
      <c r="C2537" t="inlineStr">
        <is>
          <t>+LS3</t>
        </is>
      </c>
      <c r="D2537" t="inlineStr">
        <is>
          <t>-167K30.5</t>
        </is>
      </c>
      <c r="E2537" t="inlineStr">
        <is>
          <t>DIL_EM-10-G</t>
        </is>
      </c>
      <c r="F2537" t="inlineStr">
        <is>
          <t>#KALK!</t>
        </is>
      </c>
      <c r="G2537" t="inlineStr">
        <is>
          <t>LASTSCHUETZ</t>
        </is>
      </c>
      <c r="H2537" t="inlineStr">
        <is>
          <t>4kW 1S</t>
        </is>
      </c>
      <c r="I2537">
        <v>1388</v>
      </c>
      <c r="J2537">
        <f>GS32/167.6</f>
        <v>0</v>
      </c>
      <c r="M2537" t="inlineStr">
        <is>
          <t>-167K30.5</t>
        </is>
      </c>
    </row>
    <row r="2538">
      <c r="A2538">
        <v>2537</v>
      </c>
      <c r="B2538">
        <f>GS32</f>
        <v>0</v>
      </c>
      <c r="C2538" t="inlineStr">
        <is>
          <t>+LS3</t>
        </is>
      </c>
      <c r="D2538" t="inlineStr">
        <is>
          <t>-167K30.6</t>
        </is>
      </c>
      <c r="E2538" t="inlineStr">
        <is>
          <t>DIL_EM-10-G</t>
        </is>
      </c>
      <c r="F2538" t="inlineStr">
        <is>
          <t>#KALK!</t>
        </is>
      </c>
      <c r="G2538" t="inlineStr">
        <is>
          <t>LASTSCHUETZ</t>
        </is>
      </c>
      <c r="H2538" t="inlineStr">
        <is>
          <t>4kW 1S</t>
        </is>
      </c>
      <c r="I2538">
        <v>1388</v>
      </c>
      <c r="J2538">
        <f>GS32/167.6</f>
        <v>0</v>
      </c>
      <c r="M2538" t="inlineStr">
        <is>
          <t>-167K30.6</t>
        </is>
      </c>
    </row>
    <row r="2539">
      <c r="A2539">
        <v>2538</v>
      </c>
      <c r="B2539">
        <f>GS90</f>
        <v>0</v>
      </c>
      <c r="C2539" t="inlineStr">
        <is>
          <t>+LS02</t>
        </is>
      </c>
      <c r="D2539" t="inlineStr">
        <is>
          <t>-167Q445.2</t>
        </is>
      </c>
      <c r="E2539" t="inlineStr">
        <is>
          <t>DILM-9-10</t>
        </is>
      </c>
      <c r="F2539" t="inlineStr">
        <is>
          <t>#KALK!</t>
        </is>
      </c>
      <c r="G2539" t="inlineStr">
        <is>
          <t>LASTSCHUETZ</t>
        </is>
      </c>
      <c r="H2539" t="inlineStr">
        <is>
          <t>4kW 1S Federzugkl.</t>
        </is>
      </c>
      <c r="I2539">
        <v>1082</v>
      </c>
      <c r="J2539">
        <f>GS90/167.5</f>
        <v>0</v>
      </c>
      <c r="M2539" t="inlineStr">
        <is>
          <t>-167Q445.2</t>
        </is>
      </c>
    </row>
    <row r="2540">
      <c r="A2540">
        <v>2539</v>
      </c>
      <c r="B2540">
        <f>GS90</f>
        <v>0</v>
      </c>
      <c r="C2540" t="inlineStr">
        <is>
          <t>+LS18</t>
        </is>
      </c>
      <c r="D2540" t="inlineStr">
        <is>
          <t>-1681Q1311.5</t>
        </is>
      </c>
      <c r="E2540" t="inlineStr">
        <is>
          <t>DILM-9-10</t>
        </is>
      </c>
      <c r="F2540" t="inlineStr">
        <is>
          <t>#KALK!</t>
        </is>
      </c>
      <c r="G2540" t="inlineStr">
        <is>
          <t>LASTSCHUETZ</t>
        </is>
      </c>
      <c r="H2540" t="inlineStr">
        <is>
          <t>4kW 1S Federzugkl.</t>
        </is>
      </c>
      <c r="I2540">
        <v>2616</v>
      </c>
      <c r="J2540">
        <f>GS90/1681.5</f>
        <v>0</v>
      </c>
      <c r="M2540" t="inlineStr">
        <is>
          <t>-1681Q1311.5</t>
        </is>
      </c>
    </row>
    <row r="2541">
      <c r="A2541">
        <v>2540</v>
      </c>
      <c r="B2541">
        <f>GS90</f>
        <v>0</v>
      </c>
      <c r="C2541" t="inlineStr">
        <is>
          <t>+LS18</t>
        </is>
      </c>
      <c r="D2541" t="inlineStr">
        <is>
          <t>-1684Q1311.7</t>
        </is>
      </c>
      <c r="E2541" t="inlineStr">
        <is>
          <t>DILM-9-10</t>
        </is>
      </c>
      <c r="F2541" t="inlineStr">
        <is>
          <t>#KALK!</t>
        </is>
      </c>
      <c r="G2541" t="inlineStr">
        <is>
          <t>LASTSCHUETZ</t>
        </is>
      </c>
      <c r="H2541" t="inlineStr">
        <is>
          <t>4kW 1S Federzugkl.</t>
        </is>
      </c>
      <c r="I2541">
        <v>2619</v>
      </c>
      <c r="J2541">
        <f>GS90/1684.5</f>
        <v>0</v>
      </c>
      <c r="M2541" t="inlineStr">
        <is>
          <t>-1684Q1311.7</t>
        </is>
      </c>
    </row>
    <row r="2542">
      <c r="A2542">
        <v>2541</v>
      </c>
      <c r="B2542">
        <f>GS7x</f>
        <v>0</v>
      </c>
      <c r="C2542" t="inlineStr">
        <is>
          <t>+LS[l2]</t>
        </is>
      </c>
      <c r="D2542" t="inlineStr">
        <is>
          <t>-168K[a+1].4</t>
        </is>
      </c>
      <c r="E2542" t="inlineStr">
        <is>
          <t>DILA-40</t>
        </is>
      </c>
      <c r="F2542" t="inlineStr">
        <is>
          <t>#KALK!</t>
        </is>
      </c>
      <c r="G2542" t="inlineStr">
        <is>
          <t>HILFSSCHUETZ</t>
        </is>
      </c>
      <c r="H2542" t="inlineStr">
        <is>
          <t>4S Federzugkl.</t>
        </is>
      </c>
      <c r="I2542">
        <v>212</v>
      </c>
      <c r="J2542">
        <f>GS7x/168.3</f>
        <v>0</v>
      </c>
      <c r="M2542" t="inlineStr">
        <is>
          <t>-168K[a+1].4</t>
        </is>
      </c>
    </row>
    <row r="2543">
      <c r="A2543">
        <v>2542</v>
      </c>
      <c r="B2543">
        <f>GS26</f>
        <v>0</v>
      </c>
      <c r="C2543" t="inlineStr">
        <is>
          <t>+LS2</t>
        </is>
      </c>
      <c r="D2543" t="inlineStr">
        <is>
          <t>-168K1</t>
        </is>
      </c>
      <c r="E2543" t="inlineStr">
        <is>
          <t>DILMC25-10230V50HZ</t>
        </is>
      </c>
      <c r="F2543" t="inlineStr">
        <is>
          <t>DILA-XHI22</t>
        </is>
      </c>
      <c r="G2543" t="inlineStr">
        <is>
          <t>LASTSCHUETZ</t>
        </is>
      </c>
      <c r="H2543" t="inlineStr">
        <is>
          <t>11kW 1S Federzugkl.</t>
        </is>
      </c>
      <c r="I2543">
        <v>648</v>
      </c>
      <c r="J2543">
        <f>GS26/168.2</f>
        <v>0</v>
      </c>
      <c r="K2543" t="inlineStr">
        <is>
          <t>DIL MC 25</t>
        </is>
      </c>
      <c r="M2543" t="inlineStr">
        <is>
          <t>-168K1</t>
        </is>
      </c>
    </row>
    <row r="2544">
      <c r="A2544">
        <v>2543</v>
      </c>
      <c r="B2544">
        <f>GS26</f>
        <v>0</v>
      </c>
      <c r="C2544" t="inlineStr">
        <is>
          <t>+LS2</t>
        </is>
      </c>
      <c r="D2544" t="inlineStr">
        <is>
          <t>-168K1</t>
        </is>
      </c>
      <c r="E2544" t="inlineStr">
        <is>
          <t>DILA-XHI22</t>
        </is>
      </c>
      <c r="F2544" t="inlineStr">
        <is>
          <t>DILA-XHI22</t>
        </is>
      </c>
      <c r="G2544" t="inlineStr">
        <is>
          <t>HILFSKONTAKTBLOCK</t>
        </is>
      </c>
      <c r="H2544" t="inlineStr">
        <is>
          <t>2S 2OE Last+Hilfssch. Cage</t>
        </is>
      </c>
      <c r="I2544">
        <v>648</v>
      </c>
      <c r="J2544">
        <f>GS26/168.2</f>
        <v>0</v>
      </c>
      <c r="K2544" t="inlineStr">
        <is>
          <t>DIL MC 25</t>
        </is>
      </c>
      <c r="M2544" t="inlineStr">
        <is>
          <t>-168K1</t>
        </is>
      </c>
    </row>
    <row r="2545">
      <c r="A2545">
        <v>2544</v>
      </c>
      <c r="B2545">
        <f>GS37</f>
        <v>0</v>
      </c>
      <c r="C2545" t="inlineStr">
        <is>
          <t>+LS02</t>
        </is>
      </c>
      <c r="D2545" t="inlineStr">
        <is>
          <t>-168K1</t>
        </is>
      </c>
      <c r="E2545" t="inlineStr">
        <is>
          <t>DILM-9-01</t>
        </is>
      </c>
      <c r="F2545" t="inlineStr">
        <is>
          <t>#KALK!</t>
        </is>
      </c>
      <c r="G2545" t="inlineStr">
        <is>
          <t>LASTSCHUETZ</t>
        </is>
      </c>
      <c r="H2545" t="inlineStr">
        <is>
          <t>4kW 1Oe Federzugkl.</t>
        </is>
      </c>
      <c r="I2545">
        <v>273</v>
      </c>
      <c r="J2545">
        <f>GS37/168.6</f>
        <v>0</v>
      </c>
      <c r="M2545" t="inlineStr">
        <is>
          <t>-168K1</t>
        </is>
      </c>
    </row>
    <row r="2546">
      <c r="A2546">
        <v>2545</v>
      </c>
      <c r="B2546">
        <f>GS37</f>
        <v>0</v>
      </c>
      <c r="C2546" t="inlineStr">
        <is>
          <t>+LS02</t>
        </is>
      </c>
      <c r="D2546" t="inlineStr">
        <is>
          <t>-168K2</t>
        </is>
      </c>
      <c r="E2546" t="inlineStr">
        <is>
          <t>DILM-9-01</t>
        </is>
      </c>
      <c r="F2546" t="inlineStr">
        <is>
          <t>#KALK!</t>
        </is>
      </c>
      <c r="G2546" t="inlineStr">
        <is>
          <t>LASTSCHUETZ</t>
        </is>
      </c>
      <c r="H2546" t="inlineStr">
        <is>
          <t>4kW 1Oe Federzugkl.</t>
        </is>
      </c>
      <c r="I2546">
        <v>273</v>
      </c>
      <c r="J2546">
        <f>GS37/168.7</f>
        <v>0</v>
      </c>
      <c r="M2546" t="inlineStr">
        <is>
          <t>-168K2</t>
        </is>
      </c>
    </row>
    <row r="2547">
      <c r="A2547">
        <v>2546</v>
      </c>
      <c r="B2547">
        <f>GS32</f>
        <v>0</v>
      </c>
      <c r="C2547" t="inlineStr">
        <is>
          <t>+LS3</t>
        </is>
      </c>
      <c r="D2547" t="inlineStr">
        <is>
          <t>-168K31.3</t>
        </is>
      </c>
      <c r="E2547" t="inlineStr">
        <is>
          <t>DILM-9-10</t>
        </is>
      </c>
      <c r="F2547" t="inlineStr">
        <is>
          <t>#KALK!</t>
        </is>
      </c>
      <c r="G2547" t="inlineStr">
        <is>
          <t>LASTSCHUETZ</t>
        </is>
      </c>
      <c r="H2547" t="inlineStr">
        <is>
          <t>4kW 1S Federzugkl.</t>
        </is>
      </c>
      <c r="I2547">
        <v>1387</v>
      </c>
      <c r="J2547">
        <f>GS32/168.7</f>
        <v>0</v>
      </c>
      <c r="M2547" t="inlineStr">
        <is>
          <t>-168K31.3</t>
        </is>
      </c>
    </row>
    <row r="2548">
      <c r="A2548">
        <v>2547</v>
      </c>
      <c r="B2548">
        <f>GS7x</f>
        <v>0</v>
      </c>
      <c r="C2548" t="inlineStr">
        <is>
          <t>+LS[l2]</t>
        </is>
      </c>
      <c r="D2548" t="inlineStr">
        <is>
          <t>-168Q1</t>
        </is>
      </c>
      <c r="E2548" t="inlineStr">
        <is>
          <t>DILMC25-10(RDC24)</t>
        </is>
      </c>
      <c r="F2548" t="inlineStr">
        <is>
          <t>#KALK!</t>
        </is>
      </c>
      <c r="G2548" t="inlineStr">
        <is>
          <t>LASTSCHUETZ</t>
        </is>
      </c>
      <c r="H2548" t="inlineStr">
        <is>
          <t>11kW 1S Federzugkl.</t>
        </is>
      </c>
      <c r="I2548">
        <v>212</v>
      </c>
      <c r="J2548">
        <f>GS7x/168.2</f>
        <v>0</v>
      </c>
      <c r="M2548" t="inlineStr">
        <is>
          <t>-168Q1</t>
        </is>
      </c>
    </row>
    <row r="2549">
      <c r="A2549">
        <v>2548</v>
      </c>
      <c r="B2549">
        <f>GS90</f>
        <v>0</v>
      </c>
      <c r="C2549" t="inlineStr">
        <is>
          <t>+LS02</t>
        </is>
      </c>
      <c r="D2549" t="inlineStr">
        <is>
          <t>-168Q445.3</t>
        </is>
      </c>
      <c r="E2549" t="inlineStr">
        <is>
          <t>DILM-9-10</t>
        </is>
      </c>
      <c r="F2549" t="inlineStr">
        <is>
          <t>#KALK!</t>
        </is>
      </c>
      <c r="G2549" t="inlineStr">
        <is>
          <t>LASTSCHUETZ</t>
        </is>
      </c>
      <c r="H2549" t="inlineStr">
        <is>
          <t>4kW 1S Federzugkl.</t>
        </is>
      </c>
      <c r="I2549">
        <v>1081</v>
      </c>
      <c r="J2549">
        <f>GS90/168.5</f>
        <v>0</v>
      </c>
      <c r="M2549" t="inlineStr">
        <is>
          <t>-168Q445.3</t>
        </is>
      </c>
    </row>
    <row r="2550">
      <c r="A2550">
        <v>2549</v>
      </c>
      <c r="B2550">
        <f>GS38</f>
        <v>0</v>
      </c>
      <c r="C2550" t="inlineStr">
        <is>
          <t>+LS02</t>
        </is>
      </c>
      <c r="D2550" t="inlineStr">
        <is>
          <t>-169.1Q715.6</t>
        </is>
      </c>
      <c r="E2550" t="inlineStr">
        <is>
          <t>DILM-9-10</t>
        </is>
      </c>
      <c r="F2550" t="inlineStr">
        <is>
          <t>DILA-XHI22</t>
        </is>
      </c>
      <c r="G2550" t="inlineStr">
        <is>
          <t>LASTSCHUETZ</t>
        </is>
      </c>
      <c r="H2550" t="inlineStr">
        <is>
          <t>4kW 1S Federzugkl.</t>
        </is>
      </c>
      <c r="I2550">
        <v>1113</v>
      </c>
      <c r="J2550">
        <f>GS38/169.1.5</f>
        <v>0</v>
      </c>
      <c r="M2550" t="inlineStr">
        <is>
          <t>-169.1Q715.6</t>
        </is>
      </c>
    </row>
    <row r="2551">
      <c r="A2551">
        <v>2550</v>
      </c>
      <c r="B2551">
        <f>GS38</f>
        <v>0</v>
      </c>
      <c r="C2551" t="inlineStr">
        <is>
          <t>+LS02</t>
        </is>
      </c>
      <c r="D2551" t="inlineStr">
        <is>
          <t>-169.1Q715.6</t>
        </is>
      </c>
      <c r="E2551" t="inlineStr">
        <is>
          <t>DILA-XHI22</t>
        </is>
      </c>
      <c r="F2551" t="inlineStr">
        <is>
          <t>DILA-XHI22</t>
        </is>
      </c>
      <c r="G2551" t="inlineStr">
        <is>
          <t>HILFSKONTAKTBLOCK</t>
        </is>
      </c>
      <c r="H2551" t="inlineStr">
        <is>
          <t>2S 2OE Last+Hilfssch. Cage</t>
        </is>
      </c>
      <c r="I2551">
        <v>1113</v>
      </c>
      <c r="J2551">
        <f>GS38/169.1.5</f>
        <v>0</v>
      </c>
      <c r="M2551" t="inlineStr">
        <is>
          <t>-169.1Q715.6</t>
        </is>
      </c>
    </row>
    <row r="2552">
      <c r="A2552">
        <v>2551</v>
      </c>
      <c r="B2552">
        <f>GS39</f>
        <v>0</v>
      </c>
      <c r="C2552" t="inlineStr">
        <is>
          <t>+LS02</t>
        </is>
      </c>
      <c r="D2552" t="inlineStr">
        <is>
          <t>-169.1Q715.6</t>
        </is>
      </c>
      <c r="E2552" t="inlineStr">
        <is>
          <t>DILM-9-10</t>
        </is>
      </c>
      <c r="F2552" t="inlineStr">
        <is>
          <t>DILA-XHI22</t>
        </is>
      </c>
      <c r="G2552" t="inlineStr">
        <is>
          <t>LASTSCHUETZ</t>
        </is>
      </c>
      <c r="H2552" t="inlineStr">
        <is>
          <t>4kW 1S Federzugkl.</t>
        </is>
      </c>
      <c r="I2552">
        <v>356</v>
      </c>
      <c r="J2552">
        <f>GS39/169.1.5</f>
        <v>0</v>
      </c>
      <c r="M2552" t="inlineStr">
        <is>
          <t>-169.1Q715.6</t>
        </is>
      </c>
    </row>
    <row r="2553">
      <c r="A2553">
        <v>2552</v>
      </c>
      <c r="B2553">
        <f>GS39</f>
        <v>0</v>
      </c>
      <c r="C2553" t="inlineStr">
        <is>
          <t>+LS02</t>
        </is>
      </c>
      <c r="D2553" t="inlineStr">
        <is>
          <t>-169.1Q715.6</t>
        </is>
      </c>
      <c r="E2553" t="inlineStr">
        <is>
          <t>DILA-XHI22</t>
        </is>
      </c>
      <c r="F2553" t="inlineStr">
        <is>
          <t>DILA-XHI22</t>
        </is>
      </c>
      <c r="G2553" t="inlineStr">
        <is>
          <t>HILFSKONTAKTBLOCK</t>
        </is>
      </c>
      <c r="H2553" t="inlineStr">
        <is>
          <t>2S 2OE Last+Hilfssch. Cage</t>
        </is>
      </c>
      <c r="I2553">
        <v>356</v>
      </c>
      <c r="J2553">
        <f>GS39/169.1.5</f>
        <v>0</v>
      </c>
      <c r="M2553" t="inlineStr">
        <is>
          <t>-169.1Q715.6</t>
        </is>
      </c>
    </row>
    <row r="2554">
      <c r="A2554">
        <v>2553</v>
      </c>
      <c r="B2554">
        <f>GS38</f>
        <v>0</v>
      </c>
      <c r="C2554" t="inlineStr">
        <is>
          <t>+LS02</t>
        </is>
      </c>
      <c r="D2554" t="inlineStr">
        <is>
          <t>-169.1Q715.7</t>
        </is>
      </c>
      <c r="E2554" t="inlineStr">
        <is>
          <t>DILM-9-10</t>
        </is>
      </c>
      <c r="F2554" t="inlineStr">
        <is>
          <t>DILA-XHI22</t>
        </is>
      </c>
      <c r="G2554" t="inlineStr">
        <is>
          <t>LASTSCHUETZ</t>
        </is>
      </c>
      <c r="H2554" t="inlineStr">
        <is>
          <t>4kW 1S Federzugkl.</t>
        </is>
      </c>
      <c r="I2554">
        <v>1113</v>
      </c>
      <c r="J2554">
        <f>GS38/169.1.6</f>
        <v>0</v>
      </c>
      <c r="M2554" t="inlineStr">
        <is>
          <t>-169.1Q715.7</t>
        </is>
      </c>
    </row>
    <row r="2555">
      <c r="A2555">
        <v>2554</v>
      </c>
      <c r="B2555">
        <f>GS38</f>
        <v>0</v>
      </c>
      <c r="C2555" t="inlineStr">
        <is>
          <t>+LS02</t>
        </is>
      </c>
      <c r="D2555" t="inlineStr">
        <is>
          <t>-169.1Q715.7</t>
        </is>
      </c>
      <c r="E2555" t="inlineStr">
        <is>
          <t>DILA-XHI22</t>
        </is>
      </c>
      <c r="F2555" t="inlineStr">
        <is>
          <t>DILA-XHI22</t>
        </is>
      </c>
      <c r="G2555" t="inlineStr">
        <is>
          <t>HILFSKONTAKTBLOCK</t>
        </is>
      </c>
      <c r="H2555" t="inlineStr">
        <is>
          <t>2S 2OE Last+Hilfssch. Cage</t>
        </is>
      </c>
      <c r="I2555">
        <v>1113</v>
      </c>
      <c r="J2555">
        <f>GS38/169.1.6</f>
        <v>0</v>
      </c>
      <c r="M2555" t="inlineStr">
        <is>
          <t>-169.1Q715.7</t>
        </is>
      </c>
    </row>
    <row r="2556">
      <c r="A2556">
        <v>2555</v>
      </c>
      <c r="B2556">
        <f>GS39</f>
        <v>0</v>
      </c>
      <c r="C2556" t="inlineStr">
        <is>
          <t>+LS02</t>
        </is>
      </c>
      <c r="D2556" t="inlineStr">
        <is>
          <t>-169.1Q715.7</t>
        </is>
      </c>
      <c r="E2556" t="inlineStr">
        <is>
          <t>DILM-9-10</t>
        </is>
      </c>
      <c r="F2556" t="inlineStr">
        <is>
          <t>DILA-XHI22</t>
        </is>
      </c>
      <c r="G2556" t="inlineStr">
        <is>
          <t>LASTSCHUETZ</t>
        </is>
      </c>
      <c r="H2556" t="inlineStr">
        <is>
          <t>4kW 1S Federzugkl.</t>
        </is>
      </c>
      <c r="I2556">
        <v>356</v>
      </c>
      <c r="J2556">
        <f>GS39/169.1.6</f>
        <v>0</v>
      </c>
      <c r="M2556" t="inlineStr">
        <is>
          <t>-169.1Q715.7</t>
        </is>
      </c>
    </row>
    <row r="2557">
      <c r="A2557">
        <v>2556</v>
      </c>
      <c r="B2557">
        <f>GS39</f>
        <v>0</v>
      </c>
      <c r="C2557" t="inlineStr">
        <is>
          <t>+LS02</t>
        </is>
      </c>
      <c r="D2557" t="inlineStr">
        <is>
          <t>-169.1Q715.7</t>
        </is>
      </c>
      <c r="E2557" t="inlineStr">
        <is>
          <t>DILA-XHI22</t>
        </is>
      </c>
      <c r="F2557" t="inlineStr">
        <is>
          <t>DILA-XHI22</t>
        </is>
      </c>
      <c r="G2557" t="inlineStr">
        <is>
          <t>HILFSKONTAKTBLOCK</t>
        </is>
      </c>
      <c r="H2557" t="inlineStr">
        <is>
          <t>2S 2OE Last+Hilfssch. Cage</t>
        </is>
      </c>
      <c r="I2557">
        <v>356</v>
      </c>
      <c r="J2557">
        <f>GS39/169.1.6</f>
        <v>0</v>
      </c>
      <c r="M2557" t="inlineStr">
        <is>
          <t>-169.1Q715.7</t>
        </is>
      </c>
    </row>
    <row r="2558">
      <c r="A2558">
        <v>2557</v>
      </c>
      <c r="B2558">
        <f>GS38</f>
        <v>0</v>
      </c>
      <c r="C2558" t="inlineStr">
        <is>
          <t>+LS02</t>
        </is>
      </c>
      <c r="D2558" t="inlineStr">
        <is>
          <t>-169.3Q719.1</t>
        </is>
      </c>
      <c r="E2558" t="inlineStr">
        <is>
          <t>DILMC12-10(24VDC)</t>
        </is>
      </c>
      <c r="F2558" t="inlineStr">
        <is>
          <t>#KALK!</t>
        </is>
      </c>
      <c r="G2558" t="inlineStr">
        <is>
          <t>LASTSCHUETZ</t>
        </is>
      </c>
      <c r="H2558" t="inlineStr">
        <is>
          <t>5,5kW 1S Federzugkl.</t>
        </is>
      </c>
      <c r="I2558">
        <v>1419</v>
      </c>
      <c r="J2558">
        <f>GS38/169.3.5</f>
        <v>0</v>
      </c>
      <c r="K2558" t="inlineStr">
        <is>
          <t>DIL MC12</t>
        </is>
      </c>
      <c r="M2558" t="inlineStr">
        <is>
          <t>-169.3Q719.1</t>
        </is>
      </c>
    </row>
    <row r="2559">
      <c r="A2559">
        <v>2558</v>
      </c>
      <c r="B2559">
        <f>GS39</f>
        <v>0</v>
      </c>
      <c r="C2559" t="inlineStr">
        <is>
          <t>+LS02</t>
        </is>
      </c>
      <c r="D2559" t="inlineStr">
        <is>
          <t>-169.3Q719.1</t>
        </is>
      </c>
      <c r="E2559" t="inlineStr">
        <is>
          <t>DILMC12-10(24VDC)</t>
        </is>
      </c>
      <c r="F2559" t="inlineStr">
        <is>
          <t>#KALK!</t>
        </is>
      </c>
      <c r="G2559" t="inlineStr">
        <is>
          <t>LASTSCHUETZ</t>
        </is>
      </c>
      <c r="H2559" t="inlineStr">
        <is>
          <t>5,5kW 1S Federzugkl.</t>
        </is>
      </c>
      <c r="I2559">
        <v>358</v>
      </c>
      <c r="J2559">
        <f>GS39/169.3.5</f>
        <v>0</v>
      </c>
      <c r="K2559" t="inlineStr">
        <is>
          <t>DIL MC12</t>
        </is>
      </c>
      <c r="M2559" t="inlineStr">
        <is>
          <t>-169.3Q719.1</t>
        </is>
      </c>
    </row>
    <row r="2560">
      <c r="A2560">
        <v>2559</v>
      </c>
      <c r="B2560">
        <f>GS24</f>
        <v>0</v>
      </c>
      <c r="C2560" t="inlineStr">
        <is>
          <t>+LS3</t>
        </is>
      </c>
      <c r="D2560" t="inlineStr">
        <is>
          <t>-169K1</t>
        </is>
      </c>
      <c r="E2560" t="inlineStr">
        <is>
          <t>22_DIL-M</t>
        </is>
      </c>
      <c r="F2560" t="inlineStr">
        <is>
          <t>22_DIL-M</t>
        </is>
      </c>
      <c r="G2560" t="inlineStr">
        <is>
          <t>HILFSKONTAKTBLOCK</t>
        </is>
      </c>
      <c r="H2560" t="inlineStr">
        <is>
          <t>2S 2OE Lastschuetz DIL M</t>
        </is>
      </c>
      <c r="I2560">
        <v>910</v>
      </c>
      <c r="J2560">
        <f>GS24/169.2</f>
        <v>0</v>
      </c>
      <c r="K2560" t="inlineStr">
        <is>
          <t>DIL0AM</t>
        </is>
      </c>
      <c r="M2560" t="inlineStr">
        <is>
          <t>-169K1</t>
        </is>
      </c>
    </row>
    <row r="2561">
      <c r="A2561">
        <v>2560</v>
      </c>
      <c r="B2561">
        <f>GS24</f>
        <v>0</v>
      </c>
      <c r="C2561" t="inlineStr">
        <is>
          <t>+LS3</t>
        </is>
      </c>
      <c r="D2561" t="inlineStr">
        <is>
          <t>-169K1</t>
        </is>
      </c>
      <c r="E2561" t="inlineStr">
        <is>
          <t>DIL_0AM</t>
        </is>
      </c>
      <c r="F2561" t="inlineStr">
        <is>
          <t>22_DIL-M</t>
        </is>
      </c>
      <c r="G2561" t="inlineStr">
        <is>
          <t>LASTSCHUETZ</t>
        </is>
      </c>
      <c r="H2561" t="inlineStr">
        <is>
          <t>11 kW</t>
        </is>
      </c>
      <c r="I2561">
        <v>910</v>
      </c>
      <c r="J2561">
        <f>GS24/169.2</f>
        <v>0</v>
      </c>
      <c r="K2561" t="inlineStr">
        <is>
          <t>DIL0AM</t>
        </is>
      </c>
      <c r="M2561" t="inlineStr">
        <is>
          <t>-169K1</t>
        </is>
      </c>
    </row>
    <row r="2562">
      <c r="A2562">
        <v>2561</v>
      </c>
      <c r="B2562">
        <f>GC22</f>
        <v>0</v>
      </c>
      <c r="C2562" t="inlineStr">
        <is>
          <t>+LS2</t>
        </is>
      </c>
      <c r="D2562" t="inlineStr">
        <is>
          <t>-169K18.3</t>
        </is>
      </c>
      <c r="E2562" t="inlineStr">
        <is>
          <t>DIL_EM-10-G</t>
        </is>
      </c>
      <c r="F2562" t="inlineStr">
        <is>
          <t>#KALK!</t>
        </is>
      </c>
      <c r="G2562" t="inlineStr">
        <is>
          <t>LASTSCHUETZ</t>
        </is>
      </c>
      <c r="H2562" t="inlineStr">
        <is>
          <t>4kW 1S</t>
        </is>
      </c>
      <c r="I2562">
        <v>676</v>
      </c>
      <c r="J2562">
        <f>GC22/169.7</f>
        <v>0</v>
      </c>
      <c r="M2562" t="inlineStr">
        <is>
          <t>-169K18.3</t>
        </is>
      </c>
    </row>
    <row r="2563">
      <c r="A2563">
        <v>2562</v>
      </c>
      <c r="B2563">
        <f>GS12</f>
        <v>0</v>
      </c>
      <c r="C2563" t="inlineStr">
        <is>
          <t>+LS2</t>
        </is>
      </c>
      <c r="D2563" t="inlineStr">
        <is>
          <t>-169K18.3</t>
        </is>
      </c>
      <c r="E2563" t="inlineStr">
        <is>
          <t>DIL_EM-10-G</t>
        </is>
      </c>
      <c r="F2563" t="inlineStr">
        <is>
          <t>#KALK!</t>
        </is>
      </c>
      <c r="G2563" t="inlineStr">
        <is>
          <t>LASTSCHUETZ</t>
        </is>
      </c>
      <c r="H2563" t="inlineStr">
        <is>
          <t>4kW 1S</t>
        </is>
      </c>
      <c r="I2563">
        <v>301</v>
      </c>
      <c r="J2563">
        <f>GS12/169.7</f>
        <v>0</v>
      </c>
      <c r="M2563" t="inlineStr">
        <is>
          <t>-169K18.3</t>
        </is>
      </c>
    </row>
    <row r="2564">
      <c r="A2564">
        <v>2563</v>
      </c>
      <c r="B2564">
        <f>GS32</f>
        <v>0</v>
      </c>
      <c r="C2564" t="inlineStr">
        <is>
          <t>+LS3</t>
        </is>
      </c>
      <c r="D2564" t="inlineStr">
        <is>
          <t>-169K31.6</t>
        </is>
      </c>
      <c r="E2564" t="inlineStr">
        <is>
          <t>DILM-9-10</t>
        </is>
      </c>
      <c r="F2564" t="inlineStr">
        <is>
          <t>#KALK!</t>
        </is>
      </c>
      <c r="G2564" t="inlineStr">
        <is>
          <t>LASTSCHUETZ</t>
        </is>
      </c>
      <c r="H2564" t="inlineStr">
        <is>
          <t>4kW 1S Federzugkl.</t>
        </is>
      </c>
      <c r="I2564">
        <v>1386</v>
      </c>
      <c r="J2564">
        <f>GS32/169.6</f>
        <v>0</v>
      </c>
      <c r="M2564" t="inlineStr">
        <is>
          <t>-169K31.6</t>
        </is>
      </c>
    </row>
    <row r="2565">
      <c r="A2565">
        <v>2564</v>
      </c>
      <c r="B2565">
        <f>GS14</f>
        <v>0</v>
      </c>
      <c r="C2565" t="inlineStr">
        <is>
          <t>+LS3</t>
        </is>
      </c>
      <c r="D2565" t="inlineStr">
        <is>
          <t>-169K67.0</t>
        </is>
      </c>
      <c r="E2565" t="inlineStr">
        <is>
          <t>DIL_EM-10-G</t>
        </is>
      </c>
      <c r="F2565" t="inlineStr">
        <is>
          <t>#KALK!</t>
        </is>
      </c>
      <c r="G2565" t="inlineStr">
        <is>
          <t>LASTSCHUETZ</t>
        </is>
      </c>
      <c r="H2565" t="inlineStr">
        <is>
          <t>4kW 1S</t>
        </is>
      </c>
      <c r="I2565">
        <v>295</v>
      </c>
      <c r="J2565">
        <f>GS14/169.6</f>
        <v>0</v>
      </c>
      <c r="M2565" t="inlineStr">
        <is>
          <t>-169K67.0</t>
        </is>
      </c>
    </row>
    <row r="2566">
      <c r="A2566">
        <v>2565</v>
      </c>
      <c r="B2566">
        <f>GS14</f>
        <v>0</v>
      </c>
      <c r="C2566" t="inlineStr">
        <is>
          <t>+LS3</t>
        </is>
      </c>
      <c r="D2566" t="inlineStr">
        <is>
          <t>-169K67.1</t>
        </is>
      </c>
      <c r="E2566" t="inlineStr">
        <is>
          <t>DIL_EM-10-G</t>
        </is>
      </c>
      <c r="F2566" t="inlineStr">
        <is>
          <t>#KALK!</t>
        </is>
      </c>
      <c r="G2566" t="inlineStr">
        <is>
          <t>LASTSCHUETZ</t>
        </is>
      </c>
      <c r="H2566" t="inlineStr">
        <is>
          <t>4kW 1S</t>
        </is>
      </c>
      <c r="I2566">
        <v>295</v>
      </c>
      <c r="J2566">
        <f>GS14/169.6</f>
        <v>0</v>
      </c>
      <c r="M2566" t="inlineStr">
        <is>
          <t>-169K67.1</t>
        </is>
      </c>
    </row>
    <row r="2567">
      <c r="A2567">
        <v>2566</v>
      </c>
      <c r="B2567">
        <f>GS05</f>
        <v>0</v>
      </c>
      <c r="C2567" t="inlineStr">
        <is>
          <t>+LS02</t>
        </is>
      </c>
      <c r="D2567" t="inlineStr">
        <is>
          <t>-169Q109.0</t>
        </is>
      </c>
      <c r="E2567" t="inlineStr">
        <is>
          <t>DILMC17-10(RDC24)</t>
        </is>
      </c>
      <c r="F2567" t="inlineStr">
        <is>
          <t>#KALK!</t>
        </is>
      </c>
      <c r="G2567" t="inlineStr">
        <is>
          <t>LASTSCHUETZ</t>
        </is>
      </c>
      <c r="H2567" t="inlineStr">
        <is>
          <t>7,5kW 1S Federzugkl.</t>
        </is>
      </c>
      <c r="I2567">
        <v>1959</v>
      </c>
      <c r="J2567">
        <f>GS05/169.5</f>
        <v>0</v>
      </c>
      <c r="K2567" t="inlineStr">
        <is>
          <t>DIL MC17</t>
        </is>
      </c>
      <c r="M2567" t="inlineStr">
        <is>
          <t>-169Q109.0</t>
        </is>
      </c>
    </row>
    <row r="2568">
      <c r="A2568">
        <v>2567</v>
      </c>
      <c r="B2568">
        <f>GS07</f>
        <v>0</v>
      </c>
      <c r="C2568" t="inlineStr">
        <is>
          <t>+LS02</t>
        </is>
      </c>
      <c r="D2568" t="inlineStr">
        <is>
          <t>-169Q112.5</t>
        </is>
      </c>
      <c r="E2568" t="inlineStr">
        <is>
          <t>DILMC12-10(24VDC)</t>
        </is>
      </c>
      <c r="F2568" t="inlineStr">
        <is>
          <t>#KALK!</t>
        </is>
      </c>
      <c r="G2568" t="inlineStr">
        <is>
          <t>LASTSCHUETZ</t>
        </is>
      </c>
      <c r="H2568" t="inlineStr">
        <is>
          <t>5,5kW 1S Federzugkl.</t>
        </is>
      </c>
      <c r="I2568">
        <v>321</v>
      </c>
      <c r="J2568">
        <f>GS07/169.4</f>
        <v>0</v>
      </c>
      <c r="K2568" t="inlineStr">
        <is>
          <t>DIL MC12</t>
        </is>
      </c>
      <c r="M2568" t="inlineStr">
        <is>
          <t>-169Q112.5</t>
        </is>
      </c>
    </row>
    <row r="2569">
      <c r="A2569">
        <v>2568</v>
      </c>
      <c r="B2569">
        <f>GS08</f>
        <v>0</v>
      </c>
      <c r="C2569" t="inlineStr">
        <is>
          <t>+LS02</t>
        </is>
      </c>
      <c r="D2569" t="inlineStr">
        <is>
          <t>-169Q211.5</t>
        </is>
      </c>
      <c r="E2569" t="inlineStr">
        <is>
          <t>DILM-9-10</t>
        </is>
      </c>
      <c r="F2569" t="inlineStr">
        <is>
          <t>#KALK!</t>
        </is>
      </c>
      <c r="G2569" t="inlineStr">
        <is>
          <t>LASTSCHUETZ</t>
        </is>
      </c>
      <c r="H2569" t="inlineStr">
        <is>
          <t>4kW 1S Federzugkl.</t>
        </is>
      </c>
      <c r="I2569">
        <v>267</v>
      </c>
      <c r="J2569">
        <f>GS08/169.6</f>
        <v>0</v>
      </c>
      <c r="K2569" t="inlineStr">
        <is>
          <t>DIL MC9</t>
        </is>
      </c>
      <c r="M2569" t="inlineStr">
        <is>
          <t>-169Q211.5</t>
        </is>
      </c>
    </row>
    <row r="2570">
      <c r="A2570">
        <v>2569</v>
      </c>
      <c r="B2570">
        <f>GS90</f>
        <v>0</v>
      </c>
      <c r="C2570" t="inlineStr">
        <is>
          <t>+LS02</t>
        </is>
      </c>
      <c r="D2570" t="inlineStr">
        <is>
          <t>-169Q445.4</t>
        </is>
      </c>
      <c r="E2570" t="inlineStr">
        <is>
          <t>DILM-9-10</t>
        </is>
      </c>
      <c r="F2570" t="inlineStr">
        <is>
          <t>#KALK!</t>
        </is>
      </c>
      <c r="G2570" t="inlineStr">
        <is>
          <t>LASTSCHUETZ</t>
        </is>
      </c>
      <c r="H2570" t="inlineStr">
        <is>
          <t>4kW 1S Federzugkl.</t>
        </is>
      </c>
      <c r="I2570">
        <v>1080</v>
      </c>
      <c r="J2570">
        <f>GS90/169.5</f>
        <v>0</v>
      </c>
      <c r="M2570" t="inlineStr">
        <is>
          <t>-169Q445.4</t>
        </is>
      </c>
    </row>
    <row r="2571">
      <c r="A2571">
        <v>2570</v>
      </c>
      <c r="B2571">
        <f>EPP</f>
        <v>0</v>
      </c>
      <c r="C2571" t="inlineStr">
        <is>
          <t>+LS</t>
        </is>
      </c>
      <c r="D2571" t="inlineStr">
        <is>
          <t>-16K1</t>
        </is>
      </c>
      <c r="E2571" t="inlineStr">
        <is>
          <t>DIL_EM-10-G</t>
        </is>
      </c>
      <c r="F2571" t="inlineStr">
        <is>
          <t>22_DIL-E</t>
        </is>
      </c>
      <c r="G2571" t="inlineStr">
        <is>
          <t>LASTSCHUETZ</t>
        </is>
      </c>
      <c r="H2571" t="inlineStr">
        <is>
          <t>4kW 1S</t>
        </is>
      </c>
      <c r="I2571">
        <v>114</v>
      </c>
      <c r="J2571">
        <f>EPP/16.7</f>
        <v>0</v>
      </c>
      <c r="M2571" t="inlineStr">
        <is>
          <t>-16K1</t>
        </is>
      </c>
    </row>
    <row r="2572">
      <c r="A2572">
        <v>2571</v>
      </c>
      <c r="B2572">
        <f>EPP</f>
        <v>0</v>
      </c>
      <c r="C2572" t="inlineStr">
        <is>
          <t>+LS</t>
        </is>
      </c>
      <c r="D2572" t="inlineStr">
        <is>
          <t>-16K1</t>
        </is>
      </c>
      <c r="E2572" t="inlineStr">
        <is>
          <t>22_DIL-E</t>
        </is>
      </c>
      <c r="F2572" t="inlineStr">
        <is>
          <t>22_DIL-E</t>
        </is>
      </c>
      <c r="G2572" t="inlineStr">
        <is>
          <t>HILFSKONTAKTBLOCK</t>
        </is>
      </c>
      <c r="H2572" t="inlineStr">
        <is>
          <t>2S 2OE Last+Hilfsschuetz</t>
        </is>
      </c>
      <c r="I2572">
        <v>114</v>
      </c>
      <c r="J2572">
        <f>EPP/16.7</f>
        <v>0</v>
      </c>
      <c r="M2572" t="inlineStr">
        <is>
          <t>-16K1</t>
        </is>
      </c>
    </row>
    <row r="2573">
      <c r="A2573">
        <v>2572</v>
      </c>
      <c r="B2573">
        <f>GS05</f>
        <v>0</v>
      </c>
      <c r="C2573" t="inlineStr">
        <is>
          <t>+ES02</t>
        </is>
      </c>
      <c r="D2573" t="inlineStr">
        <is>
          <t>-16K1</t>
        </is>
      </c>
      <c r="E2573" t="inlineStr">
        <is>
          <t>DILA-40</t>
        </is>
      </c>
      <c r="F2573" t="inlineStr">
        <is>
          <t>DILA-XHIC40</t>
        </is>
      </c>
      <c r="G2573" t="inlineStr">
        <is>
          <t>HILFSSCHUETZ</t>
        </is>
      </c>
      <c r="H2573" t="inlineStr">
        <is>
          <t>4S Federzugkl.</t>
        </is>
      </c>
      <c r="I2573">
        <v>450</v>
      </c>
      <c r="J2573">
        <f>GS05/16.5</f>
        <v>0</v>
      </c>
      <c r="M2573" t="inlineStr">
        <is>
          <t>-16K1</t>
        </is>
      </c>
    </row>
    <row r="2574">
      <c r="A2574">
        <v>2573</v>
      </c>
      <c r="B2574">
        <f>GS05</f>
        <v>0</v>
      </c>
      <c r="C2574" t="inlineStr">
        <is>
          <t>+ES02</t>
        </is>
      </c>
      <c r="D2574" t="inlineStr">
        <is>
          <t>-16K1</t>
        </is>
      </c>
      <c r="E2574" t="inlineStr">
        <is>
          <t>DILA-XHIC40</t>
        </is>
      </c>
      <c r="F2574" t="inlineStr">
        <is>
          <t>DILA-XHIC40</t>
        </is>
      </c>
      <c r="G2574" t="inlineStr">
        <is>
          <t>HILFSKONTAKTBLOCK</t>
        </is>
      </c>
      <c r="H2574" t="inlineStr">
        <is>
          <t>4S Last+Hilfssch. Cage</t>
        </is>
      </c>
      <c r="I2574">
        <v>450</v>
      </c>
      <c r="J2574">
        <f>GS05/16.5</f>
        <v>0</v>
      </c>
      <c r="M2574" t="inlineStr">
        <is>
          <t>-16K1</t>
        </is>
      </c>
    </row>
    <row r="2575">
      <c r="A2575">
        <v>2574</v>
      </c>
      <c r="B2575">
        <f>GS06</f>
        <v>0</v>
      </c>
      <c r="C2575" t="inlineStr">
        <is>
          <t>+ES02</t>
        </is>
      </c>
      <c r="D2575" t="inlineStr">
        <is>
          <t>-16K1</t>
        </is>
      </c>
      <c r="E2575" t="inlineStr">
        <is>
          <t>DILA-40</t>
        </is>
      </c>
      <c r="F2575" t="inlineStr">
        <is>
          <t>DILA-XHIC40</t>
        </is>
      </c>
      <c r="G2575" t="inlineStr">
        <is>
          <t>HILFSSCHUETZ</t>
        </is>
      </c>
      <c r="H2575" t="inlineStr">
        <is>
          <t>4S Federzugkl.</t>
        </is>
      </c>
      <c r="I2575">
        <v>450</v>
      </c>
      <c r="J2575">
        <f>GS06/16.5</f>
        <v>0</v>
      </c>
      <c r="M2575" t="inlineStr">
        <is>
          <t>-16K1</t>
        </is>
      </c>
    </row>
    <row r="2576">
      <c r="A2576">
        <v>2575</v>
      </c>
      <c r="B2576">
        <f>GS06</f>
        <v>0</v>
      </c>
      <c r="C2576" t="inlineStr">
        <is>
          <t>+ES02</t>
        </is>
      </c>
      <c r="D2576" t="inlineStr">
        <is>
          <t>-16K1</t>
        </is>
      </c>
      <c r="E2576" t="inlineStr">
        <is>
          <t>DILA-XHIC40</t>
        </is>
      </c>
      <c r="F2576" t="inlineStr">
        <is>
          <t>DILA-XHIC40</t>
        </is>
      </c>
      <c r="G2576" t="inlineStr">
        <is>
          <t>HILFSKONTAKTBLOCK</t>
        </is>
      </c>
      <c r="H2576" t="inlineStr">
        <is>
          <t>4S Last+Hilfssch. Cage</t>
        </is>
      </c>
      <c r="I2576">
        <v>450</v>
      </c>
      <c r="J2576">
        <f>GS06/16.5</f>
        <v>0</v>
      </c>
      <c r="M2576" t="inlineStr">
        <is>
          <t>-16K1</t>
        </is>
      </c>
    </row>
    <row r="2577">
      <c r="A2577">
        <v>2576</v>
      </c>
      <c r="B2577">
        <f>GS07</f>
        <v>0</v>
      </c>
      <c r="C2577" t="inlineStr">
        <is>
          <t>+ES02</t>
        </is>
      </c>
      <c r="D2577" t="inlineStr">
        <is>
          <t>-16K1</t>
        </is>
      </c>
      <c r="E2577" t="inlineStr">
        <is>
          <t>DILA-XHIC40</t>
        </is>
      </c>
      <c r="F2577" t="inlineStr">
        <is>
          <t>DILA-XHIC40</t>
        </is>
      </c>
      <c r="G2577" t="inlineStr">
        <is>
          <t>HILFSKONTAKTBLOCK</t>
        </is>
      </c>
      <c r="H2577" t="inlineStr">
        <is>
          <t>4S Last+Hilfssch. Cage</t>
        </is>
      </c>
      <c r="I2577">
        <v>189</v>
      </c>
      <c r="J2577">
        <f>GS07/16.5</f>
        <v>0</v>
      </c>
      <c r="M2577" t="inlineStr">
        <is>
          <t>-16K1</t>
        </is>
      </c>
    </row>
    <row r="2578">
      <c r="A2578">
        <v>2577</v>
      </c>
      <c r="B2578">
        <f>GS07</f>
        <v>0</v>
      </c>
      <c r="C2578" t="inlineStr">
        <is>
          <t>+ES02</t>
        </is>
      </c>
      <c r="D2578" t="inlineStr">
        <is>
          <t>-16K1</t>
        </is>
      </c>
      <c r="E2578" t="inlineStr">
        <is>
          <t>DILA-40</t>
        </is>
      </c>
      <c r="F2578" t="inlineStr">
        <is>
          <t>DILA-XHIC40</t>
        </is>
      </c>
      <c r="G2578" t="inlineStr">
        <is>
          <t>HILFSSCHUETZ</t>
        </is>
      </c>
      <c r="H2578" t="inlineStr">
        <is>
          <t>4S Federzugkl.</t>
        </is>
      </c>
      <c r="I2578">
        <v>189</v>
      </c>
      <c r="J2578">
        <f>GS07/16.5</f>
        <v>0</v>
      </c>
      <c r="M2578" t="inlineStr">
        <is>
          <t>-16K1</t>
        </is>
      </c>
    </row>
    <row r="2579">
      <c r="A2579">
        <v>2578</v>
      </c>
      <c r="B2579">
        <f>GS08</f>
        <v>0</v>
      </c>
      <c r="C2579" t="inlineStr">
        <is>
          <t>+ES02</t>
        </is>
      </c>
      <c r="D2579" t="inlineStr">
        <is>
          <t>-16K1</t>
        </is>
      </c>
      <c r="E2579" t="inlineStr">
        <is>
          <t>DILA-XHIC40</t>
        </is>
      </c>
      <c r="F2579" t="inlineStr">
        <is>
          <t>DILA-XHIC40</t>
        </is>
      </c>
      <c r="G2579" t="inlineStr">
        <is>
          <t>HILFSKONTAKTBLOCK</t>
        </is>
      </c>
      <c r="H2579" t="inlineStr">
        <is>
          <t>4S Last+Hilfssch. Cage</t>
        </is>
      </c>
      <c r="I2579">
        <v>450</v>
      </c>
      <c r="J2579">
        <f>GS08/16.5</f>
        <v>0</v>
      </c>
      <c r="M2579" t="inlineStr">
        <is>
          <t>-16K1</t>
        </is>
      </c>
    </row>
    <row r="2580">
      <c r="A2580">
        <v>2579</v>
      </c>
      <c r="B2580">
        <f>GS08</f>
        <v>0</v>
      </c>
      <c r="C2580" t="inlineStr">
        <is>
          <t>+ES02</t>
        </is>
      </c>
      <c r="D2580" t="inlineStr">
        <is>
          <t>-16K1</t>
        </is>
      </c>
      <c r="E2580" t="inlineStr">
        <is>
          <t>DILA-40</t>
        </is>
      </c>
      <c r="F2580" t="inlineStr">
        <is>
          <t>DILA-XHIC40</t>
        </is>
      </c>
      <c r="G2580" t="inlineStr">
        <is>
          <t>HILFSSCHUETZ</t>
        </is>
      </c>
      <c r="H2580" t="inlineStr">
        <is>
          <t>4S Federzugkl.</t>
        </is>
      </c>
      <c r="I2580">
        <v>450</v>
      </c>
      <c r="J2580">
        <f>GS08/16.5</f>
        <v>0</v>
      </c>
      <c r="M2580" t="inlineStr">
        <is>
          <t>-16K1</t>
        </is>
      </c>
    </row>
    <row r="2581">
      <c r="A2581">
        <v>2580</v>
      </c>
      <c r="B2581">
        <f>GS20</f>
        <v>0</v>
      </c>
      <c r="C2581" t="inlineStr">
        <is>
          <t>+ES02</t>
        </is>
      </c>
      <c r="D2581" t="inlineStr">
        <is>
          <t>-16K1</t>
        </is>
      </c>
      <c r="E2581" t="inlineStr">
        <is>
          <t>DILA-XHIC40</t>
        </is>
      </c>
      <c r="F2581" t="inlineStr">
        <is>
          <t>DILA-XHIC40</t>
        </is>
      </c>
      <c r="G2581" t="inlineStr">
        <is>
          <t>HILFSKONTAKTBLOCK</t>
        </is>
      </c>
      <c r="H2581" t="inlineStr">
        <is>
          <t>4S Last+Hilfssch. Cage</t>
        </is>
      </c>
      <c r="I2581">
        <v>450</v>
      </c>
      <c r="J2581">
        <f>GS20/16.5</f>
        <v>0</v>
      </c>
      <c r="M2581" t="inlineStr">
        <is>
          <t>-16K1</t>
        </is>
      </c>
    </row>
    <row r="2582">
      <c r="A2582">
        <v>2581</v>
      </c>
      <c r="B2582">
        <f>GS20</f>
        <v>0</v>
      </c>
      <c r="C2582" t="inlineStr">
        <is>
          <t>+ES02</t>
        </is>
      </c>
      <c r="D2582" t="inlineStr">
        <is>
          <t>-16K1</t>
        </is>
      </c>
      <c r="E2582" t="inlineStr">
        <is>
          <t>DILA-40</t>
        </is>
      </c>
      <c r="F2582" t="inlineStr">
        <is>
          <t>DILA-XHIC40</t>
        </is>
      </c>
      <c r="G2582" t="inlineStr">
        <is>
          <t>HILFSSCHUETZ</t>
        </is>
      </c>
      <c r="H2582" t="inlineStr">
        <is>
          <t>4S Federzugkl.</t>
        </is>
      </c>
      <c r="I2582">
        <v>450</v>
      </c>
      <c r="J2582">
        <f>GS20/16.5</f>
        <v>0</v>
      </c>
      <c r="M2582" t="inlineStr">
        <is>
          <t>-16K1</t>
        </is>
      </c>
    </row>
    <row r="2583">
      <c r="A2583">
        <v>2582</v>
      </c>
      <c r="B2583">
        <f>GS30</f>
        <v>0</v>
      </c>
      <c r="C2583" t="inlineStr">
        <is>
          <t>+ES02</t>
        </is>
      </c>
      <c r="D2583" t="inlineStr">
        <is>
          <t>-16K1</t>
        </is>
      </c>
      <c r="E2583" t="inlineStr">
        <is>
          <t>DILA-40</t>
        </is>
      </c>
      <c r="F2583" t="inlineStr">
        <is>
          <t>DILA-XHIC40</t>
        </is>
      </c>
      <c r="G2583" t="inlineStr">
        <is>
          <t>HILFSSCHUETZ</t>
        </is>
      </c>
      <c r="H2583" t="inlineStr">
        <is>
          <t>4S Federzugkl.</t>
        </is>
      </c>
      <c r="I2583">
        <v>450</v>
      </c>
      <c r="J2583">
        <f>GS30/16.5</f>
        <v>0</v>
      </c>
      <c r="M2583" t="inlineStr">
        <is>
          <t>-16K1</t>
        </is>
      </c>
    </row>
    <row r="2584">
      <c r="A2584">
        <v>2583</v>
      </c>
      <c r="B2584">
        <f>GS30</f>
        <v>0</v>
      </c>
      <c r="C2584" t="inlineStr">
        <is>
          <t>+ES02</t>
        </is>
      </c>
      <c r="D2584" t="inlineStr">
        <is>
          <t>-16K1</t>
        </is>
      </c>
      <c r="E2584" t="inlineStr">
        <is>
          <t>DILA-XHIC40</t>
        </is>
      </c>
      <c r="F2584" t="inlineStr">
        <is>
          <t>DILA-XHIC40</t>
        </is>
      </c>
      <c r="G2584" t="inlineStr">
        <is>
          <t>HILFSKONTAKTBLOCK</t>
        </is>
      </c>
      <c r="H2584" t="inlineStr">
        <is>
          <t>4S Last+Hilfssch. Cage</t>
        </is>
      </c>
      <c r="I2584">
        <v>450</v>
      </c>
      <c r="J2584">
        <f>GS30/16.5</f>
        <v>0</v>
      </c>
      <c r="M2584" t="inlineStr">
        <is>
          <t>-16K1</t>
        </is>
      </c>
    </row>
    <row r="2585">
      <c r="A2585">
        <v>2584</v>
      </c>
      <c r="B2585">
        <f>GS35</f>
        <v>0</v>
      </c>
      <c r="C2585" t="inlineStr">
        <is>
          <t>+ES02</t>
        </is>
      </c>
      <c r="D2585" t="inlineStr">
        <is>
          <t>-16K1</t>
        </is>
      </c>
      <c r="E2585" t="inlineStr">
        <is>
          <t>DILA-40</t>
        </is>
      </c>
      <c r="F2585" t="inlineStr">
        <is>
          <t>DILA-XHIC40</t>
        </is>
      </c>
      <c r="G2585" t="inlineStr">
        <is>
          <t>HILFSSCHUETZ</t>
        </is>
      </c>
      <c r="H2585" t="inlineStr">
        <is>
          <t>4S Federzugkl.</t>
        </is>
      </c>
      <c r="I2585">
        <v>180</v>
      </c>
      <c r="J2585">
        <f>GS35/16.5</f>
        <v>0</v>
      </c>
      <c r="M2585" t="inlineStr">
        <is>
          <t>-16K1</t>
        </is>
      </c>
    </row>
    <row r="2586">
      <c r="A2586">
        <v>2585</v>
      </c>
      <c r="B2586">
        <f>GS35</f>
        <v>0</v>
      </c>
      <c r="C2586" t="inlineStr">
        <is>
          <t>+ES02</t>
        </is>
      </c>
      <c r="D2586" t="inlineStr">
        <is>
          <t>-16K1</t>
        </is>
      </c>
      <c r="E2586" t="inlineStr">
        <is>
          <t>DILA-XHIC40</t>
        </is>
      </c>
      <c r="F2586" t="inlineStr">
        <is>
          <t>DILA-XHIC40</t>
        </is>
      </c>
      <c r="G2586" t="inlineStr">
        <is>
          <t>HILFSKONTAKTBLOCK</t>
        </is>
      </c>
      <c r="H2586" t="inlineStr">
        <is>
          <t>4S Last+Hilfssch. Cage</t>
        </is>
      </c>
      <c r="I2586">
        <v>180</v>
      </c>
      <c r="J2586">
        <f>GS35/16.5</f>
        <v>0</v>
      </c>
      <c r="M2586" t="inlineStr">
        <is>
          <t>-16K1</t>
        </is>
      </c>
    </row>
    <row r="2587">
      <c r="A2587">
        <v>2586</v>
      </c>
      <c r="B2587">
        <f>GS36</f>
        <v>0</v>
      </c>
      <c r="C2587" t="inlineStr">
        <is>
          <t>+ES02</t>
        </is>
      </c>
      <c r="D2587" t="inlineStr">
        <is>
          <t>-16K1</t>
        </is>
      </c>
      <c r="E2587" t="inlineStr">
        <is>
          <t>DILA-XHIC40</t>
        </is>
      </c>
      <c r="F2587" t="inlineStr">
        <is>
          <t>DILA-XHIC40</t>
        </is>
      </c>
      <c r="G2587" t="inlineStr">
        <is>
          <t>HILFSKONTAKTBLOCK</t>
        </is>
      </c>
      <c r="H2587" t="inlineStr">
        <is>
          <t>4S Last+Hilfssch. Cage</t>
        </is>
      </c>
      <c r="I2587">
        <v>181</v>
      </c>
      <c r="J2587">
        <f>GS36/16.5</f>
        <v>0</v>
      </c>
      <c r="M2587" t="inlineStr">
        <is>
          <t>-16K1</t>
        </is>
      </c>
    </row>
    <row r="2588">
      <c r="A2588">
        <v>2587</v>
      </c>
      <c r="B2588">
        <f>GS36</f>
        <v>0</v>
      </c>
      <c r="C2588" t="inlineStr">
        <is>
          <t>+LS03</t>
        </is>
      </c>
      <c r="D2588" t="inlineStr">
        <is>
          <t>-175K123.0</t>
        </is>
      </c>
      <c r="E2588" t="inlineStr">
        <is>
          <t>DILA-40</t>
        </is>
      </c>
      <c r="F2588" t="inlineStr">
        <is>
          <t>#KALK!</t>
        </is>
      </c>
      <c r="G2588" t="inlineStr">
        <is>
          <t>HILFSSCHUETZ</t>
        </is>
      </c>
      <c r="H2588" t="inlineStr">
        <is>
          <t>4S Federzugkl.</t>
        </is>
      </c>
      <c r="I2588">
        <v>348</v>
      </c>
      <c r="J2588">
        <f>GS36/175.7</f>
        <v>0</v>
      </c>
      <c r="M2588" t="inlineStr">
        <is>
          <t>-175K123.0</t>
        </is>
      </c>
    </row>
    <row r="2589">
      <c r="A2589">
        <v>2588</v>
      </c>
      <c r="B2589">
        <f>GS37</f>
        <v>0</v>
      </c>
      <c r="C2589" t="inlineStr">
        <is>
          <t>+ES02</t>
        </is>
      </c>
      <c r="D2589" t="inlineStr">
        <is>
          <t>-16K1</t>
        </is>
      </c>
      <c r="E2589" t="inlineStr">
        <is>
          <t>DILA-XHIC40</t>
        </is>
      </c>
      <c r="F2589" t="inlineStr">
        <is>
          <t>DILA-XHIC40</t>
        </is>
      </c>
      <c r="G2589" t="inlineStr">
        <is>
          <t>HILFSKONTAKTBLOCK</t>
        </is>
      </c>
      <c r="H2589" t="inlineStr">
        <is>
          <t>4S Last+Hilfssch. Cage</t>
        </is>
      </c>
      <c r="I2589">
        <v>168</v>
      </c>
      <c r="J2589">
        <f>GS37/16.5</f>
        <v>0</v>
      </c>
      <c r="M2589" t="inlineStr">
        <is>
          <t>-16K1</t>
        </is>
      </c>
    </row>
    <row r="2590">
      <c r="A2590">
        <v>2589</v>
      </c>
      <c r="B2590">
        <f>GS37</f>
        <v>0</v>
      </c>
      <c r="C2590" t="inlineStr">
        <is>
          <t>+ES02</t>
        </is>
      </c>
      <c r="D2590" t="inlineStr">
        <is>
          <t>-16K1</t>
        </is>
      </c>
      <c r="E2590" t="inlineStr">
        <is>
          <t>DILA-40</t>
        </is>
      </c>
      <c r="F2590" t="inlineStr">
        <is>
          <t>DILA-XHIC40</t>
        </is>
      </c>
      <c r="G2590" t="inlineStr">
        <is>
          <t>HILFSSCHUETZ</t>
        </is>
      </c>
      <c r="H2590" t="inlineStr">
        <is>
          <t>4S Federzugkl.</t>
        </is>
      </c>
      <c r="I2590">
        <v>168</v>
      </c>
      <c r="J2590">
        <f>GS37/16.5</f>
        <v>0</v>
      </c>
      <c r="M2590" t="inlineStr">
        <is>
          <t>-16K1</t>
        </is>
      </c>
    </row>
    <row r="2591">
      <c r="A2591">
        <v>2590</v>
      </c>
      <c r="B2591">
        <f>GS38</f>
        <v>0</v>
      </c>
      <c r="C2591" t="inlineStr">
        <is>
          <t>+ES02</t>
        </is>
      </c>
      <c r="D2591" t="inlineStr">
        <is>
          <t>-16K1</t>
        </is>
      </c>
      <c r="E2591" t="inlineStr">
        <is>
          <t>DILA-XHIC40</t>
        </is>
      </c>
      <c r="F2591" t="inlineStr">
        <is>
          <t>DILA-XHIC40</t>
        </is>
      </c>
      <c r="G2591" t="inlineStr">
        <is>
          <t>HILFSKONTAKTBLOCK</t>
        </is>
      </c>
      <c r="H2591" t="inlineStr">
        <is>
          <t>4S Last+Hilfssch. Cage</t>
        </is>
      </c>
      <c r="I2591">
        <v>154</v>
      </c>
      <c r="J2591">
        <f>GS38/16.5</f>
        <v>0</v>
      </c>
      <c r="M2591" t="inlineStr">
        <is>
          <t>-16K1</t>
        </is>
      </c>
    </row>
    <row r="2592">
      <c r="A2592">
        <v>2591</v>
      </c>
      <c r="B2592">
        <f>GS38</f>
        <v>0</v>
      </c>
      <c r="C2592" t="inlineStr">
        <is>
          <t>+ES02</t>
        </is>
      </c>
      <c r="D2592" t="inlineStr">
        <is>
          <t>-16K1</t>
        </is>
      </c>
      <c r="E2592" t="inlineStr">
        <is>
          <t>DILA-40</t>
        </is>
      </c>
      <c r="F2592" t="inlineStr">
        <is>
          <t>DILA-XHIC40</t>
        </is>
      </c>
      <c r="G2592" t="inlineStr">
        <is>
          <t>HILFSSCHUETZ</t>
        </is>
      </c>
      <c r="H2592" t="inlineStr">
        <is>
          <t>4S Federzugkl.</t>
        </is>
      </c>
      <c r="I2592">
        <v>154</v>
      </c>
      <c r="J2592">
        <f>GS38/16.5</f>
        <v>0</v>
      </c>
      <c r="M2592" t="inlineStr">
        <is>
          <t>-16K1</t>
        </is>
      </c>
    </row>
    <row r="2593">
      <c r="A2593">
        <v>2592</v>
      </c>
      <c r="B2593">
        <f>GS39</f>
        <v>0</v>
      </c>
      <c r="C2593" t="inlineStr">
        <is>
          <t>+ES02</t>
        </is>
      </c>
      <c r="D2593" t="inlineStr">
        <is>
          <t>-16K1</t>
        </is>
      </c>
      <c r="E2593" t="inlineStr">
        <is>
          <t>DILA-40</t>
        </is>
      </c>
      <c r="F2593" t="inlineStr">
        <is>
          <t>DILA-XHIC40</t>
        </is>
      </c>
      <c r="G2593" t="inlineStr">
        <is>
          <t>HILFSSCHUETZ</t>
        </is>
      </c>
      <c r="H2593" t="inlineStr">
        <is>
          <t>4S Federzugkl.</t>
        </is>
      </c>
      <c r="I2593">
        <v>193</v>
      </c>
      <c r="J2593">
        <f>GS39/16.5</f>
        <v>0</v>
      </c>
      <c r="M2593" t="inlineStr">
        <is>
          <t>-16K1</t>
        </is>
      </c>
    </row>
    <row r="2594">
      <c r="A2594">
        <v>2593</v>
      </c>
      <c r="B2594">
        <f>GS39</f>
        <v>0</v>
      </c>
      <c r="C2594" t="inlineStr">
        <is>
          <t>+ES02</t>
        </is>
      </c>
      <c r="D2594" t="inlineStr">
        <is>
          <t>-16K1</t>
        </is>
      </c>
      <c r="E2594" t="inlineStr">
        <is>
          <t>DILA-XHIC40</t>
        </is>
      </c>
      <c r="F2594" t="inlineStr">
        <is>
          <t>DILA-XHIC40</t>
        </is>
      </c>
      <c r="G2594" t="inlineStr">
        <is>
          <t>HILFSKONTAKTBLOCK</t>
        </is>
      </c>
      <c r="H2594" t="inlineStr">
        <is>
          <t>4S Last+Hilfssch. Cage</t>
        </is>
      </c>
      <c r="I2594">
        <v>193</v>
      </c>
      <c r="J2594">
        <f>GS39/16.5</f>
        <v>0</v>
      </c>
      <c r="M2594" t="inlineStr">
        <is>
          <t>-16K1</t>
        </is>
      </c>
    </row>
    <row r="2595">
      <c r="A2595">
        <v>2594</v>
      </c>
      <c r="B2595">
        <f>GS46</f>
        <v>0</v>
      </c>
      <c r="C2595" t="inlineStr">
        <is>
          <t>+ES02</t>
        </is>
      </c>
      <c r="D2595" t="inlineStr">
        <is>
          <t>-16K1</t>
        </is>
      </c>
      <c r="E2595" t="inlineStr">
        <is>
          <t>DILA-XHIC40</t>
        </is>
      </c>
      <c r="F2595" t="inlineStr">
        <is>
          <t>DILA-XHIC40</t>
        </is>
      </c>
      <c r="G2595" t="inlineStr">
        <is>
          <t>HILFSKONTAKTBLOCK</t>
        </is>
      </c>
      <c r="H2595" t="inlineStr">
        <is>
          <t>4S Last+Hilfssch. Cage</t>
        </is>
      </c>
      <c r="I2595">
        <v>161</v>
      </c>
      <c r="J2595">
        <f>GS46/16.5</f>
        <v>0</v>
      </c>
      <c r="M2595" t="inlineStr">
        <is>
          <t>-16K1</t>
        </is>
      </c>
    </row>
    <row r="2596">
      <c r="A2596">
        <v>2595</v>
      </c>
      <c r="B2596">
        <f>GS46</f>
        <v>0</v>
      </c>
      <c r="C2596" t="inlineStr">
        <is>
          <t>+ES02</t>
        </is>
      </c>
      <c r="D2596" t="inlineStr">
        <is>
          <t>-16K1</t>
        </is>
      </c>
      <c r="E2596" t="inlineStr">
        <is>
          <t>DILA-40</t>
        </is>
      </c>
      <c r="F2596" t="inlineStr">
        <is>
          <t>DILA-XHIC40</t>
        </is>
      </c>
      <c r="G2596" t="inlineStr">
        <is>
          <t>HILFSSCHUETZ</t>
        </is>
      </c>
      <c r="H2596" t="inlineStr">
        <is>
          <t>4S Federzugkl.</t>
        </is>
      </c>
      <c r="I2596">
        <v>161</v>
      </c>
      <c r="J2596">
        <f>GS46/16.5</f>
        <v>0</v>
      </c>
      <c r="M2596" t="inlineStr">
        <is>
          <t>-16K1</t>
        </is>
      </c>
    </row>
    <row r="2597">
      <c r="A2597">
        <v>2596</v>
      </c>
      <c r="B2597">
        <f>GS47</f>
        <v>0</v>
      </c>
      <c r="C2597" t="inlineStr">
        <is>
          <t>+ES02</t>
        </is>
      </c>
      <c r="D2597" t="inlineStr">
        <is>
          <t>-16K1</t>
        </is>
      </c>
      <c r="E2597" t="inlineStr">
        <is>
          <t>DILA-40</t>
        </is>
      </c>
      <c r="F2597" t="inlineStr">
        <is>
          <t>DILA-XHIC40</t>
        </is>
      </c>
      <c r="G2597" t="inlineStr">
        <is>
          <t>HILFSSCHUETZ</t>
        </is>
      </c>
      <c r="H2597" t="inlineStr">
        <is>
          <t>4S Federzugkl.</t>
        </is>
      </c>
      <c r="I2597">
        <v>161</v>
      </c>
      <c r="J2597">
        <f>GS47/16.5</f>
        <v>0</v>
      </c>
      <c r="M2597" t="inlineStr">
        <is>
          <t>-16K1</t>
        </is>
      </c>
    </row>
    <row r="2598">
      <c r="A2598">
        <v>2597</v>
      </c>
      <c r="B2598">
        <f>GS47</f>
        <v>0</v>
      </c>
      <c r="C2598" t="inlineStr">
        <is>
          <t>+ES02</t>
        </is>
      </c>
      <c r="D2598" t="inlineStr">
        <is>
          <t>-16K1</t>
        </is>
      </c>
      <c r="E2598" t="inlineStr">
        <is>
          <t>DILA-XHIC40</t>
        </is>
      </c>
      <c r="F2598" t="inlineStr">
        <is>
          <t>DILA-XHIC40</t>
        </is>
      </c>
      <c r="G2598" t="inlineStr">
        <is>
          <t>HILFSKONTAKTBLOCK</t>
        </is>
      </c>
      <c r="H2598" t="inlineStr">
        <is>
          <t>4S Last+Hilfssch. Cage</t>
        </is>
      </c>
      <c r="I2598">
        <v>161</v>
      </c>
      <c r="J2598">
        <f>GS47/16.5</f>
        <v>0</v>
      </c>
      <c r="M2598" t="inlineStr">
        <is>
          <t>-16K1</t>
        </is>
      </c>
    </row>
    <row r="2599">
      <c r="A2599">
        <v>2598</v>
      </c>
      <c r="B2599">
        <f>GS48</f>
        <v>0</v>
      </c>
      <c r="C2599" t="inlineStr">
        <is>
          <t>+ES02</t>
        </is>
      </c>
      <c r="D2599" t="inlineStr">
        <is>
          <t>-16K1</t>
        </is>
      </c>
      <c r="E2599" t="inlineStr">
        <is>
          <t>DILA-40</t>
        </is>
      </c>
      <c r="F2599" t="inlineStr">
        <is>
          <t>DILA-XHIC40</t>
        </is>
      </c>
      <c r="G2599" t="inlineStr">
        <is>
          <t>HILFSSCHUETZ</t>
        </is>
      </c>
      <c r="H2599" t="inlineStr">
        <is>
          <t>4S Federzugkl.</t>
        </is>
      </c>
      <c r="I2599">
        <v>160</v>
      </c>
      <c r="J2599">
        <f>GS48/16.5</f>
        <v>0</v>
      </c>
      <c r="M2599" t="inlineStr">
        <is>
          <t>-16K1</t>
        </is>
      </c>
    </row>
    <row r="2600">
      <c r="A2600">
        <v>2599</v>
      </c>
      <c r="B2600">
        <f>GS48</f>
        <v>0</v>
      </c>
      <c r="C2600" t="inlineStr">
        <is>
          <t>+ES02</t>
        </is>
      </c>
      <c r="D2600" t="inlineStr">
        <is>
          <t>-16K1</t>
        </is>
      </c>
      <c r="E2600" t="inlineStr">
        <is>
          <t>DILA-XHIC40</t>
        </is>
      </c>
      <c r="F2600" t="inlineStr">
        <is>
          <t>DILA-XHIC40</t>
        </is>
      </c>
      <c r="G2600" t="inlineStr">
        <is>
          <t>HILFSKONTAKTBLOCK</t>
        </is>
      </c>
      <c r="H2600" t="inlineStr">
        <is>
          <t>4S Last+Hilfssch. Cage</t>
        </is>
      </c>
      <c r="I2600">
        <v>160</v>
      </c>
      <c r="J2600">
        <f>GS48/16.5</f>
        <v>0</v>
      </c>
      <c r="M2600" t="inlineStr">
        <is>
          <t>-16K1</t>
        </is>
      </c>
    </row>
    <row r="2601">
      <c r="A2601">
        <v>2600</v>
      </c>
      <c r="B2601">
        <f>GS49</f>
        <v>0</v>
      </c>
      <c r="C2601" t="inlineStr">
        <is>
          <t>+ES02</t>
        </is>
      </c>
      <c r="D2601" t="inlineStr">
        <is>
          <t>-16K1</t>
        </is>
      </c>
      <c r="E2601" t="inlineStr">
        <is>
          <t>DILA-40</t>
        </is>
      </c>
      <c r="F2601" t="inlineStr">
        <is>
          <t>DILA-XHIC40</t>
        </is>
      </c>
      <c r="G2601" t="inlineStr">
        <is>
          <t>HILFSSCHUETZ</t>
        </is>
      </c>
      <c r="H2601" t="inlineStr">
        <is>
          <t>4S Federzugkl.</t>
        </is>
      </c>
      <c r="I2601">
        <v>159</v>
      </c>
      <c r="J2601">
        <f>GS49/16.5</f>
        <v>0</v>
      </c>
      <c r="M2601" t="inlineStr">
        <is>
          <t>-16K1</t>
        </is>
      </c>
    </row>
    <row r="2602">
      <c r="A2602">
        <v>2601</v>
      </c>
      <c r="B2602">
        <f>GS49</f>
        <v>0</v>
      </c>
      <c r="C2602" t="inlineStr">
        <is>
          <t>+ES02</t>
        </is>
      </c>
      <c r="D2602" t="inlineStr">
        <is>
          <t>-16K1</t>
        </is>
      </c>
      <c r="E2602" t="inlineStr">
        <is>
          <t>DILA-XHIC40</t>
        </is>
      </c>
      <c r="F2602" t="inlineStr">
        <is>
          <t>DILA-XHIC40</t>
        </is>
      </c>
      <c r="G2602" t="inlineStr">
        <is>
          <t>HILFSKONTAKTBLOCK</t>
        </is>
      </c>
      <c r="H2602" t="inlineStr">
        <is>
          <t>4S Last+Hilfssch. Cage</t>
        </is>
      </c>
      <c r="I2602">
        <v>159</v>
      </c>
      <c r="J2602">
        <f>GS49/16.5</f>
        <v>0</v>
      </c>
      <c r="M2602" t="inlineStr">
        <is>
          <t>-16K1</t>
        </is>
      </c>
    </row>
    <row r="2603">
      <c r="A2603">
        <v>2602</v>
      </c>
      <c r="B2603">
        <f>GS51</f>
        <v>0</v>
      </c>
      <c r="C2603" t="inlineStr">
        <is>
          <t>+ES02</t>
        </is>
      </c>
      <c r="D2603" t="inlineStr">
        <is>
          <t>-16K1</t>
        </is>
      </c>
      <c r="E2603" t="inlineStr">
        <is>
          <t>DILA-40</t>
        </is>
      </c>
      <c r="F2603" t="inlineStr">
        <is>
          <t>DILA-XHIC40</t>
        </is>
      </c>
      <c r="G2603" t="inlineStr">
        <is>
          <t>HILFSSCHUETZ</t>
        </is>
      </c>
      <c r="H2603" t="inlineStr">
        <is>
          <t>4S Federzugkl.</t>
        </is>
      </c>
      <c r="I2603">
        <v>190</v>
      </c>
      <c r="J2603">
        <f>GS51/16.5</f>
        <v>0</v>
      </c>
      <c r="M2603" t="inlineStr">
        <is>
          <t>-16K1</t>
        </is>
      </c>
    </row>
    <row r="2604">
      <c r="A2604">
        <v>2603</v>
      </c>
      <c r="B2604">
        <f>GS51</f>
        <v>0</v>
      </c>
      <c r="C2604" t="inlineStr">
        <is>
          <t>+ES02</t>
        </is>
      </c>
      <c r="D2604" t="inlineStr">
        <is>
          <t>-16K1</t>
        </is>
      </c>
      <c r="E2604" t="inlineStr">
        <is>
          <t>DILA-XHIC40</t>
        </is>
      </c>
      <c r="F2604" t="inlineStr">
        <is>
          <t>DILA-XHIC40</t>
        </is>
      </c>
      <c r="G2604" t="inlineStr">
        <is>
          <t>HILFSKONTAKTBLOCK</t>
        </is>
      </c>
      <c r="H2604" t="inlineStr">
        <is>
          <t>4S Last+Hilfssch. Cage</t>
        </is>
      </c>
      <c r="I2604">
        <v>190</v>
      </c>
      <c r="J2604">
        <f>GS51/16.5</f>
        <v>0</v>
      </c>
      <c r="M2604" t="inlineStr">
        <is>
          <t>-16K1</t>
        </is>
      </c>
    </row>
    <row r="2605">
      <c r="A2605">
        <v>2604</v>
      </c>
      <c r="B2605">
        <f>GS52</f>
        <v>0</v>
      </c>
      <c r="C2605" t="inlineStr">
        <is>
          <t>+ES02</t>
        </is>
      </c>
      <c r="D2605" t="inlineStr">
        <is>
          <t>-16K1</t>
        </is>
      </c>
      <c r="E2605" t="inlineStr">
        <is>
          <t>DILA-40</t>
        </is>
      </c>
      <c r="F2605" t="inlineStr">
        <is>
          <t>DILA-XHIC40</t>
        </is>
      </c>
      <c r="G2605" t="inlineStr">
        <is>
          <t>HILFSSCHUETZ</t>
        </is>
      </c>
      <c r="H2605" t="inlineStr">
        <is>
          <t>4S Federzugkl.</t>
        </is>
      </c>
      <c r="I2605">
        <v>1844</v>
      </c>
      <c r="J2605">
        <f>GS52/16.5</f>
        <v>0</v>
      </c>
      <c r="M2605" t="inlineStr">
        <is>
          <t>-16K1</t>
        </is>
      </c>
    </row>
    <row r="2606">
      <c r="A2606">
        <v>2605</v>
      </c>
      <c r="B2606">
        <f>GS52</f>
        <v>0</v>
      </c>
      <c r="C2606" t="inlineStr">
        <is>
          <t>+ES02</t>
        </is>
      </c>
      <c r="D2606" t="inlineStr">
        <is>
          <t>-16K1</t>
        </is>
      </c>
      <c r="E2606" t="inlineStr">
        <is>
          <t>DILA-XHIC40</t>
        </is>
      </c>
      <c r="F2606" t="inlineStr">
        <is>
          <t>DILA-XHIC40</t>
        </is>
      </c>
      <c r="G2606" t="inlineStr">
        <is>
          <t>HILFSKONTAKTBLOCK</t>
        </is>
      </c>
      <c r="H2606" t="inlineStr">
        <is>
          <t>4S Last+Hilfssch. Cage</t>
        </is>
      </c>
      <c r="I2606">
        <v>1844</v>
      </c>
      <c r="J2606">
        <f>GS52/16.5</f>
        <v>0</v>
      </c>
      <c r="M2606" t="inlineStr">
        <is>
          <t>-16K1</t>
        </is>
      </c>
    </row>
    <row r="2607">
      <c r="A2607">
        <v>2606</v>
      </c>
      <c r="B2607">
        <f>GS53</f>
        <v>0</v>
      </c>
      <c r="C2607" t="inlineStr">
        <is>
          <t>+ES02</t>
        </is>
      </c>
      <c r="D2607" t="inlineStr">
        <is>
          <t>-16K1</t>
        </is>
      </c>
      <c r="E2607" t="inlineStr">
        <is>
          <t>DILA-40</t>
        </is>
      </c>
      <c r="F2607" t="inlineStr">
        <is>
          <t>DILA-XHIC40</t>
        </is>
      </c>
      <c r="G2607" t="inlineStr">
        <is>
          <t>HILFSSCHUETZ</t>
        </is>
      </c>
      <c r="H2607" t="inlineStr">
        <is>
          <t>4S Federzugkl.</t>
        </is>
      </c>
      <c r="I2607">
        <v>216</v>
      </c>
      <c r="J2607">
        <f>GS53/16.5</f>
        <v>0</v>
      </c>
      <c r="M2607" t="inlineStr">
        <is>
          <t>-16K1</t>
        </is>
      </c>
    </row>
    <row r="2608">
      <c r="A2608">
        <v>2607</v>
      </c>
      <c r="B2608">
        <f>GS53</f>
        <v>0</v>
      </c>
      <c r="C2608" t="inlineStr">
        <is>
          <t>+ES02</t>
        </is>
      </c>
      <c r="D2608" t="inlineStr">
        <is>
          <t>-16K1</t>
        </is>
      </c>
      <c r="E2608" t="inlineStr">
        <is>
          <t>DILA-XHIC40</t>
        </is>
      </c>
      <c r="F2608" t="inlineStr">
        <is>
          <t>DILA-XHIC40</t>
        </is>
      </c>
      <c r="G2608" t="inlineStr">
        <is>
          <t>HILFSKONTAKTBLOCK</t>
        </is>
      </c>
      <c r="H2608" t="inlineStr">
        <is>
          <t>4S Last+Hilfssch. Cage</t>
        </is>
      </c>
      <c r="I2608">
        <v>216</v>
      </c>
      <c r="J2608">
        <f>GS53/16.5</f>
        <v>0</v>
      </c>
      <c r="M2608" t="inlineStr">
        <is>
          <t>-16K1</t>
        </is>
      </c>
    </row>
    <row r="2609">
      <c r="A2609">
        <v>2608</v>
      </c>
      <c r="B2609">
        <f>GS55</f>
        <v>0</v>
      </c>
      <c r="C2609" t="inlineStr">
        <is>
          <t>+ES02</t>
        </is>
      </c>
      <c r="D2609" t="inlineStr">
        <is>
          <t>-16K1</t>
        </is>
      </c>
      <c r="E2609" t="inlineStr">
        <is>
          <t>DILA-40</t>
        </is>
      </c>
      <c r="F2609" t="inlineStr">
        <is>
          <t>DILA-XHIC40</t>
        </is>
      </c>
      <c r="G2609" t="inlineStr">
        <is>
          <t>HILFSSCHUETZ</t>
        </is>
      </c>
      <c r="H2609" t="inlineStr">
        <is>
          <t>4S Federzugkl.</t>
        </is>
      </c>
      <c r="I2609">
        <v>241</v>
      </c>
      <c r="J2609">
        <f>GS55/16.4</f>
        <v>0</v>
      </c>
      <c r="M2609" t="inlineStr">
        <is>
          <t>-16K1</t>
        </is>
      </c>
    </row>
    <row r="2610">
      <c r="A2610">
        <v>2609</v>
      </c>
      <c r="B2610">
        <f>GS55</f>
        <v>0</v>
      </c>
      <c r="C2610" t="inlineStr">
        <is>
          <t>+ES02</t>
        </is>
      </c>
      <c r="D2610" t="inlineStr">
        <is>
          <t>-16K1</t>
        </is>
      </c>
      <c r="E2610" t="inlineStr">
        <is>
          <t>DILA-XHIC40</t>
        </is>
      </c>
      <c r="F2610" t="inlineStr">
        <is>
          <t>DILA-XHIC40</t>
        </is>
      </c>
      <c r="G2610" t="inlineStr">
        <is>
          <t>HILFSKONTAKTBLOCK</t>
        </is>
      </c>
      <c r="H2610" t="inlineStr">
        <is>
          <t>4S Last+Hilfssch. Cage</t>
        </is>
      </c>
      <c r="I2610">
        <v>241</v>
      </c>
      <c r="J2610">
        <f>GS55/16.4</f>
        <v>0</v>
      </c>
      <c r="M2610" t="inlineStr">
        <is>
          <t>-16K1</t>
        </is>
      </c>
    </row>
    <row r="2611">
      <c r="A2611">
        <v>2610</v>
      </c>
      <c r="B2611">
        <f>GS79</f>
        <v>0</v>
      </c>
      <c r="C2611" t="inlineStr">
        <is>
          <t>+ES02</t>
        </is>
      </c>
      <c r="D2611" t="inlineStr">
        <is>
          <t>-16K1</t>
        </is>
      </c>
      <c r="E2611" t="inlineStr">
        <is>
          <t>DILA-40</t>
        </is>
      </c>
      <c r="F2611" t="inlineStr">
        <is>
          <t>DILA-XHIC40</t>
        </is>
      </c>
      <c r="G2611" t="inlineStr">
        <is>
          <t>HILFSSCHUETZ</t>
        </is>
      </c>
      <c r="H2611" t="inlineStr">
        <is>
          <t>4S Federzugkl.</t>
        </is>
      </c>
      <c r="I2611">
        <v>167</v>
      </c>
      <c r="J2611">
        <f>GS79/16.5</f>
        <v>0</v>
      </c>
      <c r="M2611" t="inlineStr">
        <is>
          <t>-16K1</t>
        </is>
      </c>
    </row>
    <row r="2612">
      <c r="A2612">
        <v>2611</v>
      </c>
      <c r="B2612">
        <f>GS79</f>
        <v>0</v>
      </c>
      <c r="C2612" t="inlineStr">
        <is>
          <t>+ES02</t>
        </is>
      </c>
      <c r="D2612" t="inlineStr">
        <is>
          <t>-16K1</t>
        </is>
      </c>
      <c r="E2612" t="inlineStr">
        <is>
          <t>DILA-XHIC40</t>
        </is>
      </c>
      <c r="F2612" t="inlineStr">
        <is>
          <t>DILA-XHIC40</t>
        </is>
      </c>
      <c r="G2612" t="inlineStr">
        <is>
          <t>HILFSKONTAKTBLOCK</t>
        </is>
      </c>
      <c r="H2612" t="inlineStr">
        <is>
          <t>4S Last+Hilfssch. Cage</t>
        </is>
      </c>
      <c r="I2612">
        <v>167</v>
      </c>
      <c r="J2612">
        <f>GS79/16.5</f>
        <v>0</v>
      </c>
      <c r="M2612" t="inlineStr">
        <is>
          <t>-16K1</t>
        </is>
      </c>
    </row>
    <row r="2613">
      <c r="A2613">
        <v>2612</v>
      </c>
      <c r="B2613">
        <f>GS7x</f>
        <v>0</v>
      </c>
      <c r="C2613" t="inlineStr">
        <is>
          <t>+ES02</t>
        </is>
      </c>
      <c r="D2613" t="inlineStr">
        <is>
          <t>-16K1</t>
        </is>
      </c>
      <c r="E2613" t="inlineStr">
        <is>
          <t>DILA-40</t>
        </is>
      </c>
      <c r="F2613" t="inlineStr">
        <is>
          <t>#ÜBERLAUF!</t>
        </is>
      </c>
      <c r="G2613" t="inlineStr">
        <is>
          <t>HILFSSCHUETZ</t>
        </is>
      </c>
      <c r="H2613" t="inlineStr">
        <is>
          <t>4S Federzugkl.</t>
        </is>
      </c>
      <c r="I2613">
        <v>203</v>
      </c>
      <c r="J2613">
        <f>GS7x/16.5</f>
        <v>0</v>
      </c>
      <c r="M2613" t="inlineStr">
        <is>
          <t>-16K1</t>
        </is>
      </c>
    </row>
    <row r="2614">
      <c r="A2614">
        <v>2613</v>
      </c>
      <c r="B2614">
        <f>GS7x</f>
        <v>0</v>
      </c>
      <c r="C2614" t="inlineStr">
        <is>
          <t>+ES02</t>
        </is>
      </c>
      <c r="D2614" t="inlineStr">
        <is>
          <t>-16K1</t>
        </is>
      </c>
      <c r="E2614" t="inlineStr">
        <is>
          <t>DILA-40</t>
        </is>
      </c>
      <c r="F2614" t="inlineStr">
        <is>
          <t>#ÜBERLAUF!</t>
        </is>
      </c>
      <c r="G2614" t="inlineStr">
        <is>
          <t>HILFSSCHUETZ</t>
        </is>
      </c>
      <c r="H2614" t="inlineStr">
        <is>
          <t>4S Federzugkl.</t>
        </is>
      </c>
      <c r="I2614">
        <v>191</v>
      </c>
      <c r="J2614">
        <f>GS7x/16.5</f>
        <v>0</v>
      </c>
      <c r="M2614" t="inlineStr">
        <is>
          <t>-16K1</t>
        </is>
      </c>
    </row>
    <row r="2615">
      <c r="A2615">
        <v>2614</v>
      </c>
      <c r="B2615">
        <f>GS7x</f>
        <v>0</v>
      </c>
      <c r="C2615" t="inlineStr">
        <is>
          <t>+ES02</t>
        </is>
      </c>
      <c r="D2615" t="inlineStr">
        <is>
          <t>-16K1</t>
        </is>
      </c>
      <c r="E2615" t="inlineStr">
        <is>
          <t>DILA-XHIC40</t>
        </is>
      </c>
      <c r="F2615" t="inlineStr">
        <is>
          <t>#ÜBERLAUF!</t>
        </is>
      </c>
      <c r="G2615" t="inlineStr">
        <is>
          <t>HILFSKONTAKTBLOCK</t>
        </is>
      </c>
      <c r="H2615" t="inlineStr">
        <is>
          <t>4S Last+Hilfssch. Cage</t>
        </is>
      </c>
      <c r="I2615">
        <v>203</v>
      </c>
      <c r="J2615">
        <f>GS7x/16.5</f>
        <v>0</v>
      </c>
      <c r="M2615" t="inlineStr">
        <is>
          <t>-16K1</t>
        </is>
      </c>
    </row>
    <row r="2616">
      <c r="A2616">
        <v>2615</v>
      </c>
      <c r="B2616">
        <f>GS7x</f>
        <v>0</v>
      </c>
      <c r="C2616" t="inlineStr">
        <is>
          <t>+ES02</t>
        </is>
      </c>
      <c r="D2616" t="inlineStr">
        <is>
          <t>-16K1</t>
        </is>
      </c>
      <c r="E2616" t="inlineStr">
        <is>
          <t>DILA-XHIC40</t>
        </is>
      </c>
      <c r="F2616" t="inlineStr">
        <is>
          <t>#ÜBERLAUF!</t>
        </is>
      </c>
      <c r="G2616" t="inlineStr">
        <is>
          <t>HILFSKONTAKTBLOCK</t>
        </is>
      </c>
      <c r="H2616" t="inlineStr">
        <is>
          <t>4S Last+Hilfssch. Cage</t>
        </is>
      </c>
      <c r="I2616">
        <v>191</v>
      </c>
      <c r="J2616">
        <f>GS7x/16.5</f>
        <v>0</v>
      </c>
      <c r="M2616" t="inlineStr">
        <is>
          <t>-16K1</t>
        </is>
      </c>
    </row>
    <row r="2617">
      <c r="A2617">
        <v>2616</v>
      </c>
      <c r="B2617">
        <f>GS90</f>
        <v>0</v>
      </c>
      <c r="C2617" t="inlineStr">
        <is>
          <t>+ES02</t>
        </is>
      </c>
      <c r="D2617" t="inlineStr">
        <is>
          <t>-16K1</t>
        </is>
      </c>
      <c r="E2617" t="inlineStr">
        <is>
          <t>DILA-40</t>
        </is>
      </c>
      <c r="F2617" t="inlineStr">
        <is>
          <t>DILA-XHIC40</t>
        </is>
      </c>
      <c r="G2617" t="inlineStr">
        <is>
          <t>HILFSSCHUETZ</t>
        </is>
      </c>
      <c r="H2617" t="inlineStr">
        <is>
          <t>4S Federzugkl.</t>
        </is>
      </c>
      <c r="I2617">
        <v>156</v>
      </c>
      <c r="J2617">
        <f>GS90/16.5</f>
        <v>0</v>
      </c>
      <c r="M2617" t="inlineStr">
        <is>
          <t>-16K1</t>
        </is>
      </c>
    </row>
    <row r="2618">
      <c r="A2618">
        <v>2617</v>
      </c>
      <c r="B2618">
        <f>GS90</f>
        <v>0</v>
      </c>
      <c r="C2618" t="inlineStr">
        <is>
          <t>+ES02</t>
        </is>
      </c>
      <c r="D2618" t="inlineStr">
        <is>
          <t>-16K1</t>
        </is>
      </c>
      <c r="E2618" t="inlineStr">
        <is>
          <t>DILA-XHIC40</t>
        </is>
      </c>
      <c r="F2618" t="inlineStr">
        <is>
          <t>DILA-XHIC40</t>
        </is>
      </c>
      <c r="G2618" t="inlineStr">
        <is>
          <t>HILFSKONTAKTBLOCK</t>
        </is>
      </c>
      <c r="H2618" t="inlineStr">
        <is>
          <t>4S Last+Hilfssch. Cage</t>
        </is>
      </c>
      <c r="I2618">
        <v>156</v>
      </c>
      <c r="J2618">
        <f>GS90/16.5</f>
        <v>0</v>
      </c>
      <c r="M2618" t="inlineStr">
        <is>
          <t>-16K1</t>
        </is>
      </c>
    </row>
    <row r="2619">
      <c r="A2619">
        <v>2618</v>
      </c>
      <c r="B2619">
        <f>GS91</f>
        <v>0</v>
      </c>
      <c r="C2619" t="inlineStr">
        <is>
          <t>+ES02</t>
        </is>
      </c>
      <c r="D2619" t="inlineStr">
        <is>
          <t>-16K1</t>
        </is>
      </c>
      <c r="E2619" t="inlineStr">
        <is>
          <t>DILA-40</t>
        </is>
      </c>
      <c r="F2619" t="inlineStr">
        <is>
          <t>DILA-XHIC40</t>
        </is>
      </c>
      <c r="G2619" t="inlineStr">
        <is>
          <t>HILFSSCHUETZ</t>
        </is>
      </c>
      <c r="H2619" t="inlineStr">
        <is>
          <t>4S Federzugkl.</t>
        </is>
      </c>
      <c r="I2619">
        <v>157</v>
      </c>
      <c r="J2619">
        <f>GS91/16.5</f>
        <v>0</v>
      </c>
      <c r="M2619" t="inlineStr">
        <is>
          <t>-16K1</t>
        </is>
      </c>
    </row>
    <row r="2620">
      <c r="A2620">
        <v>2619</v>
      </c>
      <c r="B2620">
        <f>GS91</f>
        <v>0</v>
      </c>
      <c r="C2620" t="inlineStr">
        <is>
          <t>+ES02</t>
        </is>
      </c>
      <c r="D2620" t="inlineStr">
        <is>
          <t>-16K1</t>
        </is>
      </c>
      <c r="E2620" t="inlineStr">
        <is>
          <t>DILA-XHIC40</t>
        </is>
      </c>
      <c r="F2620" t="inlineStr">
        <is>
          <t>DILA-XHIC40</t>
        </is>
      </c>
      <c r="G2620" t="inlineStr">
        <is>
          <t>HILFSKONTAKTBLOCK</t>
        </is>
      </c>
      <c r="H2620" t="inlineStr">
        <is>
          <t>4S Last+Hilfssch. Cage</t>
        </is>
      </c>
      <c r="I2620">
        <v>157</v>
      </c>
      <c r="J2620">
        <f>GS91/16.5</f>
        <v>0</v>
      </c>
      <c r="M2620" t="inlineStr">
        <is>
          <t>-16K1</t>
        </is>
      </c>
    </row>
    <row r="2621">
      <c r="A2621">
        <v>2620</v>
      </c>
      <c r="B2621">
        <f>GS92</f>
        <v>0</v>
      </c>
      <c r="C2621" t="inlineStr">
        <is>
          <t>+ES02</t>
        </is>
      </c>
      <c r="D2621" t="inlineStr">
        <is>
          <t>-16K1</t>
        </is>
      </c>
      <c r="E2621" t="inlineStr">
        <is>
          <t>DILA-XHIC40</t>
        </is>
      </c>
      <c r="F2621" t="inlineStr">
        <is>
          <t>DILA-XHIC40</t>
        </is>
      </c>
      <c r="G2621" t="inlineStr">
        <is>
          <t>HILFSKONTAKTBLOCK</t>
        </is>
      </c>
      <c r="H2621" t="inlineStr">
        <is>
          <t>4S Last+Hilfssch. Cage</t>
        </is>
      </c>
      <c r="I2621">
        <v>156</v>
      </c>
      <c r="J2621">
        <f>GS92/16.5</f>
        <v>0</v>
      </c>
      <c r="M2621" t="inlineStr">
        <is>
          <t>-16K1</t>
        </is>
      </c>
    </row>
    <row r="2622">
      <c r="A2622">
        <v>2621</v>
      </c>
      <c r="B2622">
        <f>GS92</f>
        <v>0</v>
      </c>
      <c r="C2622" t="inlineStr">
        <is>
          <t>+ES02</t>
        </is>
      </c>
      <c r="D2622" t="inlineStr">
        <is>
          <t>-16K1</t>
        </is>
      </c>
      <c r="E2622" t="inlineStr">
        <is>
          <t>DILA-40</t>
        </is>
      </c>
      <c r="F2622" t="inlineStr">
        <is>
          <t>DILA-XHIC40</t>
        </is>
      </c>
      <c r="G2622" t="inlineStr">
        <is>
          <t>HILFSSCHUETZ</t>
        </is>
      </c>
      <c r="H2622" t="inlineStr">
        <is>
          <t>4S Federzugkl.</t>
        </is>
      </c>
      <c r="I2622">
        <v>156</v>
      </c>
      <c r="J2622">
        <f>GS92/16.5</f>
        <v>0</v>
      </c>
      <c r="M2622" t="inlineStr">
        <is>
          <t>-16K1</t>
        </is>
      </c>
    </row>
    <row r="2623">
      <c r="A2623">
        <v>2622</v>
      </c>
      <c r="B2623">
        <f>GS93</f>
        <v>0</v>
      </c>
      <c r="C2623" t="inlineStr">
        <is>
          <t>+ES02</t>
        </is>
      </c>
      <c r="D2623" t="inlineStr">
        <is>
          <t>-16K1</t>
        </is>
      </c>
      <c r="E2623" t="inlineStr">
        <is>
          <t>DILA-XHIC40</t>
        </is>
      </c>
      <c r="F2623" t="inlineStr">
        <is>
          <t>DILA-XHIC40</t>
        </is>
      </c>
      <c r="G2623" t="inlineStr">
        <is>
          <t>HILFSKONTAKTBLOCK</t>
        </is>
      </c>
      <c r="H2623" t="inlineStr">
        <is>
          <t>4S Last+Hilfssch. Cage</t>
        </is>
      </c>
      <c r="I2623">
        <v>580</v>
      </c>
      <c r="J2623">
        <f>GS93/16.5</f>
        <v>0</v>
      </c>
      <c r="M2623" t="inlineStr">
        <is>
          <t>-16K1</t>
        </is>
      </c>
    </row>
    <row r="2624">
      <c r="A2624">
        <v>2623</v>
      </c>
      <c r="B2624">
        <f>GS93</f>
        <v>0</v>
      </c>
      <c r="C2624" t="inlineStr">
        <is>
          <t>+ES02</t>
        </is>
      </c>
      <c r="D2624" t="inlineStr">
        <is>
          <t>-16K1</t>
        </is>
      </c>
      <c r="E2624" t="inlineStr">
        <is>
          <t>DILA-40</t>
        </is>
      </c>
      <c r="F2624" t="inlineStr">
        <is>
          <t>DILA-XHIC40</t>
        </is>
      </c>
      <c r="G2624" t="inlineStr">
        <is>
          <t>HILFSSCHUETZ</t>
        </is>
      </c>
      <c r="H2624" t="inlineStr">
        <is>
          <t>4S Federzugkl.</t>
        </is>
      </c>
      <c r="I2624">
        <v>580</v>
      </c>
      <c r="J2624">
        <f>GS93/16.5</f>
        <v>0</v>
      </c>
      <c r="M2624" t="inlineStr">
        <is>
          <t>-16K1</t>
        </is>
      </c>
    </row>
    <row r="2625">
      <c r="A2625">
        <v>2624</v>
      </c>
      <c r="B2625">
        <f>GS94</f>
        <v>0</v>
      </c>
      <c r="C2625" t="inlineStr">
        <is>
          <t>+ES02</t>
        </is>
      </c>
      <c r="D2625" t="inlineStr">
        <is>
          <t>-16K1</t>
        </is>
      </c>
      <c r="E2625" t="inlineStr">
        <is>
          <t>DILA-40</t>
        </is>
      </c>
      <c r="F2625" t="inlineStr">
        <is>
          <t>DILA-XHIC40</t>
        </is>
      </c>
      <c r="G2625" t="inlineStr">
        <is>
          <t>HILFSSCHUETZ</t>
        </is>
      </c>
      <c r="H2625" t="inlineStr">
        <is>
          <t>4S Federzugkl.</t>
        </is>
      </c>
      <c r="I2625">
        <v>164</v>
      </c>
      <c r="J2625">
        <f>GS94/16.5</f>
        <v>0</v>
      </c>
      <c r="M2625" t="inlineStr">
        <is>
          <t>-16K1</t>
        </is>
      </c>
    </row>
    <row r="2626">
      <c r="A2626">
        <v>2625</v>
      </c>
      <c r="B2626">
        <f>GS94</f>
        <v>0</v>
      </c>
      <c r="C2626" t="inlineStr">
        <is>
          <t>+ES02</t>
        </is>
      </c>
      <c r="D2626" t="inlineStr">
        <is>
          <t>-16K1</t>
        </is>
      </c>
      <c r="E2626" t="inlineStr">
        <is>
          <t>DILA-XHIC40</t>
        </is>
      </c>
      <c r="F2626" t="inlineStr">
        <is>
          <t>DILA-XHIC40</t>
        </is>
      </c>
      <c r="G2626" t="inlineStr">
        <is>
          <t>HILFSKONTAKTBLOCK</t>
        </is>
      </c>
      <c r="H2626" t="inlineStr">
        <is>
          <t>4S Last+Hilfssch. Cage</t>
        </is>
      </c>
      <c r="I2626">
        <v>164</v>
      </c>
      <c r="J2626">
        <f>GS94/16.5</f>
        <v>0</v>
      </c>
      <c r="M2626" t="inlineStr">
        <is>
          <t>-16K1</t>
        </is>
      </c>
    </row>
    <row r="2627">
      <c r="A2627">
        <v>2626</v>
      </c>
      <c r="B2627">
        <f>GS95</f>
        <v>0</v>
      </c>
      <c r="C2627" t="inlineStr">
        <is>
          <t>+ES02</t>
        </is>
      </c>
      <c r="D2627" t="inlineStr">
        <is>
          <t>-16K1</t>
        </is>
      </c>
      <c r="E2627" t="inlineStr">
        <is>
          <t>DILA-XHIC40</t>
        </is>
      </c>
      <c r="F2627" t="inlineStr">
        <is>
          <t>DILA-XHIC40</t>
        </is>
      </c>
      <c r="G2627" t="inlineStr">
        <is>
          <t>HILFSKONTAKTBLOCK</t>
        </is>
      </c>
      <c r="H2627" t="inlineStr">
        <is>
          <t>4S Last+Hilfssch. Cage</t>
        </is>
      </c>
      <c r="I2627">
        <v>164</v>
      </c>
      <c r="J2627">
        <f>GS95/16.5</f>
        <v>0</v>
      </c>
      <c r="M2627" t="inlineStr">
        <is>
          <t>-16K1</t>
        </is>
      </c>
    </row>
    <row r="2628">
      <c r="A2628">
        <v>2627</v>
      </c>
      <c r="B2628">
        <f>GS95</f>
        <v>0</v>
      </c>
      <c r="C2628" t="inlineStr">
        <is>
          <t>+ES02</t>
        </is>
      </c>
      <c r="D2628" t="inlineStr">
        <is>
          <t>-16K1</t>
        </is>
      </c>
      <c r="E2628" t="inlineStr">
        <is>
          <t>DILA-40</t>
        </is>
      </c>
      <c r="F2628" t="inlineStr">
        <is>
          <t>DILA-XHIC40</t>
        </is>
      </c>
      <c r="G2628" t="inlineStr">
        <is>
          <t>HILFSSCHUETZ</t>
        </is>
      </c>
      <c r="H2628" t="inlineStr">
        <is>
          <t>4S Federzugkl.</t>
        </is>
      </c>
      <c r="I2628">
        <v>164</v>
      </c>
      <c r="J2628">
        <f>GS95/16.5</f>
        <v>0</v>
      </c>
      <c r="M2628" t="inlineStr">
        <is>
          <t>-16K1</t>
        </is>
      </c>
    </row>
    <row r="2629">
      <c r="A2629">
        <v>2628</v>
      </c>
      <c r="B2629">
        <f>GS96</f>
        <v>0</v>
      </c>
      <c r="C2629" t="inlineStr">
        <is>
          <t>+ES02</t>
        </is>
      </c>
      <c r="D2629" t="inlineStr">
        <is>
          <t>-16K1</t>
        </is>
      </c>
      <c r="E2629" t="inlineStr">
        <is>
          <t>DILA-XHIC40</t>
        </is>
      </c>
      <c r="F2629" t="inlineStr">
        <is>
          <t>DILA-XHIC40</t>
        </is>
      </c>
      <c r="G2629" t="inlineStr">
        <is>
          <t>HILFSKONTAKTBLOCK</t>
        </is>
      </c>
      <c r="H2629" t="inlineStr">
        <is>
          <t>4S Last+Hilfssch. Cage</t>
        </is>
      </c>
      <c r="I2629">
        <v>164</v>
      </c>
      <c r="J2629">
        <f>GS96/16.5</f>
        <v>0</v>
      </c>
      <c r="M2629" t="inlineStr">
        <is>
          <t>-16K1</t>
        </is>
      </c>
    </row>
    <row r="2630">
      <c r="A2630">
        <v>2629</v>
      </c>
      <c r="B2630">
        <f>GS96</f>
        <v>0</v>
      </c>
      <c r="C2630" t="inlineStr">
        <is>
          <t>+ES02</t>
        </is>
      </c>
      <c r="D2630" t="inlineStr">
        <is>
          <t>-16K1</t>
        </is>
      </c>
      <c r="E2630" t="inlineStr">
        <is>
          <t>DILA-40</t>
        </is>
      </c>
      <c r="F2630" t="inlineStr">
        <is>
          <t>DILA-XHIC40</t>
        </is>
      </c>
      <c r="G2630" t="inlineStr">
        <is>
          <t>HILFSSCHUETZ</t>
        </is>
      </c>
      <c r="H2630" t="inlineStr">
        <is>
          <t>4S Federzugkl.</t>
        </is>
      </c>
      <c r="I2630">
        <v>164</v>
      </c>
      <c r="J2630">
        <f>GS96/16.5</f>
        <v>0</v>
      </c>
      <c r="M2630" t="inlineStr">
        <is>
          <t>-16K1</t>
        </is>
      </c>
    </row>
    <row r="2631">
      <c r="A2631">
        <v>2630</v>
      </c>
      <c r="B2631">
        <f>GS97</f>
        <v>0</v>
      </c>
      <c r="C2631" t="inlineStr">
        <is>
          <t>+ES02</t>
        </is>
      </c>
      <c r="D2631" t="inlineStr">
        <is>
          <t>-16K1</t>
        </is>
      </c>
      <c r="E2631" t="inlineStr">
        <is>
          <t>DILA-40</t>
        </is>
      </c>
      <c r="F2631" t="inlineStr">
        <is>
          <t>DILA-XHIC40</t>
        </is>
      </c>
      <c r="G2631" t="inlineStr">
        <is>
          <t>HILFSSCHUETZ</t>
        </is>
      </c>
      <c r="H2631" t="inlineStr">
        <is>
          <t>4S Federzugkl.</t>
        </is>
      </c>
      <c r="I2631">
        <v>164</v>
      </c>
      <c r="J2631">
        <f>GS97/16.5</f>
        <v>0</v>
      </c>
      <c r="M2631" t="inlineStr">
        <is>
          <t>-16K1</t>
        </is>
      </c>
    </row>
    <row r="2632">
      <c r="A2632">
        <v>2631</v>
      </c>
      <c r="B2632">
        <f>GS97</f>
        <v>0</v>
      </c>
      <c r="C2632" t="inlineStr">
        <is>
          <t>+ES02</t>
        </is>
      </c>
      <c r="D2632" t="inlineStr">
        <is>
          <t>-16K1</t>
        </is>
      </c>
      <c r="E2632" t="inlineStr">
        <is>
          <t>DILA-XHIC40</t>
        </is>
      </c>
      <c r="F2632" t="inlineStr">
        <is>
          <t>DILA-XHIC40</t>
        </is>
      </c>
      <c r="G2632" t="inlineStr">
        <is>
          <t>HILFSKONTAKTBLOCK</t>
        </is>
      </c>
      <c r="H2632" t="inlineStr">
        <is>
          <t>4S Last+Hilfssch. Cage</t>
        </is>
      </c>
      <c r="I2632">
        <v>164</v>
      </c>
      <c r="J2632">
        <f>GS97/16.5</f>
        <v>0</v>
      </c>
      <c r="M2632" t="inlineStr">
        <is>
          <t>-16K1</t>
        </is>
      </c>
    </row>
    <row r="2633">
      <c r="A2633">
        <v>2632</v>
      </c>
      <c r="B2633">
        <f>GS05</f>
        <v>0</v>
      </c>
      <c r="C2633" t="inlineStr">
        <is>
          <t>+ES02</t>
        </is>
      </c>
      <c r="D2633" t="inlineStr">
        <is>
          <t>-16K2</t>
        </is>
      </c>
      <c r="E2633" t="inlineStr">
        <is>
          <t>DILA-40</t>
        </is>
      </c>
      <c r="F2633" t="inlineStr">
        <is>
          <t>DILA-XHIC40</t>
        </is>
      </c>
      <c r="G2633" t="inlineStr">
        <is>
          <t>HILFSSCHUETZ</t>
        </is>
      </c>
      <c r="H2633" t="inlineStr">
        <is>
          <t>4S Federzugkl.</t>
        </is>
      </c>
      <c r="I2633">
        <v>450</v>
      </c>
      <c r="J2633">
        <f>GS05/16.6</f>
        <v>0</v>
      </c>
      <c r="M2633" t="inlineStr">
        <is>
          <t>-16K2</t>
        </is>
      </c>
    </row>
    <row r="2634">
      <c r="A2634">
        <v>2633</v>
      </c>
      <c r="B2634">
        <f>GS05</f>
        <v>0</v>
      </c>
      <c r="C2634" t="inlineStr">
        <is>
          <t>+ES02</t>
        </is>
      </c>
      <c r="D2634" t="inlineStr">
        <is>
          <t>-16K2</t>
        </is>
      </c>
      <c r="E2634" t="inlineStr">
        <is>
          <t>DILA-XHIC40</t>
        </is>
      </c>
      <c r="F2634" t="inlineStr">
        <is>
          <t>DILA-XHIC40</t>
        </is>
      </c>
      <c r="G2634" t="inlineStr">
        <is>
          <t>HILFSKONTAKTBLOCK</t>
        </is>
      </c>
      <c r="H2634" t="inlineStr">
        <is>
          <t>4S Last+Hilfssch. Cage</t>
        </is>
      </c>
      <c r="I2634">
        <v>450</v>
      </c>
      <c r="J2634">
        <f>GS05/16.6</f>
        <v>0</v>
      </c>
      <c r="M2634" t="inlineStr">
        <is>
          <t>-16K2</t>
        </is>
      </c>
    </row>
    <row r="2635">
      <c r="A2635">
        <v>2634</v>
      </c>
      <c r="B2635">
        <f>GS06</f>
        <v>0</v>
      </c>
      <c r="C2635" t="inlineStr">
        <is>
          <t>+ES02</t>
        </is>
      </c>
      <c r="D2635" t="inlineStr">
        <is>
          <t>-16K2</t>
        </is>
      </c>
      <c r="E2635" t="inlineStr">
        <is>
          <t>DILA-40</t>
        </is>
      </c>
      <c r="F2635" t="inlineStr">
        <is>
          <t>DILA-XHIC40</t>
        </is>
      </c>
      <c r="G2635" t="inlineStr">
        <is>
          <t>HILFSSCHUETZ</t>
        </is>
      </c>
      <c r="H2635" t="inlineStr">
        <is>
          <t>4S Federzugkl.</t>
        </is>
      </c>
      <c r="I2635">
        <v>450</v>
      </c>
      <c r="J2635">
        <f>GS06/16.6</f>
        <v>0</v>
      </c>
      <c r="M2635" t="inlineStr">
        <is>
          <t>-16K2</t>
        </is>
      </c>
    </row>
    <row r="2636">
      <c r="A2636">
        <v>2635</v>
      </c>
      <c r="B2636">
        <f>GS06</f>
        <v>0</v>
      </c>
      <c r="C2636" t="inlineStr">
        <is>
          <t>+ES02</t>
        </is>
      </c>
      <c r="D2636" t="inlineStr">
        <is>
          <t>-16K2</t>
        </is>
      </c>
      <c r="E2636" t="inlineStr">
        <is>
          <t>DILA-XHIC40</t>
        </is>
      </c>
      <c r="F2636" t="inlineStr">
        <is>
          <t>DILA-XHIC40</t>
        </is>
      </c>
      <c r="G2636" t="inlineStr">
        <is>
          <t>HILFSKONTAKTBLOCK</t>
        </is>
      </c>
      <c r="H2636" t="inlineStr">
        <is>
          <t>4S Last+Hilfssch. Cage</t>
        </is>
      </c>
      <c r="I2636">
        <v>450</v>
      </c>
      <c r="J2636">
        <f>GS06/16.6</f>
        <v>0</v>
      </c>
      <c r="M2636" t="inlineStr">
        <is>
          <t>-16K2</t>
        </is>
      </c>
    </row>
    <row r="2637">
      <c r="A2637">
        <v>2636</v>
      </c>
      <c r="B2637">
        <f>GS08</f>
        <v>0</v>
      </c>
      <c r="C2637" t="inlineStr">
        <is>
          <t>+ES02</t>
        </is>
      </c>
      <c r="D2637" t="inlineStr">
        <is>
          <t>-16K2</t>
        </is>
      </c>
      <c r="E2637" t="inlineStr">
        <is>
          <t>DILA-XHIC40</t>
        </is>
      </c>
      <c r="F2637" t="inlineStr">
        <is>
          <t>DILA-XHIC40</t>
        </is>
      </c>
      <c r="G2637" t="inlineStr">
        <is>
          <t>HILFSKONTAKTBLOCK</t>
        </is>
      </c>
      <c r="H2637" t="inlineStr">
        <is>
          <t>4S Last+Hilfssch. Cage</t>
        </is>
      </c>
      <c r="I2637">
        <v>450</v>
      </c>
      <c r="J2637">
        <f>GS08/16.6</f>
        <v>0</v>
      </c>
      <c r="M2637" t="inlineStr">
        <is>
          <t>-16K2</t>
        </is>
      </c>
    </row>
    <row r="2638">
      <c r="A2638">
        <v>2637</v>
      </c>
      <c r="B2638">
        <f>GS08</f>
        <v>0</v>
      </c>
      <c r="C2638" t="inlineStr">
        <is>
          <t>+ES02</t>
        </is>
      </c>
      <c r="D2638" t="inlineStr">
        <is>
          <t>-16K2</t>
        </is>
      </c>
      <c r="E2638" t="inlineStr">
        <is>
          <t>DILA-40</t>
        </is>
      </c>
      <c r="F2638" t="inlineStr">
        <is>
          <t>DILA-XHIC40</t>
        </is>
      </c>
      <c r="G2638" t="inlineStr">
        <is>
          <t>HILFSSCHUETZ</t>
        </is>
      </c>
      <c r="H2638" t="inlineStr">
        <is>
          <t>4S Federzugkl.</t>
        </is>
      </c>
      <c r="I2638">
        <v>450</v>
      </c>
      <c r="J2638">
        <f>GS08/16.6</f>
        <v>0</v>
      </c>
      <c r="M2638" t="inlineStr">
        <is>
          <t>-16K2</t>
        </is>
      </c>
    </row>
    <row r="2639">
      <c r="A2639">
        <v>2638</v>
      </c>
      <c r="B2639">
        <f>GS20</f>
        <v>0</v>
      </c>
      <c r="C2639" t="inlineStr">
        <is>
          <t>+ES02</t>
        </is>
      </c>
      <c r="D2639" t="inlineStr">
        <is>
          <t>-16K2</t>
        </is>
      </c>
      <c r="E2639" t="inlineStr">
        <is>
          <t>DILA-XHIC40</t>
        </is>
      </c>
      <c r="F2639" t="inlineStr">
        <is>
          <t>DILA-XHIC40</t>
        </is>
      </c>
      <c r="G2639" t="inlineStr">
        <is>
          <t>HILFSKONTAKTBLOCK</t>
        </is>
      </c>
      <c r="H2639" t="inlineStr">
        <is>
          <t>4S Last+Hilfssch. Cage</t>
        </is>
      </c>
      <c r="I2639">
        <v>450</v>
      </c>
      <c r="J2639">
        <f>GS20/16.6</f>
        <v>0</v>
      </c>
      <c r="M2639" t="inlineStr">
        <is>
          <t>-16K2</t>
        </is>
      </c>
    </row>
    <row r="2640">
      <c r="A2640">
        <v>2639</v>
      </c>
      <c r="B2640">
        <f>GS20</f>
        <v>0</v>
      </c>
      <c r="C2640" t="inlineStr">
        <is>
          <t>+ES02</t>
        </is>
      </c>
      <c r="D2640" t="inlineStr">
        <is>
          <t>-16K2</t>
        </is>
      </c>
      <c r="E2640" t="inlineStr">
        <is>
          <t>DILA-40</t>
        </is>
      </c>
      <c r="F2640" t="inlineStr">
        <is>
          <t>DILA-XHIC40</t>
        </is>
      </c>
      <c r="G2640" t="inlineStr">
        <is>
          <t>HILFSSCHUETZ</t>
        </is>
      </c>
      <c r="H2640" t="inlineStr">
        <is>
          <t>4S Federzugkl.</t>
        </is>
      </c>
      <c r="I2640">
        <v>450</v>
      </c>
      <c r="J2640">
        <f>GS20/16.6</f>
        <v>0</v>
      </c>
      <c r="M2640" t="inlineStr">
        <is>
          <t>-16K2</t>
        </is>
      </c>
    </row>
    <row r="2641">
      <c r="A2641">
        <v>2640</v>
      </c>
      <c r="B2641">
        <f>GS30</f>
        <v>0</v>
      </c>
      <c r="C2641" t="inlineStr">
        <is>
          <t>+ES02</t>
        </is>
      </c>
      <c r="D2641" t="inlineStr">
        <is>
          <t>-16K2</t>
        </is>
      </c>
      <c r="E2641" t="inlineStr">
        <is>
          <t>DILA-40</t>
        </is>
      </c>
      <c r="F2641" t="inlineStr">
        <is>
          <t>DILA-XHIC40</t>
        </is>
      </c>
      <c r="G2641" t="inlineStr">
        <is>
          <t>HILFSSCHUETZ</t>
        </is>
      </c>
      <c r="H2641" t="inlineStr">
        <is>
          <t>4S Federzugkl.</t>
        </is>
      </c>
      <c r="I2641">
        <v>450</v>
      </c>
      <c r="J2641">
        <f>GS30/16.6</f>
        <v>0</v>
      </c>
      <c r="M2641" t="inlineStr">
        <is>
          <t>-16K2</t>
        </is>
      </c>
    </row>
    <row r="2642">
      <c r="A2642">
        <v>2641</v>
      </c>
      <c r="B2642">
        <f>GS30</f>
        <v>0</v>
      </c>
      <c r="C2642" t="inlineStr">
        <is>
          <t>+ES02</t>
        </is>
      </c>
      <c r="D2642" t="inlineStr">
        <is>
          <t>-16K2</t>
        </is>
      </c>
      <c r="E2642" t="inlineStr">
        <is>
          <t>DILA-XHIC40</t>
        </is>
      </c>
      <c r="F2642" t="inlineStr">
        <is>
          <t>DILA-XHIC40</t>
        </is>
      </c>
      <c r="G2642" t="inlineStr">
        <is>
          <t>HILFSKONTAKTBLOCK</t>
        </is>
      </c>
      <c r="H2642" t="inlineStr">
        <is>
          <t>4S Last+Hilfssch. Cage</t>
        </is>
      </c>
      <c r="I2642">
        <v>450</v>
      </c>
      <c r="J2642">
        <f>GS30/16.6</f>
        <v>0</v>
      </c>
      <c r="M2642" t="inlineStr">
        <is>
          <t>-16K2</t>
        </is>
      </c>
    </row>
    <row r="2643">
      <c r="A2643">
        <v>2642</v>
      </c>
      <c r="B2643">
        <f>GS51</f>
        <v>0</v>
      </c>
      <c r="C2643" t="inlineStr">
        <is>
          <t>+ES02</t>
        </is>
      </c>
      <c r="D2643" t="inlineStr">
        <is>
          <t>-16K2</t>
        </is>
      </c>
      <c r="E2643" t="inlineStr">
        <is>
          <t>DILA-40</t>
        </is>
      </c>
      <c r="F2643" t="inlineStr">
        <is>
          <t>DILA-XHIC40</t>
        </is>
      </c>
      <c r="G2643" t="inlineStr">
        <is>
          <t>HILFSSCHUETZ</t>
        </is>
      </c>
      <c r="H2643" t="inlineStr">
        <is>
          <t>4S Federzugkl.</t>
        </is>
      </c>
      <c r="I2643">
        <v>190</v>
      </c>
      <c r="J2643">
        <f>GS51/16.6</f>
        <v>0</v>
      </c>
      <c r="M2643" t="inlineStr">
        <is>
          <t>-16K2</t>
        </is>
      </c>
    </row>
    <row r="2644">
      <c r="A2644">
        <v>2643</v>
      </c>
      <c r="B2644">
        <f>GS51</f>
        <v>0</v>
      </c>
      <c r="C2644" t="inlineStr">
        <is>
          <t>+ES02</t>
        </is>
      </c>
      <c r="D2644" t="inlineStr">
        <is>
          <t>-16K2</t>
        </is>
      </c>
      <c r="E2644" t="inlineStr">
        <is>
          <t>DILA-XHIC40</t>
        </is>
      </c>
      <c r="F2644" t="inlineStr">
        <is>
          <t>DILA-XHIC40</t>
        </is>
      </c>
      <c r="G2644" t="inlineStr">
        <is>
          <t>HILFSKONTAKTBLOCK</t>
        </is>
      </c>
      <c r="H2644" t="inlineStr">
        <is>
          <t>4S Last+Hilfssch. Cage</t>
        </is>
      </c>
      <c r="I2644">
        <v>190</v>
      </c>
      <c r="J2644">
        <f>GS51/16.6</f>
        <v>0</v>
      </c>
      <c r="M2644" t="inlineStr">
        <is>
          <t>-16K2</t>
        </is>
      </c>
    </row>
    <row r="2645">
      <c r="A2645">
        <v>2644</v>
      </c>
      <c r="B2645">
        <f>GS53</f>
        <v>0</v>
      </c>
      <c r="C2645" t="inlineStr">
        <is>
          <t>+ES02</t>
        </is>
      </c>
      <c r="D2645" t="inlineStr">
        <is>
          <t>-16K2</t>
        </is>
      </c>
      <c r="E2645" t="inlineStr">
        <is>
          <t>DILA-40</t>
        </is>
      </c>
      <c r="F2645" t="inlineStr">
        <is>
          <t>DILA-XHIC40</t>
        </is>
      </c>
      <c r="G2645" t="inlineStr">
        <is>
          <t>HILFSSCHUETZ</t>
        </is>
      </c>
      <c r="H2645" t="inlineStr">
        <is>
          <t>4S Federzugkl.</t>
        </is>
      </c>
      <c r="I2645">
        <v>216</v>
      </c>
      <c r="J2645">
        <f>GS53/16.6</f>
        <v>0</v>
      </c>
      <c r="M2645" t="inlineStr">
        <is>
          <t>-16K2</t>
        </is>
      </c>
    </row>
    <row r="2646">
      <c r="A2646">
        <v>2645</v>
      </c>
      <c r="B2646">
        <f>GS53</f>
        <v>0</v>
      </c>
      <c r="C2646" t="inlineStr">
        <is>
          <t>+ES02</t>
        </is>
      </c>
      <c r="D2646" t="inlineStr">
        <is>
          <t>-16K2</t>
        </is>
      </c>
      <c r="E2646" t="inlineStr">
        <is>
          <t>DILA-XHIC40</t>
        </is>
      </c>
      <c r="F2646" t="inlineStr">
        <is>
          <t>DILA-XHIC40</t>
        </is>
      </c>
      <c r="G2646" t="inlineStr">
        <is>
          <t>HILFSKONTAKTBLOCK</t>
        </is>
      </c>
      <c r="H2646" t="inlineStr">
        <is>
          <t>4S Last+Hilfssch. Cage</t>
        </is>
      </c>
      <c r="I2646">
        <v>216</v>
      </c>
      <c r="J2646">
        <f>GS53/16.6</f>
        <v>0</v>
      </c>
      <c r="M2646" t="inlineStr">
        <is>
          <t>-16K2</t>
        </is>
      </c>
    </row>
    <row r="2647">
      <c r="A2647">
        <v>2646</v>
      </c>
      <c r="B2647">
        <f>GS55</f>
        <v>0</v>
      </c>
      <c r="C2647" t="inlineStr">
        <is>
          <t>+ES02</t>
        </is>
      </c>
      <c r="D2647" t="inlineStr">
        <is>
          <t>-16K2</t>
        </is>
      </c>
      <c r="E2647" t="inlineStr">
        <is>
          <t>DILA-40</t>
        </is>
      </c>
      <c r="F2647" t="inlineStr">
        <is>
          <t>DILA-XHIC40</t>
        </is>
      </c>
      <c r="G2647" t="inlineStr">
        <is>
          <t>HILFSSCHUETZ</t>
        </is>
      </c>
      <c r="H2647" t="inlineStr">
        <is>
          <t>4S Federzugkl.</t>
        </is>
      </c>
      <c r="I2647">
        <v>241</v>
      </c>
      <c r="J2647">
        <f>GS55/16.5</f>
        <v>0</v>
      </c>
      <c r="M2647" t="inlineStr">
        <is>
          <t>-16K2</t>
        </is>
      </c>
    </row>
    <row r="2648">
      <c r="A2648">
        <v>2647</v>
      </c>
      <c r="B2648">
        <f>GS55</f>
        <v>0</v>
      </c>
      <c r="C2648" t="inlineStr">
        <is>
          <t>+ES02</t>
        </is>
      </c>
      <c r="D2648" t="inlineStr">
        <is>
          <t>-16K2</t>
        </is>
      </c>
      <c r="E2648" t="inlineStr">
        <is>
          <t>DILA-XHIC40</t>
        </is>
      </c>
      <c r="F2648" t="inlineStr">
        <is>
          <t>DILA-XHIC40</t>
        </is>
      </c>
      <c r="G2648" t="inlineStr">
        <is>
          <t>HILFSKONTAKTBLOCK</t>
        </is>
      </c>
      <c r="H2648" t="inlineStr">
        <is>
          <t>4S Last+Hilfssch. Cage</t>
        </is>
      </c>
      <c r="I2648">
        <v>241</v>
      </c>
      <c r="J2648">
        <f>GS55/16.5</f>
        <v>0</v>
      </c>
      <c r="M2648" t="inlineStr">
        <is>
          <t>-16K2</t>
        </is>
      </c>
    </row>
    <row r="2649">
      <c r="A2649">
        <v>2648</v>
      </c>
      <c r="B2649">
        <f>GS90</f>
        <v>0</v>
      </c>
      <c r="C2649" t="inlineStr">
        <is>
          <t>+ES01</t>
        </is>
      </c>
      <c r="D2649" t="inlineStr">
        <is>
          <t>-16K2</t>
        </is>
      </c>
      <c r="E2649" t="inlineStr">
        <is>
          <t>DILA-40</t>
        </is>
      </c>
      <c r="F2649" t="inlineStr">
        <is>
          <t>DILA-XHIC40</t>
        </is>
      </c>
      <c r="G2649" t="inlineStr">
        <is>
          <t>HILFSSCHUETZ</t>
        </is>
      </c>
      <c r="H2649" t="inlineStr">
        <is>
          <t>4S Federzugkl.</t>
        </is>
      </c>
      <c r="I2649">
        <v>156</v>
      </c>
      <c r="J2649">
        <f>GS90/16.6</f>
        <v>0</v>
      </c>
      <c r="M2649" t="inlineStr">
        <is>
          <t>-16K2</t>
        </is>
      </c>
    </row>
    <row r="2650">
      <c r="A2650">
        <v>2649</v>
      </c>
      <c r="B2650">
        <f>GS90</f>
        <v>0</v>
      </c>
      <c r="C2650" t="inlineStr">
        <is>
          <t>+ES01</t>
        </is>
      </c>
      <c r="D2650" t="inlineStr">
        <is>
          <t>-16K2</t>
        </is>
      </c>
      <c r="E2650" t="inlineStr">
        <is>
          <t>DILA-XHIC40</t>
        </is>
      </c>
      <c r="F2650" t="inlineStr">
        <is>
          <t>DILA-XHIC40</t>
        </is>
      </c>
      <c r="G2650" t="inlineStr">
        <is>
          <t>HILFSKONTAKTBLOCK</t>
        </is>
      </c>
      <c r="H2650" t="inlineStr">
        <is>
          <t>4S Last+Hilfssch. Cage</t>
        </is>
      </c>
      <c r="I2650">
        <v>156</v>
      </c>
      <c r="J2650">
        <f>GS90/16.6</f>
        <v>0</v>
      </c>
      <c r="M2650" t="inlineStr">
        <is>
          <t>-16K2</t>
        </is>
      </c>
    </row>
    <row r="2651">
      <c r="A2651">
        <v>2650</v>
      </c>
      <c r="B2651">
        <f>GS92</f>
        <v>0</v>
      </c>
      <c r="C2651" t="inlineStr">
        <is>
          <t>+ES02</t>
        </is>
      </c>
      <c r="D2651" t="inlineStr">
        <is>
          <t>-16K2</t>
        </is>
      </c>
      <c r="E2651" t="inlineStr">
        <is>
          <t>DILA-XHIC40</t>
        </is>
      </c>
      <c r="F2651" t="inlineStr">
        <is>
          <t>DILA-XHIC40</t>
        </is>
      </c>
      <c r="G2651" t="inlineStr">
        <is>
          <t>HILFSKONTAKTBLOCK</t>
        </is>
      </c>
      <c r="H2651" t="inlineStr">
        <is>
          <t>4S Last+Hilfssch. Cage</t>
        </is>
      </c>
      <c r="I2651">
        <v>156</v>
      </c>
      <c r="J2651">
        <f>GS92/16.6</f>
        <v>0</v>
      </c>
      <c r="M2651" t="inlineStr">
        <is>
          <t>-16K2</t>
        </is>
      </c>
    </row>
    <row r="2652">
      <c r="A2652">
        <v>2651</v>
      </c>
      <c r="B2652">
        <f>GS92</f>
        <v>0</v>
      </c>
      <c r="C2652" t="inlineStr">
        <is>
          <t>+ES02</t>
        </is>
      </c>
      <c r="D2652" t="inlineStr">
        <is>
          <t>-16K2</t>
        </is>
      </c>
      <c r="E2652" t="inlineStr">
        <is>
          <t>DILA-40</t>
        </is>
      </c>
      <c r="F2652" t="inlineStr">
        <is>
          <t>DILA-XHIC40</t>
        </is>
      </c>
      <c r="G2652" t="inlineStr">
        <is>
          <t>HILFSSCHUETZ</t>
        </is>
      </c>
      <c r="H2652" t="inlineStr">
        <is>
          <t>4S Federzugkl.</t>
        </is>
      </c>
      <c r="I2652">
        <v>156</v>
      </c>
      <c r="J2652">
        <f>GS92/16.6</f>
        <v>0</v>
      </c>
      <c r="M2652" t="inlineStr">
        <is>
          <t>-16K2</t>
        </is>
      </c>
    </row>
    <row r="2653">
      <c r="A2653">
        <v>2652</v>
      </c>
      <c r="B2653">
        <f>GS93</f>
        <v>0</v>
      </c>
      <c r="C2653" t="inlineStr">
        <is>
          <t>+ES02</t>
        </is>
      </c>
      <c r="D2653" t="inlineStr">
        <is>
          <t>-16K2</t>
        </is>
      </c>
      <c r="E2653" t="inlineStr">
        <is>
          <t>DILA-XHIC40</t>
        </is>
      </c>
      <c r="F2653" t="inlineStr">
        <is>
          <t>DILA-XHIC40</t>
        </is>
      </c>
      <c r="G2653" t="inlineStr">
        <is>
          <t>HILFSKONTAKTBLOCK</t>
        </is>
      </c>
      <c r="H2653" t="inlineStr">
        <is>
          <t>4S Last+Hilfssch. Cage</t>
        </is>
      </c>
      <c r="I2653">
        <v>580</v>
      </c>
      <c r="J2653">
        <f>GS93/16.6</f>
        <v>0</v>
      </c>
      <c r="M2653" t="inlineStr">
        <is>
          <t>-16K2</t>
        </is>
      </c>
    </row>
    <row r="2654">
      <c r="A2654">
        <v>2653</v>
      </c>
      <c r="B2654">
        <f>GS93</f>
        <v>0</v>
      </c>
      <c r="C2654" t="inlineStr">
        <is>
          <t>+ES02</t>
        </is>
      </c>
      <c r="D2654" t="inlineStr">
        <is>
          <t>-16K2</t>
        </is>
      </c>
      <c r="E2654" t="inlineStr">
        <is>
          <t>DILA-40</t>
        </is>
      </c>
      <c r="F2654" t="inlineStr">
        <is>
          <t>DILA-XHIC40</t>
        </is>
      </c>
      <c r="G2654" t="inlineStr">
        <is>
          <t>HILFSSCHUETZ</t>
        </is>
      </c>
      <c r="H2654" t="inlineStr">
        <is>
          <t>4S Federzugkl.</t>
        </is>
      </c>
      <c r="I2654">
        <v>580</v>
      </c>
      <c r="J2654">
        <f>GS93/16.6</f>
        <v>0</v>
      </c>
      <c r="M2654" t="inlineStr">
        <is>
          <t>-16K2</t>
        </is>
      </c>
    </row>
    <row r="2655">
      <c r="A2655">
        <v>2654</v>
      </c>
      <c r="B2655">
        <f>GS05</f>
        <v>0</v>
      </c>
      <c r="C2655" t="inlineStr">
        <is>
          <t>+ES02</t>
        </is>
      </c>
      <c r="D2655" t="inlineStr">
        <is>
          <t>-16K3</t>
        </is>
      </c>
      <c r="E2655" t="inlineStr">
        <is>
          <t>DILA-40</t>
        </is>
      </c>
      <c r="F2655" t="inlineStr">
        <is>
          <t>DILA-XHIC40</t>
        </is>
      </c>
      <c r="G2655" t="inlineStr">
        <is>
          <t>HILFSSCHUETZ</t>
        </is>
      </c>
      <c r="H2655" t="inlineStr">
        <is>
          <t>4S Federzugkl.</t>
        </is>
      </c>
      <c r="I2655">
        <v>450</v>
      </c>
      <c r="J2655">
        <f>GS05/16.6</f>
        <v>0</v>
      </c>
      <c r="M2655" t="inlineStr">
        <is>
          <t>-16K3</t>
        </is>
      </c>
    </row>
    <row r="2656">
      <c r="A2656">
        <v>2655</v>
      </c>
      <c r="B2656">
        <f>GS05</f>
        <v>0</v>
      </c>
      <c r="C2656" t="inlineStr">
        <is>
          <t>+ES02</t>
        </is>
      </c>
      <c r="D2656" t="inlineStr">
        <is>
          <t>-16K3</t>
        </is>
      </c>
      <c r="E2656" t="inlineStr">
        <is>
          <t>DILA-XHIC40</t>
        </is>
      </c>
      <c r="F2656" t="inlineStr">
        <is>
          <t>DILA-XHIC40</t>
        </is>
      </c>
      <c r="G2656" t="inlineStr">
        <is>
          <t>HILFSKONTAKTBLOCK</t>
        </is>
      </c>
      <c r="H2656" t="inlineStr">
        <is>
          <t>4S Last+Hilfssch. Cage</t>
        </is>
      </c>
      <c r="I2656">
        <v>450</v>
      </c>
      <c r="J2656">
        <f>GS05/16.6</f>
        <v>0</v>
      </c>
      <c r="M2656" t="inlineStr">
        <is>
          <t>-16K3</t>
        </is>
      </c>
    </row>
    <row r="2657">
      <c r="A2657">
        <v>2656</v>
      </c>
      <c r="B2657">
        <f>GS06</f>
        <v>0</v>
      </c>
      <c r="C2657" t="inlineStr">
        <is>
          <t>+ES02</t>
        </is>
      </c>
      <c r="D2657" t="inlineStr">
        <is>
          <t>-16K3</t>
        </is>
      </c>
      <c r="E2657" t="inlineStr">
        <is>
          <t>DILA-40</t>
        </is>
      </c>
      <c r="F2657" t="inlineStr">
        <is>
          <t>DILA-XHIC40</t>
        </is>
      </c>
      <c r="G2657" t="inlineStr">
        <is>
          <t>HILFSSCHUETZ</t>
        </is>
      </c>
      <c r="H2657" t="inlineStr">
        <is>
          <t>4S Federzugkl.</t>
        </is>
      </c>
      <c r="I2657">
        <v>450</v>
      </c>
      <c r="J2657">
        <f>GS06/16.6</f>
        <v>0</v>
      </c>
      <c r="M2657" t="inlineStr">
        <is>
          <t>-16K3</t>
        </is>
      </c>
    </row>
    <row r="2658">
      <c r="A2658">
        <v>2657</v>
      </c>
      <c r="B2658">
        <f>GS06</f>
        <v>0</v>
      </c>
      <c r="C2658" t="inlineStr">
        <is>
          <t>+ES02</t>
        </is>
      </c>
      <c r="D2658" t="inlineStr">
        <is>
          <t>-16K3</t>
        </is>
      </c>
      <c r="E2658" t="inlineStr">
        <is>
          <t>DILA-XHIC40</t>
        </is>
      </c>
      <c r="F2658" t="inlineStr">
        <is>
          <t>DILA-XHIC40</t>
        </is>
      </c>
      <c r="G2658" t="inlineStr">
        <is>
          <t>HILFSKONTAKTBLOCK</t>
        </is>
      </c>
      <c r="H2658" t="inlineStr">
        <is>
          <t>4S Last+Hilfssch. Cage</t>
        </is>
      </c>
      <c r="I2658">
        <v>450</v>
      </c>
      <c r="J2658">
        <f>GS06/16.6</f>
        <v>0</v>
      </c>
      <c r="M2658" t="inlineStr">
        <is>
          <t>-16K3</t>
        </is>
      </c>
    </row>
    <row r="2659">
      <c r="A2659">
        <v>2658</v>
      </c>
      <c r="B2659">
        <f>GS55</f>
        <v>0</v>
      </c>
      <c r="C2659" t="inlineStr">
        <is>
          <t>+ES02</t>
        </is>
      </c>
      <c r="D2659" t="inlineStr">
        <is>
          <t>-16K3</t>
        </is>
      </c>
      <c r="E2659" t="inlineStr">
        <is>
          <t>DILA-40</t>
        </is>
      </c>
      <c r="F2659" t="inlineStr">
        <is>
          <t>DILA-XHIC40</t>
        </is>
      </c>
      <c r="G2659" t="inlineStr">
        <is>
          <t>HILFSSCHUETZ</t>
        </is>
      </c>
      <c r="H2659" t="inlineStr">
        <is>
          <t>4S Federzugkl.</t>
        </is>
      </c>
      <c r="I2659">
        <v>241</v>
      </c>
      <c r="J2659">
        <f>GS55/16.6</f>
        <v>0</v>
      </c>
      <c r="M2659" t="inlineStr">
        <is>
          <t>-16K3</t>
        </is>
      </c>
    </row>
    <row r="2660">
      <c r="A2660">
        <v>2659</v>
      </c>
      <c r="B2660">
        <f>GS55</f>
        <v>0</v>
      </c>
      <c r="C2660" t="inlineStr">
        <is>
          <t>+ES02</t>
        </is>
      </c>
      <c r="D2660" t="inlineStr">
        <is>
          <t>-16K3</t>
        </is>
      </c>
      <c r="E2660" t="inlineStr">
        <is>
          <t>DILA-XHIC40</t>
        </is>
      </c>
      <c r="F2660" t="inlineStr">
        <is>
          <t>DILA-XHIC40</t>
        </is>
      </c>
      <c r="G2660" t="inlineStr">
        <is>
          <t>HILFSKONTAKTBLOCK</t>
        </is>
      </c>
      <c r="H2660" t="inlineStr">
        <is>
          <t>4S Last+Hilfssch. Cage</t>
        </is>
      </c>
      <c r="I2660">
        <v>241</v>
      </c>
      <c r="J2660">
        <f>GS55/16.6</f>
        <v>0</v>
      </c>
      <c r="M2660" t="inlineStr">
        <is>
          <t>-16K3</t>
        </is>
      </c>
    </row>
    <row r="2661">
      <c r="A2661">
        <v>2660</v>
      </c>
      <c r="B2661">
        <f>GS55</f>
        <v>0</v>
      </c>
      <c r="C2661" t="inlineStr">
        <is>
          <t>+ES02</t>
        </is>
      </c>
      <c r="D2661" t="inlineStr">
        <is>
          <t>-16K4</t>
        </is>
      </c>
      <c r="E2661" t="inlineStr">
        <is>
          <t>DILA-40</t>
        </is>
      </c>
      <c r="F2661" t="inlineStr">
        <is>
          <t>DILA-XHIC40</t>
        </is>
      </c>
      <c r="G2661" t="inlineStr">
        <is>
          <t>HILFSSCHUETZ</t>
        </is>
      </c>
      <c r="H2661" t="inlineStr">
        <is>
          <t>4S Federzugkl.</t>
        </is>
      </c>
      <c r="I2661">
        <v>241</v>
      </c>
      <c r="J2661">
        <f>GS55/16.6</f>
        <v>0</v>
      </c>
      <c r="M2661" t="inlineStr">
        <is>
          <t>-16K4</t>
        </is>
      </c>
    </row>
    <row r="2662">
      <c r="A2662">
        <v>2661</v>
      </c>
      <c r="B2662">
        <f>GS55</f>
        <v>0</v>
      </c>
      <c r="C2662" t="inlineStr">
        <is>
          <t>+ES02</t>
        </is>
      </c>
      <c r="D2662" t="inlineStr">
        <is>
          <t>-16K4</t>
        </is>
      </c>
      <c r="E2662" t="inlineStr">
        <is>
          <t>DILA-XHIC40</t>
        </is>
      </c>
      <c r="F2662" t="inlineStr">
        <is>
          <t>DILA-XHIC40</t>
        </is>
      </c>
      <c r="G2662" t="inlineStr">
        <is>
          <t>HILFSKONTAKTBLOCK</t>
        </is>
      </c>
      <c r="H2662" t="inlineStr">
        <is>
          <t>4S Last+Hilfssch. Cage</t>
        </is>
      </c>
      <c r="I2662">
        <v>241</v>
      </c>
      <c r="J2662">
        <f>GS55/16.6</f>
        <v>0</v>
      </c>
      <c r="M2662" t="inlineStr">
        <is>
          <t>-16K4</t>
        </is>
      </c>
    </row>
    <row r="2663">
      <c r="A2663">
        <v>2662</v>
      </c>
      <c r="B2663">
        <f>GC03</f>
        <v>0</v>
      </c>
      <c r="C2663" t="inlineStr">
        <is>
          <t>+ES1</t>
        </is>
      </c>
      <c r="D2663" t="inlineStr">
        <is>
          <t>-16K4.1</t>
        </is>
      </c>
      <c r="E2663" t="inlineStr">
        <is>
          <t>DIL_ER-40-G</t>
        </is>
      </c>
      <c r="F2663" t="inlineStr">
        <is>
          <t>40_DIL-E</t>
        </is>
      </c>
      <c r="G2663" t="inlineStr">
        <is>
          <t>HILFSSCHUETZ</t>
        </is>
      </c>
      <c r="H2663" t="inlineStr">
        <is>
          <t>4S</t>
        </is>
      </c>
      <c r="I2663">
        <v>262</v>
      </c>
      <c r="J2663">
        <f>GC03/16.5</f>
        <v>0</v>
      </c>
      <c r="M2663" t="inlineStr">
        <is>
          <t>-16K4.1</t>
        </is>
      </c>
    </row>
    <row r="2664">
      <c r="A2664">
        <v>2663</v>
      </c>
      <c r="B2664">
        <f>GC03</f>
        <v>0</v>
      </c>
      <c r="C2664" t="inlineStr">
        <is>
          <t>+ES1</t>
        </is>
      </c>
      <c r="D2664" t="inlineStr">
        <is>
          <t>-16K4.1</t>
        </is>
      </c>
      <c r="E2664" t="inlineStr">
        <is>
          <t>40_DIL-E</t>
        </is>
      </c>
      <c r="F2664" t="inlineStr">
        <is>
          <t>40_DIL-E</t>
        </is>
      </c>
      <c r="G2664" t="inlineStr">
        <is>
          <t>HILFSKONTAKTBLOCK</t>
        </is>
      </c>
      <c r="H2664" t="inlineStr">
        <is>
          <t>4S Last+Hilfsschuetz</t>
        </is>
      </c>
      <c r="I2664">
        <v>262</v>
      </c>
      <c r="J2664">
        <f>GC03/16.5</f>
        <v>0</v>
      </c>
      <c r="M2664" t="inlineStr">
        <is>
          <t>-16K4.1</t>
        </is>
      </c>
    </row>
    <row r="2665">
      <c r="A2665">
        <v>2664</v>
      </c>
      <c r="B2665">
        <f>GS01</f>
        <v>0</v>
      </c>
      <c r="C2665" t="inlineStr">
        <is>
          <t>+ES1</t>
        </is>
      </c>
      <c r="D2665" t="inlineStr">
        <is>
          <t>-16K4.1</t>
        </is>
      </c>
      <c r="E2665" t="inlineStr">
        <is>
          <t>DIL_ER-40-G</t>
        </is>
      </c>
      <c r="F2665" t="inlineStr">
        <is>
          <t>40_DIL-E</t>
        </is>
      </c>
      <c r="G2665" t="inlineStr">
        <is>
          <t>HILFSSCHUETZ</t>
        </is>
      </c>
      <c r="H2665" t="inlineStr">
        <is>
          <t>4S</t>
        </is>
      </c>
      <c r="I2665">
        <v>105</v>
      </c>
      <c r="J2665">
        <f>GS01/16.5</f>
        <v>0</v>
      </c>
      <c r="M2665" t="inlineStr">
        <is>
          <t>-16K4.1</t>
        </is>
      </c>
    </row>
    <row r="2666">
      <c r="A2666">
        <v>2665</v>
      </c>
      <c r="B2666">
        <f>GS01</f>
        <v>0</v>
      </c>
      <c r="C2666" t="inlineStr">
        <is>
          <t>+ES1</t>
        </is>
      </c>
      <c r="D2666" t="inlineStr">
        <is>
          <t>-16K4.1</t>
        </is>
      </c>
      <c r="E2666" t="inlineStr">
        <is>
          <t>40_DIL-E</t>
        </is>
      </c>
      <c r="F2666" t="inlineStr">
        <is>
          <t>40_DIL-E</t>
        </is>
      </c>
      <c r="G2666" t="inlineStr">
        <is>
          <t>HILFSKONTAKTBLOCK</t>
        </is>
      </c>
      <c r="H2666" t="inlineStr">
        <is>
          <t>4S Last+Hilfsschuetz</t>
        </is>
      </c>
      <c r="I2666">
        <v>105</v>
      </c>
      <c r="J2666">
        <f>GS01/16.5</f>
        <v>0</v>
      </c>
      <c r="M2666" t="inlineStr">
        <is>
          <t>-16K4.1</t>
        </is>
      </c>
    </row>
    <row r="2667">
      <c r="A2667">
        <v>2666</v>
      </c>
      <c r="B2667">
        <f>GS02</f>
        <v>0</v>
      </c>
      <c r="C2667" t="inlineStr">
        <is>
          <t>+ES1</t>
        </is>
      </c>
      <c r="D2667" t="inlineStr">
        <is>
          <t>-16K4.1</t>
        </is>
      </c>
      <c r="E2667" t="inlineStr">
        <is>
          <t>DIL_ER-40-G</t>
        </is>
      </c>
      <c r="F2667" t="inlineStr">
        <is>
          <t>40_DIL-E</t>
        </is>
      </c>
      <c r="G2667" t="inlineStr">
        <is>
          <t>HILFSSCHUETZ</t>
        </is>
      </c>
      <c r="H2667" t="inlineStr">
        <is>
          <t>4S</t>
        </is>
      </c>
      <c r="I2667">
        <v>407</v>
      </c>
      <c r="J2667">
        <f>GS02/16.5</f>
        <v>0</v>
      </c>
      <c r="M2667" t="inlineStr">
        <is>
          <t>-16K4.1</t>
        </is>
      </c>
    </row>
    <row r="2668">
      <c r="A2668">
        <v>2667</v>
      </c>
      <c r="B2668">
        <f>GS02</f>
        <v>0</v>
      </c>
      <c r="C2668" t="inlineStr">
        <is>
          <t>+ES1</t>
        </is>
      </c>
      <c r="D2668" t="inlineStr">
        <is>
          <t>-16K4.1</t>
        </is>
      </c>
      <c r="E2668" t="inlineStr">
        <is>
          <t>40_DIL-E</t>
        </is>
      </c>
      <c r="F2668" t="inlineStr">
        <is>
          <t>40_DIL-E</t>
        </is>
      </c>
      <c r="G2668" t="inlineStr">
        <is>
          <t>HILFSKONTAKTBLOCK</t>
        </is>
      </c>
      <c r="H2668" t="inlineStr">
        <is>
          <t>4S Last+Hilfsschuetz</t>
        </is>
      </c>
      <c r="I2668">
        <v>407</v>
      </c>
      <c r="J2668">
        <f>GS02/16.5</f>
        <v>0</v>
      </c>
      <c r="M2668" t="inlineStr">
        <is>
          <t>-16K4.1</t>
        </is>
      </c>
    </row>
    <row r="2669">
      <c r="A2669">
        <v>2668</v>
      </c>
      <c r="B2669">
        <f>GS04</f>
        <v>0</v>
      </c>
      <c r="C2669" t="inlineStr">
        <is>
          <t>+ES1</t>
        </is>
      </c>
      <c r="D2669" t="inlineStr">
        <is>
          <t>-16K4.1</t>
        </is>
      </c>
      <c r="E2669" t="inlineStr">
        <is>
          <t>DIL_ER-40-G</t>
        </is>
      </c>
      <c r="F2669" t="inlineStr">
        <is>
          <t>40_DIL-E</t>
        </is>
      </c>
      <c r="G2669" t="inlineStr">
        <is>
          <t>HILFSSCHUETZ</t>
        </is>
      </c>
      <c r="H2669" t="inlineStr">
        <is>
          <t>4S</t>
        </is>
      </c>
      <c r="I2669">
        <v>260</v>
      </c>
      <c r="J2669">
        <f>GS04/16.5</f>
        <v>0</v>
      </c>
      <c r="M2669" t="inlineStr">
        <is>
          <t>-16K4.1</t>
        </is>
      </c>
    </row>
    <row r="2670">
      <c r="A2670">
        <v>2669</v>
      </c>
      <c r="B2670">
        <f>GS04</f>
        <v>0</v>
      </c>
      <c r="C2670" t="inlineStr">
        <is>
          <t>+ES1</t>
        </is>
      </c>
      <c r="D2670" t="inlineStr">
        <is>
          <t>-16K4.1</t>
        </is>
      </c>
      <c r="E2670" t="inlineStr">
        <is>
          <t>40_DIL-E</t>
        </is>
      </c>
      <c r="F2670" t="inlineStr">
        <is>
          <t>40_DIL-E</t>
        </is>
      </c>
      <c r="G2670" t="inlineStr">
        <is>
          <t>HILFSKONTAKTBLOCK</t>
        </is>
      </c>
      <c r="H2670" t="inlineStr">
        <is>
          <t>4S Last+Hilfsschuetz</t>
        </is>
      </c>
      <c r="I2670">
        <v>260</v>
      </c>
      <c r="J2670">
        <f>GS04/16.5</f>
        <v>0</v>
      </c>
      <c r="M2670" t="inlineStr">
        <is>
          <t>-16K4.1</t>
        </is>
      </c>
    </row>
    <row r="2671">
      <c r="A2671">
        <v>2670</v>
      </c>
      <c r="B2671">
        <f>GS05</f>
        <v>0</v>
      </c>
      <c r="C2671" t="inlineStr">
        <is>
          <t>+ES02</t>
        </is>
      </c>
      <c r="D2671" t="inlineStr">
        <is>
          <t>-16K4.1</t>
        </is>
      </c>
      <c r="E2671" t="inlineStr">
        <is>
          <t>DILA-40</t>
        </is>
      </c>
      <c r="F2671" t="inlineStr">
        <is>
          <t>DILA-XHIC40</t>
        </is>
      </c>
      <c r="G2671" t="inlineStr">
        <is>
          <t>HILFSSCHUETZ</t>
        </is>
      </c>
      <c r="H2671" t="inlineStr">
        <is>
          <t>4S Federzugkl.</t>
        </is>
      </c>
      <c r="I2671">
        <v>450</v>
      </c>
      <c r="J2671">
        <f>GS05/16.4</f>
        <v>0</v>
      </c>
      <c r="M2671" t="inlineStr">
        <is>
          <t>-16K4.1</t>
        </is>
      </c>
    </row>
    <row r="2672">
      <c r="A2672">
        <v>2671</v>
      </c>
      <c r="B2672">
        <f>GS05</f>
        <v>0</v>
      </c>
      <c r="C2672" t="inlineStr">
        <is>
          <t>+ES02</t>
        </is>
      </c>
      <c r="D2672" t="inlineStr">
        <is>
          <t>-16K4.1</t>
        </is>
      </c>
      <c r="E2672" t="inlineStr">
        <is>
          <t>DILA-XHIC40</t>
        </is>
      </c>
      <c r="F2672" t="inlineStr">
        <is>
          <t>DILA-XHIC40</t>
        </is>
      </c>
      <c r="G2672" t="inlineStr">
        <is>
          <t>HILFSKONTAKTBLOCK</t>
        </is>
      </c>
      <c r="H2672" t="inlineStr">
        <is>
          <t>4S Last+Hilfssch. Cage</t>
        </is>
      </c>
      <c r="I2672">
        <v>450</v>
      </c>
      <c r="J2672">
        <f>GS05/16.4</f>
        <v>0</v>
      </c>
      <c r="M2672" t="inlineStr">
        <is>
          <t>-16K4.1</t>
        </is>
      </c>
    </row>
    <row r="2673">
      <c r="A2673">
        <v>2672</v>
      </c>
      <c r="B2673">
        <f>GS06</f>
        <v>0</v>
      </c>
      <c r="C2673" t="inlineStr">
        <is>
          <t>+ES02</t>
        </is>
      </c>
      <c r="D2673" t="inlineStr">
        <is>
          <t>-16K4.1</t>
        </is>
      </c>
      <c r="E2673" t="inlineStr">
        <is>
          <t>DILA-40</t>
        </is>
      </c>
      <c r="F2673" t="inlineStr">
        <is>
          <t>DILA-XHIC40</t>
        </is>
      </c>
      <c r="G2673" t="inlineStr">
        <is>
          <t>HILFSSCHUETZ</t>
        </is>
      </c>
      <c r="H2673" t="inlineStr">
        <is>
          <t>4S Federzugkl.</t>
        </is>
      </c>
      <c r="I2673">
        <v>450</v>
      </c>
      <c r="J2673">
        <f>GS06/16.4</f>
        <v>0</v>
      </c>
      <c r="M2673" t="inlineStr">
        <is>
          <t>-16K4.1</t>
        </is>
      </c>
    </row>
    <row r="2674">
      <c r="A2674">
        <v>2673</v>
      </c>
      <c r="B2674">
        <f>GS06</f>
        <v>0</v>
      </c>
      <c r="C2674" t="inlineStr">
        <is>
          <t>+ES02</t>
        </is>
      </c>
      <c r="D2674" t="inlineStr">
        <is>
          <t>-16K4.1</t>
        </is>
      </c>
      <c r="E2674" t="inlineStr">
        <is>
          <t>DILA-XHIC40</t>
        </is>
      </c>
      <c r="F2674" t="inlineStr">
        <is>
          <t>DILA-XHIC40</t>
        </is>
      </c>
      <c r="G2674" t="inlineStr">
        <is>
          <t>HILFSKONTAKTBLOCK</t>
        </is>
      </c>
      <c r="H2674" t="inlineStr">
        <is>
          <t>4S Last+Hilfssch. Cage</t>
        </is>
      </c>
      <c r="I2674">
        <v>450</v>
      </c>
      <c r="J2674">
        <f>GS06/16.4</f>
        <v>0</v>
      </c>
      <c r="M2674" t="inlineStr">
        <is>
          <t>-16K4.1</t>
        </is>
      </c>
    </row>
    <row r="2675">
      <c r="A2675">
        <v>2674</v>
      </c>
      <c r="B2675">
        <f>GS07</f>
        <v>0</v>
      </c>
      <c r="C2675" t="inlineStr">
        <is>
          <t>+ES02</t>
        </is>
      </c>
      <c r="D2675" t="inlineStr">
        <is>
          <t>-16K4.1</t>
        </is>
      </c>
      <c r="E2675" t="inlineStr">
        <is>
          <t>DILA-XHIC40</t>
        </is>
      </c>
      <c r="F2675" t="inlineStr">
        <is>
          <t>DILA-XHIC40</t>
        </is>
      </c>
      <c r="G2675" t="inlineStr">
        <is>
          <t>HILFSKONTAKTBLOCK</t>
        </is>
      </c>
      <c r="H2675" t="inlineStr">
        <is>
          <t>4S Last+Hilfssch. Cage</t>
        </is>
      </c>
      <c r="I2675">
        <v>189</v>
      </c>
      <c r="J2675">
        <f>GS07/16.4</f>
        <v>0</v>
      </c>
      <c r="M2675" t="inlineStr">
        <is>
          <t>-16K4.1</t>
        </is>
      </c>
    </row>
    <row r="2676">
      <c r="A2676">
        <v>2675</v>
      </c>
      <c r="B2676">
        <f>GS07</f>
        <v>0</v>
      </c>
      <c r="C2676" t="inlineStr">
        <is>
          <t>+ES02</t>
        </is>
      </c>
      <c r="D2676" t="inlineStr">
        <is>
          <t>-16K4.1</t>
        </is>
      </c>
      <c r="E2676" t="inlineStr">
        <is>
          <t>DILA-40</t>
        </is>
      </c>
      <c r="F2676" t="inlineStr">
        <is>
          <t>DILA-XHIC40</t>
        </is>
      </c>
      <c r="G2676" t="inlineStr">
        <is>
          <t>HILFSSCHUETZ</t>
        </is>
      </c>
      <c r="H2676" t="inlineStr">
        <is>
          <t>4S Federzugkl.</t>
        </is>
      </c>
      <c r="I2676">
        <v>189</v>
      </c>
      <c r="J2676">
        <f>GS07/16.4</f>
        <v>0</v>
      </c>
      <c r="M2676" t="inlineStr">
        <is>
          <t>-16K4.1</t>
        </is>
      </c>
    </row>
    <row r="2677">
      <c r="A2677">
        <v>2676</v>
      </c>
      <c r="B2677">
        <f>GS08</f>
        <v>0</v>
      </c>
      <c r="C2677" t="inlineStr">
        <is>
          <t>+ES02</t>
        </is>
      </c>
      <c r="D2677" t="inlineStr">
        <is>
          <t>-16K4.1</t>
        </is>
      </c>
      <c r="E2677" t="inlineStr">
        <is>
          <t>DILA-XHIC40</t>
        </is>
      </c>
      <c r="F2677" t="inlineStr">
        <is>
          <t>DILA-XHIC40</t>
        </is>
      </c>
      <c r="G2677" t="inlineStr">
        <is>
          <t>HILFSKONTAKTBLOCK</t>
        </is>
      </c>
      <c r="H2677" t="inlineStr">
        <is>
          <t>4S Last+Hilfssch. Cage</t>
        </is>
      </c>
      <c r="I2677">
        <v>450</v>
      </c>
      <c r="J2677">
        <f>GS08/16.4</f>
        <v>0</v>
      </c>
      <c r="M2677" t="inlineStr">
        <is>
          <t>-16K4.1</t>
        </is>
      </c>
    </row>
    <row r="2678">
      <c r="A2678">
        <v>2677</v>
      </c>
      <c r="B2678">
        <f>GS08</f>
        <v>0</v>
      </c>
      <c r="C2678" t="inlineStr">
        <is>
          <t>+ES02</t>
        </is>
      </c>
      <c r="D2678" t="inlineStr">
        <is>
          <t>-16K4.1</t>
        </is>
      </c>
      <c r="E2678" t="inlineStr">
        <is>
          <t>DILA-40</t>
        </is>
      </c>
      <c r="F2678" t="inlineStr">
        <is>
          <t>DILA-XHIC40</t>
        </is>
      </c>
      <c r="G2678" t="inlineStr">
        <is>
          <t>HILFSSCHUETZ</t>
        </is>
      </c>
      <c r="H2678" t="inlineStr">
        <is>
          <t>4S Federzugkl.</t>
        </is>
      </c>
      <c r="I2678">
        <v>450</v>
      </c>
      <c r="J2678">
        <f>GS08/16.4</f>
        <v>0</v>
      </c>
      <c r="M2678" t="inlineStr">
        <is>
          <t>-16K4.1</t>
        </is>
      </c>
    </row>
    <row r="2679">
      <c r="A2679">
        <v>2678</v>
      </c>
      <c r="B2679">
        <f>GS11</f>
        <v>0</v>
      </c>
      <c r="C2679" t="inlineStr">
        <is>
          <t>+ES1</t>
        </is>
      </c>
      <c r="D2679" t="inlineStr">
        <is>
          <t>-16K4.1</t>
        </is>
      </c>
      <c r="E2679" t="inlineStr">
        <is>
          <t>DIL_ER-40-G</t>
        </is>
      </c>
      <c r="F2679" t="inlineStr">
        <is>
          <t>40_DIL-E</t>
        </is>
      </c>
      <c r="G2679" t="inlineStr">
        <is>
          <t>HILFSSCHUETZ</t>
        </is>
      </c>
      <c r="H2679" t="inlineStr">
        <is>
          <t>4S</t>
        </is>
      </c>
      <c r="I2679">
        <v>108</v>
      </c>
      <c r="J2679">
        <f>GS11/16.6</f>
        <v>0</v>
      </c>
      <c r="M2679" t="inlineStr">
        <is>
          <t>-16K4.1</t>
        </is>
      </c>
    </row>
    <row r="2680">
      <c r="A2680">
        <v>2679</v>
      </c>
      <c r="B2680">
        <f>GS11</f>
        <v>0</v>
      </c>
      <c r="C2680" t="inlineStr">
        <is>
          <t>+ES1</t>
        </is>
      </c>
      <c r="D2680" t="inlineStr">
        <is>
          <t>-16K4.1</t>
        </is>
      </c>
      <c r="E2680" t="inlineStr">
        <is>
          <t>40_DIL-E</t>
        </is>
      </c>
      <c r="F2680" t="inlineStr">
        <is>
          <t>40_DIL-E</t>
        </is>
      </c>
      <c r="G2680" t="inlineStr">
        <is>
          <t>HILFSKONTAKTBLOCK</t>
        </is>
      </c>
      <c r="H2680" t="inlineStr">
        <is>
          <t>4S Last+Hilfsschuetz</t>
        </is>
      </c>
      <c r="I2680">
        <v>108</v>
      </c>
      <c r="J2680">
        <f>GS11/16.6</f>
        <v>0</v>
      </c>
      <c r="M2680" t="inlineStr">
        <is>
          <t>-16K4.1</t>
        </is>
      </c>
    </row>
    <row r="2681">
      <c r="A2681">
        <v>2680</v>
      </c>
      <c r="B2681">
        <f>GS13</f>
        <v>0</v>
      </c>
      <c r="C2681" t="inlineStr">
        <is>
          <t>+ES1</t>
        </is>
      </c>
      <c r="D2681" t="inlineStr">
        <is>
          <t>-16K4.1</t>
        </is>
      </c>
      <c r="E2681" t="inlineStr">
        <is>
          <t>40_DIL-E</t>
        </is>
      </c>
      <c r="F2681" t="inlineStr">
        <is>
          <t>40_DIL-E</t>
        </is>
      </c>
      <c r="G2681" t="inlineStr">
        <is>
          <t>HILFSKONTAKTBLOCK</t>
        </is>
      </c>
      <c r="H2681" t="inlineStr">
        <is>
          <t>4S Last+Hilfsschuetz</t>
        </is>
      </c>
      <c r="I2681">
        <v>244</v>
      </c>
      <c r="J2681">
        <f>GS13/16.5</f>
        <v>0</v>
      </c>
      <c r="M2681" t="inlineStr">
        <is>
          <t>-16K4.1</t>
        </is>
      </c>
    </row>
    <row r="2682">
      <c r="A2682">
        <v>2681</v>
      </c>
      <c r="B2682">
        <f>GS13</f>
        <v>0</v>
      </c>
      <c r="C2682" t="inlineStr">
        <is>
          <t>+ES1</t>
        </is>
      </c>
      <c r="D2682" t="inlineStr">
        <is>
          <t>-16K4.1</t>
        </is>
      </c>
      <c r="E2682" t="inlineStr">
        <is>
          <t>DIL_ER-40-G</t>
        </is>
      </c>
      <c r="F2682" t="inlineStr">
        <is>
          <t>40_DIL-E</t>
        </is>
      </c>
      <c r="G2682" t="inlineStr">
        <is>
          <t>HILFSSCHUETZ</t>
        </is>
      </c>
      <c r="H2682" t="inlineStr">
        <is>
          <t>4S</t>
        </is>
      </c>
      <c r="I2682">
        <v>244</v>
      </c>
      <c r="J2682">
        <f>GS13/16.5</f>
        <v>0</v>
      </c>
      <c r="M2682" t="inlineStr">
        <is>
          <t>-16K4.1</t>
        </is>
      </c>
    </row>
    <row r="2683">
      <c r="A2683">
        <v>2682</v>
      </c>
      <c r="B2683">
        <f>GS14</f>
        <v>0</v>
      </c>
      <c r="C2683" t="inlineStr">
        <is>
          <t>+ES1</t>
        </is>
      </c>
      <c r="D2683" t="inlineStr">
        <is>
          <t>-16K4.1</t>
        </is>
      </c>
      <c r="E2683" t="inlineStr">
        <is>
          <t>40_DIL-E</t>
        </is>
      </c>
      <c r="F2683" t="inlineStr">
        <is>
          <t>40_DIL-E</t>
        </is>
      </c>
      <c r="G2683" t="inlineStr">
        <is>
          <t>HILFSKONTAKTBLOCK</t>
        </is>
      </c>
      <c r="H2683" t="inlineStr">
        <is>
          <t>4S Last+Hilfsschuetz</t>
        </is>
      </c>
      <c r="I2683">
        <v>141</v>
      </c>
      <c r="J2683">
        <f>GS14/16.5</f>
        <v>0</v>
      </c>
      <c r="M2683" t="inlineStr">
        <is>
          <t>-16K4.1</t>
        </is>
      </c>
    </row>
    <row r="2684">
      <c r="A2684">
        <v>2683</v>
      </c>
      <c r="B2684">
        <f>GS14</f>
        <v>0</v>
      </c>
      <c r="C2684" t="inlineStr">
        <is>
          <t>+ES1</t>
        </is>
      </c>
      <c r="D2684" t="inlineStr">
        <is>
          <t>-16K4.1</t>
        </is>
      </c>
      <c r="E2684" t="inlineStr">
        <is>
          <t>DIL_ER-40-G</t>
        </is>
      </c>
      <c r="F2684" t="inlineStr">
        <is>
          <t>40_DIL-E</t>
        </is>
      </c>
      <c r="G2684" t="inlineStr">
        <is>
          <t>HILFSSCHUETZ</t>
        </is>
      </c>
      <c r="H2684" t="inlineStr">
        <is>
          <t>4S</t>
        </is>
      </c>
      <c r="I2684">
        <v>141</v>
      </c>
      <c r="J2684">
        <f>GS14/16.5</f>
        <v>0</v>
      </c>
      <c r="M2684" t="inlineStr">
        <is>
          <t>-16K4.1</t>
        </is>
      </c>
    </row>
    <row r="2685">
      <c r="A2685">
        <v>2684</v>
      </c>
      <c r="B2685">
        <f>GS15</f>
        <v>0</v>
      </c>
      <c r="C2685" t="inlineStr">
        <is>
          <t>+ES1</t>
        </is>
      </c>
      <c r="D2685" t="inlineStr">
        <is>
          <t>-16K4.1</t>
        </is>
      </c>
      <c r="E2685" t="inlineStr">
        <is>
          <t>DIL_ER-40-G</t>
        </is>
      </c>
      <c r="F2685" t="inlineStr">
        <is>
          <t>40_DIL-E</t>
        </is>
      </c>
      <c r="G2685" t="inlineStr">
        <is>
          <t>HILFSSCHUETZ</t>
        </is>
      </c>
      <c r="H2685" t="inlineStr">
        <is>
          <t>4S</t>
        </is>
      </c>
      <c r="I2685">
        <v>500</v>
      </c>
      <c r="J2685">
        <f>GS15/16.5</f>
        <v>0</v>
      </c>
      <c r="M2685" t="inlineStr">
        <is>
          <t>-16K4.1</t>
        </is>
      </c>
    </row>
    <row r="2686">
      <c r="A2686">
        <v>2685</v>
      </c>
      <c r="B2686">
        <f>GS15</f>
        <v>0</v>
      </c>
      <c r="C2686" t="inlineStr">
        <is>
          <t>+ES1</t>
        </is>
      </c>
      <c r="D2686" t="inlineStr">
        <is>
          <t>-16K4.1</t>
        </is>
      </c>
      <c r="E2686" t="inlineStr">
        <is>
          <t>40_DIL-E</t>
        </is>
      </c>
      <c r="F2686" t="inlineStr">
        <is>
          <t>40_DIL-E</t>
        </is>
      </c>
      <c r="G2686" t="inlineStr">
        <is>
          <t>HILFSKONTAKTBLOCK</t>
        </is>
      </c>
      <c r="H2686" t="inlineStr">
        <is>
          <t>4S Last+Hilfsschuetz</t>
        </is>
      </c>
      <c r="I2686">
        <v>500</v>
      </c>
      <c r="J2686">
        <f>GS15/16.5</f>
        <v>0</v>
      </c>
      <c r="M2686" t="inlineStr">
        <is>
          <t>-16K4.1</t>
        </is>
      </c>
    </row>
    <row r="2687">
      <c r="A2687">
        <v>2686</v>
      </c>
      <c r="B2687">
        <f>GS20</f>
        <v>0</v>
      </c>
      <c r="C2687" t="inlineStr">
        <is>
          <t>+ES02</t>
        </is>
      </c>
      <c r="D2687" t="inlineStr">
        <is>
          <t>-16K4.1</t>
        </is>
      </c>
      <c r="E2687" t="inlineStr">
        <is>
          <t>DILA-XHIC40</t>
        </is>
      </c>
      <c r="F2687" t="inlineStr">
        <is>
          <t>DILA-XHIC40</t>
        </is>
      </c>
      <c r="G2687" t="inlineStr">
        <is>
          <t>HILFSKONTAKTBLOCK</t>
        </is>
      </c>
      <c r="H2687" t="inlineStr">
        <is>
          <t>4S Last+Hilfssch. Cage</t>
        </is>
      </c>
      <c r="I2687">
        <v>450</v>
      </c>
      <c r="J2687">
        <f>GS20/16.4</f>
        <v>0</v>
      </c>
      <c r="M2687" t="inlineStr">
        <is>
          <t>-16K4.1</t>
        </is>
      </c>
    </row>
    <row r="2688">
      <c r="A2688">
        <v>2687</v>
      </c>
      <c r="B2688">
        <f>GS20</f>
        <v>0</v>
      </c>
      <c r="C2688" t="inlineStr">
        <is>
          <t>+ES02</t>
        </is>
      </c>
      <c r="D2688" t="inlineStr">
        <is>
          <t>-16K4.1</t>
        </is>
      </c>
      <c r="E2688" t="inlineStr">
        <is>
          <t>DILA-40</t>
        </is>
      </c>
      <c r="F2688" t="inlineStr">
        <is>
          <t>DILA-XHIC40</t>
        </is>
      </c>
      <c r="G2688" t="inlineStr">
        <is>
          <t>HILFSSCHUETZ</t>
        </is>
      </c>
      <c r="H2688" t="inlineStr">
        <is>
          <t>4S Federzugkl.</t>
        </is>
      </c>
      <c r="I2688">
        <v>450</v>
      </c>
      <c r="J2688">
        <f>GS20/16.4</f>
        <v>0</v>
      </c>
      <c r="M2688" t="inlineStr">
        <is>
          <t>-16K4.1</t>
        </is>
      </c>
    </row>
    <row r="2689">
      <c r="A2689">
        <v>2688</v>
      </c>
      <c r="B2689">
        <f>GS21</f>
        <v>0</v>
      </c>
      <c r="C2689" t="inlineStr">
        <is>
          <t>+ES1</t>
        </is>
      </c>
      <c r="D2689" t="inlineStr">
        <is>
          <t>-16K4.1</t>
        </is>
      </c>
      <c r="E2689" t="inlineStr">
        <is>
          <t>DIL_ER-40-G</t>
        </is>
      </c>
      <c r="F2689" t="inlineStr">
        <is>
          <t>40_DIL-E</t>
        </is>
      </c>
      <c r="G2689" t="inlineStr">
        <is>
          <t>HILFSSCHUETZ</t>
        </is>
      </c>
      <c r="H2689" t="inlineStr">
        <is>
          <t>4S</t>
        </is>
      </c>
      <c r="I2689">
        <v>118</v>
      </c>
      <c r="J2689">
        <f>GS21/16.6</f>
        <v>0</v>
      </c>
      <c r="M2689" t="inlineStr">
        <is>
          <t>-16K4.1</t>
        </is>
      </c>
    </row>
    <row r="2690">
      <c r="A2690">
        <v>2689</v>
      </c>
      <c r="B2690">
        <f>GS21</f>
        <v>0</v>
      </c>
      <c r="C2690" t="inlineStr">
        <is>
          <t>+ES1</t>
        </is>
      </c>
      <c r="D2690" t="inlineStr">
        <is>
          <t>-16K4.1</t>
        </is>
      </c>
      <c r="E2690" t="inlineStr">
        <is>
          <t>40_DIL-E</t>
        </is>
      </c>
      <c r="F2690" t="inlineStr">
        <is>
          <t>40_DIL-E</t>
        </is>
      </c>
      <c r="G2690" t="inlineStr">
        <is>
          <t>HILFSKONTAKTBLOCK</t>
        </is>
      </c>
      <c r="H2690" t="inlineStr">
        <is>
          <t>4S Last+Hilfsschuetz</t>
        </is>
      </c>
      <c r="I2690">
        <v>118</v>
      </c>
      <c r="J2690">
        <f>GS21/16.6</f>
        <v>0</v>
      </c>
      <c r="M2690" t="inlineStr">
        <is>
          <t>-16K4.1</t>
        </is>
      </c>
    </row>
    <row r="2691">
      <c r="A2691">
        <v>2690</v>
      </c>
      <c r="B2691">
        <f>GS23</f>
        <v>0</v>
      </c>
      <c r="C2691" t="inlineStr">
        <is>
          <t>+ES1</t>
        </is>
      </c>
      <c r="D2691" t="inlineStr">
        <is>
          <t>-16K4.1</t>
        </is>
      </c>
      <c r="E2691" t="inlineStr">
        <is>
          <t>DIL_ER-40-G</t>
        </is>
      </c>
      <c r="F2691" t="inlineStr">
        <is>
          <t>40_DIL-E</t>
        </is>
      </c>
      <c r="G2691" t="inlineStr">
        <is>
          <t>HILFSSCHUETZ</t>
        </is>
      </c>
      <c r="H2691" t="inlineStr">
        <is>
          <t>4S</t>
        </is>
      </c>
      <c r="I2691">
        <v>307</v>
      </c>
      <c r="J2691">
        <f>GS23/16.5</f>
        <v>0</v>
      </c>
      <c r="M2691" t="inlineStr">
        <is>
          <t>-16K4.1</t>
        </is>
      </c>
    </row>
    <row r="2692">
      <c r="A2692">
        <v>2691</v>
      </c>
      <c r="B2692">
        <f>GS23</f>
        <v>0</v>
      </c>
      <c r="C2692" t="inlineStr">
        <is>
          <t>+ES1</t>
        </is>
      </c>
      <c r="D2692" t="inlineStr">
        <is>
          <t>-16K4.1</t>
        </is>
      </c>
      <c r="E2692" t="inlineStr">
        <is>
          <t>40_DIL-E</t>
        </is>
      </c>
      <c r="F2692" t="inlineStr">
        <is>
          <t>40_DIL-E</t>
        </is>
      </c>
      <c r="G2692" t="inlineStr">
        <is>
          <t>HILFSKONTAKTBLOCK</t>
        </is>
      </c>
      <c r="H2692" t="inlineStr">
        <is>
          <t>4S Last+Hilfsschuetz</t>
        </is>
      </c>
      <c r="I2692">
        <v>307</v>
      </c>
      <c r="J2692">
        <f>GS23/16.5</f>
        <v>0</v>
      </c>
      <c r="M2692" t="inlineStr">
        <is>
          <t>-16K4.1</t>
        </is>
      </c>
    </row>
    <row r="2693">
      <c r="A2693">
        <v>2692</v>
      </c>
      <c r="B2693">
        <f>GS24</f>
        <v>0</v>
      </c>
      <c r="C2693" t="inlineStr">
        <is>
          <t>+ES1</t>
        </is>
      </c>
      <c r="D2693" t="inlineStr">
        <is>
          <t>-16K4.1</t>
        </is>
      </c>
      <c r="E2693" t="inlineStr">
        <is>
          <t>40_DIL-E</t>
        </is>
      </c>
      <c r="F2693" t="inlineStr">
        <is>
          <t>40_DIL-E</t>
        </is>
      </c>
      <c r="G2693" t="inlineStr">
        <is>
          <t>HILFSKONTAKTBLOCK</t>
        </is>
      </c>
      <c r="H2693" t="inlineStr">
        <is>
          <t>4S Last+Hilfsschuetz</t>
        </is>
      </c>
      <c r="I2693">
        <v>1064</v>
      </c>
      <c r="J2693">
        <f>GS24/16.5</f>
        <v>0</v>
      </c>
      <c r="M2693" t="inlineStr">
        <is>
          <t>-16K4.1</t>
        </is>
      </c>
    </row>
    <row r="2694">
      <c r="A2694">
        <v>2693</v>
      </c>
      <c r="B2694">
        <f>GS24</f>
        <v>0</v>
      </c>
      <c r="C2694" t="inlineStr">
        <is>
          <t>+ES1</t>
        </is>
      </c>
      <c r="D2694" t="inlineStr">
        <is>
          <t>-16K4.1</t>
        </is>
      </c>
      <c r="E2694" t="inlineStr">
        <is>
          <t>DIL_ER-40-G</t>
        </is>
      </c>
      <c r="F2694" t="inlineStr">
        <is>
          <t>40_DIL-E</t>
        </is>
      </c>
      <c r="G2694" t="inlineStr">
        <is>
          <t>HILFSSCHUETZ</t>
        </is>
      </c>
      <c r="H2694" t="inlineStr">
        <is>
          <t>4S</t>
        </is>
      </c>
      <c r="I2694">
        <v>1064</v>
      </c>
      <c r="J2694">
        <f>GS24/16.5</f>
        <v>0</v>
      </c>
      <c r="M2694" t="inlineStr">
        <is>
          <t>-16K4.1</t>
        </is>
      </c>
    </row>
    <row r="2695">
      <c r="A2695">
        <v>2694</v>
      </c>
      <c r="B2695">
        <f>GS25</f>
        <v>0</v>
      </c>
      <c r="C2695" t="inlineStr">
        <is>
          <t>+ES1</t>
        </is>
      </c>
      <c r="D2695" t="inlineStr">
        <is>
          <t>-16K4.1</t>
        </is>
      </c>
      <c r="E2695" t="inlineStr">
        <is>
          <t>DIL_ER-40-G</t>
        </is>
      </c>
      <c r="F2695" t="inlineStr">
        <is>
          <t>40_DIL-E</t>
        </is>
      </c>
      <c r="G2695" t="inlineStr">
        <is>
          <t>HILFSSCHUETZ</t>
        </is>
      </c>
      <c r="H2695" t="inlineStr">
        <is>
          <t>4S</t>
        </is>
      </c>
      <c r="I2695">
        <v>144</v>
      </c>
      <c r="J2695">
        <f>GS25/16.5</f>
        <v>0</v>
      </c>
      <c r="M2695" t="inlineStr">
        <is>
          <t>-16K4.1</t>
        </is>
      </c>
    </row>
    <row r="2696">
      <c r="A2696">
        <v>2695</v>
      </c>
      <c r="B2696">
        <f>GS25</f>
        <v>0</v>
      </c>
      <c r="C2696" t="inlineStr">
        <is>
          <t>+ES1</t>
        </is>
      </c>
      <c r="D2696" t="inlineStr">
        <is>
          <t>-16K4.1</t>
        </is>
      </c>
      <c r="E2696" t="inlineStr">
        <is>
          <t>40_DIL-E</t>
        </is>
      </c>
      <c r="F2696" t="inlineStr">
        <is>
          <t>40_DIL-E</t>
        </is>
      </c>
      <c r="G2696" t="inlineStr">
        <is>
          <t>HILFSKONTAKTBLOCK</t>
        </is>
      </c>
      <c r="H2696" t="inlineStr">
        <is>
          <t>4S Last+Hilfsschuetz</t>
        </is>
      </c>
      <c r="I2696">
        <v>144</v>
      </c>
      <c r="J2696">
        <f>GS25/16.5</f>
        <v>0</v>
      </c>
      <c r="M2696" t="inlineStr">
        <is>
          <t>-16K4.1</t>
        </is>
      </c>
    </row>
    <row r="2697">
      <c r="A2697">
        <v>2696</v>
      </c>
      <c r="B2697">
        <f>GS26</f>
        <v>0</v>
      </c>
      <c r="C2697" t="inlineStr">
        <is>
          <t>+ES2</t>
        </is>
      </c>
      <c r="D2697" t="inlineStr">
        <is>
          <t>-16K4.1</t>
        </is>
      </c>
      <c r="E2697" t="inlineStr">
        <is>
          <t>DILA-40</t>
        </is>
      </c>
      <c r="F2697" t="inlineStr">
        <is>
          <t>DILA-XHIC40</t>
        </is>
      </c>
      <c r="G2697" t="inlineStr">
        <is>
          <t>HILFSSCHUETZ</t>
        </is>
      </c>
      <c r="H2697" t="inlineStr">
        <is>
          <t>4S Federzugkl.</t>
        </is>
      </c>
      <c r="I2697">
        <v>153</v>
      </c>
      <c r="J2697">
        <f>GS26/16.5</f>
        <v>0</v>
      </c>
      <c r="M2697" t="inlineStr">
        <is>
          <t>-16K4.1</t>
        </is>
      </c>
    </row>
    <row r="2698">
      <c r="A2698">
        <v>2697</v>
      </c>
      <c r="B2698">
        <f>GS26</f>
        <v>0</v>
      </c>
      <c r="C2698" t="inlineStr">
        <is>
          <t>+ES2</t>
        </is>
      </c>
      <c r="D2698" t="inlineStr">
        <is>
          <t>-16K4.1</t>
        </is>
      </c>
      <c r="E2698" t="inlineStr">
        <is>
          <t>DILA-XHIC40</t>
        </is>
      </c>
      <c r="F2698" t="inlineStr">
        <is>
          <t>DILA-XHIC40</t>
        </is>
      </c>
      <c r="G2698" t="inlineStr">
        <is>
          <t>HILFSKONTAKTBLOCK</t>
        </is>
      </c>
      <c r="H2698" t="inlineStr">
        <is>
          <t>4S Last+Hilfssch. Cage</t>
        </is>
      </c>
      <c r="I2698">
        <v>153</v>
      </c>
      <c r="J2698">
        <f>GS26/16.5</f>
        <v>0</v>
      </c>
      <c r="M2698" t="inlineStr">
        <is>
          <t>-16K4.1</t>
        </is>
      </c>
    </row>
    <row r="2699">
      <c r="A2699">
        <v>2698</v>
      </c>
      <c r="B2699">
        <f>GS30</f>
        <v>0</v>
      </c>
      <c r="C2699" t="inlineStr">
        <is>
          <t>+ES02</t>
        </is>
      </c>
      <c r="D2699" t="inlineStr">
        <is>
          <t>-16K4.1</t>
        </is>
      </c>
      <c r="E2699" t="inlineStr">
        <is>
          <t>DILA-40</t>
        </is>
      </c>
      <c r="F2699" t="inlineStr">
        <is>
          <t>DILA-XHIC40</t>
        </is>
      </c>
      <c r="G2699" t="inlineStr">
        <is>
          <t>HILFSSCHUETZ</t>
        </is>
      </c>
      <c r="H2699" t="inlineStr">
        <is>
          <t>4S Federzugkl.</t>
        </is>
      </c>
      <c r="I2699">
        <v>450</v>
      </c>
      <c r="J2699">
        <f>GS30/16.4</f>
        <v>0</v>
      </c>
      <c r="M2699" t="inlineStr">
        <is>
          <t>-16K4.1</t>
        </is>
      </c>
    </row>
    <row r="2700">
      <c r="A2700">
        <v>2699</v>
      </c>
      <c r="B2700">
        <f>GS30</f>
        <v>0</v>
      </c>
      <c r="C2700" t="inlineStr">
        <is>
          <t>+ES02</t>
        </is>
      </c>
      <c r="D2700" t="inlineStr">
        <is>
          <t>-16K4.1</t>
        </is>
      </c>
      <c r="E2700" t="inlineStr">
        <is>
          <t>DILA-XHIC40</t>
        </is>
      </c>
      <c r="F2700" t="inlineStr">
        <is>
          <t>DILA-XHIC40</t>
        </is>
      </c>
      <c r="G2700" t="inlineStr">
        <is>
          <t>HILFSKONTAKTBLOCK</t>
        </is>
      </c>
      <c r="H2700" t="inlineStr">
        <is>
          <t>4S Last+Hilfssch. Cage</t>
        </is>
      </c>
      <c r="I2700">
        <v>450</v>
      </c>
      <c r="J2700">
        <f>GS30/16.4</f>
        <v>0</v>
      </c>
      <c r="M2700" t="inlineStr">
        <is>
          <t>-16K4.1</t>
        </is>
      </c>
    </row>
    <row r="2701">
      <c r="A2701">
        <v>2700</v>
      </c>
      <c r="B2701">
        <f>GS31</f>
        <v>0</v>
      </c>
      <c r="C2701" t="inlineStr">
        <is>
          <t>+ES1</t>
        </is>
      </c>
      <c r="D2701" t="inlineStr">
        <is>
          <t>-16K4.1</t>
        </is>
      </c>
      <c r="E2701" t="inlineStr">
        <is>
          <t>40_DIL-E</t>
        </is>
      </c>
      <c r="F2701" t="inlineStr">
        <is>
          <t>40_DIL-E</t>
        </is>
      </c>
      <c r="G2701" t="inlineStr">
        <is>
          <t>HILFSKONTAKTBLOCK</t>
        </is>
      </c>
      <c r="H2701" t="inlineStr">
        <is>
          <t>4S Last+Hilfsschuetz</t>
        </is>
      </c>
      <c r="I2701">
        <v>298</v>
      </c>
      <c r="J2701">
        <f>GS31/16.5</f>
        <v>0</v>
      </c>
      <c r="M2701" t="inlineStr">
        <is>
          <t>-16K4.1</t>
        </is>
      </c>
    </row>
    <row r="2702">
      <c r="A2702">
        <v>2701</v>
      </c>
      <c r="B2702">
        <f>GS31</f>
        <v>0</v>
      </c>
      <c r="C2702" t="inlineStr">
        <is>
          <t>+ES1</t>
        </is>
      </c>
      <c r="D2702" t="inlineStr">
        <is>
          <t>-16K4.1</t>
        </is>
      </c>
      <c r="E2702" t="inlineStr">
        <is>
          <t>DIL_ER-40-G</t>
        </is>
      </c>
      <c r="F2702" t="inlineStr">
        <is>
          <t>40_DIL-E</t>
        </is>
      </c>
      <c r="G2702" t="inlineStr">
        <is>
          <t>HILFSSCHUETZ</t>
        </is>
      </c>
      <c r="H2702" t="inlineStr">
        <is>
          <t>4S</t>
        </is>
      </c>
      <c r="I2702">
        <v>298</v>
      </c>
      <c r="J2702">
        <f>GS31/16.5</f>
        <v>0</v>
      </c>
      <c r="M2702" t="inlineStr">
        <is>
          <t>-16K4.1</t>
        </is>
      </c>
    </row>
    <row r="2703">
      <c r="A2703">
        <v>2702</v>
      </c>
      <c r="B2703">
        <f>GS32</f>
        <v>0</v>
      </c>
      <c r="C2703" t="inlineStr">
        <is>
          <t>+ES1</t>
        </is>
      </c>
      <c r="D2703" t="inlineStr">
        <is>
          <t>-16K4.1</t>
        </is>
      </c>
      <c r="E2703" t="inlineStr">
        <is>
          <t>40_DIL-E</t>
        </is>
      </c>
      <c r="F2703" t="inlineStr">
        <is>
          <t>40_DIL-E</t>
        </is>
      </c>
      <c r="G2703" t="inlineStr">
        <is>
          <t>HILFSKONTAKTBLOCK</t>
        </is>
      </c>
      <c r="H2703" t="inlineStr">
        <is>
          <t>4S Last+Hilfsschuetz</t>
        </is>
      </c>
      <c r="I2703">
        <v>1448</v>
      </c>
      <c r="J2703">
        <f>GS32/16.5</f>
        <v>0</v>
      </c>
      <c r="M2703" t="inlineStr">
        <is>
          <t>-16K4.1</t>
        </is>
      </c>
    </row>
    <row r="2704">
      <c r="A2704">
        <v>2703</v>
      </c>
      <c r="B2704">
        <f>GS32</f>
        <v>0</v>
      </c>
      <c r="C2704" t="inlineStr">
        <is>
          <t>+ES1</t>
        </is>
      </c>
      <c r="D2704" t="inlineStr">
        <is>
          <t>-16K4.1</t>
        </is>
      </c>
      <c r="E2704" t="inlineStr">
        <is>
          <t>DIL_ER-40-G</t>
        </is>
      </c>
      <c r="F2704" t="inlineStr">
        <is>
          <t>40_DIL-E</t>
        </is>
      </c>
      <c r="G2704" t="inlineStr">
        <is>
          <t>HILFSSCHUETZ</t>
        </is>
      </c>
      <c r="H2704" t="inlineStr">
        <is>
          <t>4S</t>
        </is>
      </c>
      <c r="I2704">
        <v>1448</v>
      </c>
      <c r="J2704">
        <f>GS32/16.5</f>
        <v>0</v>
      </c>
      <c r="M2704" t="inlineStr">
        <is>
          <t>-16K4.1</t>
        </is>
      </c>
    </row>
    <row r="2705">
      <c r="A2705">
        <v>2704</v>
      </c>
      <c r="B2705">
        <f>GS33</f>
        <v>0</v>
      </c>
      <c r="C2705" t="inlineStr">
        <is>
          <t>+ES1</t>
        </is>
      </c>
      <c r="D2705" t="inlineStr">
        <is>
          <t>-16K4.1</t>
        </is>
      </c>
      <c r="E2705" t="inlineStr">
        <is>
          <t>DIL_ER-40-G</t>
        </is>
      </c>
      <c r="F2705" t="inlineStr">
        <is>
          <t>40_DIL-E</t>
        </is>
      </c>
      <c r="G2705" t="inlineStr">
        <is>
          <t>HILFSSCHUETZ</t>
        </is>
      </c>
      <c r="H2705" t="inlineStr">
        <is>
          <t>4S</t>
        </is>
      </c>
      <c r="I2705">
        <v>452</v>
      </c>
      <c r="J2705">
        <f>GS33/16.5</f>
        <v>0</v>
      </c>
      <c r="M2705" t="inlineStr">
        <is>
          <t>-16K4.1</t>
        </is>
      </c>
    </row>
    <row r="2706">
      <c r="A2706">
        <v>2705</v>
      </c>
      <c r="B2706">
        <f>GS33</f>
        <v>0</v>
      </c>
      <c r="C2706" t="inlineStr">
        <is>
          <t>+ES1</t>
        </is>
      </c>
      <c r="D2706" t="inlineStr">
        <is>
          <t>-16K4.1</t>
        </is>
      </c>
      <c r="E2706" t="inlineStr">
        <is>
          <t>40_DIL-E</t>
        </is>
      </c>
      <c r="F2706" t="inlineStr">
        <is>
          <t>40_DIL-E</t>
        </is>
      </c>
      <c r="G2706" t="inlineStr">
        <is>
          <t>HILFSKONTAKTBLOCK</t>
        </is>
      </c>
      <c r="H2706" t="inlineStr">
        <is>
          <t>4S Last+Hilfsschuetz</t>
        </is>
      </c>
      <c r="I2706">
        <v>452</v>
      </c>
      <c r="J2706">
        <f>GS33/16.5</f>
        <v>0</v>
      </c>
      <c r="M2706" t="inlineStr">
        <is>
          <t>-16K4.1</t>
        </is>
      </c>
    </row>
    <row r="2707">
      <c r="A2707">
        <v>2706</v>
      </c>
      <c r="B2707">
        <f>GS34</f>
        <v>0</v>
      </c>
      <c r="C2707" t="inlineStr">
        <is>
          <t>+ES1</t>
        </is>
      </c>
      <c r="D2707" t="inlineStr">
        <is>
          <t>-16K4.1</t>
        </is>
      </c>
      <c r="E2707" t="inlineStr">
        <is>
          <t>40_DIL-E</t>
        </is>
      </c>
      <c r="F2707" t="inlineStr">
        <is>
          <t>40_DIL-E</t>
        </is>
      </c>
      <c r="G2707" t="inlineStr">
        <is>
          <t>HILFSKONTAKTBLOCK</t>
        </is>
      </c>
      <c r="H2707" t="inlineStr">
        <is>
          <t>4S Last+Hilfsschuetz</t>
        </is>
      </c>
      <c r="I2707">
        <v>139</v>
      </c>
      <c r="J2707">
        <f>GS34/16.5</f>
        <v>0</v>
      </c>
      <c r="M2707" t="inlineStr">
        <is>
          <t>-16K4.1</t>
        </is>
      </c>
    </row>
    <row r="2708">
      <c r="A2708">
        <v>2707</v>
      </c>
      <c r="B2708">
        <f>GS34</f>
        <v>0</v>
      </c>
      <c r="C2708" t="inlineStr">
        <is>
          <t>+ES1</t>
        </is>
      </c>
      <c r="D2708" t="inlineStr">
        <is>
          <t>-16K4.1</t>
        </is>
      </c>
      <c r="E2708" t="inlineStr">
        <is>
          <t>DIL_ER-40-G</t>
        </is>
      </c>
      <c r="F2708" t="inlineStr">
        <is>
          <t>40_DIL-E</t>
        </is>
      </c>
      <c r="G2708" t="inlineStr">
        <is>
          <t>HILFSSCHUETZ</t>
        </is>
      </c>
      <c r="H2708" t="inlineStr">
        <is>
          <t>4S</t>
        </is>
      </c>
      <c r="I2708">
        <v>139</v>
      </c>
      <c r="J2708">
        <f>GS34/16.5</f>
        <v>0</v>
      </c>
      <c r="M2708" t="inlineStr">
        <is>
          <t>-16K4.1</t>
        </is>
      </c>
    </row>
    <row r="2709">
      <c r="A2709">
        <v>2708</v>
      </c>
      <c r="B2709">
        <f>GS35</f>
        <v>0</v>
      </c>
      <c r="C2709" t="inlineStr">
        <is>
          <t>+ES02</t>
        </is>
      </c>
      <c r="D2709" t="inlineStr">
        <is>
          <t>-16K4.1</t>
        </is>
      </c>
      <c r="E2709" t="inlineStr">
        <is>
          <t>DILA-40</t>
        </is>
      </c>
      <c r="F2709" t="inlineStr">
        <is>
          <t>DILA-XHIC40</t>
        </is>
      </c>
      <c r="G2709" t="inlineStr">
        <is>
          <t>HILFSSCHUETZ</t>
        </is>
      </c>
      <c r="H2709" t="inlineStr">
        <is>
          <t>4S Federzugkl.</t>
        </is>
      </c>
      <c r="I2709">
        <v>180</v>
      </c>
      <c r="J2709">
        <f>GS35/16.5</f>
        <v>0</v>
      </c>
      <c r="M2709" t="inlineStr">
        <is>
          <t>-16K4.1</t>
        </is>
      </c>
    </row>
    <row r="2710">
      <c r="A2710">
        <v>2709</v>
      </c>
      <c r="B2710">
        <f>GS35</f>
        <v>0</v>
      </c>
      <c r="C2710" t="inlineStr">
        <is>
          <t>+ES02</t>
        </is>
      </c>
      <c r="D2710" t="inlineStr">
        <is>
          <t>-16K4.1</t>
        </is>
      </c>
      <c r="E2710" t="inlineStr">
        <is>
          <t>DILA-XHIC40</t>
        </is>
      </c>
      <c r="F2710" t="inlineStr">
        <is>
          <t>DILA-XHIC40</t>
        </is>
      </c>
      <c r="G2710" t="inlineStr">
        <is>
          <t>HILFSKONTAKTBLOCK</t>
        </is>
      </c>
      <c r="H2710" t="inlineStr">
        <is>
          <t>4S Last+Hilfssch. Cage</t>
        </is>
      </c>
      <c r="I2710">
        <v>180</v>
      </c>
      <c r="J2710">
        <f>GS35/16.5</f>
        <v>0</v>
      </c>
      <c r="M2710" t="inlineStr">
        <is>
          <t>-16K4.1</t>
        </is>
      </c>
    </row>
    <row r="2711">
      <c r="A2711">
        <v>2710</v>
      </c>
      <c r="B2711">
        <f>GS36</f>
        <v>0</v>
      </c>
      <c r="C2711" t="inlineStr">
        <is>
          <t>+ES02</t>
        </is>
      </c>
      <c r="D2711" t="inlineStr">
        <is>
          <t>-16K4.1</t>
        </is>
      </c>
      <c r="E2711" t="inlineStr">
        <is>
          <t>DILA-XHIC40</t>
        </is>
      </c>
      <c r="F2711" t="inlineStr">
        <is>
          <t>DILA-XHIC40</t>
        </is>
      </c>
      <c r="G2711" t="inlineStr">
        <is>
          <t>HILFSKONTAKTBLOCK</t>
        </is>
      </c>
      <c r="H2711" t="inlineStr">
        <is>
          <t>4S Last+Hilfssch. Cage</t>
        </is>
      </c>
      <c r="I2711">
        <v>181</v>
      </c>
      <c r="J2711">
        <f>GS36/16.5</f>
        <v>0</v>
      </c>
      <c r="M2711" t="inlineStr">
        <is>
          <t>-16K4.1</t>
        </is>
      </c>
    </row>
    <row r="2712">
      <c r="A2712">
        <v>2711</v>
      </c>
      <c r="B2712">
        <f>GS36</f>
        <v>0</v>
      </c>
      <c r="C2712" t="inlineStr">
        <is>
          <t>+LS03</t>
        </is>
      </c>
      <c r="D2712" t="inlineStr">
        <is>
          <t>-181Q123.6</t>
        </is>
      </c>
      <c r="E2712" t="inlineStr">
        <is>
          <t>DILMC12-10(24VDC)</t>
        </is>
      </c>
      <c r="F2712" t="inlineStr">
        <is>
          <t>#KALK!</t>
        </is>
      </c>
      <c r="G2712" t="inlineStr">
        <is>
          <t>LASTSCHUETZ</t>
        </is>
      </c>
      <c r="H2712" t="inlineStr">
        <is>
          <t>5,5kW 1S Federzugkl.</t>
        </is>
      </c>
      <c r="I2712">
        <v>354</v>
      </c>
      <c r="J2712">
        <f>GS36/181.5</f>
        <v>0</v>
      </c>
      <c r="K2712" t="inlineStr">
        <is>
          <t>DIL MC12</t>
        </is>
      </c>
      <c r="L2712" t="inlineStr">
        <is>
          <t>HT_0405</t>
        </is>
      </c>
      <c r="M2712" t="inlineStr">
        <is>
          <t>HT_0405
-181Q123.6</t>
        </is>
      </c>
      <c r="N2712" t="inlineStr">
        <is>
          <t>P</t>
        </is>
      </c>
    </row>
    <row r="2713">
      <c r="A2713">
        <v>2712</v>
      </c>
      <c r="B2713">
        <f>GS37</f>
        <v>0</v>
      </c>
      <c r="C2713" t="inlineStr">
        <is>
          <t>+ES02</t>
        </is>
      </c>
      <c r="D2713" t="inlineStr">
        <is>
          <t>-16K4.1</t>
        </is>
      </c>
      <c r="E2713" t="inlineStr">
        <is>
          <t>DILA-40</t>
        </is>
      </c>
      <c r="F2713" t="inlineStr">
        <is>
          <t>DILA-XHIC40</t>
        </is>
      </c>
      <c r="G2713" t="inlineStr">
        <is>
          <t>HILFSSCHUETZ</t>
        </is>
      </c>
      <c r="H2713" t="inlineStr">
        <is>
          <t>4S Federzugkl.</t>
        </is>
      </c>
      <c r="I2713">
        <v>168</v>
      </c>
      <c r="J2713">
        <f>GS37/16.5</f>
        <v>0</v>
      </c>
      <c r="M2713" t="inlineStr">
        <is>
          <t>-16K4.1</t>
        </is>
      </c>
    </row>
    <row r="2714">
      <c r="A2714">
        <v>2713</v>
      </c>
      <c r="B2714">
        <f>GS37</f>
        <v>0</v>
      </c>
      <c r="C2714" t="inlineStr">
        <is>
          <t>+ES02</t>
        </is>
      </c>
      <c r="D2714" t="inlineStr">
        <is>
          <t>-16K4.1</t>
        </is>
      </c>
      <c r="E2714" t="inlineStr">
        <is>
          <t>DILA-XHIC40</t>
        </is>
      </c>
      <c r="F2714" t="inlineStr">
        <is>
          <t>DILA-XHIC40</t>
        </is>
      </c>
      <c r="G2714" t="inlineStr">
        <is>
          <t>HILFSKONTAKTBLOCK</t>
        </is>
      </c>
      <c r="H2714" t="inlineStr">
        <is>
          <t>4S Last+Hilfssch. Cage</t>
        </is>
      </c>
      <c r="I2714">
        <v>168</v>
      </c>
      <c r="J2714">
        <f>GS37/16.5</f>
        <v>0</v>
      </c>
      <c r="M2714" t="inlineStr">
        <is>
          <t>-16K4.1</t>
        </is>
      </c>
    </row>
    <row r="2715">
      <c r="A2715">
        <v>2714</v>
      </c>
      <c r="B2715">
        <f>GS38</f>
        <v>0</v>
      </c>
      <c r="C2715" t="inlineStr">
        <is>
          <t>+ES02</t>
        </is>
      </c>
      <c r="D2715" t="inlineStr">
        <is>
          <t>-16K4.1</t>
        </is>
      </c>
      <c r="E2715" t="inlineStr">
        <is>
          <t>DILA-XHIC40</t>
        </is>
      </c>
      <c r="F2715" t="inlineStr">
        <is>
          <t>DILA-XHIC40</t>
        </is>
      </c>
      <c r="G2715" t="inlineStr">
        <is>
          <t>HILFSKONTAKTBLOCK</t>
        </is>
      </c>
      <c r="H2715" t="inlineStr">
        <is>
          <t>4S Last+Hilfssch. Cage</t>
        </is>
      </c>
      <c r="I2715">
        <v>154</v>
      </c>
      <c r="J2715">
        <f>GS38/16.5</f>
        <v>0</v>
      </c>
      <c r="M2715" t="inlineStr">
        <is>
          <t>-16K4.1</t>
        </is>
      </c>
    </row>
    <row r="2716">
      <c r="A2716">
        <v>2715</v>
      </c>
      <c r="B2716">
        <f>GS38</f>
        <v>0</v>
      </c>
      <c r="C2716" t="inlineStr">
        <is>
          <t>+ES02</t>
        </is>
      </c>
      <c r="D2716" t="inlineStr">
        <is>
          <t>-16K4.1</t>
        </is>
      </c>
      <c r="E2716" t="inlineStr">
        <is>
          <t>DILA-40</t>
        </is>
      </c>
      <c r="F2716" t="inlineStr">
        <is>
          <t>DILA-XHIC40</t>
        </is>
      </c>
      <c r="G2716" t="inlineStr">
        <is>
          <t>HILFSSCHUETZ</t>
        </is>
      </c>
      <c r="H2716" t="inlineStr">
        <is>
          <t>4S Federzugkl.</t>
        </is>
      </c>
      <c r="I2716">
        <v>154</v>
      </c>
      <c r="J2716">
        <f>GS38/16.5</f>
        <v>0</v>
      </c>
      <c r="M2716" t="inlineStr">
        <is>
          <t>-16K4.1</t>
        </is>
      </c>
    </row>
    <row r="2717">
      <c r="A2717">
        <v>2716</v>
      </c>
      <c r="B2717">
        <f>GS39</f>
        <v>0</v>
      </c>
      <c r="C2717" t="inlineStr">
        <is>
          <t>+ES02</t>
        </is>
      </c>
      <c r="D2717" t="inlineStr">
        <is>
          <t>-16K4.1</t>
        </is>
      </c>
      <c r="E2717" t="inlineStr">
        <is>
          <t>DILA-40</t>
        </is>
      </c>
      <c r="F2717" t="inlineStr">
        <is>
          <t>DILA-XHIC40</t>
        </is>
      </c>
      <c r="G2717" t="inlineStr">
        <is>
          <t>HILFSSCHUETZ</t>
        </is>
      </c>
      <c r="H2717" t="inlineStr">
        <is>
          <t>4S Federzugkl.</t>
        </is>
      </c>
      <c r="I2717">
        <v>193</v>
      </c>
      <c r="J2717">
        <f>GS39/16.5</f>
        <v>0</v>
      </c>
      <c r="M2717" t="inlineStr">
        <is>
          <t>-16K4.1</t>
        </is>
      </c>
    </row>
    <row r="2718">
      <c r="A2718">
        <v>2717</v>
      </c>
      <c r="B2718">
        <f>GS39</f>
        <v>0</v>
      </c>
      <c r="C2718" t="inlineStr">
        <is>
          <t>+ES02</t>
        </is>
      </c>
      <c r="D2718" t="inlineStr">
        <is>
          <t>-16K4.1</t>
        </is>
      </c>
      <c r="E2718" t="inlineStr">
        <is>
          <t>DILA-XHIC40</t>
        </is>
      </c>
      <c r="F2718" t="inlineStr">
        <is>
          <t>DILA-XHIC40</t>
        </is>
      </c>
      <c r="G2718" t="inlineStr">
        <is>
          <t>HILFSKONTAKTBLOCK</t>
        </is>
      </c>
      <c r="H2718" t="inlineStr">
        <is>
          <t>4S Last+Hilfssch. Cage</t>
        </is>
      </c>
      <c r="I2718">
        <v>193</v>
      </c>
      <c r="J2718">
        <f>GS39/16.5</f>
        <v>0</v>
      </c>
      <c r="M2718" t="inlineStr">
        <is>
          <t>-16K4.1</t>
        </is>
      </c>
    </row>
    <row r="2719">
      <c r="A2719">
        <v>2718</v>
      </c>
      <c r="B2719">
        <f>GS46</f>
        <v>0</v>
      </c>
      <c r="C2719" t="inlineStr">
        <is>
          <t>+ES02</t>
        </is>
      </c>
      <c r="D2719" t="inlineStr">
        <is>
          <t>-16K4.1</t>
        </is>
      </c>
      <c r="E2719" t="inlineStr">
        <is>
          <t>DILA-XHIC40</t>
        </is>
      </c>
      <c r="F2719" t="inlineStr">
        <is>
          <t>DILA-XHIC40</t>
        </is>
      </c>
      <c r="G2719" t="inlineStr">
        <is>
          <t>HILFSKONTAKTBLOCK</t>
        </is>
      </c>
      <c r="H2719" t="inlineStr">
        <is>
          <t>4S Last+Hilfssch. Cage</t>
        </is>
      </c>
      <c r="I2719">
        <v>161</v>
      </c>
      <c r="J2719">
        <f>GS46/16.5</f>
        <v>0</v>
      </c>
      <c r="M2719" t="inlineStr">
        <is>
          <t>-16K4.1</t>
        </is>
      </c>
    </row>
    <row r="2720">
      <c r="A2720">
        <v>2719</v>
      </c>
      <c r="B2720">
        <f>GS46</f>
        <v>0</v>
      </c>
      <c r="C2720" t="inlineStr">
        <is>
          <t>+ES02</t>
        </is>
      </c>
      <c r="D2720" t="inlineStr">
        <is>
          <t>-16K4.1</t>
        </is>
      </c>
      <c r="E2720" t="inlineStr">
        <is>
          <t>DILA-40</t>
        </is>
      </c>
      <c r="F2720" t="inlineStr">
        <is>
          <t>DILA-XHIC40</t>
        </is>
      </c>
      <c r="G2720" t="inlineStr">
        <is>
          <t>HILFSSCHUETZ</t>
        </is>
      </c>
      <c r="H2720" t="inlineStr">
        <is>
          <t>4S Federzugkl.</t>
        </is>
      </c>
      <c r="I2720">
        <v>161</v>
      </c>
      <c r="J2720">
        <f>GS46/16.5</f>
        <v>0</v>
      </c>
      <c r="M2720" t="inlineStr">
        <is>
          <t>-16K4.1</t>
        </is>
      </c>
    </row>
    <row r="2721">
      <c r="A2721">
        <v>2720</v>
      </c>
      <c r="B2721">
        <f>GS47</f>
        <v>0</v>
      </c>
      <c r="C2721" t="inlineStr">
        <is>
          <t>+ES02</t>
        </is>
      </c>
      <c r="D2721" t="inlineStr">
        <is>
          <t>-16K4.1</t>
        </is>
      </c>
      <c r="E2721" t="inlineStr">
        <is>
          <t>DILA-40</t>
        </is>
      </c>
      <c r="F2721" t="inlineStr">
        <is>
          <t>DILA-XHIC40</t>
        </is>
      </c>
      <c r="G2721" t="inlineStr">
        <is>
          <t>HILFSSCHUETZ</t>
        </is>
      </c>
      <c r="H2721" t="inlineStr">
        <is>
          <t>4S Federzugkl.</t>
        </is>
      </c>
      <c r="I2721">
        <v>161</v>
      </c>
      <c r="J2721">
        <f>GS47/16.5</f>
        <v>0</v>
      </c>
      <c r="M2721" t="inlineStr">
        <is>
          <t>-16K4.1</t>
        </is>
      </c>
    </row>
    <row r="2722">
      <c r="A2722">
        <v>2721</v>
      </c>
      <c r="B2722">
        <f>GS47</f>
        <v>0</v>
      </c>
      <c r="C2722" t="inlineStr">
        <is>
          <t>+ES02</t>
        </is>
      </c>
      <c r="D2722" t="inlineStr">
        <is>
          <t>-16K4.1</t>
        </is>
      </c>
      <c r="E2722" t="inlineStr">
        <is>
          <t>DILA-XHIC40</t>
        </is>
      </c>
      <c r="F2722" t="inlineStr">
        <is>
          <t>DILA-XHIC40</t>
        </is>
      </c>
      <c r="G2722" t="inlineStr">
        <is>
          <t>HILFSKONTAKTBLOCK</t>
        </is>
      </c>
      <c r="H2722" t="inlineStr">
        <is>
          <t>4S Last+Hilfssch. Cage</t>
        </is>
      </c>
      <c r="I2722">
        <v>161</v>
      </c>
      <c r="J2722">
        <f>GS47/16.5</f>
        <v>0</v>
      </c>
      <c r="M2722" t="inlineStr">
        <is>
          <t>-16K4.1</t>
        </is>
      </c>
    </row>
    <row r="2723">
      <c r="A2723">
        <v>2722</v>
      </c>
      <c r="B2723">
        <f>GS48</f>
        <v>0</v>
      </c>
      <c r="C2723" t="inlineStr">
        <is>
          <t>+ES02</t>
        </is>
      </c>
      <c r="D2723" t="inlineStr">
        <is>
          <t>-16K4.1</t>
        </is>
      </c>
      <c r="E2723" t="inlineStr">
        <is>
          <t>DILA-40</t>
        </is>
      </c>
      <c r="F2723" t="inlineStr">
        <is>
          <t>DILA-XHIC40</t>
        </is>
      </c>
      <c r="G2723" t="inlineStr">
        <is>
          <t>HILFSSCHUETZ</t>
        </is>
      </c>
      <c r="H2723" t="inlineStr">
        <is>
          <t>4S Federzugkl.</t>
        </is>
      </c>
      <c r="I2723">
        <v>160</v>
      </c>
      <c r="J2723">
        <f>GS48/16.5</f>
        <v>0</v>
      </c>
      <c r="M2723" t="inlineStr">
        <is>
          <t>-16K4.1</t>
        </is>
      </c>
    </row>
    <row r="2724">
      <c r="A2724">
        <v>2723</v>
      </c>
      <c r="B2724">
        <f>GS48</f>
        <v>0</v>
      </c>
      <c r="C2724" t="inlineStr">
        <is>
          <t>+ES02</t>
        </is>
      </c>
      <c r="D2724" t="inlineStr">
        <is>
          <t>-16K4.1</t>
        </is>
      </c>
      <c r="E2724" t="inlineStr">
        <is>
          <t>DILA-XHIC40</t>
        </is>
      </c>
      <c r="F2724" t="inlineStr">
        <is>
          <t>DILA-XHIC40</t>
        </is>
      </c>
      <c r="G2724" t="inlineStr">
        <is>
          <t>HILFSKONTAKTBLOCK</t>
        </is>
      </c>
      <c r="H2724" t="inlineStr">
        <is>
          <t>4S Last+Hilfssch. Cage</t>
        </is>
      </c>
      <c r="I2724">
        <v>160</v>
      </c>
      <c r="J2724">
        <f>GS48/16.5</f>
        <v>0</v>
      </c>
      <c r="M2724" t="inlineStr">
        <is>
          <t>-16K4.1</t>
        </is>
      </c>
    </row>
    <row r="2725">
      <c r="A2725">
        <v>2724</v>
      </c>
      <c r="B2725">
        <f>GS49</f>
        <v>0</v>
      </c>
      <c r="C2725" t="inlineStr">
        <is>
          <t>+ES02</t>
        </is>
      </c>
      <c r="D2725" t="inlineStr">
        <is>
          <t>-16K4.1</t>
        </is>
      </c>
      <c r="E2725" t="inlineStr">
        <is>
          <t>DILA-40</t>
        </is>
      </c>
      <c r="F2725" t="inlineStr">
        <is>
          <t>DILA-XHIC40</t>
        </is>
      </c>
      <c r="G2725" t="inlineStr">
        <is>
          <t>HILFSSCHUETZ</t>
        </is>
      </c>
      <c r="H2725" t="inlineStr">
        <is>
          <t>4S Federzugkl.</t>
        </is>
      </c>
      <c r="I2725">
        <v>159</v>
      </c>
      <c r="J2725">
        <f>GS49/16.5</f>
        <v>0</v>
      </c>
      <c r="M2725" t="inlineStr">
        <is>
          <t>-16K4.1</t>
        </is>
      </c>
    </row>
    <row r="2726">
      <c r="A2726">
        <v>2725</v>
      </c>
      <c r="B2726">
        <f>GS49</f>
        <v>0</v>
      </c>
      <c r="C2726" t="inlineStr">
        <is>
          <t>+ES02</t>
        </is>
      </c>
      <c r="D2726" t="inlineStr">
        <is>
          <t>-16K4.1</t>
        </is>
      </c>
      <c r="E2726" t="inlineStr">
        <is>
          <t>DILA-XHIC40</t>
        </is>
      </c>
      <c r="F2726" t="inlineStr">
        <is>
          <t>DILA-XHIC40</t>
        </is>
      </c>
      <c r="G2726" t="inlineStr">
        <is>
          <t>HILFSKONTAKTBLOCK</t>
        </is>
      </c>
      <c r="H2726" t="inlineStr">
        <is>
          <t>4S Last+Hilfssch. Cage</t>
        </is>
      </c>
      <c r="I2726">
        <v>159</v>
      </c>
      <c r="J2726">
        <f>GS49/16.5</f>
        <v>0</v>
      </c>
      <c r="M2726" t="inlineStr">
        <is>
          <t>-16K4.1</t>
        </is>
      </c>
    </row>
    <row r="2727">
      <c r="A2727">
        <v>2726</v>
      </c>
      <c r="B2727">
        <f>GS51</f>
        <v>0</v>
      </c>
      <c r="C2727" t="inlineStr">
        <is>
          <t>+ES02</t>
        </is>
      </c>
      <c r="D2727" t="inlineStr">
        <is>
          <t>-16K4.1</t>
        </is>
      </c>
      <c r="E2727" t="inlineStr">
        <is>
          <t>DILA-40</t>
        </is>
      </c>
      <c r="F2727" t="inlineStr">
        <is>
          <t>DILA-XHIC40</t>
        </is>
      </c>
      <c r="G2727" t="inlineStr">
        <is>
          <t>HILFSSCHUETZ</t>
        </is>
      </c>
      <c r="H2727" t="inlineStr">
        <is>
          <t>4S Federzugkl.</t>
        </is>
      </c>
      <c r="I2727">
        <v>190</v>
      </c>
      <c r="J2727">
        <f>GS51/16.4</f>
        <v>0</v>
      </c>
      <c r="M2727" t="inlineStr">
        <is>
          <t>-16K4.1</t>
        </is>
      </c>
    </row>
    <row r="2728">
      <c r="A2728">
        <v>2727</v>
      </c>
      <c r="B2728">
        <f>GS51</f>
        <v>0</v>
      </c>
      <c r="C2728" t="inlineStr">
        <is>
          <t>+ES02</t>
        </is>
      </c>
      <c r="D2728" t="inlineStr">
        <is>
          <t>-16K4.1</t>
        </is>
      </c>
      <c r="E2728" t="inlineStr">
        <is>
          <t>DILA-XHIC40</t>
        </is>
      </c>
      <c r="F2728" t="inlineStr">
        <is>
          <t>DILA-XHIC40</t>
        </is>
      </c>
      <c r="G2728" t="inlineStr">
        <is>
          <t>HILFSKONTAKTBLOCK</t>
        </is>
      </c>
      <c r="H2728" t="inlineStr">
        <is>
          <t>4S Last+Hilfssch. Cage</t>
        </is>
      </c>
      <c r="I2728">
        <v>190</v>
      </c>
      <c r="J2728">
        <f>GS51/16.4</f>
        <v>0</v>
      </c>
      <c r="M2728" t="inlineStr">
        <is>
          <t>-16K4.1</t>
        </is>
      </c>
    </row>
    <row r="2729">
      <c r="A2729">
        <v>2728</v>
      </c>
      <c r="B2729">
        <f>GS52</f>
        <v>0</v>
      </c>
      <c r="C2729" t="inlineStr">
        <is>
          <t>+ES02</t>
        </is>
      </c>
      <c r="D2729" t="inlineStr">
        <is>
          <t>-16K4.1</t>
        </is>
      </c>
      <c r="E2729" t="inlineStr">
        <is>
          <t>DILA-XHIC40</t>
        </is>
      </c>
      <c r="F2729" t="inlineStr">
        <is>
          <t>DILA-XHIC40</t>
        </is>
      </c>
      <c r="G2729" t="inlineStr">
        <is>
          <t>HILFSKONTAKTBLOCK</t>
        </is>
      </c>
      <c r="H2729" t="inlineStr">
        <is>
          <t>4S Last+Hilfssch. Cage</t>
        </is>
      </c>
      <c r="I2729">
        <v>1844</v>
      </c>
      <c r="J2729">
        <f>GS52/16.4</f>
        <v>0</v>
      </c>
      <c r="M2729" t="inlineStr">
        <is>
          <t>-16K4.1</t>
        </is>
      </c>
    </row>
    <row r="2730">
      <c r="A2730">
        <v>2729</v>
      </c>
      <c r="B2730">
        <f>GS52</f>
        <v>0</v>
      </c>
      <c r="C2730" t="inlineStr">
        <is>
          <t>+ES02</t>
        </is>
      </c>
      <c r="D2730" t="inlineStr">
        <is>
          <t>-16K4.1</t>
        </is>
      </c>
      <c r="E2730" t="inlineStr">
        <is>
          <t>DILA-40</t>
        </is>
      </c>
      <c r="F2730" t="inlineStr">
        <is>
          <t>DILA-XHIC40</t>
        </is>
      </c>
      <c r="G2730" t="inlineStr">
        <is>
          <t>HILFSSCHUETZ</t>
        </is>
      </c>
      <c r="H2730" t="inlineStr">
        <is>
          <t>4S Federzugkl.</t>
        </is>
      </c>
      <c r="I2730">
        <v>1844</v>
      </c>
      <c r="J2730">
        <f>GS52/16.4</f>
        <v>0</v>
      </c>
      <c r="M2730" t="inlineStr">
        <is>
          <t>-16K4.1</t>
        </is>
      </c>
    </row>
    <row r="2731">
      <c r="A2731">
        <v>2730</v>
      </c>
      <c r="B2731">
        <f>GS53</f>
        <v>0</v>
      </c>
      <c r="C2731" t="inlineStr">
        <is>
          <t>+ES02</t>
        </is>
      </c>
      <c r="D2731" t="inlineStr">
        <is>
          <t>-16K4.1</t>
        </is>
      </c>
      <c r="E2731" t="inlineStr">
        <is>
          <t>DILA-40</t>
        </is>
      </c>
      <c r="F2731" t="inlineStr">
        <is>
          <t>DILA-XHIC40</t>
        </is>
      </c>
      <c r="G2731" t="inlineStr">
        <is>
          <t>HILFSSCHUETZ</t>
        </is>
      </c>
      <c r="H2731" t="inlineStr">
        <is>
          <t>4S Federzugkl.</t>
        </is>
      </c>
      <c r="I2731">
        <v>216</v>
      </c>
      <c r="J2731">
        <f>GS53/16.4</f>
        <v>0</v>
      </c>
      <c r="M2731" t="inlineStr">
        <is>
          <t>-16K4.1</t>
        </is>
      </c>
    </row>
    <row r="2732">
      <c r="A2732">
        <v>2731</v>
      </c>
      <c r="B2732">
        <f>GS53</f>
        <v>0</v>
      </c>
      <c r="C2732" t="inlineStr">
        <is>
          <t>+ES02</t>
        </is>
      </c>
      <c r="D2732" t="inlineStr">
        <is>
          <t>-16K4.1</t>
        </is>
      </c>
      <c r="E2732" t="inlineStr">
        <is>
          <t>DILA-XHIC40</t>
        </is>
      </c>
      <c r="F2732" t="inlineStr">
        <is>
          <t>DILA-XHIC40</t>
        </is>
      </c>
      <c r="G2732" t="inlineStr">
        <is>
          <t>HILFSKONTAKTBLOCK</t>
        </is>
      </c>
      <c r="H2732" t="inlineStr">
        <is>
          <t>4S Last+Hilfssch. Cage</t>
        </is>
      </c>
      <c r="I2732">
        <v>216</v>
      </c>
      <c r="J2732">
        <f>GS53/16.4</f>
        <v>0</v>
      </c>
      <c r="M2732" t="inlineStr">
        <is>
          <t>-16K4.1</t>
        </is>
      </c>
    </row>
    <row r="2733">
      <c r="A2733">
        <v>2732</v>
      </c>
      <c r="B2733">
        <f>GS55</f>
        <v>0</v>
      </c>
      <c r="C2733" t="inlineStr">
        <is>
          <t>+ES02</t>
        </is>
      </c>
      <c r="D2733" t="inlineStr">
        <is>
          <t>-16K4.1</t>
        </is>
      </c>
      <c r="E2733" t="inlineStr">
        <is>
          <t>DILA-40</t>
        </is>
      </c>
      <c r="F2733" t="inlineStr">
        <is>
          <t>DILA-XHIC40</t>
        </is>
      </c>
      <c r="G2733" t="inlineStr">
        <is>
          <t>HILFSSCHUETZ</t>
        </is>
      </c>
      <c r="H2733" t="inlineStr">
        <is>
          <t>4S Federzugkl.</t>
        </is>
      </c>
      <c r="I2733">
        <v>241</v>
      </c>
      <c r="J2733">
        <f>GS55/16.4</f>
        <v>0</v>
      </c>
      <c r="M2733" t="inlineStr">
        <is>
          <t>-16K4.1</t>
        </is>
      </c>
    </row>
    <row r="2734">
      <c r="A2734">
        <v>2733</v>
      </c>
      <c r="B2734">
        <f>GS55</f>
        <v>0</v>
      </c>
      <c r="C2734" t="inlineStr">
        <is>
          <t>+ES02</t>
        </is>
      </c>
      <c r="D2734" t="inlineStr">
        <is>
          <t>-16K4.1</t>
        </is>
      </c>
      <c r="E2734" t="inlineStr">
        <is>
          <t>DILA-XHIC40</t>
        </is>
      </c>
      <c r="F2734" t="inlineStr">
        <is>
          <t>DILA-XHIC40</t>
        </is>
      </c>
      <c r="G2734" t="inlineStr">
        <is>
          <t>HILFSKONTAKTBLOCK</t>
        </is>
      </c>
      <c r="H2734" t="inlineStr">
        <is>
          <t>4S Last+Hilfssch. Cage</t>
        </is>
      </c>
      <c r="I2734">
        <v>241</v>
      </c>
      <c r="J2734">
        <f>GS55/16.4</f>
        <v>0</v>
      </c>
      <c r="M2734" t="inlineStr">
        <is>
          <t>-16K4.1</t>
        </is>
      </c>
    </row>
    <row r="2735">
      <c r="A2735">
        <v>2734</v>
      </c>
      <c r="B2735">
        <f>GS69</f>
        <v>0</v>
      </c>
      <c r="C2735" t="inlineStr">
        <is>
          <t>+ES02</t>
        </is>
      </c>
      <c r="D2735" t="inlineStr">
        <is>
          <t>-16K4.1</t>
        </is>
      </c>
      <c r="E2735" t="inlineStr">
        <is>
          <t>DILA-40</t>
        </is>
      </c>
      <c r="F2735" t="inlineStr">
        <is>
          <t>DILA-XHIC40</t>
        </is>
      </c>
      <c r="G2735" t="inlineStr">
        <is>
          <t>HILFSSCHUETZ</t>
        </is>
      </c>
      <c r="H2735" t="inlineStr">
        <is>
          <t>4S Federzugkl.</t>
        </is>
      </c>
      <c r="I2735">
        <v>175</v>
      </c>
      <c r="J2735">
        <f>GS69/16.4</f>
        <v>0</v>
      </c>
      <c r="M2735" t="inlineStr">
        <is>
          <t>-16K4.1</t>
        </is>
      </c>
    </row>
    <row r="2736">
      <c r="A2736">
        <v>2735</v>
      </c>
      <c r="B2736">
        <f>GS69</f>
        <v>0</v>
      </c>
      <c r="C2736" t="inlineStr">
        <is>
          <t>+ES02</t>
        </is>
      </c>
      <c r="D2736" t="inlineStr">
        <is>
          <t>-16K4.1</t>
        </is>
      </c>
      <c r="E2736" t="inlineStr">
        <is>
          <t>DILA-XHIC40</t>
        </is>
      </c>
      <c r="F2736" t="inlineStr">
        <is>
          <t>DILA-XHIC40</t>
        </is>
      </c>
      <c r="G2736" t="inlineStr">
        <is>
          <t>HILFSKONTAKTBLOCK</t>
        </is>
      </c>
      <c r="H2736" t="inlineStr">
        <is>
          <t>4S Last+Hilfssch. Cage</t>
        </is>
      </c>
      <c r="I2736">
        <v>175</v>
      </c>
      <c r="J2736">
        <f>GS69/16.4</f>
        <v>0</v>
      </c>
      <c r="M2736" t="inlineStr">
        <is>
          <t>-16K4.1</t>
        </is>
      </c>
    </row>
    <row r="2737">
      <c r="A2737">
        <v>2736</v>
      </c>
      <c r="B2737">
        <f>GS79</f>
        <v>0</v>
      </c>
      <c r="C2737" t="inlineStr">
        <is>
          <t>+ES02</t>
        </is>
      </c>
      <c r="D2737" t="inlineStr">
        <is>
          <t>-16K4.1</t>
        </is>
      </c>
      <c r="E2737" t="inlineStr">
        <is>
          <t>DILA-40</t>
        </is>
      </c>
      <c r="F2737" t="inlineStr">
        <is>
          <t>DILA-XHIC40</t>
        </is>
      </c>
      <c r="G2737" t="inlineStr">
        <is>
          <t>HILFSSCHUETZ</t>
        </is>
      </c>
      <c r="H2737" t="inlineStr">
        <is>
          <t>4S Federzugkl.</t>
        </is>
      </c>
      <c r="I2737">
        <v>167</v>
      </c>
      <c r="J2737">
        <f>GS79/16.5</f>
        <v>0</v>
      </c>
      <c r="M2737" t="inlineStr">
        <is>
          <t>-16K4.1</t>
        </is>
      </c>
    </row>
    <row r="2738">
      <c r="A2738">
        <v>2737</v>
      </c>
      <c r="B2738">
        <f>GS79</f>
        <v>0</v>
      </c>
      <c r="C2738" t="inlineStr">
        <is>
          <t>+ES02</t>
        </is>
      </c>
      <c r="D2738" t="inlineStr">
        <is>
          <t>-16K4.1</t>
        </is>
      </c>
      <c r="E2738" t="inlineStr">
        <is>
          <t>DILA-XHIC40</t>
        </is>
      </c>
      <c r="F2738" t="inlineStr">
        <is>
          <t>DILA-XHIC40</t>
        </is>
      </c>
      <c r="G2738" t="inlineStr">
        <is>
          <t>HILFSKONTAKTBLOCK</t>
        </is>
      </c>
      <c r="H2738" t="inlineStr">
        <is>
          <t>4S Last+Hilfssch. Cage</t>
        </is>
      </c>
      <c r="I2738">
        <v>167</v>
      </c>
      <c r="J2738">
        <f>GS79/16.5</f>
        <v>0</v>
      </c>
      <c r="M2738" t="inlineStr">
        <is>
          <t>-16K4.1</t>
        </is>
      </c>
    </row>
    <row r="2739">
      <c r="A2739">
        <v>2738</v>
      </c>
      <c r="B2739">
        <f>GS7x</f>
        <v>0</v>
      </c>
      <c r="C2739" t="inlineStr">
        <is>
          <t>+ES02</t>
        </is>
      </c>
      <c r="D2739" t="inlineStr">
        <is>
          <t>-16K4.1</t>
        </is>
      </c>
      <c r="E2739" t="inlineStr">
        <is>
          <t>DILA-40</t>
        </is>
      </c>
      <c r="F2739" t="inlineStr">
        <is>
          <t>#ÜBERLAUF!</t>
        </is>
      </c>
      <c r="G2739" t="inlineStr">
        <is>
          <t>HILFSSCHUETZ</t>
        </is>
      </c>
      <c r="H2739" t="inlineStr">
        <is>
          <t>4S Federzugkl.</t>
        </is>
      </c>
      <c r="I2739">
        <v>203</v>
      </c>
      <c r="J2739">
        <f>GS7x/16.5</f>
        <v>0</v>
      </c>
      <c r="M2739" t="inlineStr">
        <is>
          <t>-16K4.1</t>
        </is>
      </c>
    </row>
    <row r="2740">
      <c r="A2740">
        <v>2739</v>
      </c>
      <c r="B2740">
        <f>GS7x</f>
        <v>0</v>
      </c>
      <c r="C2740" t="inlineStr">
        <is>
          <t>+ES02</t>
        </is>
      </c>
      <c r="D2740" t="inlineStr">
        <is>
          <t>-16K4.1</t>
        </is>
      </c>
      <c r="E2740" t="inlineStr">
        <is>
          <t>DILA-40</t>
        </is>
      </c>
      <c r="F2740" t="inlineStr">
        <is>
          <t>#ÜBERLAUF!</t>
        </is>
      </c>
      <c r="G2740" t="inlineStr">
        <is>
          <t>HILFSSCHUETZ</t>
        </is>
      </c>
      <c r="H2740" t="inlineStr">
        <is>
          <t>4S Federzugkl.</t>
        </is>
      </c>
      <c r="I2740">
        <v>191</v>
      </c>
      <c r="J2740">
        <f>GS7x/16.5</f>
        <v>0</v>
      </c>
      <c r="M2740" t="inlineStr">
        <is>
          <t>-16K4.1</t>
        </is>
      </c>
    </row>
    <row r="2741">
      <c r="A2741">
        <v>2740</v>
      </c>
      <c r="B2741">
        <f>GS7x</f>
        <v>0</v>
      </c>
      <c r="C2741" t="inlineStr">
        <is>
          <t>+ES02</t>
        </is>
      </c>
      <c r="D2741" t="inlineStr">
        <is>
          <t>-16K4.1</t>
        </is>
      </c>
      <c r="E2741" t="inlineStr">
        <is>
          <t>DILA-XHIC40</t>
        </is>
      </c>
      <c r="F2741" t="inlineStr">
        <is>
          <t>#ÜBERLAUF!</t>
        </is>
      </c>
      <c r="G2741" t="inlineStr">
        <is>
          <t>HILFSKONTAKTBLOCK</t>
        </is>
      </c>
      <c r="H2741" t="inlineStr">
        <is>
          <t>4S Last+Hilfssch. Cage</t>
        </is>
      </c>
      <c r="I2741">
        <v>203</v>
      </c>
      <c r="J2741">
        <f>GS7x/16.5</f>
        <v>0</v>
      </c>
      <c r="M2741" t="inlineStr">
        <is>
          <t>-16K4.1</t>
        </is>
      </c>
    </row>
    <row r="2742">
      <c r="A2742">
        <v>2741</v>
      </c>
      <c r="B2742">
        <f>GS7x</f>
        <v>0</v>
      </c>
      <c r="C2742" t="inlineStr">
        <is>
          <t>+ES02</t>
        </is>
      </c>
      <c r="D2742" t="inlineStr">
        <is>
          <t>-16K4.1</t>
        </is>
      </c>
      <c r="E2742" t="inlineStr">
        <is>
          <t>DILA-XHIC40</t>
        </is>
      </c>
      <c r="F2742" t="inlineStr">
        <is>
          <t>#ÜBERLAUF!</t>
        </is>
      </c>
      <c r="G2742" t="inlineStr">
        <is>
          <t>HILFSKONTAKTBLOCK</t>
        </is>
      </c>
      <c r="H2742" t="inlineStr">
        <is>
          <t>4S Last+Hilfssch. Cage</t>
        </is>
      </c>
      <c r="I2742">
        <v>191</v>
      </c>
      <c r="J2742">
        <f>GS7x/16.5</f>
        <v>0</v>
      </c>
      <c r="M2742" t="inlineStr">
        <is>
          <t>-16K4.1</t>
        </is>
      </c>
    </row>
    <row r="2743">
      <c r="A2743">
        <v>2742</v>
      </c>
      <c r="B2743">
        <f>GS90</f>
        <v>0</v>
      </c>
      <c r="C2743" t="inlineStr">
        <is>
          <t>+ES02</t>
        </is>
      </c>
      <c r="D2743" t="inlineStr">
        <is>
          <t>-16K4.1</t>
        </is>
      </c>
      <c r="E2743" t="inlineStr">
        <is>
          <t>DILA-40</t>
        </is>
      </c>
      <c r="F2743" t="inlineStr">
        <is>
          <t>DILA-XHIC40</t>
        </is>
      </c>
      <c r="G2743" t="inlineStr">
        <is>
          <t>HILFSSCHUETZ</t>
        </is>
      </c>
      <c r="H2743" t="inlineStr">
        <is>
          <t>4S Federzugkl.</t>
        </is>
      </c>
      <c r="I2743">
        <v>156</v>
      </c>
      <c r="J2743">
        <f>GS90/16.5</f>
        <v>0</v>
      </c>
      <c r="M2743" t="inlineStr">
        <is>
          <t>-16K4.1</t>
        </is>
      </c>
    </row>
    <row r="2744">
      <c r="A2744">
        <v>2743</v>
      </c>
      <c r="B2744">
        <f>GS90</f>
        <v>0</v>
      </c>
      <c r="C2744" t="inlineStr">
        <is>
          <t>+ES02</t>
        </is>
      </c>
      <c r="D2744" t="inlineStr">
        <is>
          <t>-16K4.1</t>
        </is>
      </c>
      <c r="E2744" t="inlineStr">
        <is>
          <t>DILA-XHIC40</t>
        </is>
      </c>
      <c r="F2744" t="inlineStr">
        <is>
          <t>DILA-XHIC40</t>
        </is>
      </c>
      <c r="G2744" t="inlineStr">
        <is>
          <t>HILFSKONTAKTBLOCK</t>
        </is>
      </c>
      <c r="H2744" t="inlineStr">
        <is>
          <t>4S Last+Hilfssch. Cage</t>
        </is>
      </c>
      <c r="I2744">
        <v>156</v>
      </c>
      <c r="J2744">
        <f>GS90/16.5</f>
        <v>0</v>
      </c>
      <c r="M2744" t="inlineStr">
        <is>
          <t>-16K4.1</t>
        </is>
      </c>
    </row>
    <row r="2745">
      <c r="A2745">
        <v>2744</v>
      </c>
      <c r="B2745">
        <f>GS91</f>
        <v>0</v>
      </c>
      <c r="C2745" t="inlineStr">
        <is>
          <t>+ES02</t>
        </is>
      </c>
      <c r="D2745" t="inlineStr">
        <is>
          <t>-16K4.1</t>
        </is>
      </c>
      <c r="E2745" t="inlineStr">
        <is>
          <t>DILA-40</t>
        </is>
      </c>
      <c r="F2745" t="inlineStr">
        <is>
          <t>DILA-XHIC40</t>
        </is>
      </c>
      <c r="G2745" t="inlineStr">
        <is>
          <t>HILFSSCHUETZ</t>
        </is>
      </c>
      <c r="H2745" t="inlineStr">
        <is>
          <t>4S Federzugkl.</t>
        </is>
      </c>
      <c r="I2745">
        <v>157</v>
      </c>
      <c r="J2745">
        <f>GS91/16.5</f>
        <v>0</v>
      </c>
      <c r="M2745" t="inlineStr">
        <is>
          <t>-16K4.1</t>
        </is>
      </c>
    </row>
    <row r="2746">
      <c r="A2746">
        <v>2745</v>
      </c>
      <c r="B2746">
        <f>GS91</f>
        <v>0</v>
      </c>
      <c r="C2746" t="inlineStr">
        <is>
          <t>+ES02</t>
        </is>
      </c>
      <c r="D2746" t="inlineStr">
        <is>
          <t>-16K4.1</t>
        </is>
      </c>
      <c r="E2746" t="inlineStr">
        <is>
          <t>DILA-XHIC40</t>
        </is>
      </c>
      <c r="F2746" t="inlineStr">
        <is>
          <t>DILA-XHIC40</t>
        </is>
      </c>
      <c r="G2746" t="inlineStr">
        <is>
          <t>HILFSKONTAKTBLOCK</t>
        </is>
      </c>
      <c r="H2746" t="inlineStr">
        <is>
          <t>4S Last+Hilfssch. Cage</t>
        </is>
      </c>
      <c r="I2746">
        <v>157</v>
      </c>
      <c r="J2746">
        <f>GS91/16.5</f>
        <v>0</v>
      </c>
      <c r="M2746" t="inlineStr">
        <is>
          <t>-16K4.1</t>
        </is>
      </c>
    </row>
    <row r="2747">
      <c r="A2747">
        <v>2746</v>
      </c>
      <c r="B2747">
        <f>GS92</f>
        <v>0</v>
      </c>
      <c r="C2747" t="inlineStr">
        <is>
          <t>+ES02</t>
        </is>
      </c>
      <c r="D2747" t="inlineStr">
        <is>
          <t>-16K4.1</t>
        </is>
      </c>
      <c r="E2747" t="inlineStr">
        <is>
          <t>DILA-XHIC40</t>
        </is>
      </c>
      <c r="F2747" t="inlineStr">
        <is>
          <t>DILA-XHIC40</t>
        </is>
      </c>
      <c r="G2747" t="inlineStr">
        <is>
          <t>HILFSKONTAKTBLOCK</t>
        </is>
      </c>
      <c r="H2747" t="inlineStr">
        <is>
          <t>4S Last+Hilfssch. Cage</t>
        </is>
      </c>
      <c r="I2747">
        <v>156</v>
      </c>
      <c r="J2747">
        <f>GS92/16.5</f>
        <v>0</v>
      </c>
      <c r="M2747" t="inlineStr">
        <is>
          <t>-16K4.1</t>
        </is>
      </c>
    </row>
    <row r="2748">
      <c r="A2748">
        <v>2747</v>
      </c>
      <c r="B2748">
        <f>GS92</f>
        <v>0</v>
      </c>
      <c r="C2748" t="inlineStr">
        <is>
          <t>+ES02</t>
        </is>
      </c>
      <c r="D2748" t="inlineStr">
        <is>
          <t>-16K4.1</t>
        </is>
      </c>
      <c r="E2748" t="inlineStr">
        <is>
          <t>DILA-40</t>
        </is>
      </c>
      <c r="F2748" t="inlineStr">
        <is>
          <t>DILA-XHIC40</t>
        </is>
      </c>
      <c r="G2748" t="inlineStr">
        <is>
          <t>HILFSSCHUETZ</t>
        </is>
      </c>
      <c r="H2748" t="inlineStr">
        <is>
          <t>4S Federzugkl.</t>
        </is>
      </c>
      <c r="I2748">
        <v>156</v>
      </c>
      <c r="J2748">
        <f>GS92/16.5</f>
        <v>0</v>
      </c>
      <c r="M2748" t="inlineStr">
        <is>
          <t>-16K4.1</t>
        </is>
      </c>
    </row>
    <row r="2749">
      <c r="A2749">
        <v>2748</v>
      </c>
      <c r="B2749">
        <f>GS93</f>
        <v>0</v>
      </c>
      <c r="C2749" t="inlineStr">
        <is>
          <t>+ES02</t>
        </is>
      </c>
      <c r="D2749" t="inlineStr">
        <is>
          <t>-16K4.1</t>
        </is>
      </c>
      <c r="E2749" t="inlineStr">
        <is>
          <t>DILA-XHIC40</t>
        </is>
      </c>
      <c r="F2749" t="inlineStr">
        <is>
          <t>DILA-XHIC40</t>
        </is>
      </c>
      <c r="G2749" t="inlineStr">
        <is>
          <t>HILFSKONTAKTBLOCK</t>
        </is>
      </c>
      <c r="H2749" t="inlineStr">
        <is>
          <t>4S Last+Hilfssch. Cage</t>
        </is>
      </c>
      <c r="I2749">
        <v>580</v>
      </c>
      <c r="J2749">
        <f>GS93/16.5</f>
        <v>0</v>
      </c>
      <c r="M2749" t="inlineStr">
        <is>
          <t>-16K4.1</t>
        </is>
      </c>
    </row>
    <row r="2750">
      <c r="A2750">
        <v>2749</v>
      </c>
      <c r="B2750">
        <f>GS93</f>
        <v>0</v>
      </c>
      <c r="C2750" t="inlineStr">
        <is>
          <t>+ES02</t>
        </is>
      </c>
      <c r="D2750" t="inlineStr">
        <is>
          <t>-16K4.1</t>
        </is>
      </c>
      <c r="E2750" t="inlineStr">
        <is>
          <t>DILA-40</t>
        </is>
      </c>
      <c r="F2750" t="inlineStr">
        <is>
          <t>DILA-XHIC40</t>
        </is>
      </c>
      <c r="G2750" t="inlineStr">
        <is>
          <t>HILFSSCHUETZ</t>
        </is>
      </c>
      <c r="H2750" t="inlineStr">
        <is>
          <t>4S Federzugkl.</t>
        </is>
      </c>
      <c r="I2750">
        <v>580</v>
      </c>
      <c r="J2750">
        <f>GS93/16.5</f>
        <v>0</v>
      </c>
      <c r="M2750" t="inlineStr">
        <is>
          <t>-16K4.1</t>
        </is>
      </c>
    </row>
    <row r="2751">
      <c r="A2751">
        <v>2750</v>
      </c>
      <c r="B2751">
        <f>GS94</f>
        <v>0</v>
      </c>
      <c r="C2751" t="inlineStr">
        <is>
          <t>+ES02</t>
        </is>
      </c>
      <c r="D2751" t="inlineStr">
        <is>
          <t>-16K4.1</t>
        </is>
      </c>
      <c r="E2751" t="inlineStr">
        <is>
          <t>DILA-40</t>
        </is>
      </c>
      <c r="F2751" t="inlineStr">
        <is>
          <t>DILA-XHIC40</t>
        </is>
      </c>
      <c r="G2751" t="inlineStr">
        <is>
          <t>HILFSSCHUETZ</t>
        </is>
      </c>
      <c r="H2751" t="inlineStr">
        <is>
          <t>4S Federzugkl.</t>
        </is>
      </c>
      <c r="I2751">
        <v>164</v>
      </c>
      <c r="J2751">
        <f>GS94/16.5</f>
        <v>0</v>
      </c>
      <c r="M2751" t="inlineStr">
        <is>
          <t>-16K4.1</t>
        </is>
      </c>
    </row>
    <row r="2752">
      <c r="A2752">
        <v>2751</v>
      </c>
      <c r="B2752">
        <f>GS94</f>
        <v>0</v>
      </c>
      <c r="C2752" t="inlineStr">
        <is>
          <t>+ES02</t>
        </is>
      </c>
      <c r="D2752" t="inlineStr">
        <is>
          <t>-16K4.1</t>
        </is>
      </c>
      <c r="E2752" t="inlineStr">
        <is>
          <t>DILA-XHIC40</t>
        </is>
      </c>
      <c r="F2752" t="inlineStr">
        <is>
          <t>DILA-XHIC40</t>
        </is>
      </c>
      <c r="G2752" t="inlineStr">
        <is>
          <t>HILFSKONTAKTBLOCK</t>
        </is>
      </c>
      <c r="H2752" t="inlineStr">
        <is>
          <t>4S Last+Hilfssch. Cage</t>
        </is>
      </c>
      <c r="I2752">
        <v>164</v>
      </c>
      <c r="J2752">
        <f>GS94/16.5</f>
        <v>0</v>
      </c>
      <c r="M2752" t="inlineStr">
        <is>
          <t>-16K4.1</t>
        </is>
      </c>
    </row>
    <row r="2753">
      <c r="A2753">
        <v>2752</v>
      </c>
      <c r="B2753">
        <f>GS95</f>
        <v>0</v>
      </c>
      <c r="C2753" t="inlineStr">
        <is>
          <t>+ES02</t>
        </is>
      </c>
      <c r="D2753" t="inlineStr">
        <is>
          <t>-16K4.1</t>
        </is>
      </c>
      <c r="E2753" t="inlineStr">
        <is>
          <t>DILA-XHIC40</t>
        </is>
      </c>
      <c r="F2753" t="inlineStr">
        <is>
          <t>DILA-XHIC40</t>
        </is>
      </c>
      <c r="G2753" t="inlineStr">
        <is>
          <t>HILFSKONTAKTBLOCK</t>
        </is>
      </c>
      <c r="H2753" t="inlineStr">
        <is>
          <t>4S Last+Hilfssch. Cage</t>
        </is>
      </c>
      <c r="I2753">
        <v>164</v>
      </c>
      <c r="J2753">
        <f>GS95/16.5</f>
        <v>0</v>
      </c>
      <c r="M2753" t="inlineStr">
        <is>
          <t>-16K4.1</t>
        </is>
      </c>
    </row>
    <row r="2754">
      <c r="A2754">
        <v>2753</v>
      </c>
      <c r="B2754">
        <f>GS95</f>
        <v>0</v>
      </c>
      <c r="C2754" t="inlineStr">
        <is>
          <t>+ES02</t>
        </is>
      </c>
      <c r="D2754" t="inlineStr">
        <is>
          <t>-16K4.1</t>
        </is>
      </c>
      <c r="E2754" t="inlineStr">
        <is>
          <t>DILA-40</t>
        </is>
      </c>
      <c r="F2754" t="inlineStr">
        <is>
          <t>DILA-XHIC40</t>
        </is>
      </c>
      <c r="G2754" t="inlineStr">
        <is>
          <t>HILFSSCHUETZ</t>
        </is>
      </c>
      <c r="H2754" t="inlineStr">
        <is>
          <t>4S Federzugkl.</t>
        </is>
      </c>
      <c r="I2754">
        <v>164</v>
      </c>
      <c r="J2754">
        <f>GS95/16.5</f>
        <v>0</v>
      </c>
      <c r="M2754" t="inlineStr">
        <is>
          <t>-16K4.1</t>
        </is>
      </c>
    </row>
    <row r="2755">
      <c r="A2755">
        <v>2754</v>
      </c>
      <c r="B2755">
        <f>GS96</f>
        <v>0</v>
      </c>
      <c r="C2755" t="inlineStr">
        <is>
          <t>+ES02</t>
        </is>
      </c>
      <c r="D2755" t="inlineStr">
        <is>
          <t>-16K4.1</t>
        </is>
      </c>
      <c r="E2755" t="inlineStr">
        <is>
          <t>DILA-XHIC40</t>
        </is>
      </c>
      <c r="F2755" t="inlineStr">
        <is>
          <t>DILA-XHIC40</t>
        </is>
      </c>
      <c r="G2755" t="inlineStr">
        <is>
          <t>HILFSKONTAKTBLOCK</t>
        </is>
      </c>
      <c r="H2755" t="inlineStr">
        <is>
          <t>4S Last+Hilfssch. Cage</t>
        </is>
      </c>
      <c r="I2755">
        <v>164</v>
      </c>
      <c r="J2755">
        <f>GS96/16.5</f>
        <v>0</v>
      </c>
      <c r="M2755" t="inlineStr">
        <is>
          <t>-16K4.1</t>
        </is>
      </c>
    </row>
    <row r="2756">
      <c r="A2756">
        <v>2755</v>
      </c>
      <c r="B2756">
        <f>GS96</f>
        <v>0</v>
      </c>
      <c r="C2756" t="inlineStr">
        <is>
          <t>+ES02</t>
        </is>
      </c>
      <c r="D2756" t="inlineStr">
        <is>
          <t>-16K4.1</t>
        </is>
      </c>
      <c r="E2756" t="inlineStr">
        <is>
          <t>DILA-40</t>
        </is>
      </c>
      <c r="F2756" t="inlineStr">
        <is>
          <t>DILA-XHIC40</t>
        </is>
      </c>
      <c r="G2756" t="inlineStr">
        <is>
          <t>HILFSSCHUETZ</t>
        </is>
      </c>
      <c r="H2756" t="inlineStr">
        <is>
          <t>4S Federzugkl.</t>
        </is>
      </c>
      <c r="I2756">
        <v>164</v>
      </c>
      <c r="J2756">
        <f>GS96/16.5</f>
        <v>0</v>
      </c>
      <c r="M2756" t="inlineStr">
        <is>
          <t>-16K4.1</t>
        </is>
      </c>
    </row>
    <row r="2757">
      <c r="A2757">
        <v>2756</v>
      </c>
      <c r="B2757">
        <f>GS97</f>
        <v>0</v>
      </c>
      <c r="C2757" t="inlineStr">
        <is>
          <t>+ES02</t>
        </is>
      </c>
      <c r="D2757" t="inlineStr">
        <is>
          <t>-16K4.1</t>
        </is>
      </c>
      <c r="E2757" t="inlineStr">
        <is>
          <t>DILA-40</t>
        </is>
      </c>
      <c r="F2757" t="inlineStr">
        <is>
          <t>DILA-XHIC40</t>
        </is>
      </c>
      <c r="G2757" t="inlineStr">
        <is>
          <t>HILFSSCHUETZ</t>
        </is>
      </c>
      <c r="H2757" t="inlineStr">
        <is>
          <t>4S Federzugkl.</t>
        </is>
      </c>
      <c r="I2757">
        <v>164</v>
      </c>
      <c r="J2757">
        <f>GS97/16.5</f>
        <v>0</v>
      </c>
      <c r="M2757" t="inlineStr">
        <is>
          <t>-16K4.1</t>
        </is>
      </c>
    </row>
    <row r="2758">
      <c r="A2758">
        <v>2757</v>
      </c>
      <c r="B2758">
        <f>GS97</f>
        <v>0</v>
      </c>
      <c r="C2758" t="inlineStr">
        <is>
          <t>+ES02</t>
        </is>
      </c>
      <c r="D2758" t="inlineStr">
        <is>
          <t>-16K4.1</t>
        </is>
      </c>
      <c r="E2758" t="inlineStr">
        <is>
          <t>DILA-XHIC40</t>
        </is>
      </c>
      <c r="F2758" t="inlineStr">
        <is>
          <t>DILA-XHIC40</t>
        </is>
      </c>
      <c r="G2758" t="inlineStr">
        <is>
          <t>HILFSKONTAKTBLOCK</t>
        </is>
      </c>
      <c r="H2758" t="inlineStr">
        <is>
          <t>4S Last+Hilfssch. Cage</t>
        </is>
      </c>
      <c r="I2758">
        <v>164</v>
      </c>
      <c r="J2758">
        <f>GS97/16.5</f>
        <v>0</v>
      </c>
      <c r="M2758" t="inlineStr">
        <is>
          <t>-16K4.1</t>
        </is>
      </c>
    </row>
    <row r="2759">
      <c r="A2759">
        <v>2758</v>
      </c>
      <c r="B2759">
        <f>GC03</f>
        <v>0</v>
      </c>
      <c r="C2759" t="inlineStr">
        <is>
          <t>+ES1</t>
        </is>
      </c>
      <c r="D2759" t="inlineStr">
        <is>
          <t>-16K4.1.1</t>
        </is>
      </c>
      <c r="E2759" t="inlineStr">
        <is>
          <t>DIL_ER-40-G</t>
        </is>
      </c>
      <c r="F2759" t="inlineStr">
        <is>
          <t>40_DIL-E</t>
        </is>
      </c>
      <c r="G2759" t="inlineStr">
        <is>
          <t>HILFSSCHUETZ</t>
        </is>
      </c>
      <c r="H2759" t="inlineStr">
        <is>
          <t>4S</t>
        </is>
      </c>
      <c r="I2759">
        <v>262</v>
      </c>
      <c r="J2759">
        <f>GC03/16.6</f>
        <v>0</v>
      </c>
      <c r="M2759" t="inlineStr">
        <is>
          <t>-16K4.1.1</t>
        </is>
      </c>
    </row>
    <row r="2760">
      <c r="A2760">
        <v>2759</v>
      </c>
      <c r="B2760">
        <f>GC03</f>
        <v>0</v>
      </c>
      <c r="C2760" t="inlineStr">
        <is>
          <t>+ES1</t>
        </is>
      </c>
      <c r="D2760" t="inlineStr">
        <is>
          <t>-16K4.1.1</t>
        </is>
      </c>
      <c r="E2760" t="inlineStr">
        <is>
          <t>40_DIL-E</t>
        </is>
      </c>
      <c r="F2760" t="inlineStr">
        <is>
          <t>40_DIL-E</t>
        </is>
      </c>
      <c r="G2760" t="inlineStr">
        <is>
          <t>HILFSKONTAKTBLOCK</t>
        </is>
      </c>
      <c r="H2760" t="inlineStr">
        <is>
          <t>4S Last+Hilfsschuetz</t>
        </is>
      </c>
      <c r="I2760">
        <v>262</v>
      </c>
      <c r="J2760">
        <f>GC03/16.6</f>
        <v>0</v>
      </c>
      <c r="M2760" t="inlineStr">
        <is>
          <t>-16K4.1.1</t>
        </is>
      </c>
    </row>
    <row r="2761">
      <c r="A2761">
        <v>2760</v>
      </c>
      <c r="B2761">
        <f>GS02</f>
        <v>0</v>
      </c>
      <c r="C2761" t="inlineStr">
        <is>
          <t>+ES1</t>
        </is>
      </c>
      <c r="D2761" t="inlineStr">
        <is>
          <t>-16K4.1.1</t>
        </is>
      </c>
      <c r="E2761" t="inlineStr">
        <is>
          <t>DIL_ER-40-G</t>
        </is>
      </c>
      <c r="F2761" t="inlineStr">
        <is>
          <t>40_DIL-E</t>
        </is>
      </c>
      <c r="G2761" t="inlineStr">
        <is>
          <t>HILFSSCHUETZ</t>
        </is>
      </c>
      <c r="H2761" t="inlineStr">
        <is>
          <t>4S</t>
        </is>
      </c>
      <c r="I2761">
        <v>407</v>
      </c>
      <c r="J2761">
        <f>GS02/16.6</f>
        <v>0</v>
      </c>
      <c r="M2761" t="inlineStr">
        <is>
          <t>-16K4.1.1</t>
        </is>
      </c>
    </row>
    <row r="2762">
      <c r="A2762">
        <v>2761</v>
      </c>
      <c r="B2762">
        <f>GS02</f>
        <v>0</v>
      </c>
      <c r="C2762" t="inlineStr">
        <is>
          <t>+ES1</t>
        </is>
      </c>
      <c r="D2762" t="inlineStr">
        <is>
          <t>-16K4.1.1</t>
        </is>
      </c>
      <c r="E2762" t="inlineStr">
        <is>
          <t>40_DIL-E</t>
        </is>
      </c>
      <c r="F2762" t="inlineStr">
        <is>
          <t>40_DIL-E</t>
        </is>
      </c>
      <c r="G2762" t="inlineStr">
        <is>
          <t>HILFSKONTAKTBLOCK</t>
        </is>
      </c>
      <c r="H2762" t="inlineStr">
        <is>
          <t>4S Last+Hilfsschuetz</t>
        </is>
      </c>
      <c r="I2762">
        <v>407</v>
      </c>
      <c r="J2762">
        <f>GS02/16.6</f>
        <v>0</v>
      </c>
      <c r="M2762" t="inlineStr">
        <is>
          <t>-16K4.1.1</t>
        </is>
      </c>
    </row>
    <row r="2763">
      <c r="A2763">
        <v>2762</v>
      </c>
      <c r="B2763">
        <f>GS04</f>
        <v>0</v>
      </c>
      <c r="C2763" t="inlineStr">
        <is>
          <t>+ES1</t>
        </is>
      </c>
      <c r="D2763" t="inlineStr">
        <is>
          <t>-16K4.1.1</t>
        </is>
      </c>
      <c r="E2763" t="inlineStr">
        <is>
          <t>DIL_ER-40-G</t>
        </is>
      </c>
      <c r="F2763" t="inlineStr">
        <is>
          <t>40_DIL-E</t>
        </is>
      </c>
      <c r="G2763" t="inlineStr">
        <is>
          <t>HILFSSCHUETZ</t>
        </is>
      </c>
      <c r="H2763" t="inlineStr">
        <is>
          <t>4S</t>
        </is>
      </c>
      <c r="I2763">
        <v>260</v>
      </c>
      <c r="J2763">
        <f>GS04/16.6</f>
        <v>0</v>
      </c>
      <c r="M2763" t="inlineStr">
        <is>
          <t>-16K4.1.1</t>
        </is>
      </c>
    </row>
    <row r="2764">
      <c r="A2764">
        <v>2763</v>
      </c>
      <c r="B2764">
        <f>GS04</f>
        <v>0</v>
      </c>
      <c r="C2764" t="inlineStr">
        <is>
          <t>+ES1</t>
        </is>
      </c>
      <c r="D2764" t="inlineStr">
        <is>
          <t>-16K4.1.1</t>
        </is>
      </c>
      <c r="E2764" t="inlineStr">
        <is>
          <t>40_DIL-E</t>
        </is>
      </c>
      <c r="F2764" t="inlineStr">
        <is>
          <t>40_DIL-E</t>
        </is>
      </c>
      <c r="G2764" t="inlineStr">
        <is>
          <t>HILFSKONTAKTBLOCK</t>
        </is>
      </c>
      <c r="H2764" t="inlineStr">
        <is>
          <t>4S Last+Hilfsschuetz</t>
        </is>
      </c>
      <c r="I2764">
        <v>260</v>
      </c>
      <c r="J2764">
        <f>GS04/16.6</f>
        <v>0</v>
      </c>
      <c r="M2764" t="inlineStr">
        <is>
          <t>-16K4.1.1</t>
        </is>
      </c>
    </row>
    <row r="2765">
      <c r="A2765">
        <v>2764</v>
      </c>
      <c r="B2765">
        <f>GS13</f>
        <v>0</v>
      </c>
      <c r="C2765" t="inlineStr">
        <is>
          <t>+ES1</t>
        </is>
      </c>
      <c r="D2765" t="inlineStr">
        <is>
          <t>-16K4.1.1</t>
        </is>
      </c>
      <c r="E2765" t="inlineStr">
        <is>
          <t>40_DIL-E</t>
        </is>
      </c>
      <c r="F2765" t="inlineStr">
        <is>
          <t>40_DIL-E</t>
        </is>
      </c>
      <c r="G2765" t="inlineStr">
        <is>
          <t>HILFSKONTAKTBLOCK</t>
        </is>
      </c>
      <c r="H2765" t="inlineStr">
        <is>
          <t>4S Last+Hilfsschuetz</t>
        </is>
      </c>
      <c r="I2765">
        <v>244</v>
      </c>
      <c r="J2765">
        <f>GS13/16.6</f>
        <v>0</v>
      </c>
      <c r="M2765" t="inlineStr">
        <is>
          <t>-16K4.1.1</t>
        </is>
      </c>
    </row>
    <row r="2766">
      <c r="A2766">
        <v>2765</v>
      </c>
      <c r="B2766">
        <f>GS13</f>
        <v>0</v>
      </c>
      <c r="C2766" t="inlineStr">
        <is>
          <t>+ES1</t>
        </is>
      </c>
      <c r="D2766" t="inlineStr">
        <is>
          <t>-16K4.1.1</t>
        </is>
      </c>
      <c r="E2766" t="inlineStr">
        <is>
          <t>DIL_ER-40-G</t>
        </is>
      </c>
      <c r="F2766" t="inlineStr">
        <is>
          <t>40_DIL-E</t>
        </is>
      </c>
      <c r="G2766" t="inlineStr">
        <is>
          <t>HILFSSCHUETZ</t>
        </is>
      </c>
      <c r="H2766" t="inlineStr">
        <is>
          <t>4S</t>
        </is>
      </c>
      <c r="I2766">
        <v>244</v>
      </c>
      <c r="J2766">
        <f>GS13/16.6</f>
        <v>0</v>
      </c>
      <c r="M2766" t="inlineStr">
        <is>
          <t>-16K4.1.1</t>
        </is>
      </c>
    </row>
    <row r="2767">
      <c r="A2767">
        <v>2766</v>
      </c>
      <c r="B2767">
        <f>GS14</f>
        <v>0</v>
      </c>
      <c r="C2767" t="inlineStr">
        <is>
          <t>+ES1</t>
        </is>
      </c>
      <c r="D2767" t="inlineStr">
        <is>
          <t>-16K4.1.1</t>
        </is>
      </c>
      <c r="E2767" t="inlineStr">
        <is>
          <t>40_DIL-E</t>
        </is>
      </c>
      <c r="F2767" t="inlineStr">
        <is>
          <t>40_DIL-E</t>
        </is>
      </c>
      <c r="G2767" t="inlineStr">
        <is>
          <t>HILFSKONTAKTBLOCK</t>
        </is>
      </c>
      <c r="H2767" t="inlineStr">
        <is>
          <t>4S Last+Hilfsschuetz</t>
        </is>
      </c>
      <c r="I2767">
        <v>141</v>
      </c>
      <c r="J2767">
        <f>GS14/16.6</f>
        <v>0</v>
      </c>
      <c r="M2767" t="inlineStr">
        <is>
          <t>-16K4.1.1</t>
        </is>
      </c>
    </row>
    <row r="2768">
      <c r="A2768">
        <v>2767</v>
      </c>
      <c r="B2768">
        <f>GS14</f>
        <v>0</v>
      </c>
      <c r="C2768" t="inlineStr">
        <is>
          <t>+ES1</t>
        </is>
      </c>
      <c r="D2768" t="inlineStr">
        <is>
          <t>-16K4.1.1</t>
        </is>
      </c>
      <c r="E2768" t="inlineStr">
        <is>
          <t>DIL_ER-40-G</t>
        </is>
      </c>
      <c r="F2768" t="inlineStr">
        <is>
          <t>40_DIL-E</t>
        </is>
      </c>
      <c r="G2768" t="inlineStr">
        <is>
          <t>HILFSSCHUETZ</t>
        </is>
      </c>
      <c r="H2768" t="inlineStr">
        <is>
          <t>4S</t>
        </is>
      </c>
      <c r="I2768">
        <v>141</v>
      </c>
      <c r="J2768">
        <f>GS14/16.6</f>
        <v>0</v>
      </c>
      <c r="M2768" t="inlineStr">
        <is>
          <t>-16K4.1.1</t>
        </is>
      </c>
    </row>
    <row r="2769">
      <c r="A2769">
        <v>2768</v>
      </c>
      <c r="B2769">
        <f>GS15</f>
        <v>0</v>
      </c>
      <c r="C2769" t="inlineStr">
        <is>
          <t>+ES1</t>
        </is>
      </c>
      <c r="D2769" t="inlineStr">
        <is>
          <t>-16K4.1.1</t>
        </is>
      </c>
      <c r="E2769" t="inlineStr">
        <is>
          <t>DIL_ER-40-G</t>
        </is>
      </c>
      <c r="F2769" t="inlineStr">
        <is>
          <t>40_DIL-E</t>
        </is>
      </c>
      <c r="G2769" t="inlineStr">
        <is>
          <t>HILFSSCHUETZ</t>
        </is>
      </c>
      <c r="H2769" t="inlineStr">
        <is>
          <t>4S</t>
        </is>
      </c>
      <c r="I2769">
        <v>500</v>
      </c>
      <c r="J2769">
        <f>GS15/16.6</f>
        <v>0</v>
      </c>
      <c r="M2769" t="inlineStr">
        <is>
          <t>-16K4.1.1</t>
        </is>
      </c>
    </row>
    <row r="2770">
      <c r="A2770">
        <v>2769</v>
      </c>
      <c r="B2770">
        <f>GS15</f>
        <v>0</v>
      </c>
      <c r="C2770" t="inlineStr">
        <is>
          <t>+ES1</t>
        </is>
      </c>
      <c r="D2770" t="inlineStr">
        <is>
          <t>-16K4.1.1</t>
        </is>
      </c>
      <c r="E2770" t="inlineStr">
        <is>
          <t>40_DIL-E</t>
        </is>
      </c>
      <c r="F2770" t="inlineStr">
        <is>
          <t>40_DIL-E</t>
        </is>
      </c>
      <c r="G2770" t="inlineStr">
        <is>
          <t>HILFSKONTAKTBLOCK</t>
        </is>
      </c>
      <c r="H2770" t="inlineStr">
        <is>
          <t>4S Last+Hilfsschuetz</t>
        </is>
      </c>
      <c r="I2770">
        <v>500</v>
      </c>
      <c r="J2770">
        <f>GS15/16.6</f>
        <v>0</v>
      </c>
      <c r="M2770" t="inlineStr">
        <is>
          <t>-16K4.1.1</t>
        </is>
      </c>
    </row>
    <row r="2771">
      <c r="A2771">
        <v>2770</v>
      </c>
      <c r="B2771">
        <f>GS23</f>
        <v>0</v>
      </c>
      <c r="C2771" t="inlineStr">
        <is>
          <t>+ES1</t>
        </is>
      </c>
      <c r="D2771" t="inlineStr">
        <is>
          <t>-16K4.1.1</t>
        </is>
      </c>
      <c r="E2771" t="inlineStr">
        <is>
          <t>DIL_ER-40-G</t>
        </is>
      </c>
      <c r="F2771" t="inlineStr">
        <is>
          <t>40_DIL-E</t>
        </is>
      </c>
      <c r="G2771" t="inlineStr">
        <is>
          <t>HILFSSCHUETZ</t>
        </is>
      </c>
      <c r="H2771" t="inlineStr">
        <is>
          <t>4S</t>
        </is>
      </c>
      <c r="I2771">
        <v>307</v>
      </c>
      <c r="J2771">
        <f>GS23/16.6</f>
        <v>0</v>
      </c>
      <c r="M2771" t="inlineStr">
        <is>
          <t>-16K4.1.1</t>
        </is>
      </c>
    </row>
    <row r="2772">
      <c r="A2772">
        <v>2771</v>
      </c>
      <c r="B2772">
        <f>GS23</f>
        <v>0</v>
      </c>
      <c r="C2772" t="inlineStr">
        <is>
          <t>+ES1</t>
        </is>
      </c>
      <c r="D2772" t="inlineStr">
        <is>
          <t>-16K4.1.1</t>
        </is>
      </c>
      <c r="E2772" t="inlineStr">
        <is>
          <t>40_DIL-E</t>
        </is>
      </c>
      <c r="F2772" t="inlineStr">
        <is>
          <t>40_DIL-E</t>
        </is>
      </c>
      <c r="G2772" t="inlineStr">
        <is>
          <t>HILFSKONTAKTBLOCK</t>
        </is>
      </c>
      <c r="H2772" t="inlineStr">
        <is>
          <t>4S Last+Hilfsschuetz</t>
        </is>
      </c>
      <c r="I2772">
        <v>307</v>
      </c>
      <c r="J2772">
        <f>GS23/16.6</f>
        <v>0</v>
      </c>
      <c r="M2772" t="inlineStr">
        <is>
          <t>-16K4.1.1</t>
        </is>
      </c>
    </row>
    <row r="2773">
      <c r="A2773">
        <v>2772</v>
      </c>
      <c r="B2773">
        <f>GS24</f>
        <v>0</v>
      </c>
      <c r="C2773" t="inlineStr">
        <is>
          <t>+ES1</t>
        </is>
      </c>
      <c r="D2773" t="inlineStr">
        <is>
          <t>-16K4.1.1</t>
        </is>
      </c>
      <c r="E2773" t="inlineStr">
        <is>
          <t>DIL_ER-40-G</t>
        </is>
      </c>
      <c r="F2773" t="inlineStr">
        <is>
          <t>40_DIL-E</t>
        </is>
      </c>
      <c r="G2773" t="inlineStr">
        <is>
          <t>HILFSSCHUETZ</t>
        </is>
      </c>
      <c r="H2773" t="inlineStr">
        <is>
          <t>4S</t>
        </is>
      </c>
      <c r="I2773">
        <v>1064</v>
      </c>
      <c r="J2773">
        <f>GS24/16.6</f>
        <v>0</v>
      </c>
      <c r="M2773" t="inlineStr">
        <is>
          <t>-16K4.1.1</t>
        </is>
      </c>
    </row>
    <row r="2774">
      <c r="A2774">
        <v>2773</v>
      </c>
      <c r="B2774">
        <f>GS24</f>
        <v>0</v>
      </c>
      <c r="C2774" t="inlineStr">
        <is>
          <t>+ES1</t>
        </is>
      </c>
      <c r="D2774" t="inlineStr">
        <is>
          <t>-16K4.1.1</t>
        </is>
      </c>
      <c r="E2774" t="inlineStr">
        <is>
          <t>40_DIL-E</t>
        </is>
      </c>
      <c r="F2774" t="inlineStr">
        <is>
          <t>40_DIL-E</t>
        </is>
      </c>
      <c r="G2774" t="inlineStr">
        <is>
          <t>HILFSKONTAKTBLOCK</t>
        </is>
      </c>
      <c r="H2774" t="inlineStr">
        <is>
          <t>4S Last+Hilfsschuetz</t>
        </is>
      </c>
      <c r="I2774">
        <v>1064</v>
      </c>
      <c r="J2774">
        <f>GS24/16.6</f>
        <v>0</v>
      </c>
      <c r="M2774" t="inlineStr">
        <is>
          <t>-16K4.1.1</t>
        </is>
      </c>
    </row>
    <row r="2775">
      <c r="A2775">
        <v>2774</v>
      </c>
      <c r="B2775">
        <f>GS25</f>
        <v>0</v>
      </c>
      <c r="C2775" t="inlineStr">
        <is>
          <t>+ES1</t>
        </is>
      </c>
      <c r="D2775" t="inlineStr">
        <is>
          <t>-16K4.1.1</t>
        </is>
      </c>
      <c r="E2775" t="inlineStr">
        <is>
          <t>DIL_ER-40-G</t>
        </is>
      </c>
      <c r="F2775" t="inlineStr">
        <is>
          <t>40_DIL-E</t>
        </is>
      </c>
      <c r="G2775" t="inlineStr">
        <is>
          <t>HILFSSCHUETZ</t>
        </is>
      </c>
      <c r="H2775" t="inlineStr">
        <is>
          <t>4S</t>
        </is>
      </c>
      <c r="I2775">
        <v>144</v>
      </c>
      <c r="J2775">
        <f>GS25/16.6</f>
        <v>0</v>
      </c>
      <c r="M2775" t="inlineStr">
        <is>
          <t>-16K4.1.1</t>
        </is>
      </c>
    </row>
    <row r="2776">
      <c r="A2776">
        <v>2775</v>
      </c>
      <c r="B2776">
        <f>GS25</f>
        <v>0</v>
      </c>
      <c r="C2776" t="inlineStr">
        <is>
          <t>+ES1</t>
        </is>
      </c>
      <c r="D2776" t="inlineStr">
        <is>
          <t>-16K4.1.1</t>
        </is>
      </c>
      <c r="E2776" t="inlineStr">
        <is>
          <t>40_DIL-E</t>
        </is>
      </c>
      <c r="F2776" t="inlineStr">
        <is>
          <t>40_DIL-E</t>
        </is>
      </c>
      <c r="G2776" t="inlineStr">
        <is>
          <t>HILFSKONTAKTBLOCK</t>
        </is>
      </c>
      <c r="H2776" t="inlineStr">
        <is>
          <t>4S Last+Hilfsschuetz</t>
        </is>
      </c>
      <c r="I2776">
        <v>144</v>
      </c>
      <c r="J2776">
        <f>GS25/16.6</f>
        <v>0</v>
      </c>
      <c r="M2776" t="inlineStr">
        <is>
          <t>-16K4.1.1</t>
        </is>
      </c>
    </row>
    <row r="2777">
      <c r="A2777">
        <v>2776</v>
      </c>
      <c r="B2777">
        <f>GS26</f>
        <v>0</v>
      </c>
      <c r="C2777" t="inlineStr">
        <is>
          <t>+ES2</t>
        </is>
      </c>
      <c r="D2777" t="inlineStr">
        <is>
          <t>-16K4.1.1</t>
        </is>
      </c>
      <c r="E2777" t="inlineStr">
        <is>
          <t>DILA-40</t>
        </is>
      </c>
      <c r="F2777" t="inlineStr">
        <is>
          <t>DILA-XHIC40</t>
        </is>
      </c>
      <c r="G2777" t="inlineStr">
        <is>
          <t>HILFSSCHUETZ</t>
        </is>
      </c>
      <c r="H2777" t="inlineStr">
        <is>
          <t>4S Federzugkl.</t>
        </is>
      </c>
      <c r="I2777">
        <v>153</v>
      </c>
      <c r="J2777">
        <f>GS26/16.6</f>
        <v>0</v>
      </c>
      <c r="M2777" t="inlineStr">
        <is>
          <t>-16K4.1.1</t>
        </is>
      </c>
    </row>
    <row r="2778">
      <c r="A2778">
        <v>2777</v>
      </c>
      <c r="B2778">
        <f>GS26</f>
        <v>0</v>
      </c>
      <c r="C2778" t="inlineStr">
        <is>
          <t>+ES2</t>
        </is>
      </c>
      <c r="D2778" t="inlineStr">
        <is>
          <t>-16K4.1.1</t>
        </is>
      </c>
      <c r="E2778" t="inlineStr">
        <is>
          <t>DILA-XHIC40</t>
        </is>
      </c>
      <c r="F2778" t="inlineStr">
        <is>
          <t>DILA-XHIC40</t>
        </is>
      </c>
      <c r="G2778" t="inlineStr">
        <is>
          <t>HILFSKONTAKTBLOCK</t>
        </is>
      </c>
      <c r="H2778" t="inlineStr">
        <is>
          <t>4S Last+Hilfssch. Cage</t>
        </is>
      </c>
      <c r="I2778">
        <v>153</v>
      </c>
      <c r="J2778">
        <f>GS26/16.6</f>
        <v>0</v>
      </c>
      <c r="M2778" t="inlineStr">
        <is>
          <t>-16K4.1.1</t>
        </is>
      </c>
    </row>
    <row r="2779">
      <c r="A2779">
        <v>2778</v>
      </c>
      <c r="B2779">
        <f>GS31</f>
        <v>0</v>
      </c>
      <c r="C2779" t="inlineStr">
        <is>
          <t>+ES1</t>
        </is>
      </c>
      <c r="D2779" t="inlineStr">
        <is>
          <t>-16K4.1.1</t>
        </is>
      </c>
      <c r="E2779" t="inlineStr">
        <is>
          <t>40_DIL-E</t>
        </is>
      </c>
      <c r="F2779" t="inlineStr">
        <is>
          <t>40_DIL-E</t>
        </is>
      </c>
      <c r="G2779" t="inlineStr">
        <is>
          <t>HILFSKONTAKTBLOCK</t>
        </is>
      </c>
      <c r="H2779" t="inlineStr">
        <is>
          <t>4S Last+Hilfsschuetz</t>
        </is>
      </c>
      <c r="I2779">
        <v>298</v>
      </c>
      <c r="J2779">
        <f>GS31/16.6</f>
        <v>0</v>
      </c>
      <c r="M2779" t="inlineStr">
        <is>
          <t>-16K4.1.1</t>
        </is>
      </c>
    </row>
    <row r="2780">
      <c r="A2780">
        <v>2779</v>
      </c>
      <c r="B2780">
        <f>GS31</f>
        <v>0</v>
      </c>
      <c r="C2780" t="inlineStr">
        <is>
          <t>+ES1</t>
        </is>
      </c>
      <c r="D2780" t="inlineStr">
        <is>
          <t>-16K4.1.1</t>
        </is>
      </c>
      <c r="E2780" t="inlineStr">
        <is>
          <t>DIL_ER-40-G</t>
        </is>
      </c>
      <c r="F2780" t="inlineStr">
        <is>
          <t>40_DIL-E</t>
        </is>
      </c>
      <c r="G2780" t="inlineStr">
        <is>
          <t>HILFSSCHUETZ</t>
        </is>
      </c>
      <c r="H2780" t="inlineStr">
        <is>
          <t>4S</t>
        </is>
      </c>
      <c r="I2780">
        <v>298</v>
      </c>
      <c r="J2780">
        <f>GS31/16.6</f>
        <v>0</v>
      </c>
      <c r="M2780" t="inlineStr">
        <is>
          <t>-16K4.1.1</t>
        </is>
      </c>
    </row>
    <row r="2781">
      <c r="A2781">
        <v>2780</v>
      </c>
      <c r="B2781">
        <f>GS32</f>
        <v>0</v>
      </c>
      <c r="C2781" t="inlineStr">
        <is>
          <t>+ES1</t>
        </is>
      </c>
      <c r="D2781" t="inlineStr">
        <is>
          <t>-16K4.1.1</t>
        </is>
      </c>
      <c r="E2781" t="inlineStr">
        <is>
          <t>40_DIL-E</t>
        </is>
      </c>
      <c r="F2781" t="inlineStr">
        <is>
          <t>40_DIL-E</t>
        </is>
      </c>
      <c r="G2781" t="inlineStr">
        <is>
          <t>HILFSKONTAKTBLOCK</t>
        </is>
      </c>
      <c r="H2781" t="inlineStr">
        <is>
          <t>4S Last+Hilfsschuetz</t>
        </is>
      </c>
      <c r="I2781">
        <v>1448</v>
      </c>
      <c r="J2781">
        <f>GS32/16.6</f>
        <v>0</v>
      </c>
      <c r="M2781" t="inlineStr">
        <is>
          <t>-16K4.1.1</t>
        </is>
      </c>
    </row>
    <row r="2782">
      <c r="A2782">
        <v>2781</v>
      </c>
      <c r="B2782">
        <f>GS32</f>
        <v>0</v>
      </c>
      <c r="C2782" t="inlineStr">
        <is>
          <t>+ES1</t>
        </is>
      </c>
      <c r="D2782" t="inlineStr">
        <is>
          <t>-16K4.1.1</t>
        </is>
      </c>
      <c r="E2782" t="inlineStr">
        <is>
          <t>DIL_ER-40-G</t>
        </is>
      </c>
      <c r="F2782" t="inlineStr">
        <is>
          <t>40_DIL-E</t>
        </is>
      </c>
      <c r="G2782" t="inlineStr">
        <is>
          <t>HILFSSCHUETZ</t>
        </is>
      </c>
      <c r="H2782" t="inlineStr">
        <is>
          <t>4S</t>
        </is>
      </c>
      <c r="I2782">
        <v>1448</v>
      </c>
      <c r="J2782">
        <f>GS32/16.6</f>
        <v>0</v>
      </c>
      <c r="M2782" t="inlineStr">
        <is>
          <t>-16K4.1.1</t>
        </is>
      </c>
    </row>
    <row r="2783">
      <c r="A2783">
        <v>2782</v>
      </c>
      <c r="B2783">
        <f>GS33</f>
        <v>0</v>
      </c>
      <c r="C2783" t="inlineStr">
        <is>
          <t>+ES1</t>
        </is>
      </c>
      <c r="D2783" t="inlineStr">
        <is>
          <t>-16K4.1.1</t>
        </is>
      </c>
      <c r="E2783" t="inlineStr">
        <is>
          <t>DIL_ER-40-G</t>
        </is>
      </c>
      <c r="F2783" t="inlineStr">
        <is>
          <t>40_DIL-E</t>
        </is>
      </c>
      <c r="G2783" t="inlineStr">
        <is>
          <t>HILFSSCHUETZ</t>
        </is>
      </c>
      <c r="H2783" t="inlineStr">
        <is>
          <t>4S</t>
        </is>
      </c>
      <c r="I2783">
        <v>452</v>
      </c>
      <c r="J2783">
        <f>GS33/16.6</f>
        <v>0</v>
      </c>
      <c r="M2783" t="inlineStr">
        <is>
          <t>-16K4.1.1</t>
        </is>
      </c>
    </row>
    <row r="2784">
      <c r="A2784">
        <v>2783</v>
      </c>
      <c r="B2784">
        <f>GS33</f>
        <v>0</v>
      </c>
      <c r="C2784" t="inlineStr">
        <is>
          <t>+ES1</t>
        </is>
      </c>
      <c r="D2784" t="inlineStr">
        <is>
          <t>-16K4.1.1</t>
        </is>
      </c>
      <c r="E2784" t="inlineStr">
        <is>
          <t>40_DIL-E</t>
        </is>
      </c>
      <c r="F2784" t="inlineStr">
        <is>
          <t>40_DIL-E</t>
        </is>
      </c>
      <c r="G2784" t="inlineStr">
        <is>
          <t>HILFSKONTAKTBLOCK</t>
        </is>
      </c>
      <c r="H2784" t="inlineStr">
        <is>
          <t>4S Last+Hilfsschuetz</t>
        </is>
      </c>
      <c r="I2784">
        <v>452</v>
      </c>
      <c r="J2784">
        <f>GS33/16.6</f>
        <v>0</v>
      </c>
      <c r="M2784" t="inlineStr">
        <is>
          <t>-16K4.1.1</t>
        </is>
      </c>
    </row>
    <row r="2785">
      <c r="A2785">
        <v>2784</v>
      </c>
      <c r="B2785">
        <f>GS34</f>
        <v>0</v>
      </c>
      <c r="C2785" t="inlineStr">
        <is>
          <t>+ES1</t>
        </is>
      </c>
      <c r="D2785" t="inlineStr">
        <is>
          <t>-16K4.1.1</t>
        </is>
      </c>
      <c r="E2785" t="inlineStr">
        <is>
          <t>40_DIL-E</t>
        </is>
      </c>
      <c r="F2785" t="inlineStr">
        <is>
          <t>40_DIL-E</t>
        </is>
      </c>
      <c r="G2785" t="inlineStr">
        <is>
          <t>HILFSKONTAKTBLOCK</t>
        </is>
      </c>
      <c r="H2785" t="inlineStr">
        <is>
          <t>4S Last+Hilfsschuetz</t>
        </is>
      </c>
      <c r="I2785">
        <v>139</v>
      </c>
      <c r="J2785">
        <f>GS34/16.6</f>
        <v>0</v>
      </c>
      <c r="M2785" t="inlineStr">
        <is>
          <t>-16K4.1.1</t>
        </is>
      </c>
    </row>
    <row r="2786">
      <c r="A2786">
        <v>2785</v>
      </c>
      <c r="B2786">
        <f>GS34</f>
        <v>0</v>
      </c>
      <c r="C2786" t="inlineStr">
        <is>
          <t>+ES1</t>
        </is>
      </c>
      <c r="D2786" t="inlineStr">
        <is>
          <t>-16K4.1.1</t>
        </is>
      </c>
      <c r="E2786" t="inlineStr">
        <is>
          <t>DIL_ER-40-G</t>
        </is>
      </c>
      <c r="F2786" t="inlineStr">
        <is>
          <t>40_DIL-E</t>
        </is>
      </c>
      <c r="G2786" t="inlineStr">
        <is>
          <t>HILFSSCHUETZ</t>
        </is>
      </c>
      <c r="H2786" t="inlineStr">
        <is>
          <t>4S</t>
        </is>
      </c>
      <c r="I2786">
        <v>139</v>
      </c>
      <c r="J2786">
        <f>GS34/16.6</f>
        <v>0</v>
      </c>
      <c r="M2786" t="inlineStr">
        <is>
          <t>-16K4.1.1</t>
        </is>
      </c>
    </row>
    <row r="2787">
      <c r="A2787">
        <v>2786</v>
      </c>
      <c r="B2787">
        <f>GS33</f>
        <v>0</v>
      </c>
      <c r="C2787" t="inlineStr">
        <is>
          <t>+SPS</t>
        </is>
      </c>
      <c r="D2787" t="inlineStr">
        <is>
          <t>-16K4.4</t>
        </is>
      </c>
      <c r="E2787" t="inlineStr">
        <is>
          <t>DILM-9-10</t>
        </is>
      </c>
      <c r="F2787" t="inlineStr">
        <is>
          <t>#KALK!</t>
        </is>
      </c>
      <c r="G2787" t="inlineStr">
        <is>
          <t>LASTSCHUETZ</t>
        </is>
      </c>
      <c r="H2787" t="inlineStr">
        <is>
          <t>4kW 1S Federzugkl.</t>
        </is>
      </c>
      <c r="I2787">
        <v>452</v>
      </c>
      <c r="J2787">
        <f>GS33/16.7</f>
        <v>0</v>
      </c>
      <c r="M2787" t="inlineStr">
        <is>
          <t>-16K4.4</t>
        </is>
      </c>
    </row>
    <row r="2788">
      <c r="A2788">
        <v>2787</v>
      </c>
      <c r="B2788">
        <f>GS34</f>
        <v>0</v>
      </c>
      <c r="C2788" t="inlineStr">
        <is>
          <t>+SPS</t>
        </is>
      </c>
      <c r="D2788" t="inlineStr">
        <is>
          <t>-16K4.5</t>
        </is>
      </c>
      <c r="E2788" t="inlineStr">
        <is>
          <t>DILM-9-10</t>
        </is>
      </c>
      <c r="F2788" t="inlineStr">
        <is>
          <t>#KALK!</t>
        </is>
      </c>
      <c r="G2788" t="inlineStr">
        <is>
          <t>LASTSCHUETZ</t>
        </is>
      </c>
      <c r="H2788" t="inlineStr">
        <is>
          <t>4kW 1S Federzugkl.</t>
        </is>
      </c>
      <c r="I2788">
        <v>139</v>
      </c>
      <c r="J2788">
        <f>GS34/16.7</f>
        <v>0</v>
      </c>
      <c r="M2788" t="inlineStr">
        <is>
          <t>-16K4.5</t>
        </is>
      </c>
    </row>
    <row r="2789">
      <c r="A2789">
        <v>2788</v>
      </c>
      <c r="B2789">
        <f>GC22</f>
        <v>0</v>
      </c>
      <c r="C2789" t="inlineStr">
        <is>
          <t>+ES1</t>
        </is>
      </c>
      <c r="D2789" t="inlineStr">
        <is>
          <t>-16K4.6</t>
        </is>
      </c>
      <c r="E2789" t="inlineStr">
        <is>
          <t>DILM-9-10</t>
        </is>
      </c>
      <c r="F2789" t="inlineStr">
        <is>
          <t>#KALK!</t>
        </is>
      </c>
      <c r="G2789" t="inlineStr">
        <is>
          <t>LASTSCHUETZ</t>
        </is>
      </c>
      <c r="H2789" t="inlineStr">
        <is>
          <t>4kW 1S Federzugkl.</t>
        </is>
      </c>
      <c r="I2789">
        <v>750</v>
      </c>
      <c r="J2789">
        <f>GC22/16.7</f>
        <v>0</v>
      </c>
      <c r="M2789" t="inlineStr">
        <is>
          <t>-16K4.6</t>
        </is>
      </c>
    </row>
    <row r="2790">
      <c r="A2790">
        <v>2789</v>
      </c>
      <c r="B2790">
        <f>GS02</f>
        <v>0</v>
      </c>
      <c r="C2790" t="inlineStr">
        <is>
          <t>+SPS</t>
        </is>
      </c>
      <c r="D2790" t="inlineStr">
        <is>
          <t>-16K4.6</t>
        </is>
      </c>
      <c r="E2790" t="inlineStr">
        <is>
          <t>DILM-9-10</t>
        </is>
      </c>
      <c r="F2790" t="inlineStr">
        <is>
          <t>#KALK!</t>
        </is>
      </c>
      <c r="G2790" t="inlineStr">
        <is>
          <t>LASTSCHUETZ</t>
        </is>
      </c>
      <c r="H2790" t="inlineStr">
        <is>
          <t>4kW 1S Federzugkl.</t>
        </is>
      </c>
      <c r="I2790">
        <v>407</v>
      </c>
      <c r="J2790">
        <f>GS02/16.7</f>
        <v>0</v>
      </c>
      <c r="M2790" t="inlineStr">
        <is>
          <t>-16K4.6</t>
        </is>
      </c>
    </row>
    <row r="2791">
      <c r="A2791">
        <v>2790</v>
      </c>
      <c r="B2791">
        <f>GS04</f>
        <v>0</v>
      </c>
      <c r="C2791" t="inlineStr">
        <is>
          <t>+ES1</t>
        </is>
      </c>
      <c r="D2791" t="inlineStr">
        <is>
          <t>-16K4.6</t>
        </is>
      </c>
      <c r="E2791" t="inlineStr">
        <is>
          <t>DILM-9-10</t>
        </is>
      </c>
      <c r="F2791" t="inlineStr">
        <is>
          <t>#KALK!</t>
        </is>
      </c>
      <c r="G2791" t="inlineStr">
        <is>
          <t>LASTSCHUETZ</t>
        </is>
      </c>
      <c r="H2791" t="inlineStr">
        <is>
          <t>4kW 1S Federzugkl.</t>
        </is>
      </c>
      <c r="I2791">
        <v>260</v>
      </c>
      <c r="J2791">
        <f>GS04/16.7</f>
        <v>0</v>
      </c>
      <c r="M2791" t="inlineStr">
        <is>
          <t>-16K4.6</t>
        </is>
      </c>
    </row>
    <row r="2792">
      <c r="A2792">
        <v>2791</v>
      </c>
      <c r="B2792">
        <f>GS11</f>
        <v>0</v>
      </c>
      <c r="C2792" t="inlineStr">
        <is>
          <t>+SPS</t>
        </is>
      </c>
      <c r="D2792" t="inlineStr">
        <is>
          <t>-16K4.6</t>
        </is>
      </c>
      <c r="E2792" t="inlineStr">
        <is>
          <t>DILM-9-10</t>
        </is>
      </c>
      <c r="F2792" t="inlineStr">
        <is>
          <t>#KALK!</t>
        </is>
      </c>
      <c r="G2792" t="inlineStr">
        <is>
          <t>LASTSCHUETZ</t>
        </is>
      </c>
      <c r="H2792" t="inlineStr">
        <is>
          <t>4kW 1S Federzugkl.</t>
        </is>
      </c>
      <c r="I2792">
        <v>108</v>
      </c>
      <c r="J2792">
        <f>GS11/16.7</f>
        <v>0</v>
      </c>
      <c r="M2792" t="inlineStr">
        <is>
          <t>-16K4.6</t>
        </is>
      </c>
    </row>
    <row r="2793">
      <c r="A2793">
        <v>2792</v>
      </c>
      <c r="B2793">
        <f>GS13</f>
        <v>0</v>
      </c>
      <c r="C2793" t="inlineStr">
        <is>
          <t>+SPS</t>
        </is>
      </c>
      <c r="D2793" t="inlineStr">
        <is>
          <t>-16K4.6</t>
        </is>
      </c>
      <c r="E2793" t="inlineStr">
        <is>
          <t>DILM-9-10</t>
        </is>
      </c>
      <c r="F2793" t="inlineStr">
        <is>
          <t>#KALK!</t>
        </is>
      </c>
      <c r="G2793" t="inlineStr">
        <is>
          <t>LASTSCHUETZ</t>
        </is>
      </c>
      <c r="H2793" t="inlineStr">
        <is>
          <t>4kW 1S Federzugkl.</t>
        </is>
      </c>
      <c r="I2793">
        <v>244</v>
      </c>
      <c r="J2793">
        <f>GS13/16.7</f>
        <v>0</v>
      </c>
      <c r="M2793" t="inlineStr">
        <is>
          <t>-16K4.6</t>
        </is>
      </c>
    </row>
    <row r="2794">
      <c r="A2794">
        <v>2793</v>
      </c>
      <c r="B2794">
        <f>GS14</f>
        <v>0</v>
      </c>
      <c r="C2794" t="inlineStr">
        <is>
          <t>+SPS</t>
        </is>
      </c>
      <c r="D2794" t="inlineStr">
        <is>
          <t>-16K4.6</t>
        </is>
      </c>
      <c r="E2794" t="inlineStr">
        <is>
          <t>DILM-9-10</t>
        </is>
      </c>
      <c r="F2794" t="inlineStr">
        <is>
          <t>#KALK!</t>
        </is>
      </c>
      <c r="G2794" t="inlineStr">
        <is>
          <t>LASTSCHUETZ</t>
        </is>
      </c>
      <c r="H2794" t="inlineStr">
        <is>
          <t>4kW 1S Federzugkl.</t>
        </is>
      </c>
      <c r="I2794">
        <v>141</v>
      </c>
      <c r="J2794">
        <f>GS14/16.7</f>
        <v>0</v>
      </c>
      <c r="M2794" t="inlineStr">
        <is>
          <t>-16K4.6</t>
        </is>
      </c>
    </row>
    <row r="2795">
      <c r="A2795">
        <v>2794</v>
      </c>
      <c r="B2795">
        <f>GS15</f>
        <v>0</v>
      </c>
      <c r="C2795" t="inlineStr">
        <is>
          <t>+SPS</t>
        </is>
      </c>
      <c r="D2795" t="inlineStr">
        <is>
          <t>-16K4.6</t>
        </is>
      </c>
      <c r="E2795" t="inlineStr">
        <is>
          <t>DILM-9-10</t>
        </is>
      </c>
      <c r="F2795" t="inlineStr">
        <is>
          <t>#KALK!</t>
        </is>
      </c>
      <c r="G2795" t="inlineStr">
        <is>
          <t>LASTSCHUETZ</t>
        </is>
      </c>
      <c r="H2795" t="inlineStr">
        <is>
          <t>4kW 1S Federzugkl.</t>
        </is>
      </c>
      <c r="I2795">
        <v>500</v>
      </c>
      <c r="J2795">
        <f>GS15/16.7</f>
        <v>0</v>
      </c>
      <c r="M2795" t="inlineStr">
        <is>
          <t>-16K4.6</t>
        </is>
      </c>
    </row>
    <row r="2796">
      <c r="A2796">
        <v>2795</v>
      </c>
      <c r="B2796">
        <f>GS16</f>
        <v>0</v>
      </c>
      <c r="C2796" t="inlineStr">
        <is>
          <t>+SPS</t>
        </is>
      </c>
      <c r="D2796" t="inlineStr">
        <is>
          <t>-16K4.6</t>
        </is>
      </c>
      <c r="E2796" t="inlineStr">
        <is>
          <t>DILM-9-10</t>
        </is>
      </c>
      <c r="F2796" t="inlineStr">
        <is>
          <t>#KALK!</t>
        </is>
      </c>
      <c r="G2796" t="inlineStr">
        <is>
          <t>LASTSCHUETZ</t>
        </is>
      </c>
      <c r="H2796" t="inlineStr">
        <is>
          <t>4kW 1S Federzugkl.</t>
        </is>
      </c>
      <c r="I2796">
        <v>230</v>
      </c>
      <c r="J2796">
        <f>GS16/16.7</f>
        <v>0</v>
      </c>
      <c r="M2796" t="inlineStr">
        <is>
          <t>-16K4.6</t>
        </is>
      </c>
    </row>
    <row r="2797">
      <c r="A2797">
        <v>2796</v>
      </c>
      <c r="B2797">
        <f>GS21</f>
        <v>0</v>
      </c>
      <c r="C2797" t="inlineStr">
        <is>
          <t>+SPS</t>
        </is>
      </c>
      <c r="D2797" t="inlineStr">
        <is>
          <t>-16K4.6</t>
        </is>
      </c>
      <c r="E2797" t="inlineStr">
        <is>
          <t>DILM-9-10</t>
        </is>
      </c>
      <c r="F2797" t="inlineStr">
        <is>
          <t>#KALK!</t>
        </is>
      </c>
      <c r="G2797" t="inlineStr">
        <is>
          <t>LASTSCHUETZ</t>
        </is>
      </c>
      <c r="H2797" t="inlineStr">
        <is>
          <t>4kW 1S Federzugkl.</t>
        </is>
      </c>
      <c r="I2797">
        <v>118</v>
      </c>
      <c r="J2797">
        <f>GS21/16.7</f>
        <v>0</v>
      </c>
      <c r="M2797" t="inlineStr">
        <is>
          <t>-16K4.6</t>
        </is>
      </c>
    </row>
    <row r="2798">
      <c r="A2798">
        <v>2797</v>
      </c>
      <c r="B2798">
        <f>GS23</f>
        <v>0</v>
      </c>
      <c r="C2798" t="inlineStr">
        <is>
          <t>+SPS</t>
        </is>
      </c>
      <c r="D2798" t="inlineStr">
        <is>
          <t>-16K4.6</t>
        </is>
      </c>
      <c r="E2798" t="inlineStr">
        <is>
          <t>DILM-9-10</t>
        </is>
      </c>
      <c r="F2798" t="inlineStr">
        <is>
          <t>#KALK!</t>
        </is>
      </c>
      <c r="G2798" t="inlineStr">
        <is>
          <t>LASTSCHUETZ</t>
        </is>
      </c>
      <c r="H2798" t="inlineStr">
        <is>
          <t>4kW 1S Federzugkl.</t>
        </is>
      </c>
      <c r="I2798">
        <v>307</v>
      </c>
      <c r="J2798">
        <f>GS23/16.7</f>
        <v>0</v>
      </c>
      <c r="M2798" t="inlineStr">
        <is>
          <t>-16K4.6</t>
        </is>
      </c>
    </row>
    <row r="2799">
      <c r="A2799">
        <v>2798</v>
      </c>
      <c r="B2799">
        <f>GS24</f>
        <v>0</v>
      </c>
      <c r="C2799" t="inlineStr">
        <is>
          <t>+SPS</t>
        </is>
      </c>
      <c r="D2799" t="inlineStr">
        <is>
          <t>-16K4.6</t>
        </is>
      </c>
      <c r="E2799" t="inlineStr">
        <is>
          <t>DILM-9-10</t>
        </is>
      </c>
      <c r="F2799" t="inlineStr">
        <is>
          <t>#KALK!</t>
        </is>
      </c>
      <c r="G2799" t="inlineStr">
        <is>
          <t>LASTSCHUETZ</t>
        </is>
      </c>
      <c r="H2799" t="inlineStr">
        <is>
          <t>4kW 1S Federzugkl.</t>
        </is>
      </c>
      <c r="I2799">
        <v>1064</v>
      </c>
      <c r="J2799">
        <f>GS24/16.7</f>
        <v>0</v>
      </c>
      <c r="M2799" t="inlineStr">
        <is>
          <t>-16K4.6</t>
        </is>
      </c>
    </row>
    <row r="2800">
      <c r="A2800">
        <v>2799</v>
      </c>
      <c r="B2800">
        <f>GS25</f>
        <v>0</v>
      </c>
      <c r="C2800" t="inlineStr">
        <is>
          <t>+SPS</t>
        </is>
      </c>
      <c r="D2800" t="inlineStr">
        <is>
          <t>-16K4.6</t>
        </is>
      </c>
      <c r="E2800" t="inlineStr">
        <is>
          <t>DILM-9-10</t>
        </is>
      </c>
      <c r="F2800" t="inlineStr">
        <is>
          <t>#KALK!</t>
        </is>
      </c>
      <c r="G2800" t="inlineStr">
        <is>
          <t>LASTSCHUETZ</t>
        </is>
      </c>
      <c r="H2800" t="inlineStr">
        <is>
          <t>4kW 1S Federzugkl.</t>
        </is>
      </c>
      <c r="I2800">
        <v>144</v>
      </c>
      <c r="J2800">
        <f>GS25/16.7</f>
        <v>0</v>
      </c>
      <c r="M2800" t="inlineStr">
        <is>
          <t>-16K4.6</t>
        </is>
      </c>
    </row>
    <row r="2801">
      <c r="A2801">
        <v>2800</v>
      </c>
      <c r="B2801">
        <f>GS31</f>
        <v>0</v>
      </c>
      <c r="C2801" t="inlineStr">
        <is>
          <t>+SPS</t>
        </is>
      </c>
      <c r="D2801" t="inlineStr">
        <is>
          <t>-16K4.6</t>
        </is>
      </c>
      <c r="E2801" t="inlineStr">
        <is>
          <t>DILM-9-10</t>
        </is>
      </c>
      <c r="F2801" t="inlineStr">
        <is>
          <t>#KALK!</t>
        </is>
      </c>
      <c r="G2801" t="inlineStr">
        <is>
          <t>LASTSCHUETZ</t>
        </is>
      </c>
      <c r="H2801" t="inlineStr">
        <is>
          <t>4kW 1S Federzugkl.</t>
        </is>
      </c>
      <c r="I2801">
        <v>298</v>
      </c>
      <c r="J2801">
        <f>GS31/16.7</f>
        <v>0</v>
      </c>
      <c r="M2801" t="inlineStr">
        <is>
          <t>-16K4.6</t>
        </is>
      </c>
    </row>
    <row r="2802">
      <c r="A2802">
        <v>2801</v>
      </c>
      <c r="B2802">
        <f>GS32</f>
        <v>0</v>
      </c>
      <c r="C2802" t="inlineStr">
        <is>
          <t>+SPS</t>
        </is>
      </c>
      <c r="D2802" t="inlineStr">
        <is>
          <t>-16K4.6</t>
        </is>
      </c>
      <c r="E2802" t="inlineStr">
        <is>
          <t>DILM-9-10</t>
        </is>
      </c>
      <c r="F2802" t="inlineStr">
        <is>
          <t>#KALK!</t>
        </is>
      </c>
      <c r="G2802" t="inlineStr">
        <is>
          <t>LASTSCHUETZ</t>
        </is>
      </c>
      <c r="H2802" t="inlineStr">
        <is>
          <t>4kW 1S Federzugkl.</t>
        </is>
      </c>
      <c r="I2802">
        <v>1448</v>
      </c>
      <c r="J2802">
        <f>GS32/16.7</f>
        <v>0</v>
      </c>
      <c r="M2802" t="inlineStr">
        <is>
          <t>-16K4.6</t>
        </is>
      </c>
    </row>
    <row r="2803">
      <c r="A2803">
        <v>2802</v>
      </c>
      <c r="B2803">
        <f>GS55</f>
        <v>0</v>
      </c>
      <c r="C2803" t="inlineStr">
        <is>
          <t>+ES02</t>
        </is>
      </c>
      <c r="D2803" t="inlineStr">
        <is>
          <t>-16K5</t>
        </is>
      </c>
      <c r="E2803" t="inlineStr">
        <is>
          <t>DILA-40</t>
        </is>
      </c>
      <c r="F2803" t="inlineStr">
        <is>
          <t>DILA-XHIC40</t>
        </is>
      </c>
      <c r="G2803" t="inlineStr">
        <is>
          <t>HILFSSCHUETZ</t>
        </is>
      </c>
      <c r="H2803" t="inlineStr">
        <is>
          <t>4S Federzugkl.</t>
        </is>
      </c>
      <c r="I2803">
        <v>241</v>
      </c>
      <c r="J2803">
        <f>GS55/16.7</f>
        <v>0</v>
      </c>
      <c r="M2803" t="inlineStr">
        <is>
          <t>-16K5</t>
        </is>
      </c>
    </row>
    <row r="2804">
      <c r="A2804">
        <v>2803</v>
      </c>
      <c r="B2804">
        <f>GS55</f>
        <v>0</v>
      </c>
      <c r="C2804" t="inlineStr">
        <is>
          <t>+ES02</t>
        </is>
      </c>
      <c r="D2804" t="inlineStr">
        <is>
          <t>-16K5</t>
        </is>
      </c>
      <c r="E2804" t="inlineStr">
        <is>
          <t>DILA-XHIC40</t>
        </is>
      </c>
      <c r="F2804" t="inlineStr">
        <is>
          <t>DILA-XHIC40</t>
        </is>
      </c>
      <c r="G2804" t="inlineStr">
        <is>
          <t>HILFSKONTAKTBLOCK</t>
        </is>
      </c>
      <c r="H2804" t="inlineStr">
        <is>
          <t>4S Last+Hilfssch. Cage</t>
        </is>
      </c>
      <c r="I2804">
        <v>241</v>
      </c>
      <c r="J2804">
        <f>GS55/16.7</f>
        <v>0</v>
      </c>
      <c r="M2804" t="inlineStr">
        <is>
          <t>-16K5</t>
        </is>
      </c>
    </row>
    <row r="2805">
      <c r="A2805">
        <v>2804</v>
      </c>
      <c r="B2805">
        <f>GS69</f>
        <v>0</v>
      </c>
      <c r="C2805" t="inlineStr">
        <is>
          <t>+LS[I1]</t>
        </is>
      </c>
      <c r="D2805" t="inlineStr">
        <is>
          <t>-16Q[a+11].3</t>
        </is>
      </c>
      <c r="E2805" t="inlineStr">
        <is>
          <t>DILM-9-10</t>
        </is>
      </c>
      <c r="F2805" t="inlineStr">
        <is>
          <t>#KALK!</t>
        </is>
      </c>
      <c r="G2805" t="inlineStr">
        <is>
          <t>LASTSCHUETZ</t>
        </is>
      </c>
      <c r="H2805" t="inlineStr">
        <is>
          <t>4kW 1S Federzugkl.</t>
        </is>
      </c>
      <c r="I2805">
        <v>229</v>
      </c>
      <c r="J2805">
        <f>GS69/16.7</f>
        <v>0</v>
      </c>
      <c r="M2805" t="inlineStr">
        <is>
          <t>-16Q[a+11].3</t>
        </is>
      </c>
    </row>
    <row r="2806">
      <c r="A2806">
        <v>2805</v>
      </c>
      <c r="B2806">
        <f>GS40</f>
        <v>0</v>
      </c>
      <c r="C2806" t="inlineStr">
        <is>
          <t>+LS[ll]</t>
        </is>
      </c>
      <c r="D2806" t="inlineStr">
        <is>
          <t>-16Q1</t>
        </is>
      </c>
      <c r="E2806" t="inlineStr">
        <is>
          <t>DILM-9-10</t>
        </is>
      </c>
      <c r="F2806" t="inlineStr">
        <is>
          <t>#KALK!</t>
        </is>
      </c>
      <c r="G2806" t="inlineStr">
        <is>
          <t>LASTSCHUETZ</t>
        </is>
      </c>
      <c r="H2806" t="inlineStr">
        <is>
          <t>4kW 1S Federzugkl.</t>
        </is>
      </c>
      <c r="I2806">
        <v>191</v>
      </c>
      <c r="J2806">
        <f>GS40/16.6</f>
        <v>0</v>
      </c>
      <c r="M2806" t="inlineStr">
        <is>
          <t>-16Q1</t>
        </is>
      </c>
    </row>
    <row r="2807">
      <c r="A2807">
        <v>2806</v>
      </c>
      <c r="B2807">
        <f>GS44</f>
        <v>0</v>
      </c>
      <c r="C2807" t="inlineStr">
        <is>
          <t>+LS[ll]</t>
        </is>
      </c>
      <c r="D2807" t="inlineStr">
        <is>
          <t>-16Q1</t>
        </is>
      </c>
      <c r="E2807" t="inlineStr">
        <is>
          <t>DILM-9-10</t>
        </is>
      </c>
      <c r="F2807" t="inlineStr">
        <is>
          <t>#KALK!</t>
        </is>
      </c>
      <c r="G2807" t="inlineStr">
        <is>
          <t>LASTSCHUETZ</t>
        </is>
      </c>
      <c r="H2807" t="inlineStr">
        <is>
          <t>4kW 1S Federzugkl.</t>
        </is>
      </c>
      <c r="I2807">
        <v>203</v>
      </c>
      <c r="J2807">
        <f>GS44/16.6</f>
        <v>0</v>
      </c>
      <c r="M2807" t="inlineStr">
        <is>
          <t>-16Q1</t>
        </is>
      </c>
    </row>
    <row r="2808">
      <c r="A2808">
        <v>2807</v>
      </c>
      <c r="B2808">
        <f>GS45</f>
        <v>0</v>
      </c>
      <c r="C2808" t="inlineStr">
        <is>
          <t>+LS</t>
        </is>
      </c>
      <c r="D2808" t="inlineStr">
        <is>
          <t>-16Q1</t>
        </is>
      </c>
      <c r="E2808" t="inlineStr">
        <is>
          <t>DILM-9-10</t>
        </is>
      </c>
      <c r="F2808" t="inlineStr">
        <is>
          <t>#KALK!</t>
        </is>
      </c>
      <c r="G2808" t="inlineStr">
        <is>
          <t>LASTSCHUETZ</t>
        </is>
      </c>
      <c r="H2808" t="inlineStr">
        <is>
          <t>4kW 1S Federzugkl.</t>
        </is>
      </c>
      <c r="I2808">
        <v>163</v>
      </c>
      <c r="J2808">
        <f>GS45/16.6</f>
        <v>0</v>
      </c>
      <c r="M2808" t="inlineStr">
        <is>
          <t>-16Q1</t>
        </is>
      </c>
    </row>
    <row r="2809">
      <c r="A2809">
        <v>2808</v>
      </c>
      <c r="B2809">
        <f>GS4x</f>
        <v>0</v>
      </c>
      <c r="C2809" t="inlineStr">
        <is>
          <t>+LS[ll]</t>
        </is>
      </c>
      <c r="D2809" t="inlineStr">
        <is>
          <t>-16Q1</t>
        </is>
      </c>
      <c r="E2809" t="inlineStr">
        <is>
          <t>DILM-9-10</t>
        </is>
      </c>
      <c r="F2809" t="inlineStr">
        <is>
          <t>#KALK!</t>
        </is>
      </c>
      <c r="G2809" t="inlineStr">
        <is>
          <t>LASTSCHUETZ</t>
        </is>
      </c>
      <c r="H2809" t="inlineStr">
        <is>
          <t>4kW 1S Federzugkl.</t>
        </is>
      </c>
      <c r="I2809">
        <v>192</v>
      </c>
      <c r="J2809">
        <f>GS4x/16.6</f>
        <v>0</v>
      </c>
      <c r="M2809" t="inlineStr">
        <is>
          <t>-16Q1</t>
        </is>
      </c>
    </row>
    <row r="2810">
      <c r="A2810">
        <v>2809</v>
      </c>
      <c r="B2810">
        <f>GS65</f>
        <v>0</v>
      </c>
      <c r="C2810" t="inlineStr">
        <is>
          <t>+LS[ll]</t>
        </is>
      </c>
      <c r="D2810" t="inlineStr">
        <is>
          <t>-16Q1</t>
        </is>
      </c>
      <c r="E2810" t="inlineStr">
        <is>
          <t>DILM-9-10</t>
        </is>
      </c>
      <c r="F2810" t="inlineStr">
        <is>
          <t>#KALK!</t>
        </is>
      </c>
      <c r="G2810" t="inlineStr">
        <is>
          <t>LASTSCHUETZ</t>
        </is>
      </c>
      <c r="H2810" t="inlineStr">
        <is>
          <t>4kW 1S Federzugkl.</t>
        </is>
      </c>
      <c r="I2810">
        <v>154</v>
      </c>
      <c r="J2810">
        <f>GS65/16.5</f>
        <v>0</v>
      </c>
      <c r="M2810" t="inlineStr">
        <is>
          <t>-16Q1</t>
        </is>
      </c>
    </row>
    <row r="2811">
      <c r="A2811">
        <v>2810</v>
      </c>
      <c r="B2811">
        <f>GS67</f>
        <v>0</v>
      </c>
      <c r="C2811" t="inlineStr">
        <is>
          <t>+LS[ll]</t>
        </is>
      </c>
      <c r="D2811" t="inlineStr">
        <is>
          <t>-16Q1</t>
        </is>
      </c>
      <c r="E2811" t="inlineStr">
        <is>
          <t>DILM-9-10</t>
        </is>
      </c>
      <c r="F2811" t="inlineStr">
        <is>
          <t>#KALK!</t>
        </is>
      </c>
      <c r="G2811" t="inlineStr">
        <is>
          <t>LASTSCHUETZ</t>
        </is>
      </c>
      <c r="H2811" t="inlineStr">
        <is>
          <t>4kW 1S Federzugkl.</t>
        </is>
      </c>
      <c r="I2811">
        <v>154</v>
      </c>
      <c r="J2811">
        <f>GS67/16.5</f>
        <v>0</v>
      </c>
      <c r="M2811" t="inlineStr">
        <is>
          <t>-16Q1</t>
        </is>
      </c>
    </row>
    <row r="2812">
      <c r="A2812">
        <v>2811</v>
      </c>
      <c r="B2812">
        <f>GS66</f>
        <v>0</v>
      </c>
      <c r="C2812" t="inlineStr">
        <is>
          <t>+LS[ll]</t>
        </is>
      </c>
      <c r="D2812" t="inlineStr">
        <is>
          <t>-16Q2</t>
        </is>
      </c>
      <c r="E2812" t="inlineStr">
        <is>
          <t>DILM-9-10</t>
        </is>
      </c>
      <c r="F2812" t="inlineStr">
        <is>
          <t>#KALK!</t>
        </is>
      </c>
      <c r="G2812" t="inlineStr">
        <is>
          <t>LASTSCHUETZ</t>
        </is>
      </c>
      <c r="H2812" t="inlineStr">
        <is>
          <t>4kW 1S Federzugkl.</t>
        </is>
      </c>
      <c r="I2812">
        <v>155</v>
      </c>
      <c r="J2812">
        <f>GS66/16.5</f>
        <v>0</v>
      </c>
      <c r="M2812" t="inlineStr">
        <is>
          <t>-16Q2</t>
        </is>
      </c>
    </row>
    <row r="2813">
      <c r="A2813">
        <v>2812</v>
      </c>
      <c r="B2813">
        <f>GS80</f>
        <v>0</v>
      </c>
      <c r="C2813" t="inlineStr">
        <is>
          <t>+LS03</t>
        </is>
      </c>
      <c r="D2813" t="inlineStr">
        <is>
          <t>-16Q2</t>
        </is>
      </c>
      <c r="E2813" t="inlineStr">
        <is>
          <t>DILM-9-10</t>
        </is>
      </c>
      <c r="F2813" t="inlineStr">
        <is>
          <t>#KALK!</t>
        </is>
      </c>
      <c r="G2813" t="inlineStr">
        <is>
          <t>LASTSCHUETZ</t>
        </is>
      </c>
      <c r="H2813" t="inlineStr">
        <is>
          <t>4kW 1S Federzugkl.</t>
        </is>
      </c>
      <c r="I2813">
        <v>154</v>
      </c>
      <c r="J2813">
        <f>GS80/16.5</f>
        <v>0</v>
      </c>
      <c r="M2813" t="inlineStr">
        <is>
          <t>-16Q2</t>
        </is>
      </c>
    </row>
    <row r="2814">
      <c r="A2814">
        <v>2813</v>
      </c>
      <c r="B2814">
        <f>GS80</f>
        <v>0</v>
      </c>
      <c r="C2814" t="inlineStr">
        <is>
          <t>+LS01</t>
        </is>
      </c>
      <c r="D2814" t="inlineStr">
        <is>
          <t>-16Q2</t>
        </is>
      </c>
      <c r="E2814" t="inlineStr">
        <is>
          <t>DILM-9-10</t>
        </is>
      </c>
      <c r="F2814" t="inlineStr">
        <is>
          <t>#KALK!</t>
        </is>
      </c>
      <c r="G2814" t="inlineStr">
        <is>
          <t>LASTSCHUETZ</t>
        </is>
      </c>
      <c r="H2814" t="inlineStr">
        <is>
          <t>4kW 1S Federzugkl.</t>
        </is>
      </c>
      <c r="I2814">
        <v>136</v>
      </c>
      <c r="J2814">
        <f>GS80/16.5</f>
        <v>0</v>
      </c>
      <c r="M2814" t="inlineStr">
        <is>
          <t>-16Q2</t>
        </is>
      </c>
    </row>
    <row r="2815">
      <c r="A2815">
        <v>2814</v>
      </c>
      <c r="B2815">
        <f>GS80</f>
        <v>0</v>
      </c>
      <c r="C2815" t="inlineStr">
        <is>
          <t>+LS02</t>
        </is>
      </c>
      <c r="D2815" t="inlineStr">
        <is>
          <t>-16Q2</t>
        </is>
      </c>
      <c r="E2815" t="inlineStr">
        <is>
          <t>DILM-9-10</t>
        </is>
      </c>
      <c r="F2815" t="inlineStr">
        <is>
          <t>#KALK!</t>
        </is>
      </c>
      <c r="G2815" t="inlineStr">
        <is>
          <t>LASTSCHUETZ</t>
        </is>
      </c>
      <c r="H2815" t="inlineStr">
        <is>
          <t>4kW 1S Federzugkl.</t>
        </is>
      </c>
      <c r="I2815">
        <v>154</v>
      </c>
      <c r="J2815">
        <f>GS80/16.5</f>
        <v>0</v>
      </c>
      <c r="M2815" t="inlineStr">
        <is>
          <t>-16Q2</t>
        </is>
      </c>
    </row>
    <row r="2816">
      <c r="A2816">
        <v>2815</v>
      </c>
      <c r="B2816">
        <f>GS8x</f>
        <v>0</v>
      </c>
      <c r="C2816" t="inlineStr">
        <is>
          <t>+LS</t>
        </is>
      </c>
      <c r="D2816" t="inlineStr">
        <is>
          <t>-16Q2</t>
        </is>
      </c>
      <c r="E2816" t="inlineStr">
        <is>
          <t>DILM-9-10</t>
        </is>
      </c>
      <c r="F2816" t="inlineStr">
        <is>
          <t>#KALK!</t>
        </is>
      </c>
      <c r="G2816" t="inlineStr">
        <is>
          <t>LASTSCHUETZ</t>
        </is>
      </c>
      <c r="H2816" t="inlineStr">
        <is>
          <t>4kW 1S Federzugkl.</t>
        </is>
      </c>
      <c r="I2816">
        <v>183</v>
      </c>
      <c r="J2816">
        <f>GS8x/16.5</f>
        <v>0</v>
      </c>
      <c r="M2816" t="inlineStr">
        <is>
          <t>-16Q2</t>
        </is>
      </c>
    </row>
    <row r="2817">
      <c r="A2817">
        <v>2816</v>
      </c>
      <c r="B2817">
        <f>GS36</f>
        <v>0</v>
      </c>
      <c r="C2817" t="inlineStr">
        <is>
          <t>+ES01</t>
        </is>
      </c>
      <c r="D2817" t="inlineStr">
        <is>
          <t>-17.1Q1</t>
        </is>
      </c>
      <c r="E2817" t="inlineStr">
        <is>
          <t>DILMC65(RDC24)</t>
        </is>
      </c>
      <c r="F2817" t="inlineStr">
        <is>
          <t>DILM150-XHIC22</t>
        </is>
      </c>
      <c r="G2817" t="inlineStr">
        <is>
          <t>LASTSCHUETZ</t>
        </is>
      </c>
      <c r="H2817" t="inlineStr">
        <is>
          <t>30kW Federzugkl.</t>
        </is>
      </c>
      <c r="I2817">
        <v>183</v>
      </c>
      <c r="J2817">
        <f>GS36/17.1.3</f>
        <v>0</v>
      </c>
      <c r="K2817" t="inlineStr">
        <is>
          <t>DIL MC65</t>
        </is>
      </c>
      <c r="M2817" t="inlineStr">
        <is>
          <t>-17.1Q1</t>
        </is>
      </c>
    </row>
    <row r="2818">
      <c r="A2818">
        <v>2817</v>
      </c>
      <c r="B2818">
        <f>GS36</f>
        <v>0</v>
      </c>
      <c r="C2818" t="inlineStr">
        <is>
          <t>+ES01</t>
        </is>
      </c>
      <c r="D2818" t="inlineStr">
        <is>
          <t>-17.1Q1</t>
        </is>
      </c>
      <c r="E2818" t="inlineStr">
        <is>
          <t>DILM150-XHIC22</t>
        </is>
      </c>
      <c r="F2818" t="inlineStr">
        <is>
          <t>DILM150-XHIC22</t>
        </is>
      </c>
      <c r="G2818" t="inlineStr">
        <is>
          <t>HILFSKONTAKTBLOCK</t>
        </is>
      </c>
      <c r="H2818" t="inlineStr">
        <is>
          <t>2S 2OE ab DILMC40</t>
        </is>
      </c>
      <c r="I2818">
        <v>183</v>
      </c>
      <c r="J2818">
        <f>GS36/17.1.3</f>
        <v>0</v>
      </c>
      <c r="K2818" t="inlineStr">
        <is>
          <t>DIL MC65</t>
        </is>
      </c>
      <c r="M2818" t="inlineStr">
        <is>
          <t>-17.1Q1</t>
        </is>
      </c>
    </row>
    <row r="2819">
      <c r="A2819">
        <v>2818</v>
      </c>
      <c r="B2819">
        <f>GS38</f>
        <v>0</v>
      </c>
      <c r="C2819" t="inlineStr">
        <is>
          <t>+ES01</t>
        </is>
      </c>
      <c r="D2819" t="inlineStr">
        <is>
          <t>-17.1Q1</t>
        </is>
      </c>
      <c r="E2819" t="inlineStr">
        <is>
          <t>DILMC50(RDC24)</t>
        </is>
      </c>
      <c r="F2819" t="inlineStr">
        <is>
          <t>DILM150-XHIC22</t>
        </is>
      </c>
      <c r="G2819" t="inlineStr">
        <is>
          <t>LASTSCHUETZ</t>
        </is>
      </c>
      <c r="H2819" t="inlineStr">
        <is>
          <t>22kW Federzugkl.</t>
        </is>
      </c>
      <c r="I2819">
        <v>605</v>
      </c>
      <c r="J2819">
        <f>GS38/17.1.3</f>
        <v>0</v>
      </c>
      <c r="K2819" t="inlineStr">
        <is>
          <t>DIL MC50</t>
        </is>
      </c>
      <c r="M2819" t="inlineStr">
        <is>
          <t>-17.1Q1</t>
        </is>
      </c>
    </row>
    <row r="2820">
      <c r="A2820">
        <v>2819</v>
      </c>
      <c r="B2820">
        <f>GS38</f>
        <v>0</v>
      </c>
      <c r="C2820" t="inlineStr">
        <is>
          <t>+ES01</t>
        </is>
      </c>
      <c r="D2820" t="inlineStr">
        <is>
          <t>-17.1Q1</t>
        </is>
      </c>
      <c r="E2820" t="inlineStr">
        <is>
          <t>DILM150-XHIC22</t>
        </is>
      </c>
      <c r="F2820" t="inlineStr">
        <is>
          <t>DILM150-XHIC22</t>
        </is>
      </c>
      <c r="G2820" t="inlineStr">
        <is>
          <t>HILFSKONTAKTBLOCK</t>
        </is>
      </c>
      <c r="H2820" t="inlineStr">
        <is>
          <t>2S 2OE ab DILMC40</t>
        </is>
      </c>
      <c r="I2820">
        <v>605</v>
      </c>
      <c r="J2820">
        <f>GS38/17.1.3</f>
        <v>0</v>
      </c>
      <c r="K2820" t="inlineStr">
        <is>
          <t>DIL MC50</t>
        </is>
      </c>
      <c r="M2820" t="inlineStr">
        <is>
          <t>-17.1Q1</t>
        </is>
      </c>
    </row>
    <row r="2821">
      <c r="A2821">
        <v>2820</v>
      </c>
      <c r="B2821">
        <f>GS39</f>
        <v>0</v>
      </c>
      <c r="C2821" t="inlineStr">
        <is>
          <t>+ES01</t>
        </is>
      </c>
      <c r="D2821" t="inlineStr">
        <is>
          <t>-17.1Q1</t>
        </is>
      </c>
      <c r="E2821" t="inlineStr">
        <is>
          <t>DILM150-XHIC22</t>
        </is>
      </c>
      <c r="F2821" t="inlineStr">
        <is>
          <t>DILM150-XHIC22</t>
        </is>
      </c>
      <c r="G2821" t="inlineStr">
        <is>
          <t>HILFSKONTAKTBLOCK</t>
        </is>
      </c>
      <c r="H2821" t="inlineStr">
        <is>
          <t>2S 2OE ab DILMC40</t>
        </is>
      </c>
      <c r="I2821">
        <v>195</v>
      </c>
      <c r="J2821">
        <f>GS39/17.1.3</f>
        <v>0</v>
      </c>
      <c r="K2821" t="inlineStr">
        <is>
          <t>DIL MC50</t>
        </is>
      </c>
      <c r="M2821" t="inlineStr">
        <is>
          <t>-17.1Q1</t>
        </is>
      </c>
    </row>
    <row r="2822">
      <c r="A2822">
        <v>2821</v>
      </c>
      <c r="B2822">
        <f>GS39</f>
        <v>0</v>
      </c>
      <c r="C2822" t="inlineStr">
        <is>
          <t>+ES01</t>
        </is>
      </c>
      <c r="D2822" t="inlineStr">
        <is>
          <t>-17.1Q1</t>
        </is>
      </c>
      <c r="E2822" t="inlineStr">
        <is>
          <t>DILMC50(RDC24)</t>
        </is>
      </c>
      <c r="F2822" t="inlineStr">
        <is>
          <t>DILM150-XHIC22</t>
        </is>
      </c>
      <c r="G2822" t="inlineStr">
        <is>
          <t>LASTSCHUETZ</t>
        </is>
      </c>
      <c r="H2822" t="inlineStr">
        <is>
          <t>22kW Federzugkl.</t>
        </is>
      </c>
      <c r="I2822">
        <v>195</v>
      </c>
      <c r="J2822">
        <f>GS39/17.1.3</f>
        <v>0</v>
      </c>
      <c r="K2822" t="inlineStr">
        <is>
          <t>DIL MC50</t>
        </is>
      </c>
      <c r="M2822" t="inlineStr">
        <is>
          <t>-17.1Q1</t>
        </is>
      </c>
    </row>
    <row r="2823">
      <c r="A2823">
        <v>2822</v>
      </c>
      <c r="B2823">
        <f>GS94</f>
        <v>0</v>
      </c>
      <c r="C2823" t="inlineStr">
        <is>
          <t>+ES01</t>
        </is>
      </c>
      <c r="D2823" t="inlineStr">
        <is>
          <t>-17.1Q1</t>
        </is>
      </c>
      <c r="E2823" t="inlineStr">
        <is>
          <t>DILA-XHI22</t>
        </is>
      </c>
      <c r="F2823" t="inlineStr">
        <is>
          <t>DILA-XHI22</t>
        </is>
      </c>
      <c r="G2823" t="inlineStr">
        <is>
          <t>HILFSKONTAKTBLOCK</t>
        </is>
      </c>
      <c r="H2823" t="inlineStr">
        <is>
          <t>2S 2OE Last+Hilfssch. Cage</t>
        </is>
      </c>
      <c r="I2823">
        <v>807</v>
      </c>
      <c r="J2823">
        <f>GS94/17.1.5</f>
        <v>0</v>
      </c>
      <c r="M2823" t="inlineStr">
        <is>
          <t>-17.1Q1</t>
        </is>
      </c>
    </row>
    <row r="2824">
      <c r="A2824">
        <v>2823</v>
      </c>
      <c r="B2824">
        <f>GS94</f>
        <v>0</v>
      </c>
      <c r="C2824" t="inlineStr">
        <is>
          <t>+ES01</t>
        </is>
      </c>
      <c r="D2824" t="inlineStr">
        <is>
          <t>-17.1Q1</t>
        </is>
      </c>
      <c r="E2824" t="inlineStr">
        <is>
          <t>DILM-9-10</t>
        </is>
      </c>
      <c r="F2824" t="inlineStr">
        <is>
          <t>DILA-XHI22</t>
        </is>
      </c>
      <c r="G2824" t="inlineStr">
        <is>
          <t>LASTSCHUETZ</t>
        </is>
      </c>
      <c r="H2824" t="inlineStr">
        <is>
          <t>4kW 1S Federzugkl.</t>
        </is>
      </c>
      <c r="I2824">
        <v>807</v>
      </c>
      <c r="J2824">
        <f>GS94/17.1.5</f>
        <v>0</v>
      </c>
      <c r="M2824" t="inlineStr">
        <is>
          <t>-17.1Q1</t>
        </is>
      </c>
    </row>
    <row r="2825">
      <c r="A2825">
        <v>2824</v>
      </c>
      <c r="B2825">
        <f>GS95</f>
        <v>0</v>
      </c>
      <c r="C2825" t="inlineStr">
        <is>
          <t>+ES01</t>
        </is>
      </c>
      <c r="D2825" t="inlineStr">
        <is>
          <t>-17.1Q1</t>
        </is>
      </c>
      <c r="E2825" t="inlineStr">
        <is>
          <t>DILA-XHI22</t>
        </is>
      </c>
      <c r="F2825" t="inlineStr">
        <is>
          <t>DILA-XHI22</t>
        </is>
      </c>
      <c r="G2825" t="inlineStr">
        <is>
          <t>HILFSKONTAKTBLOCK</t>
        </is>
      </c>
      <c r="H2825" t="inlineStr">
        <is>
          <t>2S 2OE Last+Hilfssch. Cage</t>
        </is>
      </c>
      <c r="I2825">
        <v>482</v>
      </c>
      <c r="J2825">
        <f>GS95/17.1.5</f>
        <v>0</v>
      </c>
      <c r="M2825" t="inlineStr">
        <is>
          <t>-17.1Q1</t>
        </is>
      </c>
    </row>
    <row r="2826">
      <c r="A2826">
        <v>2825</v>
      </c>
      <c r="B2826">
        <f>GS95</f>
        <v>0</v>
      </c>
      <c r="C2826" t="inlineStr">
        <is>
          <t>+ES01</t>
        </is>
      </c>
      <c r="D2826" t="inlineStr">
        <is>
          <t>-17.1Q1</t>
        </is>
      </c>
      <c r="E2826" t="inlineStr">
        <is>
          <t>DILM-9-10</t>
        </is>
      </c>
      <c r="F2826" t="inlineStr">
        <is>
          <t>DILA-XHI22</t>
        </is>
      </c>
      <c r="G2826" t="inlineStr">
        <is>
          <t>LASTSCHUETZ</t>
        </is>
      </c>
      <c r="H2826" t="inlineStr">
        <is>
          <t>4kW 1S Federzugkl.</t>
        </is>
      </c>
      <c r="I2826">
        <v>482</v>
      </c>
      <c r="J2826">
        <f>GS95/17.1.5</f>
        <v>0</v>
      </c>
      <c r="M2826" t="inlineStr">
        <is>
          <t>-17.1Q1</t>
        </is>
      </c>
    </row>
    <row r="2827">
      <c r="A2827">
        <v>2826</v>
      </c>
      <c r="B2827">
        <f>GS96</f>
        <v>0</v>
      </c>
      <c r="C2827" t="inlineStr">
        <is>
          <t>+ES01</t>
        </is>
      </c>
      <c r="D2827" t="inlineStr">
        <is>
          <t>-17.1Q1</t>
        </is>
      </c>
      <c r="E2827" t="inlineStr">
        <is>
          <t>DILA-XHI22</t>
        </is>
      </c>
      <c r="F2827" t="inlineStr">
        <is>
          <t>DILA-XHI22</t>
        </is>
      </c>
      <c r="G2827" t="inlineStr">
        <is>
          <t>HILFSKONTAKTBLOCK</t>
        </is>
      </c>
      <c r="H2827" t="inlineStr">
        <is>
          <t>2S 2OE Last+Hilfssch. Cage</t>
        </is>
      </c>
      <c r="I2827">
        <v>807</v>
      </c>
      <c r="J2827">
        <f>GS96/17.1.5</f>
        <v>0</v>
      </c>
      <c r="M2827" t="inlineStr">
        <is>
          <t>-17.1Q1</t>
        </is>
      </c>
    </row>
    <row r="2828">
      <c r="A2828">
        <v>2827</v>
      </c>
      <c r="B2828">
        <f>GS96</f>
        <v>0</v>
      </c>
      <c r="C2828" t="inlineStr">
        <is>
          <t>+ES01</t>
        </is>
      </c>
      <c r="D2828" t="inlineStr">
        <is>
          <t>-17.1Q1</t>
        </is>
      </c>
      <c r="E2828" t="inlineStr">
        <is>
          <t>DILM-9-10</t>
        </is>
      </c>
      <c r="F2828" t="inlineStr">
        <is>
          <t>DILA-XHI22</t>
        </is>
      </c>
      <c r="G2828" t="inlineStr">
        <is>
          <t>LASTSCHUETZ</t>
        </is>
      </c>
      <c r="H2828" t="inlineStr">
        <is>
          <t>4kW 1S Federzugkl.</t>
        </is>
      </c>
      <c r="I2828">
        <v>807</v>
      </c>
      <c r="J2828">
        <f>GS96/17.1.5</f>
        <v>0</v>
      </c>
      <c r="M2828" t="inlineStr">
        <is>
          <t>-17.1Q1</t>
        </is>
      </c>
    </row>
    <row r="2829">
      <c r="A2829">
        <v>2828</v>
      </c>
      <c r="B2829">
        <f>GS97</f>
        <v>0</v>
      </c>
      <c r="C2829" t="inlineStr">
        <is>
          <t>+ES01</t>
        </is>
      </c>
      <c r="D2829" t="inlineStr">
        <is>
          <t>-17.1Q1</t>
        </is>
      </c>
      <c r="E2829" t="inlineStr">
        <is>
          <t>DILA-XHI22</t>
        </is>
      </c>
      <c r="F2829" t="inlineStr">
        <is>
          <t>DILA-XHI22</t>
        </is>
      </c>
      <c r="G2829" t="inlineStr">
        <is>
          <t>HILFSKONTAKTBLOCK</t>
        </is>
      </c>
      <c r="H2829" t="inlineStr">
        <is>
          <t>2S 2OE Last+Hilfssch. Cage</t>
        </is>
      </c>
      <c r="I2829">
        <v>482</v>
      </c>
      <c r="J2829">
        <f>GS97/17.1.5</f>
        <v>0</v>
      </c>
      <c r="M2829" t="inlineStr">
        <is>
          <t>-17.1Q1</t>
        </is>
      </c>
    </row>
    <row r="2830">
      <c r="A2830">
        <v>2829</v>
      </c>
      <c r="B2830">
        <f>GS97</f>
        <v>0</v>
      </c>
      <c r="C2830" t="inlineStr">
        <is>
          <t>+ES01</t>
        </is>
      </c>
      <c r="D2830" t="inlineStr">
        <is>
          <t>-17.1Q1</t>
        </is>
      </c>
      <c r="E2830" t="inlineStr">
        <is>
          <t>DILM-9-10</t>
        </is>
      </c>
      <c r="F2830" t="inlineStr">
        <is>
          <t>DILA-XHI22</t>
        </is>
      </c>
      <c r="G2830" t="inlineStr">
        <is>
          <t>LASTSCHUETZ</t>
        </is>
      </c>
      <c r="H2830" t="inlineStr">
        <is>
          <t>4kW 1S Federzugkl.</t>
        </is>
      </c>
      <c r="I2830">
        <v>482</v>
      </c>
      <c r="J2830">
        <f>GS97/17.1.5</f>
        <v>0</v>
      </c>
      <c r="M2830" t="inlineStr">
        <is>
          <t>-17.1Q1</t>
        </is>
      </c>
    </row>
    <row r="2831">
      <c r="A2831">
        <v>2830</v>
      </c>
      <c r="B2831">
        <f>GS36</f>
        <v>0</v>
      </c>
      <c r="C2831" t="inlineStr">
        <is>
          <t>+ES01</t>
        </is>
      </c>
      <c r="D2831" t="inlineStr">
        <is>
          <t>-17.2Q1</t>
        </is>
      </c>
      <c r="E2831" t="inlineStr">
        <is>
          <t>DILMC65(RDC24)</t>
        </is>
      </c>
      <c r="F2831" t="inlineStr">
        <is>
          <t>DILM150-XHIC22</t>
        </is>
      </c>
      <c r="G2831" t="inlineStr">
        <is>
          <t>LASTSCHUETZ</t>
        </is>
      </c>
      <c r="H2831" t="inlineStr">
        <is>
          <t>30kW Federzugkl.</t>
        </is>
      </c>
      <c r="I2831">
        <v>184</v>
      </c>
      <c r="J2831">
        <f>GS36/17.2.3</f>
        <v>0</v>
      </c>
      <c r="K2831" t="inlineStr">
        <is>
          <t>DIL MC65</t>
        </is>
      </c>
      <c r="M2831" t="inlineStr">
        <is>
          <t>-17.2Q1</t>
        </is>
      </c>
    </row>
    <row r="2832">
      <c r="A2832">
        <v>2831</v>
      </c>
      <c r="B2832">
        <f>GS36</f>
        <v>0</v>
      </c>
      <c r="C2832" t="inlineStr">
        <is>
          <t>+ES01</t>
        </is>
      </c>
      <c r="D2832" t="inlineStr">
        <is>
          <t>-17.2Q1</t>
        </is>
      </c>
      <c r="E2832" t="inlineStr">
        <is>
          <t>DILM150-XHIC22</t>
        </is>
      </c>
      <c r="F2832" t="inlineStr">
        <is>
          <t>DILM150-XHIC22</t>
        </is>
      </c>
      <c r="G2832" t="inlineStr">
        <is>
          <t>HILFSKONTAKTBLOCK</t>
        </is>
      </c>
      <c r="H2832" t="inlineStr">
        <is>
          <t>2S 2OE ab DILMC40</t>
        </is>
      </c>
      <c r="I2832">
        <v>184</v>
      </c>
      <c r="J2832">
        <f>GS36/17.2.3</f>
        <v>0</v>
      </c>
      <c r="K2832" t="inlineStr">
        <is>
          <t>DIL MC65</t>
        </is>
      </c>
      <c r="M2832" t="inlineStr">
        <is>
          <t>-17.2Q1</t>
        </is>
      </c>
    </row>
    <row r="2833">
      <c r="A2833">
        <v>2832</v>
      </c>
      <c r="B2833">
        <f>GS38</f>
        <v>0</v>
      </c>
      <c r="C2833" t="inlineStr">
        <is>
          <t>+ES01</t>
        </is>
      </c>
      <c r="D2833" t="inlineStr">
        <is>
          <t>-17.2Q1</t>
        </is>
      </c>
      <c r="E2833" t="inlineStr">
        <is>
          <t>DILM80(RDC24)</t>
        </is>
      </c>
      <c r="F2833" t="inlineStr">
        <is>
          <t>#KALK!</t>
        </is>
      </c>
      <c r="G2833" t="inlineStr">
        <is>
          <t>LASTSCHUETZ</t>
        </is>
      </c>
      <c r="H2833" t="inlineStr">
        <is>
          <t>37kW Schraubkl.</t>
        </is>
      </c>
      <c r="I2833">
        <v>606</v>
      </c>
      <c r="J2833">
        <f>GS38/17.2.3</f>
        <v>0</v>
      </c>
      <c r="K2833" t="inlineStr">
        <is>
          <t>DILCM80</t>
        </is>
      </c>
      <c r="M2833" t="inlineStr">
        <is>
          <t>-17.2Q1</t>
        </is>
      </c>
    </row>
    <row r="2834">
      <c r="A2834">
        <v>2833</v>
      </c>
      <c r="B2834">
        <f>GS39</f>
        <v>0</v>
      </c>
      <c r="C2834" t="inlineStr">
        <is>
          <t>+ES01</t>
        </is>
      </c>
      <c r="D2834" t="inlineStr">
        <is>
          <t>-17.2Q1</t>
        </is>
      </c>
      <c r="E2834" t="inlineStr">
        <is>
          <t>DILM80(RDC24)</t>
        </is>
      </c>
      <c r="F2834" t="inlineStr">
        <is>
          <t>#KALK!</t>
        </is>
      </c>
      <c r="G2834" t="inlineStr">
        <is>
          <t>LASTSCHUETZ</t>
        </is>
      </c>
      <c r="H2834" t="inlineStr">
        <is>
          <t>37kW Schraubkl.</t>
        </is>
      </c>
      <c r="I2834">
        <v>196</v>
      </c>
      <c r="J2834">
        <f>GS39/17.2.3</f>
        <v>0</v>
      </c>
      <c r="K2834" t="inlineStr">
        <is>
          <t>DILCM80</t>
        </is>
      </c>
      <c r="M2834" t="inlineStr">
        <is>
          <t>-17.2Q1</t>
        </is>
      </c>
    </row>
    <row r="2835">
      <c r="A2835">
        <v>2834</v>
      </c>
      <c r="B2835">
        <f>GS94</f>
        <v>0</v>
      </c>
      <c r="C2835" t="inlineStr">
        <is>
          <t>+ES01</t>
        </is>
      </c>
      <c r="D2835" t="inlineStr">
        <is>
          <t>-17.2Q1</t>
        </is>
      </c>
      <c r="E2835" t="inlineStr">
        <is>
          <t>DILM150-XHIC22</t>
        </is>
      </c>
      <c r="F2835" t="inlineStr">
        <is>
          <t>DILM150-XHIC22</t>
        </is>
      </c>
      <c r="G2835" t="inlineStr">
        <is>
          <t>HILFSKONTAKTBLOCK</t>
        </is>
      </c>
      <c r="H2835" t="inlineStr">
        <is>
          <t>2S 2OE ab DILMC40</t>
        </is>
      </c>
      <c r="I2835">
        <v>820</v>
      </c>
      <c r="J2835">
        <f>GS94/17.2.4</f>
        <v>0</v>
      </c>
      <c r="K2835" t="inlineStr">
        <is>
          <t>DIL MC50</t>
        </is>
      </c>
      <c r="M2835" t="inlineStr">
        <is>
          <t>-17.2Q1</t>
        </is>
      </c>
    </row>
    <row r="2836">
      <c r="A2836">
        <v>2835</v>
      </c>
      <c r="B2836">
        <f>GS94</f>
        <v>0</v>
      </c>
      <c r="C2836" t="inlineStr">
        <is>
          <t>+ES01</t>
        </is>
      </c>
      <c r="D2836" t="inlineStr">
        <is>
          <t>-17.2Q1</t>
        </is>
      </c>
      <c r="E2836" t="inlineStr">
        <is>
          <t>DILMC50(RDC24)</t>
        </is>
      </c>
      <c r="F2836" t="inlineStr">
        <is>
          <t>DILM150-XHIC22</t>
        </is>
      </c>
      <c r="G2836" t="inlineStr">
        <is>
          <t>LASTSCHUETZ</t>
        </is>
      </c>
      <c r="H2836" t="inlineStr">
        <is>
          <t>22kW Federzugkl.</t>
        </is>
      </c>
      <c r="I2836">
        <v>820</v>
      </c>
      <c r="J2836">
        <f>GS94/17.2.4</f>
        <v>0</v>
      </c>
      <c r="K2836" t="inlineStr">
        <is>
          <t>DIL MC50</t>
        </is>
      </c>
      <c r="M2836" t="inlineStr">
        <is>
          <t>-17.2Q1</t>
        </is>
      </c>
    </row>
    <row r="2837">
      <c r="A2837">
        <v>2836</v>
      </c>
      <c r="B2837">
        <f>GS95</f>
        <v>0</v>
      </c>
      <c r="C2837" t="inlineStr">
        <is>
          <t>+ES01</t>
        </is>
      </c>
      <c r="D2837" t="inlineStr">
        <is>
          <t>-17.2Q1</t>
        </is>
      </c>
      <c r="E2837" t="inlineStr">
        <is>
          <t>DILMC50(RDC24)</t>
        </is>
      </c>
      <c r="F2837" t="inlineStr">
        <is>
          <t>DILM150-XHIC22</t>
        </is>
      </c>
      <c r="G2837" t="inlineStr">
        <is>
          <t>LASTSCHUETZ</t>
        </is>
      </c>
      <c r="H2837" t="inlineStr">
        <is>
          <t>22kW Federzugkl.</t>
        </is>
      </c>
      <c r="I2837">
        <v>483</v>
      </c>
      <c r="J2837">
        <f>GS95/17.2.4</f>
        <v>0</v>
      </c>
      <c r="K2837" t="inlineStr">
        <is>
          <t>DIL MC50</t>
        </is>
      </c>
      <c r="M2837" t="inlineStr">
        <is>
          <t>-17.2Q1</t>
        </is>
      </c>
    </row>
    <row r="2838">
      <c r="A2838">
        <v>2837</v>
      </c>
      <c r="B2838">
        <f>GS95</f>
        <v>0</v>
      </c>
      <c r="C2838" t="inlineStr">
        <is>
          <t>+ES01</t>
        </is>
      </c>
      <c r="D2838" t="inlineStr">
        <is>
          <t>-17.2Q1</t>
        </is>
      </c>
      <c r="E2838" t="inlineStr">
        <is>
          <t>DILM150-XHIC22</t>
        </is>
      </c>
      <c r="F2838" t="inlineStr">
        <is>
          <t>DILM150-XHIC22</t>
        </is>
      </c>
      <c r="G2838" t="inlineStr">
        <is>
          <t>HILFSKONTAKTBLOCK</t>
        </is>
      </c>
      <c r="H2838" t="inlineStr">
        <is>
          <t>2S 2OE ab DILMC40</t>
        </is>
      </c>
      <c r="I2838">
        <v>483</v>
      </c>
      <c r="J2838">
        <f>GS95/17.2.4</f>
        <v>0</v>
      </c>
      <c r="K2838" t="inlineStr">
        <is>
          <t>DIL MC50</t>
        </is>
      </c>
      <c r="M2838" t="inlineStr">
        <is>
          <t>-17.2Q1</t>
        </is>
      </c>
    </row>
    <row r="2839">
      <c r="A2839">
        <v>2838</v>
      </c>
      <c r="B2839">
        <f>GS96</f>
        <v>0</v>
      </c>
      <c r="C2839" t="inlineStr">
        <is>
          <t>+ES01</t>
        </is>
      </c>
      <c r="D2839" t="inlineStr">
        <is>
          <t>-17.2Q1</t>
        </is>
      </c>
      <c r="E2839" t="inlineStr">
        <is>
          <t>DILMC50(RDC24)</t>
        </is>
      </c>
      <c r="F2839" t="inlineStr">
        <is>
          <t>DILM150-XHIC22</t>
        </is>
      </c>
      <c r="G2839" t="inlineStr">
        <is>
          <t>LASTSCHUETZ</t>
        </is>
      </c>
      <c r="H2839" t="inlineStr">
        <is>
          <t>22kW Federzugkl.</t>
        </is>
      </c>
      <c r="I2839">
        <v>820</v>
      </c>
      <c r="J2839">
        <f>GS96/17.2.4</f>
        <v>0</v>
      </c>
      <c r="K2839" t="inlineStr">
        <is>
          <t>DIL MC50</t>
        </is>
      </c>
      <c r="M2839" t="inlineStr">
        <is>
          <t>-17.2Q1</t>
        </is>
      </c>
    </row>
    <row r="2840">
      <c r="A2840">
        <v>2839</v>
      </c>
      <c r="B2840">
        <f>GS96</f>
        <v>0</v>
      </c>
      <c r="C2840" t="inlineStr">
        <is>
          <t>+ES01</t>
        </is>
      </c>
      <c r="D2840" t="inlineStr">
        <is>
          <t>-17.2Q1</t>
        </is>
      </c>
      <c r="E2840" t="inlineStr">
        <is>
          <t>DILM150-XHIC22</t>
        </is>
      </c>
      <c r="F2840" t="inlineStr">
        <is>
          <t>DILM150-XHIC22</t>
        </is>
      </c>
      <c r="G2840" t="inlineStr">
        <is>
          <t>HILFSKONTAKTBLOCK</t>
        </is>
      </c>
      <c r="H2840" t="inlineStr">
        <is>
          <t>2S 2OE ab DILMC40</t>
        </is>
      </c>
      <c r="I2840">
        <v>820</v>
      </c>
      <c r="J2840">
        <f>GS96/17.2.4</f>
        <v>0</v>
      </c>
      <c r="K2840" t="inlineStr">
        <is>
          <t>DIL MC50</t>
        </is>
      </c>
      <c r="M2840" t="inlineStr">
        <is>
          <t>-17.2Q1</t>
        </is>
      </c>
    </row>
    <row r="2841">
      <c r="A2841">
        <v>2840</v>
      </c>
      <c r="B2841">
        <f>GS97</f>
        <v>0</v>
      </c>
      <c r="C2841" t="inlineStr">
        <is>
          <t>+ES01</t>
        </is>
      </c>
      <c r="D2841" t="inlineStr">
        <is>
          <t>-17.2Q1</t>
        </is>
      </c>
      <c r="E2841" t="inlineStr">
        <is>
          <t>DILMC50(RDC24)</t>
        </is>
      </c>
      <c r="F2841" t="inlineStr">
        <is>
          <t>DILM150-XHIC22</t>
        </is>
      </c>
      <c r="G2841" t="inlineStr">
        <is>
          <t>LASTSCHUETZ</t>
        </is>
      </c>
      <c r="H2841" t="inlineStr">
        <is>
          <t>22kW Federzugkl.</t>
        </is>
      </c>
      <c r="I2841">
        <v>483</v>
      </c>
      <c r="J2841">
        <f>GS97/17.2.4</f>
        <v>0</v>
      </c>
      <c r="K2841" t="inlineStr">
        <is>
          <t>DIL MC50</t>
        </is>
      </c>
      <c r="M2841" t="inlineStr">
        <is>
          <t>-17.2Q1</t>
        </is>
      </c>
    </row>
    <row r="2842">
      <c r="A2842">
        <v>2841</v>
      </c>
      <c r="B2842">
        <f>GS97</f>
        <v>0</v>
      </c>
      <c r="C2842" t="inlineStr">
        <is>
          <t>+ES01</t>
        </is>
      </c>
      <c r="D2842" t="inlineStr">
        <is>
          <t>-17.2Q1</t>
        </is>
      </c>
      <c r="E2842" t="inlineStr">
        <is>
          <t>DILM150-XHIC22</t>
        </is>
      </c>
      <c r="F2842" t="inlineStr">
        <is>
          <t>DILM150-XHIC22</t>
        </is>
      </c>
      <c r="G2842" t="inlineStr">
        <is>
          <t>HILFSKONTAKTBLOCK</t>
        </is>
      </c>
      <c r="H2842" t="inlineStr">
        <is>
          <t>2S 2OE ab DILMC40</t>
        </is>
      </c>
      <c r="I2842">
        <v>483</v>
      </c>
      <c r="J2842">
        <f>GS97/17.2.4</f>
        <v>0</v>
      </c>
      <c r="K2842" t="inlineStr">
        <is>
          <t>DIL MC50</t>
        </is>
      </c>
      <c r="M2842" t="inlineStr">
        <is>
          <t>-17.2Q1</t>
        </is>
      </c>
    </row>
    <row r="2843">
      <c r="A2843">
        <v>2842</v>
      </c>
      <c r="B2843">
        <f>GS94</f>
        <v>0</v>
      </c>
      <c r="C2843" t="inlineStr">
        <is>
          <t>+ES01</t>
        </is>
      </c>
      <c r="D2843" t="inlineStr">
        <is>
          <t>-17.2Q2</t>
        </is>
      </c>
      <c r="E2843" t="inlineStr">
        <is>
          <t>DILM150-XHIC22</t>
        </is>
      </c>
      <c r="F2843" t="inlineStr">
        <is>
          <t>DILM150-XHIC22</t>
        </is>
      </c>
      <c r="G2843" t="inlineStr">
        <is>
          <t>HILFSKONTAKTBLOCK</t>
        </is>
      </c>
      <c r="H2843" t="inlineStr">
        <is>
          <t>2S 2OE ab DILMC40</t>
        </is>
      </c>
      <c r="I2843">
        <v>820</v>
      </c>
      <c r="J2843">
        <f>GS94/17.2.5</f>
        <v>0</v>
      </c>
      <c r="K2843" t="inlineStr">
        <is>
          <t>DIL MC50</t>
        </is>
      </c>
      <c r="M2843" t="inlineStr">
        <is>
          <t>-17.2Q2</t>
        </is>
      </c>
    </row>
    <row r="2844">
      <c r="A2844">
        <v>2843</v>
      </c>
      <c r="B2844">
        <f>GS94</f>
        <v>0</v>
      </c>
      <c r="C2844" t="inlineStr">
        <is>
          <t>+ES01</t>
        </is>
      </c>
      <c r="D2844" t="inlineStr">
        <is>
          <t>-17.2Q2</t>
        </is>
      </c>
      <c r="E2844" t="inlineStr">
        <is>
          <t>DILMC50(RDC24)</t>
        </is>
      </c>
      <c r="F2844" t="inlineStr">
        <is>
          <t>DILM150-XHIC22</t>
        </is>
      </c>
      <c r="G2844" t="inlineStr">
        <is>
          <t>LASTSCHUETZ</t>
        </is>
      </c>
      <c r="H2844" t="inlineStr">
        <is>
          <t>22kW Federzugkl.</t>
        </is>
      </c>
      <c r="I2844">
        <v>820</v>
      </c>
      <c r="J2844">
        <f>GS94/17.2.5</f>
        <v>0</v>
      </c>
      <c r="K2844" t="inlineStr">
        <is>
          <t>DIL MC50</t>
        </is>
      </c>
      <c r="M2844" t="inlineStr">
        <is>
          <t>-17.2Q2</t>
        </is>
      </c>
    </row>
    <row r="2845">
      <c r="A2845">
        <v>2844</v>
      </c>
      <c r="B2845">
        <f>GS95</f>
        <v>0</v>
      </c>
      <c r="C2845" t="inlineStr">
        <is>
          <t>+ES01</t>
        </is>
      </c>
      <c r="D2845" t="inlineStr">
        <is>
          <t>-17.2Q2</t>
        </is>
      </c>
      <c r="E2845" t="inlineStr">
        <is>
          <t>DILMC50(RDC24)</t>
        </is>
      </c>
      <c r="F2845" t="inlineStr">
        <is>
          <t>DILM150-XHIC22</t>
        </is>
      </c>
      <c r="G2845" t="inlineStr">
        <is>
          <t>LASTSCHUETZ</t>
        </is>
      </c>
      <c r="H2845" t="inlineStr">
        <is>
          <t>22kW Federzugkl.</t>
        </is>
      </c>
      <c r="I2845">
        <v>483</v>
      </c>
      <c r="J2845">
        <f>GS95/17.2.5</f>
        <v>0</v>
      </c>
      <c r="K2845" t="inlineStr">
        <is>
          <t>DIL MC50</t>
        </is>
      </c>
      <c r="M2845" t="inlineStr">
        <is>
          <t>-17.2Q2</t>
        </is>
      </c>
    </row>
    <row r="2846">
      <c r="A2846">
        <v>2845</v>
      </c>
      <c r="B2846">
        <f>GS95</f>
        <v>0</v>
      </c>
      <c r="C2846" t="inlineStr">
        <is>
          <t>+ES01</t>
        </is>
      </c>
      <c r="D2846" t="inlineStr">
        <is>
          <t>-17.2Q2</t>
        </is>
      </c>
      <c r="E2846" t="inlineStr">
        <is>
          <t>DILM150-XHIC22</t>
        </is>
      </c>
      <c r="F2846" t="inlineStr">
        <is>
          <t>DILM150-XHIC22</t>
        </is>
      </c>
      <c r="G2846" t="inlineStr">
        <is>
          <t>HILFSKONTAKTBLOCK</t>
        </is>
      </c>
      <c r="H2846" t="inlineStr">
        <is>
          <t>2S 2OE ab DILMC40</t>
        </is>
      </c>
      <c r="I2846">
        <v>483</v>
      </c>
      <c r="J2846">
        <f>GS95/17.2.5</f>
        <v>0</v>
      </c>
      <c r="K2846" t="inlineStr">
        <is>
          <t>DIL MC50</t>
        </is>
      </c>
      <c r="M2846" t="inlineStr">
        <is>
          <t>-17.2Q2</t>
        </is>
      </c>
    </row>
    <row r="2847">
      <c r="A2847">
        <v>2846</v>
      </c>
      <c r="B2847">
        <f>GS96</f>
        <v>0</v>
      </c>
      <c r="C2847" t="inlineStr">
        <is>
          <t>+ES01</t>
        </is>
      </c>
      <c r="D2847" t="inlineStr">
        <is>
          <t>-17.2Q2</t>
        </is>
      </c>
      <c r="E2847" t="inlineStr">
        <is>
          <t>DILMC50(RDC24)</t>
        </is>
      </c>
      <c r="F2847" t="inlineStr">
        <is>
          <t>DILM150-XHIC22</t>
        </is>
      </c>
      <c r="G2847" t="inlineStr">
        <is>
          <t>LASTSCHUETZ</t>
        </is>
      </c>
      <c r="H2847" t="inlineStr">
        <is>
          <t>22kW Federzugkl.</t>
        </is>
      </c>
      <c r="I2847">
        <v>820</v>
      </c>
      <c r="J2847">
        <f>GS96/17.2.5</f>
        <v>0</v>
      </c>
      <c r="K2847" t="inlineStr">
        <is>
          <t>DIL MC50</t>
        </is>
      </c>
      <c r="M2847" t="inlineStr">
        <is>
          <t>-17.2Q2</t>
        </is>
      </c>
    </row>
    <row r="2848">
      <c r="A2848">
        <v>2847</v>
      </c>
      <c r="B2848">
        <f>GS96</f>
        <v>0</v>
      </c>
      <c r="C2848" t="inlineStr">
        <is>
          <t>+ES01</t>
        </is>
      </c>
      <c r="D2848" t="inlineStr">
        <is>
          <t>-17.2Q2</t>
        </is>
      </c>
      <c r="E2848" t="inlineStr">
        <is>
          <t>DILM150-XHIC22</t>
        </is>
      </c>
      <c r="F2848" t="inlineStr">
        <is>
          <t>DILM150-XHIC22</t>
        </is>
      </c>
      <c r="G2848" t="inlineStr">
        <is>
          <t>HILFSKONTAKTBLOCK</t>
        </is>
      </c>
      <c r="H2848" t="inlineStr">
        <is>
          <t>2S 2OE ab DILMC40</t>
        </is>
      </c>
      <c r="I2848">
        <v>820</v>
      </c>
      <c r="J2848">
        <f>GS96/17.2.5</f>
        <v>0</v>
      </c>
      <c r="K2848" t="inlineStr">
        <is>
          <t>DIL MC50</t>
        </is>
      </c>
      <c r="M2848" t="inlineStr">
        <is>
          <t>-17.2Q2</t>
        </is>
      </c>
    </row>
    <row r="2849">
      <c r="A2849">
        <v>2848</v>
      </c>
      <c r="B2849">
        <f>GS97</f>
        <v>0</v>
      </c>
      <c r="C2849" t="inlineStr">
        <is>
          <t>+ES01</t>
        </is>
      </c>
      <c r="D2849" t="inlineStr">
        <is>
          <t>-17.2Q2</t>
        </is>
      </c>
      <c r="E2849" t="inlineStr">
        <is>
          <t>DILMC50(RDC24)</t>
        </is>
      </c>
      <c r="F2849" t="inlineStr">
        <is>
          <t>DILM150-XHIC22</t>
        </is>
      </c>
      <c r="G2849" t="inlineStr">
        <is>
          <t>LASTSCHUETZ</t>
        </is>
      </c>
      <c r="H2849" t="inlineStr">
        <is>
          <t>22kW Federzugkl.</t>
        </is>
      </c>
      <c r="I2849">
        <v>483</v>
      </c>
      <c r="J2849">
        <f>GS97/17.2.5</f>
        <v>0</v>
      </c>
      <c r="K2849" t="inlineStr">
        <is>
          <t>DIL MC50</t>
        </is>
      </c>
      <c r="M2849" t="inlineStr">
        <is>
          <t>-17.2Q2</t>
        </is>
      </c>
    </row>
    <row r="2850">
      <c r="A2850">
        <v>2849</v>
      </c>
      <c r="B2850">
        <f>GS97</f>
        <v>0</v>
      </c>
      <c r="C2850" t="inlineStr">
        <is>
          <t>+ES01</t>
        </is>
      </c>
      <c r="D2850" t="inlineStr">
        <is>
          <t>-17.2Q2</t>
        </is>
      </c>
      <c r="E2850" t="inlineStr">
        <is>
          <t>DILM150-XHIC22</t>
        </is>
      </c>
      <c r="F2850" t="inlineStr">
        <is>
          <t>DILM150-XHIC22</t>
        </is>
      </c>
      <c r="G2850" t="inlineStr">
        <is>
          <t>HILFSKONTAKTBLOCK</t>
        </is>
      </c>
      <c r="H2850" t="inlineStr">
        <is>
          <t>2S 2OE ab DILMC40</t>
        </is>
      </c>
      <c r="I2850">
        <v>483</v>
      </c>
      <c r="J2850">
        <f>GS97/17.2.5</f>
        <v>0</v>
      </c>
      <c r="K2850" t="inlineStr">
        <is>
          <t>DIL MC50</t>
        </is>
      </c>
      <c r="M2850" t="inlineStr">
        <is>
          <t>-17.2Q2</t>
        </is>
      </c>
    </row>
    <row r="2851">
      <c r="A2851">
        <v>2850</v>
      </c>
      <c r="B2851">
        <f>GS94</f>
        <v>0</v>
      </c>
      <c r="C2851" t="inlineStr">
        <is>
          <t>+ES01</t>
        </is>
      </c>
      <c r="D2851" t="inlineStr">
        <is>
          <t>-17.2Q3</t>
        </is>
      </c>
      <c r="E2851" t="inlineStr">
        <is>
          <t>DILMC50(RDC24)</t>
        </is>
      </c>
      <c r="F2851" t="inlineStr">
        <is>
          <t>DILM150-XHIC22</t>
        </is>
      </c>
      <c r="G2851" t="inlineStr">
        <is>
          <t>LASTSCHUETZ</t>
        </is>
      </c>
      <c r="H2851" t="inlineStr">
        <is>
          <t>22kW Federzugkl.</t>
        </is>
      </c>
      <c r="I2851">
        <v>820</v>
      </c>
      <c r="J2851">
        <f>GS94/17.2.7</f>
        <v>0</v>
      </c>
      <c r="K2851" t="inlineStr">
        <is>
          <t>DIL MC50</t>
        </is>
      </c>
      <c r="M2851" t="inlineStr">
        <is>
          <t>-17.2Q3</t>
        </is>
      </c>
    </row>
    <row r="2852">
      <c r="A2852">
        <v>2851</v>
      </c>
      <c r="B2852">
        <f>GS94</f>
        <v>0</v>
      </c>
      <c r="C2852" t="inlineStr">
        <is>
          <t>+ES01</t>
        </is>
      </c>
      <c r="D2852" t="inlineStr">
        <is>
          <t>-17.2Q3</t>
        </is>
      </c>
      <c r="E2852" t="inlineStr">
        <is>
          <t>DILM150-XHIC22</t>
        </is>
      </c>
      <c r="F2852" t="inlineStr">
        <is>
          <t>DILM150-XHIC22</t>
        </is>
      </c>
      <c r="G2852" t="inlineStr">
        <is>
          <t>HILFSKONTAKTBLOCK</t>
        </is>
      </c>
      <c r="H2852" t="inlineStr">
        <is>
          <t>2S 2OE ab DILMC40</t>
        </is>
      </c>
      <c r="I2852">
        <v>820</v>
      </c>
      <c r="J2852">
        <f>GS94/17.2.7</f>
        <v>0</v>
      </c>
      <c r="K2852" t="inlineStr">
        <is>
          <t>DIL MC50</t>
        </is>
      </c>
      <c r="M2852" t="inlineStr">
        <is>
          <t>-17.2Q3</t>
        </is>
      </c>
    </row>
    <row r="2853">
      <c r="A2853">
        <v>2852</v>
      </c>
      <c r="B2853">
        <f>GS95</f>
        <v>0</v>
      </c>
      <c r="C2853" t="inlineStr">
        <is>
          <t>+ES01</t>
        </is>
      </c>
      <c r="D2853" t="inlineStr">
        <is>
          <t>-17.2Q3</t>
        </is>
      </c>
      <c r="E2853" t="inlineStr">
        <is>
          <t>DILMC50(RDC24)</t>
        </is>
      </c>
      <c r="F2853" t="inlineStr">
        <is>
          <t>DILM150-XHIC22</t>
        </is>
      </c>
      <c r="G2853" t="inlineStr">
        <is>
          <t>LASTSCHUETZ</t>
        </is>
      </c>
      <c r="H2853" t="inlineStr">
        <is>
          <t>22kW Federzugkl.</t>
        </is>
      </c>
      <c r="I2853">
        <v>483</v>
      </c>
      <c r="J2853">
        <f>GS95/17.2.7</f>
        <v>0</v>
      </c>
      <c r="K2853" t="inlineStr">
        <is>
          <t>DIL MC50</t>
        </is>
      </c>
      <c r="M2853" t="inlineStr">
        <is>
          <t>-17.2Q3</t>
        </is>
      </c>
    </row>
    <row r="2854">
      <c r="A2854">
        <v>2853</v>
      </c>
      <c r="B2854">
        <f>GS95</f>
        <v>0</v>
      </c>
      <c r="C2854" t="inlineStr">
        <is>
          <t>+ES01</t>
        </is>
      </c>
      <c r="D2854" t="inlineStr">
        <is>
          <t>-17.2Q3</t>
        </is>
      </c>
      <c r="E2854" t="inlineStr">
        <is>
          <t>DILM150-XHIC22</t>
        </is>
      </c>
      <c r="F2854" t="inlineStr">
        <is>
          <t>DILM150-XHIC22</t>
        </is>
      </c>
      <c r="G2854" t="inlineStr">
        <is>
          <t>HILFSKONTAKTBLOCK</t>
        </is>
      </c>
      <c r="H2854" t="inlineStr">
        <is>
          <t>2S 2OE ab DILMC40</t>
        </is>
      </c>
      <c r="I2854">
        <v>483</v>
      </c>
      <c r="J2854">
        <f>GS95/17.2.7</f>
        <v>0</v>
      </c>
      <c r="K2854" t="inlineStr">
        <is>
          <t>DIL MC50</t>
        </is>
      </c>
      <c r="M2854" t="inlineStr">
        <is>
          <t>-17.2Q3</t>
        </is>
      </c>
    </row>
    <row r="2855">
      <c r="A2855">
        <v>2854</v>
      </c>
      <c r="B2855">
        <f>GS96</f>
        <v>0</v>
      </c>
      <c r="C2855" t="inlineStr">
        <is>
          <t>+ES01</t>
        </is>
      </c>
      <c r="D2855" t="inlineStr">
        <is>
          <t>-17.2Q3</t>
        </is>
      </c>
      <c r="E2855" t="inlineStr">
        <is>
          <t>DILMC50(RDC24)</t>
        </is>
      </c>
      <c r="F2855" t="inlineStr">
        <is>
          <t>DILM150-XHIC22</t>
        </is>
      </c>
      <c r="G2855" t="inlineStr">
        <is>
          <t>LASTSCHUETZ</t>
        </is>
      </c>
      <c r="H2855" t="inlineStr">
        <is>
          <t>22kW Federzugkl.</t>
        </is>
      </c>
      <c r="I2855">
        <v>820</v>
      </c>
      <c r="J2855">
        <f>GS96/17.2.7</f>
        <v>0</v>
      </c>
      <c r="K2855" t="inlineStr">
        <is>
          <t>DIL MC50</t>
        </is>
      </c>
      <c r="M2855" t="inlineStr">
        <is>
          <t>-17.2Q3</t>
        </is>
      </c>
    </row>
    <row r="2856">
      <c r="A2856">
        <v>2855</v>
      </c>
      <c r="B2856">
        <f>GS96</f>
        <v>0</v>
      </c>
      <c r="C2856" t="inlineStr">
        <is>
          <t>+ES01</t>
        </is>
      </c>
      <c r="D2856" t="inlineStr">
        <is>
          <t>-17.2Q3</t>
        </is>
      </c>
      <c r="E2856" t="inlineStr">
        <is>
          <t>DILM150-XHIC22</t>
        </is>
      </c>
      <c r="F2856" t="inlineStr">
        <is>
          <t>DILM150-XHIC22</t>
        </is>
      </c>
      <c r="G2856" t="inlineStr">
        <is>
          <t>HILFSKONTAKTBLOCK</t>
        </is>
      </c>
      <c r="H2856" t="inlineStr">
        <is>
          <t>2S 2OE ab DILMC40</t>
        </is>
      </c>
      <c r="I2856">
        <v>820</v>
      </c>
      <c r="J2856">
        <f>GS96/17.2.7</f>
        <v>0</v>
      </c>
      <c r="K2856" t="inlineStr">
        <is>
          <t>DIL MC50</t>
        </is>
      </c>
      <c r="M2856" t="inlineStr">
        <is>
          <t>-17.2Q3</t>
        </is>
      </c>
    </row>
    <row r="2857">
      <c r="A2857">
        <v>2856</v>
      </c>
      <c r="B2857">
        <f>GS97</f>
        <v>0</v>
      </c>
      <c r="C2857" t="inlineStr">
        <is>
          <t>+ES01</t>
        </is>
      </c>
      <c r="D2857" t="inlineStr">
        <is>
          <t>-17.2Q3</t>
        </is>
      </c>
      <c r="E2857" t="inlineStr">
        <is>
          <t>DILM150-XHIC22</t>
        </is>
      </c>
      <c r="F2857" t="inlineStr">
        <is>
          <t>DILM150-XHIC22</t>
        </is>
      </c>
      <c r="G2857" t="inlineStr">
        <is>
          <t>HILFSKONTAKTBLOCK</t>
        </is>
      </c>
      <c r="H2857" t="inlineStr">
        <is>
          <t>2S 2OE ab DILMC40</t>
        </is>
      </c>
      <c r="I2857">
        <v>483</v>
      </c>
      <c r="J2857">
        <f>GS97/17.2.7</f>
        <v>0</v>
      </c>
      <c r="K2857" t="inlineStr">
        <is>
          <t>DIL MC50</t>
        </is>
      </c>
      <c r="M2857" t="inlineStr">
        <is>
          <t>-17.2Q3</t>
        </is>
      </c>
    </row>
    <row r="2858">
      <c r="A2858">
        <v>2857</v>
      </c>
      <c r="B2858">
        <f>GS97</f>
        <v>0</v>
      </c>
      <c r="C2858" t="inlineStr">
        <is>
          <t>+ES01</t>
        </is>
      </c>
      <c r="D2858" t="inlineStr">
        <is>
          <t>-17.2Q3</t>
        </is>
      </c>
      <c r="E2858" t="inlineStr">
        <is>
          <t>DILMC50(RDC24)</t>
        </is>
      </c>
      <c r="F2858" t="inlineStr">
        <is>
          <t>DILM150-XHIC22</t>
        </is>
      </c>
      <c r="G2858" t="inlineStr">
        <is>
          <t>LASTSCHUETZ</t>
        </is>
      </c>
      <c r="H2858" t="inlineStr">
        <is>
          <t>22kW Federzugkl.</t>
        </is>
      </c>
      <c r="I2858">
        <v>483</v>
      </c>
      <c r="J2858">
        <f>GS97/17.2.7</f>
        <v>0</v>
      </c>
      <c r="K2858" t="inlineStr">
        <is>
          <t>DIL MC50</t>
        </is>
      </c>
      <c r="M2858" t="inlineStr">
        <is>
          <t>-17.2Q3</t>
        </is>
      </c>
    </row>
    <row r="2859">
      <c r="A2859">
        <v>2858</v>
      </c>
      <c r="B2859">
        <f>GS94</f>
        <v>0</v>
      </c>
      <c r="C2859" t="inlineStr">
        <is>
          <t>+ES01</t>
        </is>
      </c>
      <c r="D2859" t="inlineStr">
        <is>
          <t>-17.3Q1</t>
        </is>
      </c>
      <c r="E2859" t="inlineStr">
        <is>
          <t>DILMC50(RDC24)</t>
        </is>
      </c>
      <c r="F2859" t="inlineStr">
        <is>
          <t>DILM150-XHIC22</t>
        </is>
      </c>
      <c r="G2859" t="inlineStr">
        <is>
          <t>LASTSCHUETZ</t>
        </is>
      </c>
      <c r="H2859" t="inlineStr">
        <is>
          <t>22kW Federzugkl.</t>
        </is>
      </c>
      <c r="I2859">
        <v>815</v>
      </c>
      <c r="J2859">
        <f>GS94/17.3.3</f>
        <v>0</v>
      </c>
      <c r="K2859" t="inlineStr">
        <is>
          <t>DIL MC50</t>
        </is>
      </c>
      <c r="M2859" t="inlineStr">
        <is>
          <t>-17.3Q1</t>
        </is>
      </c>
    </row>
    <row r="2860">
      <c r="A2860">
        <v>2859</v>
      </c>
      <c r="B2860">
        <f>GS94</f>
        <v>0</v>
      </c>
      <c r="C2860" t="inlineStr">
        <is>
          <t>+ES01</t>
        </is>
      </c>
      <c r="D2860" t="inlineStr">
        <is>
          <t>-17.3Q1</t>
        </is>
      </c>
      <c r="E2860" t="inlineStr">
        <is>
          <t>DILM150-XHIC22</t>
        </is>
      </c>
      <c r="F2860" t="inlineStr">
        <is>
          <t>DILM150-XHIC22</t>
        </is>
      </c>
      <c r="G2860" t="inlineStr">
        <is>
          <t>HILFSKONTAKTBLOCK</t>
        </is>
      </c>
      <c r="H2860" t="inlineStr">
        <is>
          <t>2S 2OE ab DILMC40</t>
        </is>
      </c>
      <c r="I2860">
        <v>815</v>
      </c>
      <c r="J2860">
        <f>GS94/17.3.3</f>
        <v>0</v>
      </c>
      <c r="K2860" t="inlineStr">
        <is>
          <t>DIL MC50</t>
        </is>
      </c>
      <c r="M2860" t="inlineStr">
        <is>
          <t>-17.3Q1</t>
        </is>
      </c>
    </row>
    <row r="2861">
      <c r="A2861">
        <v>2860</v>
      </c>
      <c r="B2861">
        <f>GS95</f>
        <v>0</v>
      </c>
      <c r="C2861" t="inlineStr">
        <is>
          <t>+ES01</t>
        </is>
      </c>
      <c r="D2861" t="inlineStr">
        <is>
          <t>-17.3Q1</t>
        </is>
      </c>
      <c r="E2861" t="inlineStr">
        <is>
          <t>DILMC50(RDC24)</t>
        </is>
      </c>
      <c r="F2861" t="inlineStr">
        <is>
          <t>DILM150-XHIC22</t>
        </is>
      </c>
      <c r="G2861" t="inlineStr">
        <is>
          <t>LASTSCHUETZ</t>
        </is>
      </c>
      <c r="H2861" t="inlineStr">
        <is>
          <t>22kW Federzugkl.</t>
        </is>
      </c>
      <c r="I2861">
        <v>484</v>
      </c>
      <c r="J2861">
        <f>GS95/17.3.3</f>
        <v>0</v>
      </c>
      <c r="K2861" t="inlineStr">
        <is>
          <t>DIL MC50</t>
        </is>
      </c>
      <c r="M2861" t="inlineStr">
        <is>
          <t>-17.3Q1</t>
        </is>
      </c>
    </row>
    <row r="2862">
      <c r="A2862">
        <v>2861</v>
      </c>
      <c r="B2862">
        <f>GS95</f>
        <v>0</v>
      </c>
      <c r="C2862" t="inlineStr">
        <is>
          <t>+ES01</t>
        </is>
      </c>
      <c r="D2862" t="inlineStr">
        <is>
          <t>-17.3Q1</t>
        </is>
      </c>
      <c r="E2862" t="inlineStr">
        <is>
          <t>DILM150-XHIC22</t>
        </is>
      </c>
      <c r="F2862" t="inlineStr">
        <is>
          <t>DILM150-XHIC22</t>
        </is>
      </c>
      <c r="G2862" t="inlineStr">
        <is>
          <t>HILFSKONTAKTBLOCK</t>
        </is>
      </c>
      <c r="H2862" t="inlineStr">
        <is>
          <t>2S 2OE ab DILMC40</t>
        </is>
      </c>
      <c r="I2862">
        <v>484</v>
      </c>
      <c r="J2862">
        <f>GS95/17.3.3</f>
        <v>0</v>
      </c>
      <c r="K2862" t="inlineStr">
        <is>
          <t>DIL MC50</t>
        </is>
      </c>
      <c r="M2862" t="inlineStr">
        <is>
          <t>-17.3Q1</t>
        </is>
      </c>
    </row>
    <row r="2863">
      <c r="A2863">
        <v>2862</v>
      </c>
      <c r="B2863">
        <f>GS96</f>
        <v>0</v>
      </c>
      <c r="C2863" t="inlineStr">
        <is>
          <t>+ES01</t>
        </is>
      </c>
      <c r="D2863" t="inlineStr">
        <is>
          <t>-17.3Q1</t>
        </is>
      </c>
      <c r="E2863" t="inlineStr">
        <is>
          <t>DILMC50(RDC24)</t>
        </is>
      </c>
      <c r="F2863" t="inlineStr">
        <is>
          <t>DILM150-XHIC22</t>
        </is>
      </c>
      <c r="G2863" t="inlineStr">
        <is>
          <t>LASTSCHUETZ</t>
        </is>
      </c>
      <c r="H2863" t="inlineStr">
        <is>
          <t>22kW Federzugkl.</t>
        </is>
      </c>
      <c r="I2863">
        <v>815</v>
      </c>
      <c r="J2863">
        <f>GS96/17.3.3</f>
        <v>0</v>
      </c>
      <c r="K2863" t="inlineStr">
        <is>
          <t>DIL MC50</t>
        </is>
      </c>
      <c r="M2863" t="inlineStr">
        <is>
          <t>-17.3Q1</t>
        </is>
      </c>
    </row>
    <row r="2864">
      <c r="A2864">
        <v>2863</v>
      </c>
      <c r="B2864">
        <f>GS96</f>
        <v>0</v>
      </c>
      <c r="C2864" t="inlineStr">
        <is>
          <t>+ES01</t>
        </is>
      </c>
      <c r="D2864" t="inlineStr">
        <is>
          <t>-17.3Q1</t>
        </is>
      </c>
      <c r="E2864" t="inlineStr">
        <is>
          <t>DILM150-XHIC22</t>
        </is>
      </c>
      <c r="F2864" t="inlineStr">
        <is>
          <t>DILM150-XHIC22</t>
        </is>
      </c>
      <c r="G2864" t="inlineStr">
        <is>
          <t>HILFSKONTAKTBLOCK</t>
        </is>
      </c>
      <c r="H2864" t="inlineStr">
        <is>
          <t>2S 2OE ab DILMC40</t>
        </is>
      </c>
      <c r="I2864">
        <v>815</v>
      </c>
      <c r="J2864">
        <f>GS96/17.3.3</f>
        <v>0</v>
      </c>
      <c r="K2864" t="inlineStr">
        <is>
          <t>DIL MC50</t>
        </is>
      </c>
      <c r="M2864" t="inlineStr">
        <is>
          <t>-17.3Q1</t>
        </is>
      </c>
    </row>
    <row r="2865">
      <c r="A2865">
        <v>2864</v>
      </c>
      <c r="B2865">
        <f>GS97</f>
        <v>0</v>
      </c>
      <c r="C2865" t="inlineStr">
        <is>
          <t>+ES01</t>
        </is>
      </c>
      <c r="D2865" t="inlineStr">
        <is>
          <t>-17.3Q1</t>
        </is>
      </c>
      <c r="E2865" t="inlineStr">
        <is>
          <t>DILM150-XHIC22</t>
        </is>
      </c>
      <c r="F2865" t="inlineStr">
        <is>
          <t>DILM150-XHIC22</t>
        </is>
      </c>
      <c r="G2865" t="inlineStr">
        <is>
          <t>HILFSKONTAKTBLOCK</t>
        </is>
      </c>
      <c r="H2865" t="inlineStr">
        <is>
          <t>2S 2OE ab DILMC40</t>
        </is>
      </c>
      <c r="I2865">
        <v>484</v>
      </c>
      <c r="J2865">
        <f>GS97/17.3.3</f>
        <v>0</v>
      </c>
      <c r="K2865" t="inlineStr">
        <is>
          <t>DIL MC50</t>
        </is>
      </c>
      <c r="M2865" t="inlineStr">
        <is>
          <t>-17.3Q1</t>
        </is>
      </c>
    </row>
    <row r="2866">
      <c r="A2866">
        <v>2865</v>
      </c>
      <c r="B2866">
        <f>GS97</f>
        <v>0</v>
      </c>
      <c r="C2866" t="inlineStr">
        <is>
          <t>+ES01</t>
        </is>
      </c>
      <c r="D2866" t="inlineStr">
        <is>
          <t>-17.3Q1</t>
        </is>
      </c>
      <c r="E2866" t="inlineStr">
        <is>
          <t>DILMC50(RDC24)</t>
        </is>
      </c>
      <c r="F2866" t="inlineStr">
        <is>
          <t>DILM150-XHIC22</t>
        </is>
      </c>
      <c r="G2866" t="inlineStr">
        <is>
          <t>LASTSCHUETZ</t>
        </is>
      </c>
      <c r="H2866" t="inlineStr">
        <is>
          <t>22kW Federzugkl.</t>
        </is>
      </c>
      <c r="I2866">
        <v>484</v>
      </c>
      <c r="J2866">
        <f>GS97/17.3.3</f>
        <v>0</v>
      </c>
      <c r="K2866" t="inlineStr">
        <is>
          <t>DIL MC50</t>
        </is>
      </c>
      <c r="M2866" t="inlineStr">
        <is>
          <t>-17.3Q1</t>
        </is>
      </c>
    </row>
    <row r="2867">
      <c r="A2867">
        <v>2866</v>
      </c>
      <c r="B2867">
        <f>GS94</f>
        <v>0</v>
      </c>
      <c r="C2867" t="inlineStr">
        <is>
          <t>+ES01</t>
        </is>
      </c>
      <c r="D2867" t="inlineStr">
        <is>
          <t>-17.3Q2</t>
        </is>
      </c>
      <c r="E2867" t="inlineStr">
        <is>
          <t>DILMC50(RDC24)</t>
        </is>
      </c>
      <c r="F2867" t="inlineStr">
        <is>
          <t>DILM150-XHIC22</t>
        </is>
      </c>
      <c r="G2867" t="inlineStr">
        <is>
          <t>LASTSCHUETZ</t>
        </is>
      </c>
      <c r="H2867" t="inlineStr">
        <is>
          <t>22kW Federzugkl.</t>
        </is>
      </c>
      <c r="I2867">
        <v>815</v>
      </c>
      <c r="J2867">
        <f>GS94/17.3.4</f>
        <v>0</v>
      </c>
      <c r="K2867" t="inlineStr">
        <is>
          <t>DIL MC50</t>
        </is>
      </c>
      <c r="M2867" t="inlineStr">
        <is>
          <t>-17.3Q2</t>
        </is>
      </c>
    </row>
    <row r="2868">
      <c r="A2868">
        <v>2867</v>
      </c>
      <c r="B2868">
        <f>GS94</f>
        <v>0</v>
      </c>
      <c r="C2868" t="inlineStr">
        <is>
          <t>+ES01</t>
        </is>
      </c>
      <c r="D2868" t="inlineStr">
        <is>
          <t>-17.3Q2</t>
        </is>
      </c>
      <c r="E2868" t="inlineStr">
        <is>
          <t>DILM150-XHIC22</t>
        </is>
      </c>
      <c r="F2868" t="inlineStr">
        <is>
          <t>DILM150-XHIC22</t>
        </is>
      </c>
      <c r="G2868" t="inlineStr">
        <is>
          <t>HILFSKONTAKTBLOCK</t>
        </is>
      </c>
      <c r="H2868" t="inlineStr">
        <is>
          <t>2S 2OE ab DILMC40</t>
        </is>
      </c>
      <c r="I2868">
        <v>815</v>
      </c>
      <c r="J2868">
        <f>GS94/17.3.4</f>
        <v>0</v>
      </c>
      <c r="K2868" t="inlineStr">
        <is>
          <t>DIL MC50</t>
        </is>
      </c>
      <c r="M2868" t="inlineStr">
        <is>
          <t>-17.3Q2</t>
        </is>
      </c>
    </row>
    <row r="2869">
      <c r="A2869">
        <v>2868</v>
      </c>
      <c r="B2869">
        <f>GS95</f>
        <v>0</v>
      </c>
      <c r="C2869" t="inlineStr">
        <is>
          <t>+ES01</t>
        </is>
      </c>
      <c r="D2869" t="inlineStr">
        <is>
          <t>-17.3Q2</t>
        </is>
      </c>
      <c r="E2869" t="inlineStr">
        <is>
          <t>DILMC50(RDC24)</t>
        </is>
      </c>
      <c r="F2869" t="inlineStr">
        <is>
          <t>DILM150-XHIC22</t>
        </is>
      </c>
      <c r="G2869" t="inlineStr">
        <is>
          <t>LASTSCHUETZ</t>
        </is>
      </c>
      <c r="H2869" t="inlineStr">
        <is>
          <t>22kW Federzugkl.</t>
        </is>
      </c>
      <c r="I2869">
        <v>484</v>
      </c>
      <c r="J2869">
        <f>GS95/17.3.4</f>
        <v>0</v>
      </c>
      <c r="K2869" t="inlineStr">
        <is>
          <t>DIL MC50</t>
        </is>
      </c>
      <c r="M2869" t="inlineStr">
        <is>
          <t>-17.3Q2</t>
        </is>
      </c>
    </row>
    <row r="2870">
      <c r="A2870">
        <v>2869</v>
      </c>
      <c r="B2870">
        <f>GS95</f>
        <v>0</v>
      </c>
      <c r="C2870" t="inlineStr">
        <is>
          <t>+ES01</t>
        </is>
      </c>
      <c r="D2870" t="inlineStr">
        <is>
          <t>-17.3Q2</t>
        </is>
      </c>
      <c r="E2870" t="inlineStr">
        <is>
          <t>DILM150-XHIC22</t>
        </is>
      </c>
      <c r="F2870" t="inlineStr">
        <is>
          <t>DILM150-XHIC22</t>
        </is>
      </c>
      <c r="G2870" t="inlineStr">
        <is>
          <t>HILFSKONTAKTBLOCK</t>
        </is>
      </c>
      <c r="H2870" t="inlineStr">
        <is>
          <t>2S 2OE ab DILMC40</t>
        </is>
      </c>
      <c r="I2870">
        <v>484</v>
      </c>
      <c r="J2870">
        <f>GS95/17.3.4</f>
        <v>0</v>
      </c>
      <c r="K2870" t="inlineStr">
        <is>
          <t>DIL MC50</t>
        </is>
      </c>
      <c r="M2870" t="inlineStr">
        <is>
          <t>-17.3Q2</t>
        </is>
      </c>
    </row>
    <row r="2871">
      <c r="A2871">
        <v>2870</v>
      </c>
      <c r="B2871">
        <f>GS96</f>
        <v>0</v>
      </c>
      <c r="C2871" t="inlineStr">
        <is>
          <t>+ES01</t>
        </is>
      </c>
      <c r="D2871" t="inlineStr">
        <is>
          <t>-17.3Q2</t>
        </is>
      </c>
      <c r="E2871" t="inlineStr">
        <is>
          <t>DILM150-XHIC22</t>
        </is>
      </c>
      <c r="F2871" t="inlineStr">
        <is>
          <t>DILM150-XHIC22</t>
        </is>
      </c>
      <c r="G2871" t="inlineStr">
        <is>
          <t>HILFSKONTAKTBLOCK</t>
        </is>
      </c>
      <c r="H2871" t="inlineStr">
        <is>
          <t>2S 2OE ab DILMC40</t>
        </is>
      </c>
      <c r="I2871">
        <v>815</v>
      </c>
      <c r="J2871">
        <f>GS96/17.3.4</f>
        <v>0</v>
      </c>
      <c r="K2871" t="inlineStr">
        <is>
          <t>DIL MC50</t>
        </is>
      </c>
      <c r="M2871" t="inlineStr">
        <is>
          <t>-17.3Q2</t>
        </is>
      </c>
    </row>
    <row r="2872">
      <c r="A2872">
        <v>2871</v>
      </c>
      <c r="B2872">
        <f>GS96</f>
        <v>0</v>
      </c>
      <c r="C2872" t="inlineStr">
        <is>
          <t>+ES01</t>
        </is>
      </c>
      <c r="D2872" t="inlineStr">
        <is>
          <t>-17.3Q2</t>
        </is>
      </c>
      <c r="E2872" t="inlineStr">
        <is>
          <t>DILMC50(RDC24)</t>
        </is>
      </c>
      <c r="F2872" t="inlineStr">
        <is>
          <t>DILM150-XHIC22</t>
        </is>
      </c>
      <c r="G2872" t="inlineStr">
        <is>
          <t>LASTSCHUETZ</t>
        </is>
      </c>
      <c r="H2872" t="inlineStr">
        <is>
          <t>22kW Federzugkl.</t>
        </is>
      </c>
      <c r="I2872">
        <v>815</v>
      </c>
      <c r="J2872">
        <f>GS96/17.3.4</f>
        <v>0</v>
      </c>
      <c r="K2872" t="inlineStr">
        <is>
          <t>DIL MC50</t>
        </is>
      </c>
      <c r="M2872" t="inlineStr">
        <is>
          <t>-17.3Q2</t>
        </is>
      </c>
    </row>
    <row r="2873">
      <c r="A2873">
        <v>2872</v>
      </c>
      <c r="B2873">
        <f>GS97</f>
        <v>0</v>
      </c>
      <c r="C2873" t="inlineStr">
        <is>
          <t>+ES01</t>
        </is>
      </c>
      <c r="D2873" t="inlineStr">
        <is>
          <t>-17.3Q2</t>
        </is>
      </c>
      <c r="E2873" t="inlineStr">
        <is>
          <t>DILM150-XHIC22</t>
        </is>
      </c>
      <c r="F2873" t="inlineStr">
        <is>
          <t>DILM150-XHIC22</t>
        </is>
      </c>
      <c r="G2873" t="inlineStr">
        <is>
          <t>HILFSKONTAKTBLOCK</t>
        </is>
      </c>
      <c r="H2873" t="inlineStr">
        <is>
          <t>2S 2OE ab DILMC40</t>
        </is>
      </c>
      <c r="I2873">
        <v>484</v>
      </c>
      <c r="J2873">
        <f>GS97/17.3.4</f>
        <v>0</v>
      </c>
      <c r="K2873" t="inlineStr">
        <is>
          <t>DIL MC50</t>
        </is>
      </c>
      <c r="M2873" t="inlineStr">
        <is>
          <t>-17.3Q2</t>
        </is>
      </c>
    </row>
    <row r="2874">
      <c r="A2874">
        <v>2873</v>
      </c>
      <c r="B2874">
        <f>GS97</f>
        <v>0</v>
      </c>
      <c r="C2874" t="inlineStr">
        <is>
          <t>+ES01</t>
        </is>
      </c>
      <c r="D2874" t="inlineStr">
        <is>
          <t>-17.3Q2</t>
        </is>
      </c>
      <c r="E2874" t="inlineStr">
        <is>
          <t>DILMC50(RDC24)</t>
        </is>
      </c>
      <c r="F2874" t="inlineStr">
        <is>
          <t>DILM150-XHIC22</t>
        </is>
      </c>
      <c r="G2874" t="inlineStr">
        <is>
          <t>LASTSCHUETZ</t>
        </is>
      </c>
      <c r="H2874" t="inlineStr">
        <is>
          <t>22kW Federzugkl.</t>
        </is>
      </c>
      <c r="I2874">
        <v>484</v>
      </c>
      <c r="J2874">
        <f>GS97/17.3.4</f>
        <v>0</v>
      </c>
      <c r="K2874" t="inlineStr">
        <is>
          <t>DIL MC50</t>
        </is>
      </c>
      <c r="M2874" t="inlineStr">
        <is>
          <t>-17.3Q2</t>
        </is>
      </c>
    </row>
    <row r="2875">
      <c r="A2875">
        <v>2874</v>
      </c>
      <c r="B2875">
        <f>GS94</f>
        <v>0</v>
      </c>
      <c r="C2875" t="inlineStr">
        <is>
          <t>+ES01</t>
        </is>
      </c>
      <c r="D2875" t="inlineStr">
        <is>
          <t>-17.3Q3</t>
        </is>
      </c>
      <c r="E2875" t="inlineStr">
        <is>
          <t>DILMC50(RDC24)</t>
        </is>
      </c>
      <c r="F2875" t="inlineStr">
        <is>
          <t>DILM150-XHIC22</t>
        </is>
      </c>
      <c r="G2875" t="inlineStr">
        <is>
          <t>LASTSCHUETZ</t>
        </is>
      </c>
      <c r="H2875" t="inlineStr">
        <is>
          <t>22kW Federzugkl.</t>
        </is>
      </c>
      <c r="I2875">
        <v>815</v>
      </c>
      <c r="J2875">
        <f>GS94/17.3.6</f>
        <v>0</v>
      </c>
      <c r="K2875" t="inlineStr">
        <is>
          <t>DIL MC50</t>
        </is>
      </c>
      <c r="M2875" t="inlineStr">
        <is>
          <t>-17.3Q3</t>
        </is>
      </c>
    </row>
    <row r="2876">
      <c r="A2876">
        <v>2875</v>
      </c>
      <c r="B2876">
        <f>GS94</f>
        <v>0</v>
      </c>
      <c r="C2876" t="inlineStr">
        <is>
          <t>+ES01</t>
        </is>
      </c>
      <c r="D2876" t="inlineStr">
        <is>
          <t>-17.3Q3</t>
        </is>
      </c>
      <c r="E2876" t="inlineStr">
        <is>
          <t>DILM150-XHIC22</t>
        </is>
      </c>
      <c r="F2876" t="inlineStr">
        <is>
          <t>DILM150-XHIC22</t>
        </is>
      </c>
      <c r="G2876" t="inlineStr">
        <is>
          <t>HILFSKONTAKTBLOCK</t>
        </is>
      </c>
      <c r="H2876" t="inlineStr">
        <is>
          <t>2S 2OE ab DILMC40</t>
        </is>
      </c>
      <c r="I2876">
        <v>815</v>
      </c>
      <c r="J2876">
        <f>GS94/17.3.6</f>
        <v>0</v>
      </c>
      <c r="K2876" t="inlineStr">
        <is>
          <t>DIL MC50</t>
        </is>
      </c>
      <c r="M2876" t="inlineStr">
        <is>
          <t>-17.3Q3</t>
        </is>
      </c>
    </row>
    <row r="2877">
      <c r="A2877">
        <v>2876</v>
      </c>
      <c r="B2877">
        <f>GS95</f>
        <v>0</v>
      </c>
      <c r="C2877" t="inlineStr">
        <is>
          <t>+ES01</t>
        </is>
      </c>
      <c r="D2877" t="inlineStr">
        <is>
          <t>-17.3Q3</t>
        </is>
      </c>
      <c r="E2877" t="inlineStr">
        <is>
          <t>DILMC50(RDC24)</t>
        </is>
      </c>
      <c r="F2877" t="inlineStr">
        <is>
          <t>DILM150-XHIC22</t>
        </is>
      </c>
      <c r="G2877" t="inlineStr">
        <is>
          <t>LASTSCHUETZ</t>
        </is>
      </c>
      <c r="H2877" t="inlineStr">
        <is>
          <t>22kW Federzugkl.</t>
        </is>
      </c>
      <c r="I2877">
        <v>484</v>
      </c>
      <c r="J2877">
        <f>GS95/17.3.6</f>
        <v>0</v>
      </c>
      <c r="K2877" t="inlineStr">
        <is>
          <t>DIL MC50</t>
        </is>
      </c>
      <c r="M2877" t="inlineStr">
        <is>
          <t>-17.3Q3</t>
        </is>
      </c>
    </row>
    <row r="2878">
      <c r="A2878">
        <v>2877</v>
      </c>
      <c r="B2878">
        <f>GS95</f>
        <v>0</v>
      </c>
      <c r="C2878" t="inlineStr">
        <is>
          <t>+ES01</t>
        </is>
      </c>
      <c r="D2878" t="inlineStr">
        <is>
          <t>-17.3Q3</t>
        </is>
      </c>
      <c r="E2878" t="inlineStr">
        <is>
          <t>DILM150-XHIC22</t>
        </is>
      </c>
      <c r="F2878" t="inlineStr">
        <is>
          <t>DILM150-XHIC22</t>
        </is>
      </c>
      <c r="G2878" t="inlineStr">
        <is>
          <t>HILFSKONTAKTBLOCK</t>
        </is>
      </c>
      <c r="H2878" t="inlineStr">
        <is>
          <t>2S 2OE ab DILMC40</t>
        </is>
      </c>
      <c r="I2878">
        <v>484</v>
      </c>
      <c r="J2878">
        <f>GS95/17.3.6</f>
        <v>0</v>
      </c>
      <c r="K2878" t="inlineStr">
        <is>
          <t>DIL MC50</t>
        </is>
      </c>
      <c r="M2878" t="inlineStr">
        <is>
          <t>-17.3Q3</t>
        </is>
      </c>
    </row>
    <row r="2879">
      <c r="A2879">
        <v>2878</v>
      </c>
      <c r="B2879">
        <f>GS96</f>
        <v>0</v>
      </c>
      <c r="C2879" t="inlineStr">
        <is>
          <t>+ES01</t>
        </is>
      </c>
      <c r="D2879" t="inlineStr">
        <is>
          <t>-17.3Q3</t>
        </is>
      </c>
      <c r="E2879" t="inlineStr">
        <is>
          <t>DILM150-XHIC22</t>
        </is>
      </c>
      <c r="F2879" t="inlineStr">
        <is>
          <t>DILM150-XHIC22</t>
        </is>
      </c>
      <c r="G2879" t="inlineStr">
        <is>
          <t>HILFSKONTAKTBLOCK</t>
        </is>
      </c>
      <c r="H2879" t="inlineStr">
        <is>
          <t>2S 2OE ab DILMC40</t>
        </is>
      </c>
      <c r="I2879">
        <v>815</v>
      </c>
      <c r="J2879">
        <f>GS96/17.3.6</f>
        <v>0</v>
      </c>
      <c r="K2879" t="inlineStr">
        <is>
          <t>DIL MC50</t>
        </is>
      </c>
      <c r="M2879" t="inlineStr">
        <is>
          <t>-17.3Q3</t>
        </is>
      </c>
    </row>
    <row r="2880">
      <c r="A2880">
        <v>2879</v>
      </c>
      <c r="B2880">
        <f>GS96</f>
        <v>0</v>
      </c>
      <c r="C2880" t="inlineStr">
        <is>
          <t>+ES01</t>
        </is>
      </c>
      <c r="D2880" t="inlineStr">
        <is>
          <t>-17.3Q3</t>
        </is>
      </c>
      <c r="E2880" t="inlineStr">
        <is>
          <t>DILMC50(RDC24)</t>
        </is>
      </c>
      <c r="F2880" t="inlineStr">
        <is>
          <t>DILM150-XHIC22</t>
        </is>
      </c>
      <c r="G2880" t="inlineStr">
        <is>
          <t>LASTSCHUETZ</t>
        </is>
      </c>
      <c r="H2880" t="inlineStr">
        <is>
          <t>22kW Federzugkl.</t>
        </is>
      </c>
      <c r="I2880">
        <v>815</v>
      </c>
      <c r="J2880">
        <f>GS96/17.3.6</f>
        <v>0</v>
      </c>
      <c r="K2880" t="inlineStr">
        <is>
          <t>DIL MC50</t>
        </is>
      </c>
      <c r="M2880" t="inlineStr">
        <is>
          <t>-17.3Q3</t>
        </is>
      </c>
    </row>
    <row r="2881">
      <c r="A2881">
        <v>2880</v>
      </c>
      <c r="B2881">
        <f>GS97</f>
        <v>0</v>
      </c>
      <c r="C2881" t="inlineStr">
        <is>
          <t>+ES01</t>
        </is>
      </c>
      <c r="D2881" t="inlineStr">
        <is>
          <t>-17.3Q3</t>
        </is>
      </c>
      <c r="E2881" t="inlineStr">
        <is>
          <t>DILM150-XHIC22</t>
        </is>
      </c>
      <c r="F2881" t="inlineStr">
        <is>
          <t>DILM150-XHIC22</t>
        </is>
      </c>
      <c r="G2881" t="inlineStr">
        <is>
          <t>HILFSKONTAKTBLOCK</t>
        </is>
      </c>
      <c r="H2881" t="inlineStr">
        <is>
          <t>2S 2OE ab DILMC40</t>
        </is>
      </c>
      <c r="I2881">
        <v>484</v>
      </c>
      <c r="J2881">
        <f>GS97/17.3.6</f>
        <v>0</v>
      </c>
      <c r="K2881" t="inlineStr">
        <is>
          <t>DIL MC50</t>
        </is>
      </c>
      <c r="M2881" t="inlineStr">
        <is>
          <t>-17.3Q3</t>
        </is>
      </c>
    </row>
    <row r="2882">
      <c r="A2882">
        <v>2881</v>
      </c>
      <c r="B2882">
        <f>GS97</f>
        <v>0</v>
      </c>
      <c r="C2882" t="inlineStr">
        <is>
          <t>+ES01</t>
        </is>
      </c>
      <c r="D2882" t="inlineStr">
        <is>
          <t>-17.3Q3</t>
        </is>
      </c>
      <c r="E2882" t="inlineStr">
        <is>
          <t>DILMC50(RDC24)</t>
        </is>
      </c>
      <c r="F2882" t="inlineStr">
        <is>
          <t>DILM150-XHIC22</t>
        </is>
      </c>
      <c r="G2882" t="inlineStr">
        <is>
          <t>LASTSCHUETZ</t>
        </is>
      </c>
      <c r="H2882" t="inlineStr">
        <is>
          <t>22kW Federzugkl.</t>
        </is>
      </c>
      <c r="I2882">
        <v>484</v>
      </c>
      <c r="J2882">
        <f>GS97/17.3.6</f>
        <v>0</v>
      </c>
      <c r="K2882" t="inlineStr">
        <is>
          <t>DIL MC50</t>
        </is>
      </c>
      <c r="M2882" t="inlineStr">
        <is>
          <t>-17.3Q3</t>
        </is>
      </c>
    </row>
    <row r="2883">
      <c r="A2883">
        <v>2882</v>
      </c>
      <c r="B2883">
        <f>GS90</f>
        <v>0</v>
      </c>
      <c r="C2883" t="inlineStr">
        <is>
          <t>+LS19</t>
        </is>
      </c>
      <c r="D2883" t="inlineStr">
        <is>
          <t>-1705K1315.0</t>
        </is>
      </c>
      <c r="E2883" t="inlineStr">
        <is>
          <t>DILA-40</t>
        </is>
      </c>
      <c r="F2883" t="inlineStr">
        <is>
          <t>#KALK!</t>
        </is>
      </c>
      <c r="G2883" t="inlineStr">
        <is>
          <t>HILFSSCHUETZ</t>
        </is>
      </c>
      <c r="H2883" t="inlineStr">
        <is>
          <t>4S Federzugkl.</t>
        </is>
      </c>
      <c r="I2883">
        <v>2442</v>
      </c>
      <c r="J2883">
        <f>GS90/1705.7</f>
        <v>0</v>
      </c>
      <c r="M2883" t="inlineStr">
        <is>
          <t>-1705K1315.0</t>
        </is>
      </c>
    </row>
    <row r="2884">
      <c r="A2884">
        <v>2883</v>
      </c>
      <c r="B2884">
        <f>GS06</f>
        <v>0</v>
      </c>
      <c r="C2884" t="inlineStr">
        <is>
          <t>+LS22</t>
        </is>
      </c>
      <c r="D2884" t="inlineStr">
        <is>
          <t>-1705Q1</t>
        </is>
      </c>
      <c r="E2884" t="inlineStr">
        <is>
          <t>DILA-XHI22</t>
        </is>
      </c>
      <c r="F2884" t="inlineStr">
        <is>
          <t>DILA-XHI22</t>
        </is>
      </c>
      <c r="G2884" t="inlineStr">
        <is>
          <t>HILFSKONTAKTBLOCK</t>
        </is>
      </c>
      <c r="H2884" t="inlineStr">
        <is>
          <t>2S 2OE Last+Hilfssch. Cage</t>
        </is>
      </c>
      <c r="I2884">
        <v>5080</v>
      </c>
      <c r="J2884">
        <f>GS06/1705.6</f>
        <v>0</v>
      </c>
      <c r="K2884" t="inlineStr">
        <is>
          <t>DIL MC25</t>
        </is>
      </c>
      <c r="M2884" t="inlineStr">
        <is>
          <t>-1705Q1</t>
        </is>
      </c>
    </row>
    <row r="2885">
      <c r="A2885">
        <v>2884</v>
      </c>
      <c r="B2885">
        <f>GS06</f>
        <v>0</v>
      </c>
      <c r="C2885" t="inlineStr">
        <is>
          <t>+LS22</t>
        </is>
      </c>
      <c r="D2885" t="inlineStr">
        <is>
          <t>-1705Q1</t>
        </is>
      </c>
      <c r="E2885" t="inlineStr">
        <is>
          <t>DILMC25-10(RDC24)</t>
        </is>
      </c>
      <c r="F2885" t="inlineStr">
        <is>
          <t>DILA-XHI22</t>
        </is>
      </c>
      <c r="G2885" t="inlineStr">
        <is>
          <t>LASTSCHUETZ</t>
        </is>
      </c>
      <c r="H2885" t="inlineStr">
        <is>
          <t>11kW 1S Federzugkl.</t>
        </is>
      </c>
      <c r="I2885">
        <v>5080</v>
      </c>
      <c r="J2885">
        <f>GS06/1705.6</f>
        <v>0</v>
      </c>
      <c r="K2885" t="inlineStr">
        <is>
          <t>DIL MC25</t>
        </is>
      </c>
      <c r="M2885" t="inlineStr">
        <is>
          <t>-1705Q1</t>
        </is>
      </c>
    </row>
    <row r="2886">
      <c r="A2886">
        <v>2885</v>
      </c>
      <c r="B2886">
        <f>GS55</f>
        <v>0</v>
      </c>
      <c r="C2886" t="inlineStr">
        <is>
          <t>+LS28</t>
        </is>
      </c>
      <c r="D2886" t="inlineStr">
        <is>
          <t>-1705Q1</t>
        </is>
      </c>
      <c r="E2886" t="inlineStr">
        <is>
          <t>DILA-XHI22</t>
        </is>
      </c>
      <c r="F2886" t="inlineStr">
        <is>
          <t>DILA-XHI22</t>
        </is>
      </c>
      <c r="G2886" t="inlineStr">
        <is>
          <t>HILFSKONTAKTBLOCK</t>
        </is>
      </c>
      <c r="H2886" t="inlineStr">
        <is>
          <t>2S 2OE Last+Hilfssch. Cage</t>
        </is>
      </c>
      <c r="I2886">
        <v>1898</v>
      </c>
      <c r="J2886">
        <f>GS55/1705.6</f>
        <v>0</v>
      </c>
      <c r="K2886" t="inlineStr">
        <is>
          <t>DIL MC25</t>
        </is>
      </c>
      <c r="M2886" t="inlineStr">
        <is>
          <t>-1705Q1</t>
        </is>
      </c>
    </row>
    <row r="2887">
      <c r="A2887">
        <v>2886</v>
      </c>
      <c r="B2887">
        <f>GS55</f>
        <v>0</v>
      </c>
      <c r="C2887" t="inlineStr">
        <is>
          <t>+LS28</t>
        </is>
      </c>
      <c r="D2887" t="inlineStr">
        <is>
          <t>-1705Q1</t>
        </is>
      </c>
      <c r="E2887" t="inlineStr">
        <is>
          <t>DILMC25-10(RDC24)</t>
        </is>
      </c>
      <c r="F2887" t="inlineStr">
        <is>
          <t>DILA-XHI22</t>
        </is>
      </c>
      <c r="G2887" t="inlineStr">
        <is>
          <t>LASTSCHUETZ</t>
        </is>
      </c>
      <c r="H2887" t="inlineStr">
        <is>
          <t>11kW 1S Federzugkl.</t>
        </is>
      </c>
      <c r="I2887">
        <v>1898</v>
      </c>
      <c r="J2887">
        <f>GS55/1705.6</f>
        <v>0</v>
      </c>
      <c r="K2887" t="inlineStr">
        <is>
          <t>DIL MC25</t>
        </is>
      </c>
      <c r="M2887" t="inlineStr">
        <is>
          <t>-1705Q1</t>
        </is>
      </c>
    </row>
    <row r="2888">
      <c r="A2888">
        <v>2887</v>
      </c>
      <c r="B2888">
        <f>GS90</f>
        <v>0</v>
      </c>
      <c r="C2888" t="inlineStr">
        <is>
          <t>+LS19</t>
        </is>
      </c>
      <c r="D2888" t="inlineStr">
        <is>
          <t>-1705Q1</t>
        </is>
      </c>
      <c r="E2888" t="inlineStr">
        <is>
          <t>DILMC25-10(RDC24)</t>
        </is>
      </c>
      <c r="F2888" t="inlineStr">
        <is>
          <t>DILA-XHI22</t>
        </is>
      </c>
      <c r="G2888" t="inlineStr">
        <is>
          <t>LASTSCHUETZ</t>
        </is>
      </c>
      <c r="H2888" t="inlineStr">
        <is>
          <t>11kW 1S Federzugkl.</t>
        </is>
      </c>
      <c r="I2888">
        <v>2442</v>
      </c>
      <c r="J2888">
        <f>GS90/1705.4</f>
        <v>0</v>
      </c>
      <c r="K2888" t="inlineStr">
        <is>
          <t>DIL MC25</t>
        </is>
      </c>
      <c r="M2888" t="inlineStr">
        <is>
          <t>-1705Q1</t>
        </is>
      </c>
    </row>
    <row r="2889">
      <c r="A2889">
        <v>2888</v>
      </c>
      <c r="B2889">
        <f>GS90</f>
        <v>0</v>
      </c>
      <c r="C2889" t="inlineStr">
        <is>
          <t>+LS19</t>
        </is>
      </c>
      <c r="D2889" t="inlineStr">
        <is>
          <t>-1705Q1</t>
        </is>
      </c>
      <c r="E2889" t="inlineStr">
        <is>
          <t>DILA-XHI22</t>
        </is>
      </c>
      <c r="F2889" t="inlineStr">
        <is>
          <t>DILA-XHI22</t>
        </is>
      </c>
      <c r="G2889" t="inlineStr">
        <is>
          <t>HILFSKONTAKTBLOCK</t>
        </is>
      </c>
      <c r="H2889" t="inlineStr">
        <is>
          <t>2S 2OE Last+Hilfssch. Cage</t>
        </is>
      </c>
      <c r="I2889">
        <v>2442</v>
      </c>
      <c r="J2889">
        <f>GS90/1705.4</f>
        <v>0</v>
      </c>
      <c r="K2889" t="inlineStr">
        <is>
          <t>DIL MC25</t>
        </is>
      </c>
      <c r="M2889" t="inlineStr">
        <is>
          <t>-1705Q1</t>
        </is>
      </c>
    </row>
    <row r="2890">
      <c r="A2890">
        <v>2889</v>
      </c>
      <c r="B2890">
        <f>GS90</f>
        <v>0</v>
      </c>
      <c r="C2890" t="inlineStr">
        <is>
          <t>+LS19</t>
        </is>
      </c>
      <c r="D2890" t="inlineStr">
        <is>
          <t>-1706Q1315.1</t>
        </is>
      </c>
      <c r="E2890" t="inlineStr">
        <is>
          <t>DILM-9-10</t>
        </is>
      </c>
      <c r="F2890" t="inlineStr">
        <is>
          <t>#KALK!</t>
        </is>
      </c>
      <c r="G2890" t="inlineStr">
        <is>
          <t>LASTSCHUETZ</t>
        </is>
      </c>
      <c r="H2890" t="inlineStr">
        <is>
          <t>4kW 1S Federzugkl.</t>
        </is>
      </c>
      <c r="I2890">
        <v>2441</v>
      </c>
      <c r="J2890">
        <f>GS90/1706.5</f>
        <v>0</v>
      </c>
      <c r="M2890" t="inlineStr">
        <is>
          <t>-1706Q1315.1</t>
        </is>
      </c>
    </row>
    <row r="2891">
      <c r="A2891">
        <v>2890</v>
      </c>
      <c r="B2891">
        <f>GS90</f>
        <v>0</v>
      </c>
      <c r="C2891" t="inlineStr">
        <is>
          <t>+LS19</t>
        </is>
      </c>
      <c r="D2891" t="inlineStr">
        <is>
          <t>-1707Q1315.2</t>
        </is>
      </c>
      <c r="E2891" t="inlineStr">
        <is>
          <t>DILM-9-10</t>
        </is>
      </c>
      <c r="F2891" t="inlineStr">
        <is>
          <t>#KALK!</t>
        </is>
      </c>
      <c r="G2891" t="inlineStr">
        <is>
          <t>LASTSCHUETZ</t>
        </is>
      </c>
      <c r="H2891" t="inlineStr">
        <is>
          <t>4kW 1S Federzugkl.</t>
        </is>
      </c>
      <c r="I2891">
        <v>2440</v>
      </c>
      <c r="J2891">
        <f>GS90/1707.5</f>
        <v>0</v>
      </c>
      <c r="M2891" t="inlineStr">
        <is>
          <t>-1707Q1315.2</t>
        </is>
      </c>
    </row>
    <row r="2892">
      <c r="A2892">
        <v>2891</v>
      </c>
      <c r="B2892">
        <f>GS55</f>
        <v>0</v>
      </c>
      <c r="C2892" t="inlineStr">
        <is>
          <t>+LS28</t>
        </is>
      </c>
      <c r="D2892" t="inlineStr">
        <is>
          <t>-1708Q1013.1</t>
        </is>
      </c>
      <c r="E2892" t="inlineStr">
        <is>
          <t>DILM-9-10</t>
        </is>
      </c>
      <c r="F2892" t="inlineStr">
        <is>
          <t>#KALK!</t>
        </is>
      </c>
      <c r="G2892" t="inlineStr">
        <is>
          <t>LASTSCHUETZ</t>
        </is>
      </c>
      <c r="H2892" t="inlineStr">
        <is>
          <t>4kW 1S Federzugkl.</t>
        </is>
      </c>
      <c r="I2892">
        <v>1901</v>
      </c>
      <c r="J2892">
        <f>GS55/1708.6</f>
        <v>0</v>
      </c>
      <c r="K2892" t="inlineStr">
        <is>
          <t>DIL MC9</t>
        </is>
      </c>
      <c r="M2892" t="inlineStr">
        <is>
          <t>-1708Q1013.1</t>
        </is>
      </c>
    </row>
    <row r="2893">
      <c r="A2893">
        <v>2892</v>
      </c>
      <c r="B2893">
        <f>GS55</f>
        <v>0</v>
      </c>
      <c r="C2893" t="inlineStr">
        <is>
          <t>+LS28</t>
        </is>
      </c>
      <c r="D2893" t="inlineStr">
        <is>
          <t>-1709Q1013.2</t>
        </is>
      </c>
      <c r="E2893" t="inlineStr">
        <is>
          <t>DILM-9-10</t>
        </is>
      </c>
      <c r="F2893" t="inlineStr">
        <is>
          <t>#KALK!</t>
        </is>
      </c>
      <c r="G2893" t="inlineStr">
        <is>
          <t>LASTSCHUETZ</t>
        </is>
      </c>
      <c r="H2893" t="inlineStr">
        <is>
          <t>4kW 1S Federzugkl.</t>
        </is>
      </c>
      <c r="I2893">
        <v>1902</v>
      </c>
      <c r="J2893">
        <f>GS55/1709.6</f>
        <v>0</v>
      </c>
      <c r="K2893" t="inlineStr">
        <is>
          <t>DIL MC9</t>
        </is>
      </c>
      <c r="M2893" t="inlineStr">
        <is>
          <t>-1709Q1013.2</t>
        </is>
      </c>
    </row>
    <row r="2894">
      <c r="A2894">
        <v>2893</v>
      </c>
      <c r="B2894">
        <f>GS02</f>
        <v>0</v>
      </c>
      <c r="C2894" t="inlineStr">
        <is>
          <t>+LS2</t>
        </is>
      </c>
      <c r="D2894" t="inlineStr">
        <is>
          <t>-170K1</t>
        </is>
      </c>
      <c r="E2894" t="inlineStr">
        <is>
          <t>22_DIL-M</t>
        </is>
      </c>
      <c r="F2894" t="inlineStr">
        <is>
          <t>22_DIL-M</t>
        </is>
      </c>
      <c r="G2894" t="inlineStr">
        <is>
          <t>HILFSKONTAKTBLOCK</t>
        </is>
      </c>
      <c r="H2894" t="inlineStr">
        <is>
          <t>2S 2OE Lastschuetz DIL M</t>
        </is>
      </c>
      <c r="I2894">
        <v>571</v>
      </c>
      <c r="J2894">
        <f>GS02/170.2</f>
        <v>0</v>
      </c>
      <c r="K2894" t="inlineStr">
        <is>
          <t>DIL0AM</t>
        </is>
      </c>
      <c r="M2894" t="inlineStr">
        <is>
          <t>-170K1</t>
        </is>
      </c>
    </row>
    <row r="2895">
      <c r="A2895">
        <v>2894</v>
      </c>
      <c r="B2895">
        <f>GS02</f>
        <v>0</v>
      </c>
      <c r="C2895" t="inlineStr">
        <is>
          <t>+LS2</t>
        </is>
      </c>
      <c r="D2895" t="inlineStr">
        <is>
          <t>-170K1</t>
        </is>
      </c>
      <c r="E2895" t="inlineStr">
        <is>
          <t>DIL_0AM</t>
        </is>
      </c>
      <c r="F2895" t="inlineStr">
        <is>
          <t>22_DIL-M</t>
        </is>
      </c>
      <c r="G2895" t="inlineStr">
        <is>
          <t>LASTSCHUETZ</t>
        </is>
      </c>
      <c r="H2895" t="inlineStr">
        <is>
          <t>11 kW</t>
        </is>
      </c>
      <c r="I2895">
        <v>571</v>
      </c>
      <c r="J2895">
        <f>GS02/170.2</f>
        <v>0</v>
      </c>
      <c r="K2895" t="inlineStr">
        <is>
          <t>DIL0AM</t>
        </is>
      </c>
      <c r="M2895" t="inlineStr">
        <is>
          <t>-170K1</t>
        </is>
      </c>
    </row>
    <row r="2896">
      <c r="A2896">
        <v>2895</v>
      </c>
      <c r="B2896">
        <f>GS15</f>
        <v>0</v>
      </c>
      <c r="C2896" t="inlineStr">
        <is>
          <t>+LS3</t>
        </is>
      </c>
      <c r="D2896" t="inlineStr">
        <is>
          <t>-170K1</t>
        </is>
      </c>
      <c r="E2896" t="inlineStr">
        <is>
          <t>22_DIL-M</t>
        </is>
      </c>
      <c r="F2896" t="inlineStr">
        <is>
          <t>22_DIL-M</t>
        </is>
      </c>
      <c r="G2896" t="inlineStr">
        <is>
          <t>HILFSKONTAKTBLOCK</t>
        </is>
      </c>
      <c r="H2896" t="inlineStr">
        <is>
          <t>2S 2OE Lastschuetz DIL M</t>
        </is>
      </c>
      <c r="I2896">
        <v>662</v>
      </c>
      <c r="J2896">
        <f>GS15/170.2</f>
        <v>0</v>
      </c>
      <c r="K2896" t="inlineStr">
        <is>
          <t>DIL0AM</t>
        </is>
      </c>
      <c r="M2896" t="inlineStr">
        <is>
          <t>-170K1</t>
        </is>
      </c>
    </row>
    <row r="2897">
      <c r="A2897">
        <v>2896</v>
      </c>
      <c r="B2897">
        <f>GS15</f>
        <v>0</v>
      </c>
      <c r="C2897" t="inlineStr">
        <is>
          <t>+LS3</t>
        </is>
      </c>
      <c r="D2897" t="inlineStr">
        <is>
          <t>-170K1</t>
        </is>
      </c>
      <c r="E2897" t="inlineStr">
        <is>
          <t>DIL_0AM</t>
        </is>
      </c>
      <c r="F2897" t="inlineStr">
        <is>
          <t>22_DIL-M</t>
        </is>
      </c>
      <c r="G2897" t="inlineStr">
        <is>
          <t>LASTSCHUETZ</t>
        </is>
      </c>
      <c r="H2897" t="inlineStr">
        <is>
          <t>11 kW</t>
        </is>
      </c>
      <c r="I2897">
        <v>662</v>
      </c>
      <c r="J2897">
        <f>GS15/170.2</f>
        <v>0</v>
      </c>
      <c r="K2897" t="inlineStr">
        <is>
          <t>DIL0AM</t>
        </is>
      </c>
      <c r="M2897" t="inlineStr">
        <is>
          <t>-170K1</t>
        </is>
      </c>
    </row>
    <row r="2898">
      <c r="A2898">
        <v>2897</v>
      </c>
      <c r="B2898">
        <f>GS16</f>
        <v>0</v>
      </c>
      <c r="C2898" t="inlineStr">
        <is>
          <t>+LS3</t>
        </is>
      </c>
      <c r="D2898" t="inlineStr">
        <is>
          <t>-170K1</t>
        </is>
      </c>
      <c r="E2898" t="inlineStr">
        <is>
          <t>DIL_2AM</t>
        </is>
      </c>
      <c r="F2898" t="inlineStr">
        <is>
          <t>22_DIL-M</t>
        </is>
      </c>
      <c r="G2898" t="inlineStr">
        <is>
          <t>LASTSCHUETZ</t>
        </is>
      </c>
      <c r="H2898" t="inlineStr">
        <is>
          <t>30 kW</t>
        </is>
      </c>
      <c r="I2898">
        <v>392</v>
      </c>
      <c r="J2898">
        <f>GS16/170.2</f>
        <v>0</v>
      </c>
      <c r="K2898" t="inlineStr">
        <is>
          <t>DIL2AM</t>
        </is>
      </c>
      <c r="M2898" t="inlineStr">
        <is>
          <t>-170K1</t>
        </is>
      </c>
    </row>
    <row r="2899">
      <c r="A2899">
        <v>2898</v>
      </c>
      <c r="B2899">
        <f>GS16</f>
        <v>0</v>
      </c>
      <c r="C2899" t="inlineStr">
        <is>
          <t>+LS3</t>
        </is>
      </c>
      <c r="D2899" t="inlineStr">
        <is>
          <t>-170K1</t>
        </is>
      </c>
      <c r="E2899" t="inlineStr">
        <is>
          <t>22_DIL-M</t>
        </is>
      </c>
      <c r="F2899" t="inlineStr">
        <is>
          <t>22_DIL-M</t>
        </is>
      </c>
      <c r="G2899" t="inlineStr">
        <is>
          <t>HILFSKONTAKTBLOCK</t>
        </is>
      </c>
      <c r="H2899" t="inlineStr">
        <is>
          <t>2S 2OE Lastschuetz DIL M</t>
        </is>
      </c>
      <c r="I2899">
        <v>392</v>
      </c>
      <c r="J2899">
        <f>GS16/170.2</f>
        <v>0</v>
      </c>
      <c r="K2899" t="inlineStr">
        <is>
          <t>DIL2AM</t>
        </is>
      </c>
      <c r="M2899" t="inlineStr">
        <is>
          <t>-170K1</t>
        </is>
      </c>
    </row>
    <row r="2900">
      <c r="A2900">
        <v>2899</v>
      </c>
      <c r="B2900">
        <f>GS31</f>
        <v>0</v>
      </c>
      <c r="C2900" t="inlineStr">
        <is>
          <t>+LS2</t>
        </is>
      </c>
      <c r="D2900" t="inlineStr">
        <is>
          <t>-170K1</t>
        </is>
      </c>
      <c r="E2900" t="inlineStr">
        <is>
          <t>DILM-9-10</t>
        </is>
      </c>
      <c r="F2900" t="inlineStr">
        <is>
          <t>DILA-XHI22</t>
        </is>
      </c>
      <c r="G2900" t="inlineStr">
        <is>
          <t>LASTSCHUETZ</t>
        </is>
      </c>
      <c r="H2900" t="inlineStr">
        <is>
          <t>4kW 1S Federzugkl.</t>
        </is>
      </c>
      <c r="I2900">
        <v>454</v>
      </c>
      <c r="J2900">
        <f>GS31/170.5</f>
        <v>0</v>
      </c>
      <c r="M2900" t="inlineStr">
        <is>
          <t>-170K1</t>
        </is>
      </c>
    </row>
    <row r="2901">
      <c r="A2901">
        <v>2900</v>
      </c>
      <c r="B2901">
        <f>GS31</f>
        <v>0</v>
      </c>
      <c r="C2901" t="inlineStr">
        <is>
          <t>+LS2</t>
        </is>
      </c>
      <c r="D2901" t="inlineStr">
        <is>
          <t>-170K1</t>
        </is>
      </c>
      <c r="E2901" t="inlineStr">
        <is>
          <t>DILA-XHI22</t>
        </is>
      </c>
      <c r="F2901" t="inlineStr">
        <is>
          <t>DILA-XHI22</t>
        </is>
      </c>
      <c r="G2901" t="inlineStr">
        <is>
          <t>HILFSKONTAKTBLOCK</t>
        </is>
      </c>
      <c r="H2901" t="inlineStr">
        <is>
          <t>2S 2OE Last+Hilfssch. Cage</t>
        </is>
      </c>
      <c r="I2901">
        <v>454</v>
      </c>
      <c r="J2901">
        <f>GS31/170.5</f>
        <v>0</v>
      </c>
      <c r="M2901" t="inlineStr">
        <is>
          <t>-170K1</t>
        </is>
      </c>
    </row>
    <row r="2902">
      <c r="A2902">
        <v>2901</v>
      </c>
      <c r="B2902">
        <f>GS34</f>
        <v>0</v>
      </c>
      <c r="C2902" t="inlineStr">
        <is>
          <t>+LS3</t>
        </is>
      </c>
      <c r="D2902" t="inlineStr">
        <is>
          <t>-170K1</t>
        </is>
      </c>
      <c r="E2902" t="inlineStr">
        <is>
          <t>DIL_0AM</t>
        </is>
      </c>
      <c r="F2902" t="inlineStr">
        <is>
          <t>22_DIL-M</t>
        </is>
      </c>
      <c r="G2902" t="inlineStr">
        <is>
          <t>LASTSCHUETZ</t>
        </is>
      </c>
      <c r="H2902" t="inlineStr">
        <is>
          <t>11 kW</t>
        </is>
      </c>
      <c r="I2902">
        <v>294</v>
      </c>
      <c r="J2902">
        <f>GS34/170.2</f>
        <v>0</v>
      </c>
      <c r="K2902" t="inlineStr">
        <is>
          <t>DIL0AM</t>
        </is>
      </c>
      <c r="M2902" t="inlineStr">
        <is>
          <t>-170K1</t>
        </is>
      </c>
    </row>
    <row r="2903">
      <c r="A2903">
        <v>2902</v>
      </c>
      <c r="B2903">
        <f>GS34</f>
        <v>0</v>
      </c>
      <c r="C2903" t="inlineStr">
        <is>
          <t>+LS3</t>
        </is>
      </c>
      <c r="D2903" t="inlineStr">
        <is>
          <t>-170K1</t>
        </is>
      </c>
      <c r="E2903" t="inlineStr">
        <is>
          <t>22_DIL-M</t>
        </is>
      </c>
      <c r="F2903" t="inlineStr">
        <is>
          <t>22_DIL-M</t>
        </is>
      </c>
      <c r="G2903" t="inlineStr">
        <is>
          <t>HILFSKONTAKTBLOCK</t>
        </is>
      </c>
      <c r="H2903" t="inlineStr">
        <is>
          <t>2S 2OE Lastschuetz DIL M</t>
        </is>
      </c>
      <c r="I2903">
        <v>294</v>
      </c>
      <c r="J2903">
        <f>GS34/170.2</f>
        <v>0</v>
      </c>
      <c r="K2903" t="inlineStr">
        <is>
          <t>DIL0AM</t>
        </is>
      </c>
      <c r="M2903" t="inlineStr">
        <is>
          <t>-170K1</t>
        </is>
      </c>
    </row>
    <row r="2904">
      <c r="A2904">
        <v>2903</v>
      </c>
      <c r="B2904">
        <f>GS38</f>
        <v>0</v>
      </c>
      <c r="C2904" t="inlineStr">
        <is>
          <t>+LS02</t>
        </is>
      </c>
      <c r="D2904" t="inlineStr">
        <is>
          <t>-170K1</t>
        </is>
      </c>
      <c r="E2904" t="inlineStr">
        <is>
          <t>DILM-9-10</t>
        </is>
      </c>
      <c r="F2904" t="inlineStr">
        <is>
          <t>DILA-XHI22</t>
        </is>
      </c>
      <c r="G2904" t="inlineStr">
        <is>
          <t>LASTSCHUETZ</t>
        </is>
      </c>
      <c r="H2904" t="inlineStr">
        <is>
          <t>4kW 1S Federzugkl.</t>
        </is>
      </c>
      <c r="I2904">
        <v>302</v>
      </c>
      <c r="J2904">
        <f>GS38/170.5</f>
        <v>0</v>
      </c>
      <c r="M2904" t="inlineStr">
        <is>
          <t>-170K1</t>
        </is>
      </c>
    </row>
    <row r="2905">
      <c r="A2905">
        <v>2904</v>
      </c>
      <c r="B2905">
        <f>GS38</f>
        <v>0</v>
      </c>
      <c r="C2905" t="inlineStr">
        <is>
          <t>+LS02</t>
        </is>
      </c>
      <c r="D2905" t="inlineStr">
        <is>
          <t>-170K1</t>
        </is>
      </c>
      <c r="E2905" t="inlineStr">
        <is>
          <t>DILA-XHI22</t>
        </is>
      </c>
      <c r="F2905" t="inlineStr">
        <is>
          <t>DILA-XHI22</t>
        </is>
      </c>
      <c r="G2905" t="inlineStr">
        <is>
          <t>HILFSKONTAKTBLOCK</t>
        </is>
      </c>
      <c r="H2905" t="inlineStr">
        <is>
          <t>2S 2OE Last+Hilfssch. Cage</t>
        </is>
      </c>
      <c r="I2905">
        <v>302</v>
      </c>
      <c r="J2905">
        <f>GS38/170.5</f>
        <v>0</v>
      </c>
      <c r="M2905" t="inlineStr">
        <is>
          <t>-170K1</t>
        </is>
      </c>
    </row>
    <row r="2906">
      <c r="A2906">
        <v>2905</v>
      </c>
      <c r="B2906">
        <f>GS39</f>
        <v>0</v>
      </c>
      <c r="C2906" t="inlineStr">
        <is>
          <t>+LS02</t>
        </is>
      </c>
      <c r="D2906" t="inlineStr">
        <is>
          <t>-170K1</t>
        </is>
      </c>
      <c r="E2906" t="inlineStr">
        <is>
          <t>DILM-9-10</t>
        </is>
      </c>
      <c r="F2906" t="inlineStr">
        <is>
          <t>DILA-XHI22</t>
        </is>
      </c>
      <c r="G2906" t="inlineStr">
        <is>
          <t>LASTSCHUETZ</t>
        </is>
      </c>
      <c r="H2906" t="inlineStr">
        <is>
          <t>4kW 1S Federzugkl.</t>
        </is>
      </c>
      <c r="I2906">
        <v>363</v>
      </c>
      <c r="J2906">
        <f>GS39/170.5</f>
        <v>0</v>
      </c>
      <c r="M2906" t="inlineStr">
        <is>
          <t>-170K1</t>
        </is>
      </c>
    </row>
    <row r="2907">
      <c r="A2907">
        <v>2906</v>
      </c>
      <c r="B2907">
        <f>GS39</f>
        <v>0</v>
      </c>
      <c r="C2907" t="inlineStr">
        <is>
          <t>+LS02</t>
        </is>
      </c>
      <c r="D2907" t="inlineStr">
        <is>
          <t>-170K1</t>
        </is>
      </c>
      <c r="E2907" t="inlineStr">
        <is>
          <t>DILA-XHI22</t>
        </is>
      </c>
      <c r="F2907" t="inlineStr">
        <is>
          <t>DILA-XHI22</t>
        </is>
      </c>
      <c r="G2907" t="inlineStr">
        <is>
          <t>HILFSKONTAKTBLOCK</t>
        </is>
      </c>
      <c r="H2907" t="inlineStr">
        <is>
          <t>2S 2OE Last+Hilfssch. Cage</t>
        </is>
      </c>
      <c r="I2907">
        <v>363</v>
      </c>
      <c r="J2907">
        <f>GS39/170.5</f>
        <v>0</v>
      </c>
      <c r="M2907" t="inlineStr">
        <is>
          <t>-170K1</t>
        </is>
      </c>
    </row>
    <row r="2908">
      <c r="A2908">
        <v>2907</v>
      </c>
      <c r="B2908">
        <f>GS20</f>
        <v>0</v>
      </c>
      <c r="C2908" t="inlineStr">
        <is>
          <t>+LS02</t>
        </is>
      </c>
      <c r="D2908" t="inlineStr">
        <is>
          <t>-170K114.4</t>
        </is>
      </c>
      <c r="E2908" t="inlineStr">
        <is>
          <t>DILA-40</t>
        </is>
      </c>
      <c r="F2908" t="inlineStr">
        <is>
          <t>#KALK!</t>
        </is>
      </c>
      <c r="G2908" t="inlineStr">
        <is>
          <t>HILFSSCHUETZ</t>
        </is>
      </c>
      <c r="H2908" t="inlineStr">
        <is>
          <t>4S Federzugkl.</t>
        </is>
      </c>
      <c r="I2908">
        <v>1046</v>
      </c>
      <c r="J2908">
        <f>GS20/170.7</f>
        <v>0</v>
      </c>
      <c r="M2908" t="inlineStr">
        <is>
          <t>-170K114.4</t>
        </is>
      </c>
    </row>
    <row r="2909">
      <c r="A2909">
        <v>2908</v>
      </c>
      <c r="B2909">
        <f>GS92</f>
        <v>0</v>
      </c>
      <c r="C2909" t="inlineStr">
        <is>
          <t>+LS02</t>
        </is>
      </c>
      <c r="D2909" t="inlineStr">
        <is>
          <t>-170K162.0</t>
        </is>
      </c>
      <c r="E2909" t="inlineStr">
        <is>
          <t>DILA-40</t>
        </is>
      </c>
      <c r="F2909" t="inlineStr">
        <is>
          <t>#KALK!</t>
        </is>
      </c>
      <c r="G2909" t="inlineStr">
        <is>
          <t>HILFSSCHUETZ</t>
        </is>
      </c>
      <c r="H2909" t="inlineStr">
        <is>
          <t>4S Federzugkl.</t>
        </is>
      </c>
      <c r="I2909">
        <v>316</v>
      </c>
      <c r="J2909">
        <f>GS92/170.7</f>
        <v>0</v>
      </c>
      <c r="M2909" t="inlineStr">
        <is>
          <t>-170K162.0</t>
        </is>
      </c>
    </row>
    <row r="2910">
      <c r="A2910">
        <v>2909</v>
      </c>
      <c r="B2910">
        <f>GS93</f>
        <v>0</v>
      </c>
      <c r="C2910" t="inlineStr">
        <is>
          <t>+LS02</t>
        </is>
      </c>
      <c r="D2910" t="inlineStr">
        <is>
          <t>-170K162.0</t>
        </is>
      </c>
      <c r="E2910" t="inlineStr">
        <is>
          <t>DILA-40</t>
        </is>
      </c>
      <c r="F2910" t="inlineStr">
        <is>
          <t>#KALK!</t>
        </is>
      </c>
      <c r="G2910" t="inlineStr">
        <is>
          <t>HILFSSCHUETZ</t>
        </is>
      </c>
      <c r="H2910" t="inlineStr">
        <is>
          <t>4S Federzugkl.</t>
        </is>
      </c>
      <c r="I2910">
        <v>729</v>
      </c>
      <c r="J2910">
        <f>GS93/170.7</f>
        <v>0</v>
      </c>
      <c r="M2910" t="inlineStr">
        <is>
          <t>-170K162.0</t>
        </is>
      </c>
    </row>
    <row r="2911">
      <c r="A2911">
        <v>2910</v>
      </c>
      <c r="B2911">
        <f>GC22</f>
        <v>0</v>
      </c>
      <c r="C2911" t="inlineStr">
        <is>
          <t>+LS2</t>
        </is>
      </c>
      <c r="D2911" t="inlineStr">
        <is>
          <t>-170K18.4</t>
        </is>
      </c>
      <c r="E2911" t="inlineStr">
        <is>
          <t>DILM-9-01</t>
        </is>
      </c>
      <c r="F2911" t="inlineStr">
        <is>
          <t>#KALK!</t>
        </is>
      </c>
      <c r="G2911" t="inlineStr">
        <is>
          <t>LASTSCHUETZ</t>
        </is>
      </c>
      <c r="H2911" t="inlineStr">
        <is>
          <t>4kW 1Oe Federzugkl.</t>
        </is>
      </c>
      <c r="I2911">
        <v>677</v>
      </c>
      <c r="J2911">
        <f>GC22/170.6</f>
        <v>0</v>
      </c>
      <c r="M2911" t="inlineStr">
        <is>
          <t>-170K18.4</t>
        </is>
      </c>
    </row>
    <row r="2912">
      <c r="A2912">
        <v>2911</v>
      </c>
      <c r="B2912">
        <f>GS12</f>
        <v>0</v>
      </c>
      <c r="C2912" t="inlineStr">
        <is>
          <t>+LS2</t>
        </is>
      </c>
      <c r="D2912" t="inlineStr">
        <is>
          <t>-170K18.4</t>
        </is>
      </c>
      <c r="E2912" t="inlineStr">
        <is>
          <t>DILM-9-01</t>
        </is>
      </c>
      <c r="F2912" t="inlineStr">
        <is>
          <t>#KALK!</t>
        </is>
      </c>
      <c r="G2912" t="inlineStr">
        <is>
          <t>LASTSCHUETZ</t>
        </is>
      </c>
      <c r="H2912" t="inlineStr">
        <is>
          <t>4kW 1Oe Federzugkl.</t>
        </is>
      </c>
      <c r="I2912">
        <v>302</v>
      </c>
      <c r="J2912">
        <f>GS12/170.6</f>
        <v>0</v>
      </c>
      <c r="M2912" t="inlineStr">
        <is>
          <t>-170K18.4</t>
        </is>
      </c>
    </row>
    <row r="2913">
      <c r="A2913">
        <v>2912</v>
      </c>
      <c r="B2913">
        <f>GC22</f>
        <v>0</v>
      </c>
      <c r="C2913" t="inlineStr">
        <is>
          <t>+LS2</t>
        </is>
      </c>
      <c r="D2913" t="inlineStr">
        <is>
          <t>-170K18.5</t>
        </is>
      </c>
      <c r="E2913" t="inlineStr">
        <is>
          <t>DIL_EM-10-G</t>
        </is>
      </c>
      <c r="F2913" t="inlineStr">
        <is>
          <t>#KALK!</t>
        </is>
      </c>
      <c r="G2913" t="inlineStr">
        <is>
          <t>LASTSCHUETZ</t>
        </is>
      </c>
      <c r="H2913" t="inlineStr">
        <is>
          <t>4kW 1S</t>
        </is>
      </c>
      <c r="I2913">
        <v>677</v>
      </c>
      <c r="J2913">
        <f>GC22/170.7</f>
        <v>0</v>
      </c>
      <c r="M2913" t="inlineStr">
        <is>
          <t>-170K18.5</t>
        </is>
      </c>
    </row>
    <row r="2914">
      <c r="A2914">
        <v>2913</v>
      </c>
      <c r="B2914">
        <f>GS12</f>
        <v>0</v>
      </c>
      <c r="C2914" t="inlineStr">
        <is>
          <t>+LS2</t>
        </is>
      </c>
      <c r="D2914" t="inlineStr">
        <is>
          <t>-170K18.5</t>
        </is>
      </c>
      <c r="E2914" t="inlineStr">
        <is>
          <t>DIL_EM-10-G</t>
        </is>
      </c>
      <c r="F2914" t="inlineStr">
        <is>
          <t>#KALK!</t>
        </is>
      </c>
      <c r="G2914" t="inlineStr">
        <is>
          <t>LASTSCHUETZ</t>
        </is>
      </c>
      <c r="H2914" t="inlineStr">
        <is>
          <t>4kW 1S</t>
        </is>
      </c>
      <c r="I2914">
        <v>302</v>
      </c>
      <c r="J2914">
        <f>GS12/170.7</f>
        <v>0</v>
      </c>
      <c r="M2914" t="inlineStr">
        <is>
          <t>-170K18.5</t>
        </is>
      </c>
    </row>
    <row r="2915">
      <c r="A2915">
        <v>2914</v>
      </c>
      <c r="B2915">
        <f>GS16</f>
        <v>0</v>
      </c>
      <c r="C2915" t="inlineStr">
        <is>
          <t>+LS3</t>
        </is>
      </c>
      <c r="D2915" t="inlineStr">
        <is>
          <t>-170K2</t>
        </is>
      </c>
      <c r="E2915" t="inlineStr">
        <is>
          <t>22_DIL-M</t>
        </is>
      </c>
      <c r="F2915" t="inlineStr">
        <is>
          <t>22_DIL-M</t>
        </is>
      </c>
      <c r="G2915" t="inlineStr">
        <is>
          <t>HILFSKONTAKTBLOCK</t>
        </is>
      </c>
      <c r="H2915" t="inlineStr">
        <is>
          <t>2S 2OE Lastschuetz DIL M</t>
        </is>
      </c>
      <c r="I2915">
        <v>392</v>
      </c>
      <c r="J2915">
        <f>GS16/170.3</f>
        <v>0</v>
      </c>
      <c r="K2915" t="inlineStr">
        <is>
          <t>DIL0AM</t>
        </is>
      </c>
      <c r="M2915" t="inlineStr">
        <is>
          <t>-170K2</t>
        </is>
      </c>
    </row>
    <row r="2916">
      <c r="A2916">
        <v>2915</v>
      </c>
      <c r="B2916">
        <f>GS16</f>
        <v>0</v>
      </c>
      <c r="C2916" t="inlineStr">
        <is>
          <t>+LS3</t>
        </is>
      </c>
      <c r="D2916" t="inlineStr">
        <is>
          <t>-170K2</t>
        </is>
      </c>
      <c r="E2916" t="inlineStr">
        <is>
          <t>DIL_0AM</t>
        </is>
      </c>
      <c r="F2916" t="inlineStr">
        <is>
          <t>22_DIL-M</t>
        </is>
      </c>
      <c r="G2916" t="inlineStr">
        <is>
          <t>LASTSCHUETZ</t>
        </is>
      </c>
      <c r="H2916" t="inlineStr">
        <is>
          <t>11 kW</t>
        </is>
      </c>
      <c r="I2916">
        <v>392</v>
      </c>
      <c r="J2916">
        <f>GS16/170.3</f>
        <v>0</v>
      </c>
      <c r="K2916" t="inlineStr">
        <is>
          <t>DIL0AM</t>
        </is>
      </c>
      <c r="M2916" t="inlineStr">
        <is>
          <t>-170K2</t>
        </is>
      </c>
    </row>
    <row r="2917">
      <c r="A2917">
        <v>2916</v>
      </c>
      <c r="B2917">
        <f>GS31</f>
        <v>0</v>
      </c>
      <c r="C2917" t="inlineStr">
        <is>
          <t>+LS2</t>
        </is>
      </c>
      <c r="D2917" t="inlineStr">
        <is>
          <t>-170K2</t>
        </is>
      </c>
      <c r="E2917" t="inlineStr">
        <is>
          <t>DILM-9-10</t>
        </is>
      </c>
      <c r="F2917" t="inlineStr">
        <is>
          <t>DILA-XHI22</t>
        </is>
      </c>
      <c r="G2917" t="inlineStr">
        <is>
          <t>LASTSCHUETZ</t>
        </is>
      </c>
      <c r="H2917" t="inlineStr">
        <is>
          <t>4kW 1S Federzugkl.</t>
        </is>
      </c>
      <c r="I2917">
        <v>454</v>
      </c>
      <c r="J2917">
        <f>GS31/170.6</f>
        <v>0</v>
      </c>
      <c r="M2917" t="inlineStr">
        <is>
          <t>-170K2</t>
        </is>
      </c>
    </row>
    <row r="2918">
      <c r="A2918">
        <v>2917</v>
      </c>
      <c r="B2918">
        <f>GS31</f>
        <v>0</v>
      </c>
      <c r="C2918" t="inlineStr">
        <is>
          <t>+LS2</t>
        </is>
      </c>
      <c r="D2918" t="inlineStr">
        <is>
          <t>-170K2</t>
        </is>
      </c>
      <c r="E2918" t="inlineStr">
        <is>
          <t>DILA-XHI22</t>
        </is>
      </c>
      <c r="F2918" t="inlineStr">
        <is>
          <t>DILA-XHI22</t>
        </is>
      </c>
      <c r="G2918" t="inlineStr">
        <is>
          <t>HILFSKONTAKTBLOCK</t>
        </is>
      </c>
      <c r="H2918" t="inlineStr">
        <is>
          <t>2S 2OE Last+Hilfssch. Cage</t>
        </is>
      </c>
      <c r="I2918">
        <v>454</v>
      </c>
      <c r="J2918">
        <f>GS31/170.6</f>
        <v>0</v>
      </c>
      <c r="M2918" t="inlineStr">
        <is>
          <t>-170K2</t>
        </is>
      </c>
    </row>
    <row r="2919">
      <c r="A2919">
        <v>2918</v>
      </c>
      <c r="B2919">
        <f>GS38</f>
        <v>0</v>
      </c>
      <c r="C2919" t="inlineStr">
        <is>
          <t>+LS02</t>
        </is>
      </c>
      <c r="D2919" t="inlineStr">
        <is>
          <t>-170K2</t>
        </is>
      </c>
      <c r="E2919" t="inlineStr">
        <is>
          <t>DILM-9-10</t>
        </is>
      </c>
      <c r="F2919" t="inlineStr">
        <is>
          <t>DILA-XHI22</t>
        </is>
      </c>
      <c r="G2919" t="inlineStr">
        <is>
          <t>LASTSCHUETZ</t>
        </is>
      </c>
      <c r="H2919" t="inlineStr">
        <is>
          <t>4kW 1S Federzugkl.</t>
        </is>
      </c>
      <c r="I2919">
        <v>302</v>
      </c>
      <c r="J2919">
        <f>GS38/170.6</f>
        <v>0</v>
      </c>
      <c r="M2919" t="inlineStr">
        <is>
          <t>-170K2</t>
        </is>
      </c>
    </row>
    <row r="2920">
      <c r="A2920">
        <v>2919</v>
      </c>
      <c r="B2920">
        <f>GS38</f>
        <v>0</v>
      </c>
      <c r="C2920" t="inlineStr">
        <is>
          <t>+LS02</t>
        </is>
      </c>
      <c r="D2920" t="inlineStr">
        <is>
          <t>-170K2</t>
        </is>
      </c>
      <c r="E2920" t="inlineStr">
        <is>
          <t>DILA-XHI22</t>
        </is>
      </c>
      <c r="F2920" t="inlineStr">
        <is>
          <t>DILA-XHI22</t>
        </is>
      </c>
      <c r="G2920" t="inlineStr">
        <is>
          <t>HILFSKONTAKTBLOCK</t>
        </is>
      </c>
      <c r="H2920" t="inlineStr">
        <is>
          <t>2S 2OE Last+Hilfssch. Cage</t>
        </is>
      </c>
      <c r="I2920">
        <v>302</v>
      </c>
      <c r="J2920">
        <f>GS38/170.6</f>
        <v>0</v>
      </c>
      <c r="M2920" t="inlineStr">
        <is>
          <t>-170K2</t>
        </is>
      </c>
    </row>
    <row r="2921">
      <c r="A2921">
        <v>2920</v>
      </c>
      <c r="B2921">
        <f>GS39</f>
        <v>0</v>
      </c>
      <c r="C2921" t="inlineStr">
        <is>
          <t>+LS02</t>
        </is>
      </c>
      <c r="D2921" t="inlineStr">
        <is>
          <t>-170K2</t>
        </is>
      </c>
      <c r="E2921" t="inlineStr">
        <is>
          <t>DILM-9-10</t>
        </is>
      </c>
      <c r="F2921" t="inlineStr">
        <is>
          <t>DILA-XHI22</t>
        </is>
      </c>
      <c r="G2921" t="inlineStr">
        <is>
          <t>LASTSCHUETZ</t>
        </is>
      </c>
      <c r="H2921" t="inlineStr">
        <is>
          <t>4kW 1S Federzugkl.</t>
        </is>
      </c>
      <c r="I2921">
        <v>363</v>
      </c>
      <c r="J2921">
        <f>GS39/170.6</f>
        <v>0</v>
      </c>
      <c r="M2921" t="inlineStr">
        <is>
          <t>-170K2</t>
        </is>
      </c>
    </row>
    <row r="2922">
      <c r="A2922">
        <v>2921</v>
      </c>
      <c r="B2922">
        <f>GS39</f>
        <v>0</v>
      </c>
      <c r="C2922" t="inlineStr">
        <is>
          <t>+LS02</t>
        </is>
      </c>
      <c r="D2922" t="inlineStr">
        <is>
          <t>-170K2</t>
        </is>
      </c>
      <c r="E2922" t="inlineStr">
        <is>
          <t>DILA-XHI22</t>
        </is>
      </c>
      <c r="F2922" t="inlineStr">
        <is>
          <t>DILA-XHI22</t>
        </is>
      </c>
      <c r="G2922" t="inlineStr">
        <is>
          <t>HILFSKONTAKTBLOCK</t>
        </is>
      </c>
      <c r="H2922" t="inlineStr">
        <is>
          <t>2S 2OE Last+Hilfssch. Cage</t>
        </is>
      </c>
      <c r="I2922">
        <v>363</v>
      </c>
      <c r="J2922">
        <f>GS39/170.6</f>
        <v>0</v>
      </c>
      <c r="M2922" t="inlineStr">
        <is>
          <t>-170K2</t>
        </is>
      </c>
    </row>
    <row r="2923">
      <c r="A2923">
        <v>2922</v>
      </c>
      <c r="B2923">
        <f>GC22</f>
        <v>0</v>
      </c>
      <c r="C2923" t="inlineStr">
        <is>
          <t>+LS2</t>
        </is>
      </c>
      <c r="D2923" t="inlineStr">
        <is>
          <t>-170K20.6</t>
        </is>
      </c>
      <c r="E2923" t="inlineStr">
        <is>
          <t>DILM-9-01</t>
        </is>
      </c>
      <c r="F2923" t="inlineStr">
        <is>
          <t>#KALK!</t>
        </is>
      </c>
      <c r="G2923" t="inlineStr">
        <is>
          <t>LASTSCHUETZ</t>
        </is>
      </c>
      <c r="H2923" t="inlineStr">
        <is>
          <t>4kW 1Oe Federzugkl.</t>
        </is>
      </c>
      <c r="I2923">
        <v>677</v>
      </c>
      <c r="J2923">
        <f>GC22/170.6</f>
        <v>0</v>
      </c>
      <c r="M2923" t="inlineStr">
        <is>
          <t>-170K20.6</t>
        </is>
      </c>
    </row>
    <row r="2924">
      <c r="A2924">
        <v>2923</v>
      </c>
      <c r="B2924">
        <f>GS12</f>
        <v>0</v>
      </c>
      <c r="C2924" t="inlineStr">
        <is>
          <t>+LS2</t>
        </is>
      </c>
      <c r="D2924" t="inlineStr">
        <is>
          <t>-170K20.6</t>
        </is>
      </c>
      <c r="E2924" t="inlineStr">
        <is>
          <t>DILM-9-01</t>
        </is>
      </c>
      <c r="F2924" t="inlineStr">
        <is>
          <t>#KALK!</t>
        </is>
      </c>
      <c r="G2924" t="inlineStr">
        <is>
          <t>LASTSCHUETZ</t>
        </is>
      </c>
      <c r="H2924" t="inlineStr">
        <is>
          <t>4kW 1Oe Federzugkl.</t>
        </is>
      </c>
      <c r="I2924">
        <v>302</v>
      </c>
      <c r="J2924">
        <f>GS12/170.6</f>
        <v>0</v>
      </c>
      <c r="M2924" t="inlineStr">
        <is>
          <t>-170K20.6</t>
        </is>
      </c>
    </row>
    <row r="2925">
      <c r="A2925">
        <v>2924</v>
      </c>
      <c r="B2925">
        <f>GS26</f>
        <v>0</v>
      </c>
      <c r="C2925" t="inlineStr">
        <is>
          <t>+LS2</t>
        </is>
      </c>
      <c r="D2925" t="inlineStr">
        <is>
          <t>-170K3515.3</t>
        </is>
      </c>
      <c r="E2925" t="inlineStr">
        <is>
          <t>DILM-9-10</t>
        </is>
      </c>
      <c r="F2925" t="inlineStr">
        <is>
          <t>#KALK!</t>
        </is>
      </c>
      <c r="G2925" t="inlineStr">
        <is>
          <t>LASTSCHUETZ</t>
        </is>
      </c>
      <c r="H2925" t="inlineStr">
        <is>
          <t>4kW 1S Federzugkl.</t>
        </is>
      </c>
      <c r="I2925">
        <v>646</v>
      </c>
      <c r="J2925">
        <f>GS26/170.8</f>
        <v>0</v>
      </c>
      <c r="M2925" t="inlineStr">
        <is>
          <t>-170K3515.3</t>
        </is>
      </c>
    </row>
    <row r="2926">
      <c r="A2926">
        <v>2925</v>
      </c>
      <c r="B2926">
        <f>GS14</f>
        <v>0</v>
      </c>
      <c r="C2926" t="inlineStr">
        <is>
          <t>+LS3</t>
        </is>
      </c>
      <c r="D2926" t="inlineStr">
        <is>
          <t>-170K67.2</t>
        </is>
      </c>
      <c r="E2926" t="inlineStr">
        <is>
          <t>DIL_EM-10-G</t>
        </is>
      </c>
      <c r="F2926" t="inlineStr">
        <is>
          <t>#KALK!</t>
        </is>
      </c>
      <c r="G2926" t="inlineStr">
        <is>
          <t>LASTSCHUETZ</t>
        </is>
      </c>
      <c r="H2926" t="inlineStr">
        <is>
          <t>4kW 1S</t>
        </is>
      </c>
      <c r="I2926">
        <v>296</v>
      </c>
      <c r="J2926">
        <f>GS14/170.6</f>
        <v>0</v>
      </c>
      <c r="M2926" t="inlineStr">
        <is>
          <t>-170K67.2</t>
        </is>
      </c>
    </row>
    <row r="2927">
      <c r="A2927">
        <v>2926</v>
      </c>
      <c r="B2927">
        <f>GS14</f>
        <v>0</v>
      </c>
      <c r="C2927" t="inlineStr">
        <is>
          <t>+LS3</t>
        </is>
      </c>
      <c r="D2927" t="inlineStr">
        <is>
          <t>-170K67.3</t>
        </is>
      </c>
      <c r="E2927" t="inlineStr">
        <is>
          <t>DIL_EM-10-G</t>
        </is>
      </c>
      <c r="F2927" t="inlineStr">
        <is>
          <t>#KALK!</t>
        </is>
      </c>
      <c r="G2927" t="inlineStr">
        <is>
          <t>LASTSCHUETZ</t>
        </is>
      </c>
      <c r="H2927" t="inlineStr">
        <is>
          <t>4kW 1S</t>
        </is>
      </c>
      <c r="I2927">
        <v>296</v>
      </c>
      <c r="J2927">
        <f>GS14/170.6</f>
        <v>0</v>
      </c>
      <c r="M2927" t="inlineStr">
        <is>
          <t>-170K67.3</t>
        </is>
      </c>
    </row>
    <row r="2928">
      <c r="A2928">
        <v>2927</v>
      </c>
      <c r="B2928">
        <f>GS20</f>
        <v>0</v>
      </c>
      <c r="C2928" t="inlineStr">
        <is>
          <t>+LS02</t>
        </is>
      </c>
      <c r="D2928" t="inlineStr">
        <is>
          <t>-170Q1</t>
        </is>
      </c>
      <c r="E2928" t="inlineStr">
        <is>
          <t>DILA-XHI22</t>
        </is>
      </c>
      <c r="F2928" t="inlineStr">
        <is>
          <t>DILA-XHI22</t>
        </is>
      </c>
      <c r="G2928" t="inlineStr">
        <is>
          <t>HILFSKONTAKTBLOCK</t>
        </is>
      </c>
      <c r="H2928" t="inlineStr">
        <is>
          <t>2S 2OE Last+Hilfssch. Cage</t>
        </is>
      </c>
      <c r="I2928">
        <v>1046</v>
      </c>
      <c r="J2928">
        <f>GS20/170.4</f>
        <v>0</v>
      </c>
      <c r="K2928" t="inlineStr">
        <is>
          <t>DIL MC25</t>
        </is>
      </c>
      <c r="M2928" t="inlineStr">
        <is>
          <t>-170Q1</t>
        </is>
      </c>
    </row>
    <row r="2929">
      <c r="A2929">
        <v>2928</v>
      </c>
      <c r="B2929">
        <f>GS20</f>
        <v>0</v>
      </c>
      <c r="C2929" t="inlineStr">
        <is>
          <t>+LS02</t>
        </is>
      </c>
      <c r="D2929" t="inlineStr">
        <is>
          <t>-170Q1</t>
        </is>
      </c>
      <c r="E2929" t="inlineStr">
        <is>
          <t>DILMC25-10(RDC24)</t>
        </is>
      </c>
      <c r="F2929" t="inlineStr">
        <is>
          <t>DILA-XHI22</t>
        </is>
      </c>
      <c r="G2929" t="inlineStr">
        <is>
          <t>LASTSCHUETZ</t>
        </is>
      </c>
      <c r="H2929" t="inlineStr">
        <is>
          <t>11kW 1S Federzugkl.</t>
        </is>
      </c>
      <c r="I2929">
        <v>1046</v>
      </c>
      <c r="J2929">
        <f>GS20/170.4</f>
        <v>0</v>
      </c>
      <c r="K2929" t="inlineStr">
        <is>
          <t>DIL MC25</t>
        </is>
      </c>
      <c r="M2929" t="inlineStr">
        <is>
          <t>-170Q1</t>
        </is>
      </c>
    </row>
    <row r="2930">
      <c r="A2930">
        <v>2929</v>
      </c>
      <c r="B2930">
        <f>GS52</f>
        <v>0</v>
      </c>
      <c r="C2930" t="inlineStr">
        <is>
          <t>+LS02</t>
        </is>
      </c>
      <c r="D2930" t="inlineStr">
        <is>
          <t>-170Q1</t>
        </is>
      </c>
      <c r="E2930" t="inlineStr">
        <is>
          <t>DILA-XHI22</t>
        </is>
      </c>
      <c r="F2930" t="inlineStr">
        <is>
          <t>DILA-XHI22</t>
        </is>
      </c>
      <c r="G2930" t="inlineStr">
        <is>
          <t>HILFSKONTAKTBLOCK</t>
        </is>
      </c>
      <c r="H2930" t="inlineStr">
        <is>
          <t>2S 2OE Last+Hilfssch. Cage</t>
        </is>
      </c>
      <c r="I2930">
        <v>1807</v>
      </c>
      <c r="J2930">
        <f>GS52/170.6</f>
        <v>0</v>
      </c>
      <c r="K2930" t="inlineStr">
        <is>
          <t>DIL MC25</t>
        </is>
      </c>
      <c r="M2930" t="inlineStr">
        <is>
          <t>-170Q1</t>
        </is>
      </c>
    </row>
    <row r="2931">
      <c r="A2931">
        <v>2930</v>
      </c>
      <c r="B2931">
        <f>GS52</f>
        <v>0</v>
      </c>
      <c r="C2931" t="inlineStr">
        <is>
          <t>+LS02</t>
        </is>
      </c>
      <c r="D2931" t="inlineStr">
        <is>
          <t>-170Q1</t>
        </is>
      </c>
      <c r="E2931" t="inlineStr">
        <is>
          <t>DILMC25-10(RDC24)</t>
        </is>
      </c>
      <c r="F2931" t="inlineStr">
        <is>
          <t>DILA-XHI22</t>
        </is>
      </c>
      <c r="G2931" t="inlineStr">
        <is>
          <t>LASTSCHUETZ</t>
        </is>
      </c>
      <c r="H2931" t="inlineStr">
        <is>
          <t>11kW 1S Federzugkl.</t>
        </is>
      </c>
      <c r="I2931">
        <v>1807</v>
      </c>
      <c r="J2931">
        <f>GS52/170.6</f>
        <v>0</v>
      </c>
      <c r="K2931" t="inlineStr">
        <is>
          <t>DIL MC25</t>
        </is>
      </c>
      <c r="M2931" t="inlineStr">
        <is>
          <t>-170Q1</t>
        </is>
      </c>
    </row>
    <row r="2932">
      <c r="A2932">
        <v>2931</v>
      </c>
      <c r="B2932">
        <f>GS92</f>
        <v>0</v>
      </c>
      <c r="C2932" t="inlineStr">
        <is>
          <t>+LS02</t>
        </is>
      </c>
      <c r="D2932" t="inlineStr">
        <is>
          <t>-170Q1</t>
        </is>
      </c>
      <c r="E2932" t="inlineStr">
        <is>
          <t>DILMC25-10(RDC24)</t>
        </is>
      </c>
      <c r="F2932" t="inlineStr">
        <is>
          <t>DILA-XHI22</t>
        </is>
      </c>
      <c r="G2932" t="inlineStr">
        <is>
          <t>LASTSCHUETZ</t>
        </is>
      </c>
      <c r="H2932" t="inlineStr">
        <is>
          <t>11kW 1S Federzugkl.</t>
        </is>
      </c>
      <c r="I2932">
        <v>316</v>
      </c>
      <c r="J2932">
        <f>GS92/170.4</f>
        <v>0</v>
      </c>
      <c r="K2932" t="inlineStr">
        <is>
          <t>DIL MC25</t>
        </is>
      </c>
      <c r="M2932" t="inlineStr">
        <is>
          <t>-170Q1</t>
        </is>
      </c>
    </row>
    <row r="2933">
      <c r="A2933">
        <v>2932</v>
      </c>
      <c r="B2933">
        <f>GS92</f>
        <v>0</v>
      </c>
      <c r="C2933" t="inlineStr">
        <is>
          <t>+LS02</t>
        </is>
      </c>
      <c r="D2933" t="inlineStr">
        <is>
          <t>-170Q1</t>
        </is>
      </c>
      <c r="E2933" t="inlineStr">
        <is>
          <t>DILA-XHI22</t>
        </is>
      </c>
      <c r="F2933" t="inlineStr">
        <is>
          <t>DILA-XHI22</t>
        </is>
      </c>
      <c r="G2933" t="inlineStr">
        <is>
          <t>HILFSKONTAKTBLOCK</t>
        </is>
      </c>
      <c r="H2933" t="inlineStr">
        <is>
          <t>2S 2OE Last+Hilfssch. Cage</t>
        </is>
      </c>
      <c r="I2933">
        <v>316</v>
      </c>
      <c r="J2933">
        <f>GS92/170.4</f>
        <v>0</v>
      </c>
      <c r="K2933" t="inlineStr">
        <is>
          <t>DIL MC25</t>
        </is>
      </c>
      <c r="M2933" t="inlineStr">
        <is>
          <t>-170Q1</t>
        </is>
      </c>
    </row>
    <row r="2934">
      <c r="A2934">
        <v>2933</v>
      </c>
      <c r="B2934">
        <f>GS93</f>
        <v>0</v>
      </c>
      <c r="C2934" t="inlineStr">
        <is>
          <t>+LS02</t>
        </is>
      </c>
      <c r="D2934" t="inlineStr">
        <is>
          <t>-170Q1</t>
        </is>
      </c>
      <c r="E2934" t="inlineStr">
        <is>
          <t>DILMC25-10(RDC24)</t>
        </is>
      </c>
      <c r="F2934" t="inlineStr">
        <is>
          <t>DILA-XHI22</t>
        </is>
      </c>
      <c r="G2934" t="inlineStr">
        <is>
          <t>LASTSCHUETZ</t>
        </is>
      </c>
      <c r="H2934" t="inlineStr">
        <is>
          <t>11kW 1S Federzugkl.</t>
        </is>
      </c>
      <c r="I2934">
        <v>729</v>
      </c>
      <c r="J2934">
        <f>GS93/170.4</f>
        <v>0</v>
      </c>
      <c r="K2934" t="inlineStr">
        <is>
          <t>DIL MC25</t>
        </is>
      </c>
      <c r="M2934" t="inlineStr">
        <is>
          <t>-170Q1</t>
        </is>
      </c>
    </row>
    <row r="2935">
      <c r="A2935">
        <v>2934</v>
      </c>
      <c r="B2935">
        <f>GS93</f>
        <v>0</v>
      </c>
      <c r="C2935" t="inlineStr">
        <is>
          <t>+LS02</t>
        </is>
      </c>
      <c r="D2935" t="inlineStr">
        <is>
          <t>-170Q1</t>
        </is>
      </c>
      <c r="E2935" t="inlineStr">
        <is>
          <t>DILA-XHI22</t>
        </is>
      </c>
      <c r="F2935" t="inlineStr">
        <is>
          <t>DILA-XHI22</t>
        </is>
      </c>
      <c r="G2935" t="inlineStr">
        <is>
          <t>HILFSKONTAKTBLOCK</t>
        </is>
      </c>
      <c r="H2935" t="inlineStr">
        <is>
          <t>2S 2OE Last+Hilfssch. Cage</t>
        </is>
      </c>
      <c r="I2935">
        <v>729</v>
      </c>
      <c r="J2935">
        <f>GS93/170.4</f>
        <v>0</v>
      </c>
      <c r="K2935" t="inlineStr">
        <is>
          <t>DIL MC25</t>
        </is>
      </c>
      <c r="M2935" t="inlineStr">
        <is>
          <t>-170Q1</t>
        </is>
      </c>
    </row>
    <row r="2936">
      <c r="A2936">
        <v>2935</v>
      </c>
      <c r="B2936">
        <f>GS90</f>
        <v>0</v>
      </c>
      <c r="C2936" t="inlineStr">
        <is>
          <t>+LS02</t>
        </is>
      </c>
      <c r="D2936" t="inlineStr">
        <is>
          <t>-170Q445.5</t>
        </is>
      </c>
      <c r="E2936" t="inlineStr">
        <is>
          <t>DILM-9-10</t>
        </is>
      </c>
      <c r="F2936" t="inlineStr">
        <is>
          <t>#KALK!</t>
        </is>
      </c>
      <c r="G2936" t="inlineStr">
        <is>
          <t>LASTSCHUETZ</t>
        </is>
      </c>
      <c r="H2936" t="inlineStr">
        <is>
          <t>4kW 1S Federzugkl.</t>
        </is>
      </c>
      <c r="I2936">
        <v>1079</v>
      </c>
      <c r="J2936">
        <f>GS90/170.5</f>
        <v>0</v>
      </c>
      <c r="M2936" t="inlineStr">
        <is>
          <t>-170Q445.5</t>
        </is>
      </c>
    </row>
    <row r="2937">
      <c r="A2937">
        <v>2936</v>
      </c>
      <c r="B2937">
        <f>GS90</f>
        <v>0</v>
      </c>
      <c r="C2937" t="inlineStr">
        <is>
          <t>+LS19</t>
        </is>
      </c>
      <c r="D2937" t="inlineStr">
        <is>
          <t>-1715K1317.0</t>
        </is>
      </c>
      <c r="E2937" t="inlineStr">
        <is>
          <t>DILA-40</t>
        </is>
      </c>
      <c r="F2937" t="inlineStr">
        <is>
          <t>#KALK!</t>
        </is>
      </c>
      <c r="G2937" t="inlineStr">
        <is>
          <t>HILFSSCHUETZ</t>
        </is>
      </c>
      <c r="H2937" t="inlineStr">
        <is>
          <t>4S Federzugkl.</t>
        </is>
      </c>
      <c r="I2937">
        <v>2427</v>
      </c>
      <c r="J2937">
        <f>GS90/1715.7</f>
        <v>0</v>
      </c>
      <c r="M2937" t="inlineStr">
        <is>
          <t>-1715K1317.0</t>
        </is>
      </c>
    </row>
    <row r="2938">
      <c r="A2938">
        <v>2937</v>
      </c>
      <c r="B2938">
        <f>GS06</f>
        <v>0</v>
      </c>
      <c r="C2938" t="inlineStr">
        <is>
          <t>+LS22</t>
        </is>
      </c>
      <c r="D2938" t="inlineStr">
        <is>
          <t>-1715Q1</t>
        </is>
      </c>
      <c r="E2938" t="inlineStr">
        <is>
          <t>DILA-XHI22</t>
        </is>
      </c>
      <c r="F2938" t="inlineStr">
        <is>
          <t>DILA-XHI22</t>
        </is>
      </c>
      <c r="G2938" t="inlineStr">
        <is>
          <t>HILFSKONTAKTBLOCK</t>
        </is>
      </c>
      <c r="H2938" t="inlineStr">
        <is>
          <t>2S 2OE Last+Hilfssch. Cage</t>
        </is>
      </c>
      <c r="I2938">
        <v>4421</v>
      </c>
      <c r="J2938">
        <f>GS06/1715.6</f>
        <v>0</v>
      </c>
      <c r="K2938" t="inlineStr">
        <is>
          <t>DIL MC25</t>
        </is>
      </c>
      <c r="M2938" t="inlineStr">
        <is>
          <t>-1715Q1</t>
        </is>
      </c>
    </row>
    <row r="2939">
      <c r="A2939">
        <v>2938</v>
      </c>
      <c r="B2939">
        <f>GS06</f>
        <v>0</v>
      </c>
      <c r="C2939" t="inlineStr">
        <is>
          <t>+LS22</t>
        </is>
      </c>
      <c r="D2939" t="inlineStr">
        <is>
          <t>-1715Q1</t>
        </is>
      </c>
      <c r="E2939" t="inlineStr">
        <is>
          <t>DILMC25-10(RDC24)</t>
        </is>
      </c>
      <c r="F2939" t="inlineStr">
        <is>
          <t>DILA-XHI22</t>
        </is>
      </c>
      <c r="G2939" t="inlineStr">
        <is>
          <t>LASTSCHUETZ</t>
        </is>
      </c>
      <c r="H2939" t="inlineStr">
        <is>
          <t>11kW 1S Federzugkl.</t>
        </is>
      </c>
      <c r="I2939">
        <v>4421</v>
      </c>
      <c r="J2939">
        <f>GS06/1715.6</f>
        <v>0</v>
      </c>
      <c r="K2939" t="inlineStr">
        <is>
          <t>DIL MC25</t>
        </is>
      </c>
      <c r="M2939" t="inlineStr">
        <is>
          <t>-1715Q1</t>
        </is>
      </c>
    </row>
    <row r="2940">
      <c r="A2940">
        <v>2939</v>
      </c>
      <c r="B2940">
        <f>GS90</f>
        <v>0</v>
      </c>
      <c r="C2940" t="inlineStr">
        <is>
          <t>+LS19</t>
        </is>
      </c>
      <c r="D2940" t="inlineStr">
        <is>
          <t>-1715Q1</t>
        </is>
      </c>
      <c r="E2940" t="inlineStr">
        <is>
          <t>DILMC25-10(RDC24)</t>
        </is>
      </c>
      <c r="F2940" t="inlineStr">
        <is>
          <t>DILA-XHI22</t>
        </is>
      </c>
      <c r="G2940" t="inlineStr">
        <is>
          <t>LASTSCHUETZ</t>
        </is>
      </c>
      <c r="H2940" t="inlineStr">
        <is>
          <t>11kW 1S Federzugkl.</t>
        </is>
      </c>
      <c r="I2940">
        <v>2427</v>
      </c>
      <c r="J2940">
        <f>GS90/1715.4</f>
        <v>0</v>
      </c>
      <c r="K2940" t="inlineStr">
        <is>
          <t>DIL MC25</t>
        </is>
      </c>
      <c r="M2940" t="inlineStr">
        <is>
          <t>-1715Q1</t>
        </is>
      </c>
    </row>
    <row r="2941">
      <c r="A2941">
        <v>2940</v>
      </c>
      <c r="B2941">
        <f>GS90</f>
        <v>0</v>
      </c>
      <c r="C2941" t="inlineStr">
        <is>
          <t>+LS19</t>
        </is>
      </c>
      <c r="D2941" t="inlineStr">
        <is>
          <t>-1715Q1</t>
        </is>
      </c>
      <c r="E2941" t="inlineStr">
        <is>
          <t>DILA-XHI22</t>
        </is>
      </c>
      <c r="F2941" t="inlineStr">
        <is>
          <t>DILA-XHI22</t>
        </is>
      </c>
      <c r="G2941" t="inlineStr">
        <is>
          <t>HILFSKONTAKTBLOCK</t>
        </is>
      </c>
      <c r="H2941" t="inlineStr">
        <is>
          <t>2S 2OE Last+Hilfssch. Cage</t>
        </is>
      </c>
      <c r="I2941">
        <v>2427</v>
      </c>
      <c r="J2941">
        <f>GS90/1715.4</f>
        <v>0</v>
      </c>
      <c r="K2941" t="inlineStr">
        <is>
          <t>DIL MC25</t>
        </is>
      </c>
      <c r="M2941" t="inlineStr">
        <is>
          <t>-1715Q1</t>
        </is>
      </c>
    </row>
    <row r="2942">
      <c r="A2942">
        <v>2941</v>
      </c>
      <c r="B2942">
        <f>GS06</f>
        <v>0</v>
      </c>
      <c r="C2942" t="inlineStr">
        <is>
          <t>+LS22</t>
        </is>
      </c>
      <c r="D2942" t="inlineStr">
        <is>
          <t>-1718Q1604.5</t>
        </is>
      </c>
      <c r="E2942" t="inlineStr">
        <is>
          <t>DILM-9-10</t>
        </is>
      </c>
      <c r="F2942" t="inlineStr">
        <is>
          <t>#KALK!</t>
        </is>
      </c>
      <c r="G2942" t="inlineStr">
        <is>
          <t>LASTSCHUETZ</t>
        </is>
      </c>
      <c r="H2942" t="inlineStr">
        <is>
          <t>4kW 1S Federzugkl.</t>
        </is>
      </c>
      <c r="I2942">
        <v>4424</v>
      </c>
      <c r="J2942">
        <f>GS06/1718.6</f>
        <v>0</v>
      </c>
      <c r="K2942" t="inlineStr">
        <is>
          <t>DIL MC9</t>
        </is>
      </c>
      <c r="M2942" t="inlineStr">
        <is>
          <t>-1718Q1604.5</t>
        </is>
      </c>
    </row>
    <row r="2943">
      <c r="A2943">
        <v>2942</v>
      </c>
      <c r="B2943">
        <f>GS90</f>
        <v>0</v>
      </c>
      <c r="C2943" t="inlineStr">
        <is>
          <t>+LS19</t>
        </is>
      </c>
      <c r="D2943" t="inlineStr">
        <is>
          <t>-1718Q168.4</t>
        </is>
      </c>
      <c r="E2943" t="inlineStr">
        <is>
          <t>DILM-9-10</t>
        </is>
      </c>
      <c r="F2943" t="inlineStr">
        <is>
          <t>#KALK!</t>
        </is>
      </c>
      <c r="G2943" t="inlineStr">
        <is>
          <t>LASTSCHUETZ</t>
        </is>
      </c>
      <c r="H2943" t="inlineStr">
        <is>
          <t>4kW 1S Federzugkl.</t>
        </is>
      </c>
      <c r="I2943">
        <v>2392</v>
      </c>
      <c r="J2943">
        <f>GS90/1718.5</f>
        <v>0</v>
      </c>
      <c r="M2943" t="inlineStr">
        <is>
          <t>-1718Q168.4</t>
        </is>
      </c>
    </row>
    <row r="2944">
      <c r="A2944">
        <v>2943</v>
      </c>
      <c r="B2944">
        <f>GC22</f>
        <v>0</v>
      </c>
      <c r="C2944" t="inlineStr">
        <is>
          <t>+LS2</t>
        </is>
      </c>
      <c r="D2944" t="inlineStr">
        <is>
          <t>-171K19.3</t>
        </is>
      </c>
      <c r="E2944" t="inlineStr">
        <is>
          <t>DIL_EM-10-G</t>
        </is>
      </c>
      <c r="F2944" t="inlineStr">
        <is>
          <t>#KALK!</t>
        </is>
      </c>
      <c r="G2944" t="inlineStr">
        <is>
          <t>LASTSCHUETZ</t>
        </is>
      </c>
      <c r="H2944" t="inlineStr">
        <is>
          <t>4kW 1S</t>
        </is>
      </c>
      <c r="I2944">
        <v>1041</v>
      </c>
      <c r="J2944">
        <f>GC22/171.7</f>
        <v>0</v>
      </c>
      <c r="M2944" t="inlineStr">
        <is>
          <t>-171K19.3</t>
        </is>
      </c>
    </row>
    <row r="2945">
      <c r="A2945">
        <v>2944</v>
      </c>
      <c r="B2945">
        <f>GS12</f>
        <v>0</v>
      </c>
      <c r="C2945" t="inlineStr">
        <is>
          <t>+LS2</t>
        </is>
      </c>
      <c r="D2945" t="inlineStr">
        <is>
          <t>-171K19.3</t>
        </is>
      </c>
      <c r="E2945" t="inlineStr">
        <is>
          <t>DIL_EM-10-G</t>
        </is>
      </c>
      <c r="F2945" t="inlineStr">
        <is>
          <t>#KALK!</t>
        </is>
      </c>
      <c r="G2945" t="inlineStr">
        <is>
          <t>LASTSCHUETZ</t>
        </is>
      </c>
      <c r="H2945" t="inlineStr">
        <is>
          <t>4kW 1S</t>
        </is>
      </c>
      <c r="I2945">
        <v>303</v>
      </c>
      <c r="J2945">
        <f>GS12/171.7</f>
        <v>0</v>
      </c>
      <c r="M2945" t="inlineStr">
        <is>
          <t>-171K19.3</t>
        </is>
      </c>
    </row>
    <row r="2946">
      <c r="A2946">
        <v>2945</v>
      </c>
      <c r="B2946">
        <f>GS31</f>
        <v>0</v>
      </c>
      <c r="C2946" t="inlineStr">
        <is>
          <t>+LS2</t>
        </is>
      </c>
      <c r="D2946" t="inlineStr">
        <is>
          <t>-171K29.7</t>
        </is>
      </c>
      <c r="E2946" t="inlineStr">
        <is>
          <t>DILMC25-10(RDC24)</t>
        </is>
      </c>
      <c r="F2946" t="inlineStr">
        <is>
          <t>DILA-XHI22</t>
        </is>
      </c>
      <c r="G2946" t="inlineStr">
        <is>
          <t>LASTSCHUETZ</t>
        </is>
      </c>
      <c r="H2946" t="inlineStr">
        <is>
          <t>11kW 1S Federzugkl.</t>
        </is>
      </c>
      <c r="I2946">
        <v>455</v>
      </c>
      <c r="J2946">
        <f>GS31/171.5</f>
        <v>0</v>
      </c>
      <c r="K2946" t="inlineStr">
        <is>
          <t>DIL MC25</t>
        </is>
      </c>
      <c r="M2946" t="inlineStr">
        <is>
          <t>-171K29.7</t>
        </is>
      </c>
    </row>
    <row r="2947">
      <c r="A2947">
        <v>2946</v>
      </c>
      <c r="B2947">
        <f>GS31</f>
        <v>0</v>
      </c>
      <c r="C2947" t="inlineStr">
        <is>
          <t>+LS2</t>
        </is>
      </c>
      <c r="D2947" t="inlineStr">
        <is>
          <t>-171K29.7</t>
        </is>
      </c>
      <c r="E2947" t="inlineStr">
        <is>
          <t>DILA-XHI22</t>
        </is>
      </c>
      <c r="F2947" t="inlineStr">
        <is>
          <t>DILA-XHI22</t>
        </is>
      </c>
      <c r="G2947" t="inlineStr">
        <is>
          <t>HILFSKONTAKTBLOCK</t>
        </is>
      </c>
      <c r="H2947" t="inlineStr">
        <is>
          <t>2S 2OE Last+Hilfssch. Cage</t>
        </is>
      </c>
      <c r="I2947">
        <v>455</v>
      </c>
      <c r="J2947">
        <f>GS31/171.5</f>
        <v>0</v>
      </c>
      <c r="K2947" t="inlineStr">
        <is>
          <t>DIL MC25</t>
        </is>
      </c>
      <c r="M2947" t="inlineStr">
        <is>
          <t>-171K29.7</t>
        </is>
      </c>
    </row>
    <row r="2948">
      <c r="A2948">
        <v>2947</v>
      </c>
      <c r="B2948">
        <f>GS04</f>
        <v>0</v>
      </c>
      <c r="C2948" t="inlineStr">
        <is>
          <t>+LS3</t>
        </is>
      </c>
      <c r="D2948" t="inlineStr">
        <is>
          <t>-171K34.7</t>
        </is>
      </c>
      <c r="E2948" t="inlineStr">
        <is>
          <t>DIL_EM-10-G</t>
        </is>
      </c>
      <c r="F2948" t="inlineStr">
        <is>
          <t>#KALK!</t>
        </is>
      </c>
      <c r="G2948" t="inlineStr">
        <is>
          <t>LASTSCHUETZ</t>
        </is>
      </c>
      <c r="H2948" t="inlineStr">
        <is>
          <t>4kW 1S</t>
        </is>
      </c>
      <c r="I2948">
        <v>421</v>
      </c>
      <c r="J2948">
        <f>GS04/171.7</f>
        <v>0</v>
      </c>
      <c r="M2948" t="inlineStr">
        <is>
          <t>-171K34.7</t>
        </is>
      </c>
    </row>
    <row r="2949">
      <c r="A2949">
        <v>2948</v>
      </c>
      <c r="B2949">
        <f>GS26</f>
        <v>0</v>
      </c>
      <c r="C2949" t="inlineStr">
        <is>
          <t>+LS2</t>
        </is>
      </c>
      <c r="D2949" t="inlineStr">
        <is>
          <t>-171K3515.4</t>
        </is>
      </c>
      <c r="E2949" t="inlineStr">
        <is>
          <t>DILM-9-01</t>
        </is>
      </c>
      <c r="F2949" t="inlineStr">
        <is>
          <t>#KALK!</t>
        </is>
      </c>
      <c r="G2949" t="inlineStr">
        <is>
          <t>LASTSCHUETZ</t>
        </is>
      </c>
      <c r="H2949" t="inlineStr">
        <is>
          <t>4kW 1Oe Federzugkl.</t>
        </is>
      </c>
      <c r="I2949">
        <v>645</v>
      </c>
      <c r="J2949">
        <f>GS26/171.6</f>
        <v>0</v>
      </c>
      <c r="M2949" t="inlineStr">
        <is>
          <t>-171K3515.4</t>
        </is>
      </c>
    </row>
    <row r="2950">
      <c r="A2950">
        <v>2949</v>
      </c>
      <c r="B2950">
        <f>GS26</f>
        <v>0</v>
      </c>
      <c r="C2950" t="inlineStr">
        <is>
          <t>+LS2</t>
        </is>
      </c>
      <c r="D2950" t="inlineStr">
        <is>
          <t>-171K3515.5</t>
        </is>
      </c>
      <c r="E2950" t="inlineStr">
        <is>
          <t>DILM-9-10</t>
        </is>
      </c>
      <c r="F2950" t="inlineStr">
        <is>
          <t>#KALK!</t>
        </is>
      </c>
      <c r="G2950" t="inlineStr">
        <is>
          <t>LASTSCHUETZ</t>
        </is>
      </c>
      <c r="H2950" t="inlineStr">
        <is>
          <t>4kW 1S Federzugkl.</t>
        </is>
      </c>
      <c r="I2950">
        <v>645</v>
      </c>
      <c r="J2950">
        <f>GS26/171.7</f>
        <v>0</v>
      </c>
      <c r="M2950" t="inlineStr">
        <is>
          <t>-171K3515.5</t>
        </is>
      </c>
    </row>
    <row r="2951">
      <c r="A2951">
        <v>2950</v>
      </c>
      <c r="B2951">
        <f>GS26</f>
        <v>0</v>
      </c>
      <c r="C2951" t="inlineStr">
        <is>
          <t>+LS2</t>
        </is>
      </c>
      <c r="D2951" t="inlineStr">
        <is>
          <t>-171K3517.6</t>
        </is>
      </c>
      <c r="E2951" t="inlineStr">
        <is>
          <t>DILM-9-01</t>
        </is>
      </c>
      <c r="F2951" t="inlineStr">
        <is>
          <t>#KALK!</t>
        </is>
      </c>
      <c r="G2951" t="inlineStr">
        <is>
          <t>LASTSCHUETZ</t>
        </is>
      </c>
      <c r="H2951" t="inlineStr">
        <is>
          <t>4kW 1Oe Federzugkl.</t>
        </is>
      </c>
      <c r="I2951">
        <v>645</v>
      </c>
      <c r="J2951">
        <f>GS26/171.6</f>
        <v>0</v>
      </c>
      <c r="M2951" t="inlineStr">
        <is>
          <t>-171K3517.6</t>
        </is>
      </c>
    </row>
    <row r="2952">
      <c r="A2952">
        <v>2951</v>
      </c>
      <c r="B2952">
        <f>GS14</f>
        <v>0</v>
      </c>
      <c r="C2952" t="inlineStr">
        <is>
          <t>+LS3</t>
        </is>
      </c>
      <c r="D2952" t="inlineStr">
        <is>
          <t>-171K67.4</t>
        </is>
      </c>
      <c r="E2952" t="inlineStr">
        <is>
          <t>DIL_EM-10-G</t>
        </is>
      </c>
      <c r="F2952" t="inlineStr">
        <is>
          <t>#KALK!</t>
        </is>
      </c>
      <c r="G2952" t="inlineStr">
        <is>
          <t>LASTSCHUETZ</t>
        </is>
      </c>
      <c r="H2952" t="inlineStr">
        <is>
          <t>4kW 1S</t>
        </is>
      </c>
      <c r="I2952">
        <v>297</v>
      </c>
      <c r="J2952">
        <f>GS14/171.6</f>
        <v>0</v>
      </c>
      <c r="M2952" t="inlineStr">
        <is>
          <t>-171K67.4</t>
        </is>
      </c>
    </row>
    <row r="2953">
      <c r="A2953">
        <v>2952</v>
      </c>
      <c r="B2953">
        <f>GS14</f>
        <v>0</v>
      </c>
      <c r="C2953" t="inlineStr">
        <is>
          <t>+LS3</t>
        </is>
      </c>
      <c r="D2953" t="inlineStr">
        <is>
          <t>-171K67.5</t>
        </is>
      </c>
      <c r="E2953" t="inlineStr">
        <is>
          <t>DIL_EM-10-G</t>
        </is>
      </c>
      <c r="F2953" t="inlineStr">
        <is>
          <t>#KALK!</t>
        </is>
      </c>
      <c r="G2953" t="inlineStr">
        <is>
          <t>LASTSCHUETZ</t>
        </is>
      </c>
      <c r="H2953" t="inlineStr">
        <is>
          <t>4kW 1S</t>
        </is>
      </c>
      <c r="I2953">
        <v>297</v>
      </c>
      <c r="J2953">
        <f>GS14/171.6</f>
        <v>0</v>
      </c>
      <c r="M2953" t="inlineStr">
        <is>
          <t>-171K67.5</t>
        </is>
      </c>
    </row>
    <row r="2954">
      <c r="A2954">
        <v>2953</v>
      </c>
      <c r="B2954">
        <f>GS24</f>
        <v>0</v>
      </c>
      <c r="C2954" t="inlineStr">
        <is>
          <t>+LS3</t>
        </is>
      </c>
      <c r="D2954" t="inlineStr">
        <is>
          <t>-171K68.0</t>
        </is>
      </c>
      <c r="E2954" t="inlineStr">
        <is>
          <t>DIL_EM-10-G</t>
        </is>
      </c>
      <c r="F2954" t="inlineStr">
        <is>
          <t>#KALK!</t>
        </is>
      </c>
      <c r="G2954" t="inlineStr">
        <is>
          <t>LASTSCHUETZ</t>
        </is>
      </c>
      <c r="H2954" t="inlineStr">
        <is>
          <t>4kW 1S</t>
        </is>
      </c>
      <c r="I2954">
        <v>908</v>
      </c>
      <c r="J2954">
        <f>GS24/171.6</f>
        <v>0</v>
      </c>
      <c r="M2954" t="inlineStr">
        <is>
          <t>-171K68.0</t>
        </is>
      </c>
    </row>
    <row r="2955">
      <c r="A2955">
        <v>2954</v>
      </c>
      <c r="B2955">
        <f>GS24</f>
        <v>0</v>
      </c>
      <c r="C2955" t="inlineStr">
        <is>
          <t>+LS3</t>
        </is>
      </c>
      <c r="D2955" t="inlineStr">
        <is>
          <t>-171K68.1</t>
        </is>
      </c>
      <c r="E2955" t="inlineStr">
        <is>
          <t>DIL_EM-10-G</t>
        </is>
      </c>
      <c r="F2955" t="inlineStr">
        <is>
          <t>#KALK!</t>
        </is>
      </c>
      <c r="G2955" t="inlineStr">
        <is>
          <t>LASTSCHUETZ</t>
        </is>
      </c>
      <c r="H2955" t="inlineStr">
        <is>
          <t>4kW 1S</t>
        </is>
      </c>
      <c r="I2955">
        <v>908</v>
      </c>
      <c r="J2955">
        <f>GS24/171.6</f>
        <v>0</v>
      </c>
      <c r="M2955" t="inlineStr">
        <is>
          <t>-171K68.1</t>
        </is>
      </c>
    </row>
    <row r="2956">
      <c r="A2956">
        <v>2955</v>
      </c>
      <c r="B2956">
        <f>GS01</f>
        <v>0</v>
      </c>
      <c r="C2956" t="inlineStr">
        <is>
          <t>+LS4</t>
        </is>
      </c>
      <c r="D2956" t="inlineStr">
        <is>
          <t>-171K95.3</t>
        </is>
      </c>
      <c r="E2956" t="inlineStr">
        <is>
          <t>DIL_EM-10-G</t>
        </is>
      </c>
      <c r="F2956" t="inlineStr">
        <is>
          <t>#KALK!</t>
        </is>
      </c>
      <c r="G2956" t="inlineStr">
        <is>
          <t>LASTSCHUETZ</t>
        </is>
      </c>
      <c r="H2956" t="inlineStr">
        <is>
          <t>4kW 1S</t>
        </is>
      </c>
      <c r="I2956">
        <v>333</v>
      </c>
      <c r="J2956">
        <f>GS01/171.7</f>
        <v>0</v>
      </c>
      <c r="M2956" t="inlineStr">
        <is>
          <t>-171K95.3</t>
        </is>
      </c>
    </row>
    <row r="2957">
      <c r="A2957">
        <v>2956</v>
      </c>
      <c r="B2957">
        <f>GS52</f>
        <v>0</v>
      </c>
      <c r="C2957" t="inlineStr">
        <is>
          <t>+LS02</t>
        </is>
      </c>
      <c r="D2957" t="inlineStr">
        <is>
          <t>-171Q115.1</t>
        </is>
      </c>
      <c r="E2957" t="inlineStr">
        <is>
          <t>DILM-9-10</t>
        </is>
      </c>
      <c r="F2957" t="inlineStr">
        <is>
          <t>#KALK!</t>
        </is>
      </c>
      <c r="G2957" t="inlineStr">
        <is>
          <t>LASTSCHUETZ</t>
        </is>
      </c>
      <c r="H2957" t="inlineStr">
        <is>
          <t>4kW 1S Federzugkl.</t>
        </is>
      </c>
      <c r="I2957">
        <v>1808</v>
      </c>
      <c r="J2957">
        <f>GS52/171.6</f>
        <v>0</v>
      </c>
      <c r="K2957" t="inlineStr">
        <is>
          <t>DIL MC9</t>
        </is>
      </c>
      <c r="M2957" t="inlineStr">
        <is>
          <t>-171Q115.1</t>
        </is>
      </c>
    </row>
    <row r="2958">
      <c r="A2958">
        <v>2957</v>
      </c>
      <c r="B2958">
        <f>GS92</f>
        <v>0</v>
      </c>
      <c r="C2958" t="inlineStr">
        <is>
          <t>+LS02</t>
        </is>
      </c>
      <c r="D2958" t="inlineStr">
        <is>
          <t>-171Q162.1</t>
        </is>
      </c>
      <c r="E2958" t="inlineStr">
        <is>
          <t>DILM-9-10</t>
        </is>
      </c>
      <c r="F2958" t="inlineStr">
        <is>
          <t>#KALK!</t>
        </is>
      </c>
      <c r="G2958" t="inlineStr">
        <is>
          <t>LASTSCHUETZ</t>
        </is>
      </c>
      <c r="H2958" t="inlineStr">
        <is>
          <t>4kW 1S Federzugkl.</t>
        </is>
      </c>
      <c r="I2958">
        <v>317</v>
      </c>
      <c r="J2958">
        <f>GS92/171.5</f>
        <v>0</v>
      </c>
      <c r="M2958" t="inlineStr">
        <is>
          <t>-171Q162.1</t>
        </is>
      </c>
    </row>
    <row r="2959">
      <c r="A2959">
        <v>2958</v>
      </c>
      <c r="B2959">
        <f>GS93</f>
        <v>0</v>
      </c>
      <c r="C2959" t="inlineStr">
        <is>
          <t>+LS02</t>
        </is>
      </c>
      <c r="D2959" t="inlineStr">
        <is>
          <t>-171Q162.1</t>
        </is>
      </c>
      <c r="E2959" t="inlineStr">
        <is>
          <t>DILM-9-10</t>
        </is>
      </c>
      <c r="F2959" t="inlineStr">
        <is>
          <t>#KALK!</t>
        </is>
      </c>
      <c r="G2959" t="inlineStr">
        <is>
          <t>LASTSCHUETZ</t>
        </is>
      </c>
      <c r="H2959" t="inlineStr">
        <is>
          <t>4kW 1S Federzugkl.</t>
        </is>
      </c>
      <c r="I2959">
        <v>730</v>
      </c>
      <c r="J2959">
        <f>GS93/171.5</f>
        <v>0</v>
      </c>
      <c r="M2959" t="inlineStr">
        <is>
          <t>-171Q162.1</t>
        </is>
      </c>
    </row>
    <row r="2960">
      <c r="A2960">
        <v>2959</v>
      </c>
      <c r="B2960">
        <f>GS90</f>
        <v>0</v>
      </c>
      <c r="C2960" t="inlineStr">
        <is>
          <t>+LS02</t>
        </is>
      </c>
      <c r="D2960" t="inlineStr">
        <is>
          <t>-171Q445.6</t>
        </is>
      </c>
      <c r="E2960" t="inlineStr">
        <is>
          <t>DILM-9-10</t>
        </is>
      </c>
      <c r="F2960" t="inlineStr">
        <is>
          <t>#KALK!</t>
        </is>
      </c>
      <c r="G2960" t="inlineStr">
        <is>
          <t>LASTSCHUETZ</t>
        </is>
      </c>
      <c r="H2960" t="inlineStr">
        <is>
          <t>4kW 1S Federzugkl.</t>
        </is>
      </c>
      <c r="I2960">
        <v>1078</v>
      </c>
      <c r="J2960">
        <f>GS90/171.5</f>
        <v>0</v>
      </c>
      <c r="M2960" t="inlineStr">
        <is>
          <t>-171Q445.6</t>
        </is>
      </c>
    </row>
    <row r="2961">
      <c r="A2961">
        <v>2960</v>
      </c>
      <c r="B2961">
        <f>GS55</f>
        <v>0</v>
      </c>
      <c r="C2961" t="inlineStr">
        <is>
          <t>+LS28</t>
        </is>
      </c>
      <c r="D2961" t="inlineStr">
        <is>
          <t>-1720Q1</t>
        </is>
      </c>
      <c r="E2961" t="inlineStr">
        <is>
          <t>DILA-XHI22</t>
        </is>
      </c>
      <c r="F2961" t="inlineStr">
        <is>
          <t>DILA-XHI22</t>
        </is>
      </c>
      <c r="G2961" t="inlineStr">
        <is>
          <t>HILFSKONTAKTBLOCK</t>
        </is>
      </c>
      <c r="H2961" t="inlineStr">
        <is>
          <t>2S 2OE Last+Hilfssch. Cage</t>
        </is>
      </c>
      <c r="I2961">
        <v>1906</v>
      </c>
      <c r="J2961">
        <f>GS55/1720.6</f>
        <v>0</v>
      </c>
      <c r="K2961" t="inlineStr">
        <is>
          <t>DIL MC25</t>
        </is>
      </c>
      <c r="M2961" t="inlineStr">
        <is>
          <t>-1720Q1</t>
        </is>
      </c>
    </row>
    <row r="2962">
      <c r="A2962">
        <v>2961</v>
      </c>
      <c r="B2962">
        <f>GS55</f>
        <v>0</v>
      </c>
      <c r="C2962" t="inlineStr">
        <is>
          <t>+LS28</t>
        </is>
      </c>
      <c r="D2962" t="inlineStr">
        <is>
          <t>-1720Q1</t>
        </is>
      </c>
      <c r="E2962" t="inlineStr">
        <is>
          <t>DILMC25-10(RDC24)</t>
        </is>
      </c>
      <c r="F2962" t="inlineStr">
        <is>
          <t>DILA-XHI22</t>
        </is>
      </c>
      <c r="G2962" t="inlineStr">
        <is>
          <t>LASTSCHUETZ</t>
        </is>
      </c>
      <c r="H2962" t="inlineStr">
        <is>
          <t>11kW 1S Federzugkl.</t>
        </is>
      </c>
      <c r="I2962">
        <v>1906</v>
      </c>
      <c r="J2962">
        <f>GS55/1720.6</f>
        <v>0</v>
      </c>
      <c r="K2962" t="inlineStr">
        <is>
          <t>DIL MC25</t>
        </is>
      </c>
      <c r="M2962" t="inlineStr">
        <is>
          <t>-1720Q1</t>
        </is>
      </c>
    </row>
    <row r="2963">
      <c r="A2963">
        <v>2962</v>
      </c>
      <c r="B2963">
        <f>GS06</f>
        <v>0</v>
      </c>
      <c r="C2963" t="inlineStr">
        <is>
          <t>+LS22</t>
        </is>
      </c>
      <c r="D2963" t="inlineStr">
        <is>
          <t>-1721Q1604.6</t>
        </is>
      </c>
      <c r="E2963" t="inlineStr">
        <is>
          <t>DILM-9-10</t>
        </is>
      </c>
      <c r="F2963" t="inlineStr">
        <is>
          <t>#KALK!</t>
        </is>
      </c>
      <c r="G2963" t="inlineStr">
        <is>
          <t>LASTSCHUETZ</t>
        </is>
      </c>
      <c r="H2963" t="inlineStr">
        <is>
          <t>4kW 1S Federzugkl.</t>
        </is>
      </c>
      <c r="I2963">
        <v>4427</v>
      </c>
      <c r="J2963">
        <f>GS06/1721.6</f>
        <v>0</v>
      </c>
      <c r="K2963" t="inlineStr">
        <is>
          <t>DIL MC9</t>
        </is>
      </c>
      <c r="M2963" t="inlineStr">
        <is>
          <t>-1721Q1604.6</t>
        </is>
      </c>
    </row>
    <row r="2964">
      <c r="A2964">
        <v>2963</v>
      </c>
      <c r="B2964">
        <f>GS13</f>
        <v>0</v>
      </c>
      <c r="C2964" t="inlineStr">
        <is>
          <t>+LS3</t>
        </is>
      </c>
      <c r="D2964" t="inlineStr">
        <is>
          <t>-17260.4</t>
        </is>
      </c>
      <c r="E2964" t="inlineStr">
        <is>
          <t>DIL_EM-10-G</t>
        </is>
      </c>
      <c r="F2964" t="inlineStr">
        <is>
          <t>#KALK!</t>
        </is>
      </c>
      <c r="G2964" t="inlineStr">
        <is>
          <t>LASTSCHUETZ</t>
        </is>
      </c>
      <c r="H2964" t="inlineStr">
        <is>
          <t>4kW 1S</t>
        </is>
      </c>
      <c r="I2964">
        <v>412</v>
      </c>
      <c r="J2964">
        <f>GS13/172.6</f>
        <v>0</v>
      </c>
      <c r="M2964" t="inlineStr">
        <is>
          <t>-17260.4</t>
        </is>
      </c>
    </row>
    <row r="2965">
      <c r="A2965">
        <v>2964</v>
      </c>
      <c r="B2965">
        <f>GC22</f>
        <v>0</v>
      </c>
      <c r="C2965" t="inlineStr">
        <is>
          <t>+LS2</t>
        </is>
      </c>
      <c r="D2965" t="inlineStr">
        <is>
          <t>-172K19.4</t>
        </is>
      </c>
      <c r="E2965" t="inlineStr">
        <is>
          <t>DILM-9-01</t>
        </is>
      </c>
      <c r="F2965" t="inlineStr">
        <is>
          <t>#KALK!</t>
        </is>
      </c>
      <c r="G2965" t="inlineStr">
        <is>
          <t>LASTSCHUETZ</t>
        </is>
      </c>
      <c r="H2965" t="inlineStr">
        <is>
          <t>4kW 1Oe Federzugkl.</t>
        </is>
      </c>
      <c r="I2965">
        <v>1040</v>
      </c>
      <c r="J2965">
        <f>GC22/172.6</f>
        <v>0</v>
      </c>
      <c r="M2965" t="inlineStr">
        <is>
          <t>-172K19.4</t>
        </is>
      </c>
    </row>
    <row r="2966">
      <c r="A2966">
        <v>2965</v>
      </c>
      <c r="B2966">
        <f>GS12</f>
        <v>0</v>
      </c>
      <c r="C2966" t="inlineStr">
        <is>
          <t>+LS2</t>
        </is>
      </c>
      <c r="D2966" t="inlineStr">
        <is>
          <t>-172K19.4</t>
        </is>
      </c>
      <c r="E2966" t="inlineStr">
        <is>
          <t>DILM-9-01</t>
        </is>
      </c>
      <c r="F2966" t="inlineStr">
        <is>
          <t>#KALK!</t>
        </is>
      </c>
      <c r="G2966" t="inlineStr">
        <is>
          <t>LASTSCHUETZ</t>
        </is>
      </c>
      <c r="H2966" t="inlineStr">
        <is>
          <t>4kW 1Oe Federzugkl.</t>
        </is>
      </c>
      <c r="I2966">
        <v>304</v>
      </c>
      <c r="J2966">
        <f>GS12/172.6</f>
        <v>0</v>
      </c>
      <c r="M2966" t="inlineStr">
        <is>
          <t>-172K19.4</t>
        </is>
      </c>
    </row>
    <row r="2967">
      <c r="A2967">
        <v>2966</v>
      </c>
      <c r="B2967">
        <f>GC22</f>
        <v>0</v>
      </c>
      <c r="C2967" t="inlineStr">
        <is>
          <t>+LS2</t>
        </is>
      </c>
      <c r="D2967" t="inlineStr">
        <is>
          <t>-172K19.5</t>
        </is>
      </c>
      <c r="E2967" t="inlineStr">
        <is>
          <t>DIL_EM-10-G</t>
        </is>
      </c>
      <c r="F2967" t="inlineStr">
        <is>
          <t>#KALK!</t>
        </is>
      </c>
      <c r="G2967" t="inlineStr">
        <is>
          <t>LASTSCHUETZ</t>
        </is>
      </c>
      <c r="H2967" t="inlineStr">
        <is>
          <t>4kW 1S</t>
        </is>
      </c>
      <c r="I2967">
        <v>1040</v>
      </c>
      <c r="J2967">
        <f>GC22/172.7</f>
        <v>0</v>
      </c>
      <c r="M2967" t="inlineStr">
        <is>
          <t>-172K19.5</t>
        </is>
      </c>
    </row>
    <row r="2968">
      <c r="A2968">
        <v>2967</v>
      </c>
      <c r="B2968">
        <f>GS12</f>
        <v>0</v>
      </c>
      <c r="C2968" t="inlineStr">
        <is>
          <t>+LS2</t>
        </is>
      </c>
      <c r="D2968" t="inlineStr">
        <is>
          <t>-172K19.5</t>
        </is>
      </c>
      <c r="E2968" t="inlineStr">
        <is>
          <t>DIL_EM-10-G</t>
        </is>
      </c>
      <c r="F2968" t="inlineStr">
        <is>
          <t>#KALK!</t>
        </is>
      </c>
      <c r="G2968" t="inlineStr">
        <is>
          <t>LASTSCHUETZ</t>
        </is>
      </c>
      <c r="H2968" t="inlineStr">
        <is>
          <t>4kW 1S</t>
        </is>
      </c>
      <c r="I2968">
        <v>304</v>
      </c>
      <c r="J2968">
        <f>GS12/172.7</f>
        <v>0</v>
      </c>
      <c r="M2968" t="inlineStr">
        <is>
          <t>-172K19.5</t>
        </is>
      </c>
    </row>
    <row r="2969">
      <c r="A2969">
        <v>2968</v>
      </c>
      <c r="B2969">
        <f>GC22</f>
        <v>0</v>
      </c>
      <c r="C2969" t="inlineStr">
        <is>
          <t>+LS2</t>
        </is>
      </c>
      <c r="D2969" t="inlineStr">
        <is>
          <t>-172K20.7</t>
        </is>
      </c>
      <c r="E2969" t="inlineStr">
        <is>
          <t>DILM-9-01</t>
        </is>
      </c>
      <c r="F2969" t="inlineStr">
        <is>
          <t>#KALK!</t>
        </is>
      </c>
      <c r="G2969" t="inlineStr">
        <is>
          <t>LASTSCHUETZ</t>
        </is>
      </c>
      <c r="H2969" t="inlineStr">
        <is>
          <t>4kW 1Oe Federzugkl.</t>
        </is>
      </c>
      <c r="I2969">
        <v>1040</v>
      </c>
      <c r="J2969">
        <f>GC22/172.6</f>
        <v>0</v>
      </c>
      <c r="M2969" t="inlineStr">
        <is>
          <t>-172K20.7</t>
        </is>
      </c>
    </row>
    <row r="2970">
      <c r="A2970">
        <v>2969</v>
      </c>
      <c r="B2970">
        <f>GS12</f>
        <v>0</v>
      </c>
      <c r="C2970" t="inlineStr">
        <is>
          <t>+LS2</t>
        </is>
      </c>
      <c r="D2970" t="inlineStr">
        <is>
          <t>-172K20.7</t>
        </is>
      </c>
      <c r="E2970" t="inlineStr">
        <is>
          <t>DILM-9-01</t>
        </is>
      </c>
      <c r="F2970" t="inlineStr">
        <is>
          <t>#KALK!</t>
        </is>
      </c>
      <c r="G2970" t="inlineStr">
        <is>
          <t>LASTSCHUETZ</t>
        </is>
      </c>
      <c r="H2970" t="inlineStr">
        <is>
          <t>4kW 1Oe Federzugkl.</t>
        </is>
      </c>
      <c r="I2970">
        <v>304</v>
      </c>
      <c r="J2970">
        <f>GS12/172.6</f>
        <v>0</v>
      </c>
      <c r="M2970" t="inlineStr">
        <is>
          <t>-172K20.7</t>
        </is>
      </c>
    </row>
    <row r="2971">
      <c r="A2971">
        <v>2970</v>
      </c>
      <c r="B2971">
        <f>GS02</f>
        <v>0</v>
      </c>
      <c r="C2971" t="inlineStr">
        <is>
          <t>+LS2</t>
        </is>
      </c>
      <c r="D2971" t="inlineStr">
        <is>
          <t>-172K24.0</t>
        </is>
      </c>
      <c r="E2971" t="inlineStr">
        <is>
          <t>DIL_EM-10-G</t>
        </is>
      </c>
      <c r="F2971" t="inlineStr">
        <is>
          <t>#KALK!</t>
        </is>
      </c>
      <c r="G2971" t="inlineStr">
        <is>
          <t>LASTSCHUETZ</t>
        </is>
      </c>
      <c r="H2971" t="inlineStr">
        <is>
          <t>4kW 1S</t>
        </is>
      </c>
      <c r="I2971">
        <v>573</v>
      </c>
      <c r="J2971">
        <f>GS02/172.6</f>
        <v>0</v>
      </c>
      <c r="M2971" t="inlineStr">
        <is>
          <t>-172K24.0</t>
        </is>
      </c>
    </row>
    <row r="2972">
      <c r="A2972">
        <v>2971</v>
      </c>
      <c r="B2972">
        <f>GS34</f>
        <v>0</v>
      </c>
      <c r="C2972" t="inlineStr">
        <is>
          <t>+LS3</t>
        </is>
      </c>
      <c r="D2972" t="inlineStr">
        <is>
          <t>-172K24.0</t>
        </is>
      </c>
      <c r="E2972" t="inlineStr">
        <is>
          <t>DIL_EM-10-G</t>
        </is>
      </c>
      <c r="F2972" t="inlineStr">
        <is>
          <t>#KALK!</t>
        </is>
      </c>
      <c r="G2972" t="inlineStr">
        <is>
          <t>LASTSCHUETZ</t>
        </is>
      </c>
      <c r="H2972" t="inlineStr">
        <is>
          <t>4kW 1S</t>
        </is>
      </c>
      <c r="I2972">
        <v>296</v>
      </c>
      <c r="J2972">
        <f>GS34/172.6</f>
        <v>0</v>
      </c>
      <c r="M2972" t="inlineStr">
        <is>
          <t>-172K24.0</t>
        </is>
      </c>
    </row>
    <row r="2973">
      <c r="A2973">
        <v>2972</v>
      </c>
      <c r="B2973">
        <f>GS02</f>
        <v>0</v>
      </c>
      <c r="C2973" t="inlineStr">
        <is>
          <t>+LS2</t>
        </is>
      </c>
      <c r="D2973" t="inlineStr">
        <is>
          <t>-172K24.1</t>
        </is>
      </c>
      <c r="E2973" t="inlineStr">
        <is>
          <t>DIL_EM-10-G</t>
        </is>
      </c>
      <c r="F2973" t="inlineStr">
        <is>
          <t>#KALK!</t>
        </is>
      </c>
      <c r="G2973" t="inlineStr">
        <is>
          <t>LASTSCHUETZ</t>
        </is>
      </c>
      <c r="H2973" t="inlineStr">
        <is>
          <t>4kW 1S</t>
        </is>
      </c>
      <c r="I2973">
        <v>573</v>
      </c>
      <c r="J2973">
        <f>GS02/172.6</f>
        <v>0</v>
      </c>
      <c r="M2973" t="inlineStr">
        <is>
          <t>-172K24.1</t>
        </is>
      </c>
    </row>
    <row r="2974">
      <c r="A2974">
        <v>2973</v>
      </c>
      <c r="B2974">
        <f>GS34</f>
        <v>0</v>
      </c>
      <c r="C2974" t="inlineStr">
        <is>
          <t>+LS3</t>
        </is>
      </c>
      <c r="D2974" t="inlineStr">
        <is>
          <t>-172K24.1</t>
        </is>
      </c>
      <c r="E2974" t="inlineStr">
        <is>
          <t>DIL_EM-10-G</t>
        </is>
      </c>
      <c r="F2974" t="inlineStr">
        <is>
          <t>#KALK!</t>
        </is>
      </c>
      <c r="G2974" t="inlineStr">
        <is>
          <t>LASTSCHUETZ</t>
        </is>
      </c>
      <c r="H2974" t="inlineStr">
        <is>
          <t>4kW 1S</t>
        </is>
      </c>
      <c r="I2974">
        <v>296</v>
      </c>
      <c r="J2974">
        <f>GS34/172.6</f>
        <v>0</v>
      </c>
      <c r="M2974" t="inlineStr">
        <is>
          <t>-172K24.1</t>
        </is>
      </c>
    </row>
    <row r="2975">
      <c r="A2975">
        <v>2974</v>
      </c>
      <c r="B2975">
        <f>GS26</f>
        <v>0</v>
      </c>
      <c r="C2975" t="inlineStr">
        <is>
          <t>+LS2</t>
        </is>
      </c>
      <c r="D2975" t="inlineStr">
        <is>
          <t>-172K3516.3</t>
        </is>
      </c>
      <c r="E2975" t="inlineStr">
        <is>
          <t>DILM-9-10</t>
        </is>
      </c>
      <c r="F2975" t="inlineStr">
        <is>
          <t>#KALK!</t>
        </is>
      </c>
      <c r="G2975" t="inlineStr">
        <is>
          <t>LASTSCHUETZ</t>
        </is>
      </c>
      <c r="H2975" t="inlineStr">
        <is>
          <t>4kW 1S Federzugkl.</t>
        </is>
      </c>
      <c r="I2975">
        <v>644</v>
      </c>
      <c r="J2975">
        <f>GS26/172.8</f>
        <v>0</v>
      </c>
      <c r="M2975" t="inlineStr">
        <is>
          <t>-172K3516.3</t>
        </is>
      </c>
    </row>
    <row r="2976">
      <c r="A2976">
        <v>2975</v>
      </c>
      <c r="B2976">
        <f>GS23</f>
        <v>0</v>
      </c>
      <c r="C2976" t="inlineStr">
        <is>
          <t>+LS3</t>
        </is>
      </c>
      <c r="D2976" t="inlineStr">
        <is>
          <t>-172K60.4</t>
        </is>
      </c>
      <c r="E2976" t="inlineStr">
        <is>
          <t>DIL_EM-10-G</t>
        </is>
      </c>
      <c r="F2976" t="inlineStr">
        <is>
          <t>#KALK!</t>
        </is>
      </c>
      <c r="G2976" t="inlineStr">
        <is>
          <t>LASTSCHUETZ</t>
        </is>
      </c>
      <c r="H2976" t="inlineStr">
        <is>
          <t>4kW 1S</t>
        </is>
      </c>
      <c r="I2976">
        <v>471</v>
      </c>
      <c r="J2976">
        <f>GS23/172.6</f>
        <v>0</v>
      </c>
      <c r="M2976" t="inlineStr">
        <is>
          <t>-172K60.4</t>
        </is>
      </c>
    </row>
    <row r="2977">
      <c r="A2977">
        <v>2976</v>
      </c>
      <c r="B2977">
        <f>GS15</f>
        <v>0</v>
      </c>
      <c r="C2977" t="inlineStr">
        <is>
          <t>+LS3</t>
        </is>
      </c>
      <c r="D2977" t="inlineStr">
        <is>
          <t>-172K66.0</t>
        </is>
      </c>
      <c r="E2977" t="inlineStr">
        <is>
          <t>DIL_EM-10-G</t>
        </is>
      </c>
      <c r="F2977" t="inlineStr">
        <is>
          <t>#KALK!</t>
        </is>
      </c>
      <c r="G2977" t="inlineStr">
        <is>
          <t>LASTSCHUETZ</t>
        </is>
      </c>
      <c r="H2977" t="inlineStr">
        <is>
          <t>4kW 1S</t>
        </is>
      </c>
      <c r="I2977">
        <v>664</v>
      </c>
      <c r="J2977">
        <f>GS15/172.6</f>
        <v>0</v>
      </c>
      <c r="M2977" t="inlineStr">
        <is>
          <t>-172K66.0</t>
        </is>
      </c>
    </row>
    <row r="2978">
      <c r="A2978">
        <v>2977</v>
      </c>
      <c r="B2978">
        <f>GS15</f>
        <v>0</v>
      </c>
      <c r="C2978" t="inlineStr">
        <is>
          <t>+LS3</t>
        </is>
      </c>
      <c r="D2978" t="inlineStr">
        <is>
          <t>-172K66.1</t>
        </is>
      </c>
      <c r="E2978" t="inlineStr">
        <is>
          <t>DIL_EM-10-G</t>
        </is>
      </c>
      <c r="F2978" t="inlineStr">
        <is>
          <t>#KALK!</t>
        </is>
      </c>
      <c r="G2978" t="inlineStr">
        <is>
          <t>LASTSCHUETZ</t>
        </is>
      </c>
      <c r="H2978" t="inlineStr">
        <is>
          <t>4kW 1S</t>
        </is>
      </c>
      <c r="I2978">
        <v>664</v>
      </c>
      <c r="J2978">
        <f>GS15/172.6</f>
        <v>0</v>
      </c>
      <c r="M2978" t="inlineStr">
        <is>
          <t>-172K66.1</t>
        </is>
      </c>
    </row>
    <row r="2979">
      <c r="A2979">
        <v>2978</v>
      </c>
      <c r="B2979">
        <f>GS14</f>
        <v>0</v>
      </c>
      <c r="C2979" t="inlineStr">
        <is>
          <t>+LS3</t>
        </is>
      </c>
      <c r="D2979" t="inlineStr">
        <is>
          <t>-172K67.6</t>
        </is>
      </c>
      <c r="E2979" t="inlineStr">
        <is>
          <t>DIL_EM-10-G</t>
        </is>
      </c>
      <c r="F2979" t="inlineStr">
        <is>
          <t>#KALK!</t>
        </is>
      </c>
      <c r="G2979" t="inlineStr">
        <is>
          <t>LASTSCHUETZ</t>
        </is>
      </c>
      <c r="H2979" t="inlineStr">
        <is>
          <t>4kW 1S</t>
        </is>
      </c>
      <c r="I2979">
        <v>298</v>
      </c>
      <c r="J2979">
        <f>GS14/172.6</f>
        <v>0</v>
      </c>
      <c r="M2979" t="inlineStr">
        <is>
          <t>-172K67.6</t>
        </is>
      </c>
    </row>
    <row r="2980">
      <c r="A2980">
        <v>2979</v>
      </c>
      <c r="B2980">
        <f>GS24</f>
        <v>0</v>
      </c>
      <c r="C2980" t="inlineStr">
        <is>
          <t>+LS3</t>
        </is>
      </c>
      <c r="D2980" t="inlineStr">
        <is>
          <t>-172K68.2</t>
        </is>
      </c>
      <c r="E2980" t="inlineStr">
        <is>
          <t>DIL_EM-10-G</t>
        </is>
      </c>
      <c r="F2980" t="inlineStr">
        <is>
          <t>#KALK!</t>
        </is>
      </c>
      <c r="G2980" t="inlineStr">
        <is>
          <t>LASTSCHUETZ</t>
        </is>
      </c>
      <c r="H2980" t="inlineStr">
        <is>
          <t>4kW 1S</t>
        </is>
      </c>
      <c r="I2980">
        <v>907</v>
      </c>
      <c r="J2980">
        <f>GS24/172.6</f>
        <v>0</v>
      </c>
      <c r="M2980" t="inlineStr">
        <is>
          <t>-172K68.2</t>
        </is>
      </c>
    </row>
    <row r="2981">
      <c r="A2981">
        <v>2980</v>
      </c>
      <c r="B2981">
        <f>GS24</f>
        <v>0</v>
      </c>
      <c r="C2981" t="inlineStr">
        <is>
          <t>+LS3</t>
        </is>
      </c>
      <c r="D2981" t="inlineStr">
        <is>
          <t>-172K68.3</t>
        </is>
      </c>
      <c r="E2981" t="inlineStr">
        <is>
          <t>DIL_EM-10-G</t>
        </is>
      </c>
      <c r="F2981" t="inlineStr">
        <is>
          <t>#KALK!</t>
        </is>
      </c>
      <c r="G2981" t="inlineStr">
        <is>
          <t>LASTSCHUETZ</t>
        </is>
      </c>
      <c r="H2981" t="inlineStr">
        <is>
          <t>4kW 1S</t>
        </is>
      </c>
      <c r="I2981">
        <v>907</v>
      </c>
      <c r="J2981">
        <f>GS24/172.6</f>
        <v>0</v>
      </c>
      <c r="M2981" t="inlineStr">
        <is>
          <t>-172K68.3</t>
        </is>
      </c>
    </row>
    <row r="2982">
      <c r="A2982">
        <v>2981</v>
      </c>
      <c r="B2982">
        <f>GS01</f>
        <v>0</v>
      </c>
      <c r="C2982" t="inlineStr">
        <is>
          <t>+LS4</t>
        </is>
      </c>
      <c r="D2982" t="inlineStr">
        <is>
          <t>-172K95.7</t>
        </is>
      </c>
      <c r="E2982" t="inlineStr">
        <is>
          <t>DIL_EM-10-G</t>
        </is>
      </c>
      <c r="F2982" t="inlineStr">
        <is>
          <t>#KALK!</t>
        </is>
      </c>
      <c r="G2982" t="inlineStr">
        <is>
          <t>LASTSCHUETZ</t>
        </is>
      </c>
      <c r="H2982" t="inlineStr">
        <is>
          <t>4kW 1S</t>
        </is>
      </c>
      <c r="I2982">
        <v>334</v>
      </c>
      <c r="J2982">
        <f>GS01/172.7</f>
        <v>0</v>
      </c>
      <c r="M2982" t="inlineStr">
        <is>
          <t>-172K95.7</t>
        </is>
      </c>
    </row>
    <row r="2983">
      <c r="A2983">
        <v>2982</v>
      </c>
      <c r="B2983">
        <f>GS52</f>
        <v>0</v>
      </c>
      <c r="C2983" t="inlineStr">
        <is>
          <t>+LS02</t>
        </is>
      </c>
      <c r="D2983" t="inlineStr">
        <is>
          <t>-172Q115.2</t>
        </is>
      </c>
      <c r="E2983" t="inlineStr">
        <is>
          <t>DILM-9-10</t>
        </is>
      </c>
      <c r="F2983" t="inlineStr">
        <is>
          <t>#KALK!</t>
        </is>
      </c>
      <c r="G2983" t="inlineStr">
        <is>
          <t>LASTSCHUETZ</t>
        </is>
      </c>
      <c r="H2983" t="inlineStr">
        <is>
          <t>4kW 1S Federzugkl.</t>
        </is>
      </c>
      <c r="I2983">
        <v>1809</v>
      </c>
      <c r="J2983">
        <f>GS52/172.6</f>
        <v>0</v>
      </c>
      <c r="K2983" t="inlineStr">
        <is>
          <t>DIL MC9</t>
        </is>
      </c>
      <c r="M2983" t="inlineStr">
        <is>
          <t>-172Q115.2</t>
        </is>
      </c>
    </row>
    <row r="2984">
      <c r="A2984">
        <v>2983</v>
      </c>
      <c r="B2984">
        <f>GS08</f>
        <v>0</v>
      </c>
      <c r="C2984" t="inlineStr">
        <is>
          <t>+LS02</t>
        </is>
      </c>
      <c r="D2984" t="inlineStr">
        <is>
          <t>-172Q211.6</t>
        </is>
      </c>
      <c r="E2984" t="inlineStr">
        <is>
          <t>DILM-9-10</t>
        </is>
      </c>
      <c r="F2984" t="inlineStr">
        <is>
          <t>#KALK!</t>
        </is>
      </c>
      <c r="G2984" t="inlineStr">
        <is>
          <t>LASTSCHUETZ</t>
        </is>
      </c>
      <c r="H2984" t="inlineStr">
        <is>
          <t>4kW 1S Federzugkl.</t>
        </is>
      </c>
      <c r="I2984">
        <v>170</v>
      </c>
      <c r="J2984">
        <f>GS08/172.6</f>
        <v>0</v>
      </c>
      <c r="K2984" t="inlineStr">
        <is>
          <t>DIL MC9</t>
        </is>
      </c>
      <c r="M2984" t="inlineStr">
        <is>
          <t>-172Q211.6</t>
        </is>
      </c>
    </row>
    <row r="2985">
      <c r="A2985">
        <v>2984</v>
      </c>
      <c r="B2985">
        <f>GS06</f>
        <v>0</v>
      </c>
      <c r="C2985" t="inlineStr">
        <is>
          <t>+LS22</t>
        </is>
      </c>
      <c r="D2985" t="inlineStr">
        <is>
          <t>-1730Q1</t>
        </is>
      </c>
      <c r="E2985" t="inlineStr">
        <is>
          <t>DILA-XHI22</t>
        </is>
      </c>
      <c r="F2985" t="inlineStr">
        <is>
          <t>DILA-XHI22</t>
        </is>
      </c>
      <c r="G2985" t="inlineStr">
        <is>
          <t>HILFSKONTAKTBLOCK</t>
        </is>
      </c>
      <c r="H2985" t="inlineStr">
        <is>
          <t>2S 2OE Last+Hilfssch. Cage</t>
        </is>
      </c>
      <c r="I2985">
        <v>4494</v>
      </c>
      <c r="J2985">
        <f>GS06/1730.6</f>
        <v>0</v>
      </c>
      <c r="K2985" t="inlineStr">
        <is>
          <t>DIL MC25</t>
        </is>
      </c>
      <c r="M2985" t="inlineStr">
        <is>
          <t>-1730Q1</t>
        </is>
      </c>
    </row>
    <row r="2986">
      <c r="A2986">
        <v>2985</v>
      </c>
      <c r="B2986">
        <f>GS06</f>
        <v>0</v>
      </c>
      <c r="C2986" t="inlineStr">
        <is>
          <t>+LS22</t>
        </is>
      </c>
      <c r="D2986" t="inlineStr">
        <is>
          <t>-1730Q1</t>
        </is>
      </c>
      <c r="E2986" t="inlineStr">
        <is>
          <t>DILMC25-10(RDC24)</t>
        </is>
      </c>
      <c r="F2986" t="inlineStr">
        <is>
          <t>DILA-XHI22</t>
        </is>
      </c>
      <c r="G2986" t="inlineStr">
        <is>
          <t>LASTSCHUETZ</t>
        </is>
      </c>
      <c r="H2986" t="inlineStr">
        <is>
          <t>11kW 1S Federzugkl.</t>
        </is>
      </c>
      <c r="I2986">
        <v>4494</v>
      </c>
      <c r="J2986">
        <f>GS06/1730.6</f>
        <v>0</v>
      </c>
      <c r="K2986" t="inlineStr">
        <is>
          <t>DIL MC25</t>
        </is>
      </c>
      <c r="M2986" t="inlineStr">
        <is>
          <t>-1730Q1</t>
        </is>
      </c>
    </row>
    <row r="2987">
      <c r="A2987">
        <v>2986</v>
      </c>
      <c r="B2987">
        <f>GS55</f>
        <v>0</v>
      </c>
      <c r="C2987" t="inlineStr">
        <is>
          <t>+LS28</t>
        </is>
      </c>
      <c r="D2987" t="inlineStr">
        <is>
          <t>-1730Q1</t>
        </is>
      </c>
      <c r="E2987" t="inlineStr">
        <is>
          <t>DILA-XHI22</t>
        </is>
      </c>
      <c r="F2987" t="inlineStr">
        <is>
          <t>DILA-XHI22</t>
        </is>
      </c>
      <c r="G2987" t="inlineStr">
        <is>
          <t>HILFSKONTAKTBLOCK</t>
        </is>
      </c>
      <c r="H2987" t="inlineStr">
        <is>
          <t>2S 2OE Last+Hilfssch. Cage</t>
        </is>
      </c>
      <c r="I2987">
        <v>1919</v>
      </c>
      <c r="J2987">
        <f>GS55/1730.6</f>
        <v>0</v>
      </c>
      <c r="K2987" t="inlineStr">
        <is>
          <t>DIL MC25</t>
        </is>
      </c>
      <c r="M2987" t="inlineStr">
        <is>
          <t>-1730Q1</t>
        </is>
      </c>
    </row>
    <row r="2988">
      <c r="A2988">
        <v>2987</v>
      </c>
      <c r="B2988">
        <f>GS55</f>
        <v>0</v>
      </c>
      <c r="C2988" t="inlineStr">
        <is>
          <t>+LS28</t>
        </is>
      </c>
      <c r="D2988" t="inlineStr">
        <is>
          <t>-1730Q1</t>
        </is>
      </c>
      <c r="E2988" t="inlineStr">
        <is>
          <t>DILMC25-10(RDC24)</t>
        </is>
      </c>
      <c r="F2988" t="inlineStr">
        <is>
          <t>DILA-XHI22</t>
        </is>
      </c>
      <c r="G2988" t="inlineStr">
        <is>
          <t>LASTSCHUETZ</t>
        </is>
      </c>
      <c r="H2988" t="inlineStr">
        <is>
          <t>11kW 1S Federzugkl.</t>
        </is>
      </c>
      <c r="I2988">
        <v>1919</v>
      </c>
      <c r="J2988">
        <f>GS55/1730.6</f>
        <v>0</v>
      </c>
      <c r="K2988" t="inlineStr">
        <is>
          <t>DIL MC25</t>
        </is>
      </c>
      <c r="M2988" t="inlineStr">
        <is>
          <t>-1730Q1</t>
        </is>
      </c>
    </row>
    <row r="2989">
      <c r="A2989">
        <v>2988</v>
      </c>
      <c r="B2989">
        <f>GS06</f>
        <v>0</v>
      </c>
      <c r="C2989" t="inlineStr">
        <is>
          <t>+LS22</t>
        </is>
      </c>
      <c r="D2989" t="inlineStr">
        <is>
          <t>-1732Q1608.5</t>
        </is>
      </c>
      <c r="E2989" t="inlineStr">
        <is>
          <t>DILM-9-10</t>
        </is>
      </c>
      <c r="F2989" t="inlineStr">
        <is>
          <t>#KALK!</t>
        </is>
      </c>
      <c r="G2989" t="inlineStr">
        <is>
          <t>LASTSCHUETZ</t>
        </is>
      </c>
      <c r="H2989" t="inlineStr">
        <is>
          <t>4kW 1S Federzugkl.</t>
        </is>
      </c>
      <c r="I2989">
        <v>4492</v>
      </c>
      <c r="J2989">
        <f>GS06/1732.6</f>
        <v>0</v>
      </c>
      <c r="K2989" t="inlineStr">
        <is>
          <t>DIL MC9</t>
        </is>
      </c>
      <c r="M2989" t="inlineStr">
        <is>
          <t>-1732Q1608.5</t>
        </is>
      </c>
    </row>
    <row r="2990">
      <c r="A2990">
        <v>2989</v>
      </c>
      <c r="B2990">
        <f>GS13</f>
        <v>0</v>
      </c>
      <c r="C2990" t="inlineStr">
        <is>
          <t>+LS3</t>
        </is>
      </c>
      <c r="D2990" t="inlineStr">
        <is>
          <t>-17360.5</t>
        </is>
      </c>
      <c r="E2990" t="inlineStr">
        <is>
          <t>DIL_EM-10-G</t>
        </is>
      </c>
      <c r="F2990" t="inlineStr">
        <is>
          <t>#KALK!</t>
        </is>
      </c>
      <c r="G2990" t="inlineStr">
        <is>
          <t>LASTSCHUETZ</t>
        </is>
      </c>
      <c r="H2990" t="inlineStr">
        <is>
          <t>4kW 1S</t>
        </is>
      </c>
      <c r="I2990">
        <v>413</v>
      </c>
      <c r="J2990">
        <f>GS13/173.6</f>
        <v>0</v>
      </c>
      <c r="M2990" t="inlineStr">
        <is>
          <t>-17360.5</t>
        </is>
      </c>
    </row>
    <row r="2991">
      <c r="A2991">
        <v>2990</v>
      </c>
      <c r="B2991">
        <f>GS13</f>
        <v>0</v>
      </c>
      <c r="C2991" t="inlineStr">
        <is>
          <t>+LS3</t>
        </is>
      </c>
      <c r="D2991" t="inlineStr">
        <is>
          <t>-17360.6</t>
        </is>
      </c>
      <c r="E2991" t="inlineStr">
        <is>
          <t>DIL_EM-10-G</t>
        </is>
      </c>
      <c r="F2991" t="inlineStr">
        <is>
          <t>#KALK!</t>
        </is>
      </c>
      <c r="G2991" t="inlineStr">
        <is>
          <t>LASTSCHUETZ</t>
        </is>
      </c>
      <c r="H2991" t="inlineStr">
        <is>
          <t>4kW 1S</t>
        </is>
      </c>
      <c r="I2991">
        <v>413</v>
      </c>
      <c r="J2991">
        <f>GS13/173.6</f>
        <v>0</v>
      </c>
      <c r="M2991" t="inlineStr">
        <is>
          <t>-17360.6</t>
        </is>
      </c>
    </row>
    <row r="2992">
      <c r="A2992">
        <v>2991</v>
      </c>
      <c r="B2992">
        <f>GS06</f>
        <v>0</v>
      </c>
      <c r="C2992" t="inlineStr">
        <is>
          <t>+LS22</t>
        </is>
      </c>
      <c r="D2992" t="inlineStr">
        <is>
          <t>-1737Q1608.6</t>
        </is>
      </c>
      <c r="E2992" t="inlineStr">
        <is>
          <t>DILM-9-10</t>
        </is>
      </c>
      <c r="F2992" t="inlineStr">
        <is>
          <t>#KALK!</t>
        </is>
      </c>
      <c r="G2992" t="inlineStr">
        <is>
          <t>LASTSCHUETZ</t>
        </is>
      </c>
      <c r="H2992" t="inlineStr">
        <is>
          <t>4kW 1S Federzugkl.</t>
        </is>
      </c>
      <c r="I2992">
        <v>4487</v>
      </c>
      <c r="J2992">
        <f>GS06/1737.6</f>
        <v>0</v>
      </c>
      <c r="K2992" t="inlineStr">
        <is>
          <t>DIL MC9</t>
        </is>
      </c>
      <c r="M2992" t="inlineStr">
        <is>
          <t>-1737Q1608.6</t>
        </is>
      </c>
    </row>
    <row r="2993">
      <c r="A2993">
        <v>2992</v>
      </c>
      <c r="B2993">
        <f>GS11</f>
        <v>0</v>
      </c>
      <c r="C2993" t="inlineStr">
        <is>
          <t>+LS4</t>
        </is>
      </c>
      <c r="D2993" t="inlineStr">
        <is>
          <t>-173K1</t>
        </is>
      </c>
      <c r="E2993" t="inlineStr">
        <is>
          <t>22_DIL-M</t>
        </is>
      </c>
      <c r="F2993" t="inlineStr">
        <is>
          <t>22_DIL-M</t>
        </is>
      </c>
      <c r="G2993" t="inlineStr">
        <is>
          <t>HILFSKONTAKTBLOCK</t>
        </is>
      </c>
      <c r="H2993" t="inlineStr">
        <is>
          <t>2S 2OE Lastschuetz DIL M</t>
        </is>
      </c>
      <c r="I2993">
        <v>284</v>
      </c>
      <c r="J2993">
        <f>GS11/173.2</f>
        <v>0</v>
      </c>
      <c r="K2993" t="inlineStr">
        <is>
          <t>DIL0AM</t>
        </is>
      </c>
      <c r="M2993" t="inlineStr">
        <is>
          <t>-173K1</t>
        </is>
      </c>
    </row>
    <row r="2994">
      <c r="A2994">
        <v>2993</v>
      </c>
      <c r="B2994">
        <f>GS11</f>
        <v>0</v>
      </c>
      <c r="C2994" t="inlineStr">
        <is>
          <t>+LS4</t>
        </is>
      </c>
      <c r="D2994" t="inlineStr">
        <is>
          <t>-173K1</t>
        </is>
      </c>
      <c r="E2994" t="inlineStr">
        <is>
          <t>DIL_0AM</t>
        </is>
      </c>
      <c r="F2994" t="inlineStr">
        <is>
          <t>22_DIL-M</t>
        </is>
      </c>
      <c r="G2994" t="inlineStr">
        <is>
          <t>LASTSCHUETZ</t>
        </is>
      </c>
      <c r="H2994" t="inlineStr">
        <is>
          <t>11 kW</t>
        </is>
      </c>
      <c r="I2994">
        <v>284</v>
      </c>
      <c r="J2994">
        <f>GS11/173.2</f>
        <v>0</v>
      </c>
      <c r="K2994" t="inlineStr">
        <is>
          <t>DIL0AM</t>
        </is>
      </c>
      <c r="M2994" t="inlineStr">
        <is>
          <t>-173K1</t>
        </is>
      </c>
    </row>
    <row r="2995">
      <c r="A2995">
        <v>2994</v>
      </c>
      <c r="B2995">
        <f>GS21</f>
        <v>0</v>
      </c>
      <c r="C2995" t="inlineStr">
        <is>
          <t>+LS4</t>
        </is>
      </c>
      <c r="D2995" t="inlineStr">
        <is>
          <t>-173K1</t>
        </is>
      </c>
      <c r="E2995" t="inlineStr">
        <is>
          <t>DIL_0AM</t>
        </is>
      </c>
      <c r="F2995" t="inlineStr">
        <is>
          <t>22_DIL-M</t>
        </is>
      </c>
      <c r="G2995" t="inlineStr">
        <is>
          <t>LASTSCHUETZ</t>
        </is>
      </c>
      <c r="H2995" t="inlineStr">
        <is>
          <t>11 kW</t>
        </is>
      </c>
      <c r="I2995">
        <v>258</v>
      </c>
      <c r="J2995">
        <f>GS21/173.2</f>
        <v>0</v>
      </c>
      <c r="K2995" t="inlineStr">
        <is>
          <t>DIL0AM</t>
        </is>
      </c>
      <c r="M2995" t="inlineStr">
        <is>
          <t>-173K1</t>
        </is>
      </c>
    </row>
    <row r="2996">
      <c r="A2996">
        <v>2995</v>
      </c>
      <c r="B2996">
        <f>GS21</f>
        <v>0</v>
      </c>
      <c r="C2996" t="inlineStr">
        <is>
          <t>+LS4</t>
        </is>
      </c>
      <c r="D2996" t="inlineStr">
        <is>
          <t>-173K1</t>
        </is>
      </c>
      <c r="E2996" t="inlineStr">
        <is>
          <t>22_DIL-M</t>
        </is>
      </c>
      <c r="F2996" t="inlineStr">
        <is>
          <t>22_DIL-M</t>
        </is>
      </c>
      <c r="G2996" t="inlineStr">
        <is>
          <t>HILFSKONTAKTBLOCK</t>
        </is>
      </c>
      <c r="H2996" t="inlineStr">
        <is>
          <t>2S 2OE Lastschuetz DIL M</t>
        </is>
      </c>
      <c r="I2996">
        <v>258</v>
      </c>
      <c r="J2996">
        <f>GS21/173.2</f>
        <v>0</v>
      </c>
      <c r="K2996" t="inlineStr">
        <is>
          <t>DIL0AM</t>
        </is>
      </c>
      <c r="M2996" t="inlineStr">
        <is>
          <t>-173K1</t>
        </is>
      </c>
    </row>
    <row r="2997">
      <c r="A2997">
        <v>2996</v>
      </c>
      <c r="B2997">
        <f>GS31</f>
        <v>0</v>
      </c>
      <c r="C2997" t="inlineStr">
        <is>
          <t>+LS2</t>
        </is>
      </c>
      <c r="D2997" t="inlineStr">
        <is>
          <t>-173K1</t>
        </is>
      </c>
      <c r="E2997" t="inlineStr">
        <is>
          <t>22_DIL-M</t>
        </is>
      </c>
      <c r="F2997" t="inlineStr">
        <is>
          <t>22_DIL-M</t>
        </is>
      </c>
      <c r="G2997" t="inlineStr">
        <is>
          <t>HILFSKONTAKTBLOCK</t>
        </is>
      </c>
      <c r="H2997" t="inlineStr">
        <is>
          <t>2S 2OE Lastschuetz DIL M</t>
        </is>
      </c>
      <c r="I2997">
        <v>457</v>
      </c>
      <c r="J2997">
        <f>GS31/173.2</f>
        <v>0</v>
      </c>
      <c r="K2997" t="inlineStr">
        <is>
          <t>DIL0AM</t>
        </is>
      </c>
      <c r="M2997" t="inlineStr">
        <is>
          <t>-173K1</t>
        </is>
      </c>
    </row>
    <row r="2998">
      <c r="A2998">
        <v>2997</v>
      </c>
      <c r="B2998">
        <f>GS31</f>
        <v>0</v>
      </c>
      <c r="C2998" t="inlineStr">
        <is>
          <t>+LS2</t>
        </is>
      </c>
      <c r="D2998" t="inlineStr">
        <is>
          <t>-173K1</t>
        </is>
      </c>
      <c r="E2998" t="inlineStr">
        <is>
          <t>DIL_0AM</t>
        </is>
      </c>
      <c r="F2998" t="inlineStr">
        <is>
          <t>22_DIL-M</t>
        </is>
      </c>
      <c r="G2998" t="inlineStr">
        <is>
          <t>LASTSCHUETZ</t>
        </is>
      </c>
      <c r="H2998" t="inlineStr">
        <is>
          <t>11 kW</t>
        </is>
      </c>
      <c r="I2998">
        <v>457</v>
      </c>
      <c r="J2998">
        <f>GS31/173.2</f>
        <v>0</v>
      </c>
      <c r="K2998" t="inlineStr">
        <is>
          <t>DIL0AM</t>
        </is>
      </c>
      <c r="M2998" t="inlineStr">
        <is>
          <t>-173K1</t>
        </is>
      </c>
    </row>
    <row r="2999">
      <c r="A2999">
        <v>2998</v>
      </c>
      <c r="B2999">
        <f>GS11</f>
        <v>0</v>
      </c>
      <c r="C2999" t="inlineStr">
        <is>
          <t>+LS4</t>
        </is>
      </c>
      <c r="D2999" t="inlineStr">
        <is>
          <t>-173K2</t>
        </is>
      </c>
      <c r="E2999" t="inlineStr">
        <is>
          <t>22_DIL-M</t>
        </is>
      </c>
      <c r="F2999" t="inlineStr">
        <is>
          <t>22_DIL-M</t>
        </is>
      </c>
      <c r="G2999" t="inlineStr">
        <is>
          <t>HILFSKONTAKTBLOCK</t>
        </is>
      </c>
      <c r="H2999" t="inlineStr">
        <is>
          <t>2S 2OE Lastschuetz DIL M</t>
        </is>
      </c>
      <c r="I2999">
        <v>284</v>
      </c>
      <c r="J2999">
        <f>GS11/173.3</f>
        <v>0</v>
      </c>
      <c r="K2999" t="inlineStr">
        <is>
          <t>DIL0AM</t>
        </is>
      </c>
      <c r="M2999" t="inlineStr">
        <is>
          <t>-173K2</t>
        </is>
      </c>
    </row>
    <row r="3000">
      <c r="A3000">
        <v>2999</v>
      </c>
      <c r="B3000">
        <f>GS11</f>
        <v>0</v>
      </c>
      <c r="C3000" t="inlineStr">
        <is>
          <t>+LS4</t>
        </is>
      </c>
      <c r="D3000" t="inlineStr">
        <is>
          <t>-173K2</t>
        </is>
      </c>
      <c r="E3000" t="inlineStr">
        <is>
          <t>DIL_0AM</t>
        </is>
      </c>
      <c r="F3000" t="inlineStr">
        <is>
          <t>22_DIL-M</t>
        </is>
      </c>
      <c r="G3000" t="inlineStr">
        <is>
          <t>LASTSCHUETZ</t>
        </is>
      </c>
      <c r="H3000" t="inlineStr">
        <is>
          <t>11 kW</t>
        </is>
      </c>
      <c r="I3000">
        <v>284</v>
      </c>
      <c r="J3000">
        <f>GS11/173.3</f>
        <v>0</v>
      </c>
      <c r="K3000" t="inlineStr">
        <is>
          <t>DIL0AM</t>
        </is>
      </c>
      <c r="M3000" t="inlineStr">
        <is>
          <t>-173K2</t>
        </is>
      </c>
    </row>
    <row r="3001">
      <c r="A3001">
        <v>3000</v>
      </c>
      <c r="B3001">
        <f>GS21</f>
        <v>0</v>
      </c>
      <c r="C3001" t="inlineStr">
        <is>
          <t>+LS4</t>
        </is>
      </c>
      <c r="D3001" t="inlineStr">
        <is>
          <t>-173K2</t>
        </is>
      </c>
      <c r="E3001" t="inlineStr">
        <is>
          <t>DIL_0AM</t>
        </is>
      </c>
      <c r="F3001" t="inlineStr">
        <is>
          <t>22_DIL-M</t>
        </is>
      </c>
      <c r="G3001" t="inlineStr">
        <is>
          <t>LASTSCHUETZ</t>
        </is>
      </c>
      <c r="H3001" t="inlineStr">
        <is>
          <t>11 kW</t>
        </is>
      </c>
      <c r="I3001">
        <v>258</v>
      </c>
      <c r="J3001">
        <f>GS21/173.3</f>
        <v>0</v>
      </c>
      <c r="K3001" t="inlineStr">
        <is>
          <t>DIL0AM</t>
        </is>
      </c>
      <c r="M3001" t="inlineStr">
        <is>
          <t>-173K2</t>
        </is>
      </c>
    </row>
    <row r="3002">
      <c r="A3002">
        <v>3001</v>
      </c>
      <c r="B3002">
        <f>GS21</f>
        <v>0</v>
      </c>
      <c r="C3002" t="inlineStr">
        <is>
          <t>+LS4</t>
        </is>
      </c>
      <c r="D3002" t="inlineStr">
        <is>
          <t>-173K2</t>
        </is>
      </c>
      <c r="E3002" t="inlineStr">
        <is>
          <t>22_DIL-M</t>
        </is>
      </c>
      <c r="F3002" t="inlineStr">
        <is>
          <t>22_DIL-M</t>
        </is>
      </c>
      <c r="G3002" t="inlineStr">
        <is>
          <t>HILFSKONTAKTBLOCK</t>
        </is>
      </c>
      <c r="H3002" t="inlineStr">
        <is>
          <t>2S 2OE Lastschuetz DIL M</t>
        </is>
      </c>
      <c r="I3002">
        <v>258</v>
      </c>
      <c r="J3002">
        <f>GS21/173.3</f>
        <v>0</v>
      </c>
      <c r="K3002" t="inlineStr">
        <is>
          <t>DIL0AM</t>
        </is>
      </c>
      <c r="M3002" t="inlineStr">
        <is>
          <t>-173K2</t>
        </is>
      </c>
    </row>
    <row r="3003">
      <c r="A3003">
        <v>3002</v>
      </c>
      <c r="B3003">
        <f>GC22</f>
        <v>0</v>
      </c>
      <c r="C3003" t="inlineStr">
        <is>
          <t>+LS2</t>
        </is>
      </c>
      <c r="D3003" t="inlineStr">
        <is>
          <t>-173K20.1</t>
        </is>
      </c>
      <c r="E3003" t="inlineStr">
        <is>
          <t>DIL_EM-10-G</t>
        </is>
      </c>
      <c r="F3003" t="inlineStr">
        <is>
          <t>#KALK!</t>
        </is>
      </c>
      <c r="G3003" t="inlineStr">
        <is>
          <t>LASTSCHUETZ</t>
        </is>
      </c>
      <c r="H3003" t="inlineStr">
        <is>
          <t>4kW 1S</t>
        </is>
      </c>
      <c r="I3003">
        <v>1039</v>
      </c>
      <c r="J3003">
        <f>GC22/173.7</f>
        <v>0</v>
      </c>
      <c r="M3003" t="inlineStr">
        <is>
          <t>-173K20.1</t>
        </is>
      </c>
    </row>
    <row r="3004">
      <c r="A3004">
        <v>3003</v>
      </c>
      <c r="B3004">
        <f>GS12</f>
        <v>0</v>
      </c>
      <c r="C3004" t="inlineStr">
        <is>
          <t>+LS2</t>
        </is>
      </c>
      <c r="D3004" t="inlineStr">
        <is>
          <t>-173K20.1</t>
        </is>
      </c>
      <c r="E3004" t="inlineStr">
        <is>
          <t>DIL_EM-10-G</t>
        </is>
      </c>
      <c r="F3004" t="inlineStr">
        <is>
          <t>#KALK!</t>
        </is>
      </c>
      <c r="G3004" t="inlineStr">
        <is>
          <t>LASTSCHUETZ</t>
        </is>
      </c>
      <c r="H3004" t="inlineStr">
        <is>
          <t>4kW 1S</t>
        </is>
      </c>
      <c r="I3004">
        <v>305</v>
      </c>
      <c r="J3004">
        <f>GS12/173.7</f>
        <v>0</v>
      </c>
      <c r="M3004" t="inlineStr">
        <is>
          <t>-173K20.1</t>
        </is>
      </c>
    </row>
    <row r="3005">
      <c r="A3005">
        <v>3004</v>
      </c>
      <c r="B3005">
        <f>GS02</f>
        <v>0</v>
      </c>
      <c r="C3005" t="inlineStr">
        <is>
          <t>+LS2</t>
        </is>
      </c>
      <c r="D3005" t="inlineStr">
        <is>
          <t>-173K24.2</t>
        </is>
      </c>
      <c r="E3005" t="inlineStr">
        <is>
          <t>DIL_EM-10-G</t>
        </is>
      </c>
      <c r="F3005" t="inlineStr">
        <is>
          <t>#KALK!</t>
        </is>
      </c>
      <c r="G3005" t="inlineStr">
        <is>
          <t>LASTSCHUETZ</t>
        </is>
      </c>
      <c r="H3005" t="inlineStr">
        <is>
          <t>4kW 1S</t>
        </is>
      </c>
      <c r="I3005">
        <v>574</v>
      </c>
      <c r="J3005">
        <f>GS02/173.6</f>
        <v>0</v>
      </c>
      <c r="M3005" t="inlineStr">
        <is>
          <t>-173K24.2</t>
        </is>
      </c>
    </row>
    <row r="3006">
      <c r="A3006">
        <v>3005</v>
      </c>
      <c r="B3006">
        <f>GS34</f>
        <v>0</v>
      </c>
      <c r="C3006" t="inlineStr">
        <is>
          <t>+LS3</t>
        </is>
      </c>
      <c r="D3006" t="inlineStr">
        <is>
          <t>-173K24.2</t>
        </is>
      </c>
      <c r="E3006" t="inlineStr">
        <is>
          <t>DIL_EM-10-G</t>
        </is>
      </c>
      <c r="F3006" t="inlineStr">
        <is>
          <t>#KALK!</t>
        </is>
      </c>
      <c r="G3006" t="inlineStr">
        <is>
          <t>LASTSCHUETZ</t>
        </is>
      </c>
      <c r="H3006" t="inlineStr">
        <is>
          <t>4kW 1S</t>
        </is>
      </c>
      <c r="I3006">
        <v>297</v>
      </c>
      <c r="J3006">
        <f>GS34/173.6</f>
        <v>0</v>
      </c>
      <c r="M3006" t="inlineStr">
        <is>
          <t>-173K24.2</t>
        </is>
      </c>
    </row>
    <row r="3007">
      <c r="A3007">
        <v>3006</v>
      </c>
      <c r="B3007">
        <f>GS02</f>
        <v>0</v>
      </c>
      <c r="C3007" t="inlineStr">
        <is>
          <t>+LS2</t>
        </is>
      </c>
      <c r="D3007" t="inlineStr">
        <is>
          <t>-173K24.3</t>
        </is>
      </c>
      <c r="E3007" t="inlineStr">
        <is>
          <t>DIL_EM-10-G</t>
        </is>
      </c>
      <c r="F3007" t="inlineStr">
        <is>
          <t>#KALK!</t>
        </is>
      </c>
      <c r="G3007" t="inlineStr">
        <is>
          <t>LASTSCHUETZ</t>
        </is>
      </c>
      <c r="H3007" t="inlineStr">
        <is>
          <t>4kW 1S</t>
        </is>
      </c>
      <c r="I3007">
        <v>574</v>
      </c>
      <c r="J3007">
        <f>GS02/173.6</f>
        <v>0</v>
      </c>
      <c r="M3007" t="inlineStr">
        <is>
          <t>-173K24.3</t>
        </is>
      </c>
    </row>
    <row r="3008">
      <c r="A3008">
        <v>3007</v>
      </c>
      <c r="B3008">
        <f>GS34</f>
        <v>0</v>
      </c>
      <c r="C3008" t="inlineStr">
        <is>
          <t>+LS3</t>
        </is>
      </c>
      <c r="D3008" t="inlineStr">
        <is>
          <t>-173K24.3</t>
        </is>
      </c>
      <c r="E3008" t="inlineStr">
        <is>
          <t>DIL_EM-10-G</t>
        </is>
      </c>
      <c r="F3008" t="inlineStr">
        <is>
          <t>#KALK!</t>
        </is>
      </c>
      <c r="G3008" t="inlineStr">
        <is>
          <t>LASTSCHUETZ</t>
        </is>
      </c>
      <c r="H3008" t="inlineStr">
        <is>
          <t>4kW 1S</t>
        </is>
      </c>
      <c r="I3008">
        <v>297</v>
      </c>
      <c r="J3008">
        <f>GS34/173.6</f>
        <v>0</v>
      </c>
      <c r="M3008" t="inlineStr">
        <is>
          <t>-173K24.3</t>
        </is>
      </c>
    </row>
    <row r="3009">
      <c r="A3009">
        <v>3008</v>
      </c>
      <c r="B3009">
        <f>GS26</f>
        <v>0</v>
      </c>
      <c r="C3009" t="inlineStr">
        <is>
          <t>+LS2</t>
        </is>
      </c>
      <c r="D3009" t="inlineStr">
        <is>
          <t>-173K3516.4</t>
        </is>
      </c>
      <c r="E3009" t="inlineStr">
        <is>
          <t>DILM-9-01</t>
        </is>
      </c>
      <c r="F3009" t="inlineStr">
        <is>
          <t>#KALK!</t>
        </is>
      </c>
      <c r="G3009" t="inlineStr">
        <is>
          <t>LASTSCHUETZ</t>
        </is>
      </c>
      <c r="H3009" t="inlineStr">
        <is>
          <t>4kW 1Oe Federzugkl.</t>
        </is>
      </c>
      <c r="I3009">
        <v>643</v>
      </c>
      <c r="J3009">
        <f>GS26/173.6</f>
        <v>0</v>
      </c>
      <c r="M3009" t="inlineStr">
        <is>
          <t>-173K3516.4</t>
        </is>
      </c>
    </row>
    <row r="3010">
      <c r="A3010">
        <v>3009</v>
      </c>
      <c r="B3010">
        <f>GS26</f>
        <v>0</v>
      </c>
      <c r="C3010" t="inlineStr">
        <is>
          <t>+LS2</t>
        </is>
      </c>
      <c r="D3010" t="inlineStr">
        <is>
          <t>-173K3516.5</t>
        </is>
      </c>
      <c r="E3010" t="inlineStr">
        <is>
          <t>DILM-9-10</t>
        </is>
      </c>
      <c r="F3010" t="inlineStr">
        <is>
          <t>#KALK!</t>
        </is>
      </c>
      <c r="G3010" t="inlineStr">
        <is>
          <t>LASTSCHUETZ</t>
        </is>
      </c>
      <c r="H3010" t="inlineStr">
        <is>
          <t>4kW 1S Federzugkl.</t>
        </is>
      </c>
      <c r="I3010">
        <v>643</v>
      </c>
      <c r="J3010">
        <f>GS26/173.7</f>
        <v>0</v>
      </c>
      <c r="M3010" t="inlineStr">
        <is>
          <t>-173K3516.5</t>
        </is>
      </c>
    </row>
    <row r="3011">
      <c r="A3011">
        <v>3010</v>
      </c>
      <c r="B3011">
        <f>GS26</f>
        <v>0</v>
      </c>
      <c r="C3011" t="inlineStr">
        <is>
          <t>+LS2</t>
        </is>
      </c>
      <c r="D3011" t="inlineStr">
        <is>
          <t>-173K3517.7</t>
        </is>
      </c>
      <c r="E3011" t="inlineStr">
        <is>
          <t>DILM-9-01</t>
        </is>
      </c>
      <c r="F3011" t="inlineStr">
        <is>
          <t>#KALK!</t>
        </is>
      </c>
      <c r="G3011" t="inlineStr">
        <is>
          <t>LASTSCHUETZ</t>
        </is>
      </c>
      <c r="H3011" t="inlineStr">
        <is>
          <t>4kW 1Oe Federzugkl.</t>
        </is>
      </c>
      <c r="I3011">
        <v>643</v>
      </c>
      <c r="J3011">
        <f>GS26/173.6</f>
        <v>0</v>
      </c>
      <c r="M3011" t="inlineStr">
        <is>
          <t>-173K3517.7</t>
        </is>
      </c>
    </row>
    <row r="3012">
      <c r="A3012">
        <v>3011</v>
      </c>
      <c r="B3012">
        <f>GS04</f>
        <v>0</v>
      </c>
      <c r="C3012" t="inlineStr">
        <is>
          <t>+LS3</t>
        </is>
      </c>
      <c r="D3012" t="inlineStr">
        <is>
          <t>-173K36.7</t>
        </is>
      </c>
      <c r="E3012" t="inlineStr">
        <is>
          <t>DIL_EM-10-G</t>
        </is>
      </c>
      <c r="F3012" t="inlineStr">
        <is>
          <t>#KALK!</t>
        </is>
      </c>
      <c r="G3012" t="inlineStr">
        <is>
          <t>LASTSCHUETZ</t>
        </is>
      </c>
      <c r="H3012" t="inlineStr">
        <is>
          <t>4kW 1S</t>
        </is>
      </c>
      <c r="I3012">
        <v>423</v>
      </c>
      <c r="J3012">
        <f>GS04/173.7</f>
        <v>0</v>
      </c>
      <c r="M3012" t="inlineStr">
        <is>
          <t>-173K36.7</t>
        </is>
      </c>
    </row>
    <row r="3013">
      <c r="A3013">
        <v>3012</v>
      </c>
      <c r="B3013">
        <f>GS23</f>
        <v>0</v>
      </c>
      <c r="C3013" t="inlineStr">
        <is>
          <t>+LS3</t>
        </is>
      </c>
      <c r="D3013" t="inlineStr">
        <is>
          <t>-173K60.5</t>
        </is>
      </c>
      <c r="E3013" t="inlineStr">
        <is>
          <t>DIL_EM-10-G</t>
        </is>
      </c>
      <c r="F3013" t="inlineStr">
        <is>
          <t>#KALK!</t>
        </is>
      </c>
      <c r="G3013" t="inlineStr">
        <is>
          <t>LASTSCHUETZ</t>
        </is>
      </c>
      <c r="H3013" t="inlineStr">
        <is>
          <t>4kW 1S</t>
        </is>
      </c>
      <c r="I3013">
        <v>472</v>
      </c>
      <c r="J3013">
        <f>GS23/173.6</f>
        <v>0</v>
      </c>
      <c r="M3013" t="inlineStr">
        <is>
          <t>-173K60.5</t>
        </is>
      </c>
    </row>
    <row r="3014">
      <c r="A3014">
        <v>3013</v>
      </c>
      <c r="B3014">
        <f>GS23</f>
        <v>0</v>
      </c>
      <c r="C3014" t="inlineStr">
        <is>
          <t>+LS3</t>
        </is>
      </c>
      <c r="D3014" t="inlineStr">
        <is>
          <t>-173K60.6</t>
        </is>
      </c>
      <c r="E3014" t="inlineStr">
        <is>
          <t>DIL_EM-10-G</t>
        </is>
      </c>
      <c r="F3014" t="inlineStr">
        <is>
          <t>#KALK!</t>
        </is>
      </c>
      <c r="G3014" t="inlineStr">
        <is>
          <t>LASTSCHUETZ</t>
        </is>
      </c>
      <c r="H3014" t="inlineStr">
        <is>
          <t>4kW 1S</t>
        </is>
      </c>
      <c r="I3014">
        <v>472</v>
      </c>
      <c r="J3014">
        <f>GS23/173.6</f>
        <v>0</v>
      </c>
      <c r="M3014" t="inlineStr">
        <is>
          <t>-173K60.6</t>
        </is>
      </c>
    </row>
    <row r="3015">
      <c r="A3015">
        <v>3014</v>
      </c>
      <c r="B3015">
        <f>GS14</f>
        <v>0</v>
      </c>
      <c r="C3015" t="inlineStr">
        <is>
          <t>+LS3</t>
        </is>
      </c>
      <c r="D3015" t="inlineStr">
        <is>
          <t>-173K68.2</t>
        </is>
      </c>
      <c r="E3015" t="inlineStr">
        <is>
          <t>DIL_EM-10-G</t>
        </is>
      </c>
      <c r="F3015" t="inlineStr">
        <is>
          <t>#KALK!</t>
        </is>
      </c>
      <c r="G3015" t="inlineStr">
        <is>
          <t>LASTSCHUETZ</t>
        </is>
      </c>
      <c r="H3015" t="inlineStr">
        <is>
          <t>4kW 1S</t>
        </is>
      </c>
      <c r="I3015">
        <v>299</v>
      </c>
      <c r="J3015">
        <f>GS14/173.7</f>
        <v>0</v>
      </c>
      <c r="M3015" t="inlineStr">
        <is>
          <t>-173K68.2</t>
        </is>
      </c>
    </row>
    <row r="3016">
      <c r="A3016">
        <v>3015</v>
      </c>
      <c r="B3016">
        <f>GS01</f>
        <v>0</v>
      </c>
      <c r="C3016" t="inlineStr">
        <is>
          <t>+LS4</t>
        </is>
      </c>
      <c r="D3016" t="inlineStr">
        <is>
          <t>-173K96.3</t>
        </is>
      </c>
      <c r="E3016" t="inlineStr">
        <is>
          <t>DIL_EM-10-G</t>
        </is>
      </c>
      <c r="F3016" t="inlineStr">
        <is>
          <t>#KALK!</t>
        </is>
      </c>
      <c r="G3016" t="inlineStr">
        <is>
          <t>LASTSCHUETZ</t>
        </is>
      </c>
      <c r="H3016" t="inlineStr">
        <is>
          <t>4kW 1S</t>
        </is>
      </c>
      <c r="I3016">
        <v>335</v>
      </c>
      <c r="J3016">
        <f>GS01/173.7</f>
        <v>0</v>
      </c>
      <c r="M3016" t="inlineStr">
        <is>
          <t>-173K96.3</t>
        </is>
      </c>
    </row>
    <row r="3017">
      <c r="A3017">
        <v>3016</v>
      </c>
      <c r="B3017">
        <f>GS52</f>
        <v>0</v>
      </c>
      <c r="C3017" t="inlineStr">
        <is>
          <t>+LS02</t>
        </is>
      </c>
      <c r="D3017" t="inlineStr">
        <is>
          <t>-173Q115.3</t>
        </is>
      </c>
      <c r="E3017" t="inlineStr">
        <is>
          <t>DILM-9-10</t>
        </is>
      </c>
      <c r="F3017" t="inlineStr">
        <is>
          <t>#KALK!</t>
        </is>
      </c>
      <c r="G3017" t="inlineStr">
        <is>
          <t>LASTSCHUETZ</t>
        </is>
      </c>
      <c r="H3017" t="inlineStr">
        <is>
          <t>4kW 1S Federzugkl.</t>
        </is>
      </c>
      <c r="I3017">
        <v>1653</v>
      </c>
      <c r="J3017">
        <f>GS52/173.6</f>
        <v>0</v>
      </c>
      <c r="K3017" t="inlineStr">
        <is>
          <t>DIL MC9</t>
        </is>
      </c>
      <c r="M3017" t="inlineStr">
        <is>
          <t>-173Q115.3</t>
        </is>
      </c>
    </row>
    <row r="3018">
      <c r="A3018">
        <v>3017</v>
      </c>
      <c r="B3018">
        <f>GS24</f>
        <v>0</v>
      </c>
      <c r="C3018" t="inlineStr">
        <is>
          <t>+LS3</t>
        </is>
      </c>
      <c r="D3018" t="inlineStr">
        <is>
          <t>-174.1KQ97.0</t>
        </is>
      </c>
      <c r="E3018" t="inlineStr">
        <is>
          <t>DILM-9-10</t>
        </is>
      </c>
      <c r="F3018" t="inlineStr">
        <is>
          <t>#KALK!</t>
        </is>
      </c>
      <c r="G3018" t="inlineStr">
        <is>
          <t>LASTSCHUETZ</t>
        </is>
      </c>
      <c r="H3018" t="inlineStr">
        <is>
          <t>4kW 1S Federzugkl.</t>
        </is>
      </c>
      <c r="I3018">
        <v>111</v>
      </c>
      <c r="J3018">
        <f>GS24/174.1.6</f>
        <v>0</v>
      </c>
      <c r="K3018" t="inlineStr">
        <is>
          <t>DIL MC9</t>
        </is>
      </c>
      <c r="M3018" t="inlineStr">
        <is>
          <t>-174.1KQ97.0</t>
        </is>
      </c>
    </row>
    <row r="3019">
      <c r="A3019">
        <v>3018</v>
      </c>
      <c r="B3019">
        <f>GS13</f>
        <v>0</v>
      </c>
      <c r="C3019" t="inlineStr">
        <is>
          <t>+ES1</t>
        </is>
      </c>
      <c r="D3019" t="inlineStr">
        <is>
          <t>-174.3</t>
        </is>
      </c>
      <c r="E3019" t="inlineStr">
        <is>
          <t>DILA-31</t>
        </is>
      </c>
      <c r="F3019" t="inlineStr">
        <is>
          <t>#KALK!</t>
        </is>
      </c>
      <c r="G3019" t="inlineStr">
        <is>
          <t>HILFSSCHUETZ</t>
        </is>
      </c>
      <c r="H3019" t="inlineStr">
        <is>
          <t>3S 1Oe Federzugkl.</t>
        </is>
      </c>
      <c r="I3019">
        <v>245</v>
      </c>
      <c r="J3019">
        <f>GS13/17.6</f>
        <v>0</v>
      </c>
      <c r="M3019" t="inlineStr">
        <is>
          <t>-174.3</t>
        </is>
      </c>
    </row>
    <row r="3020">
      <c r="A3020">
        <v>3019</v>
      </c>
      <c r="B3020">
        <f>GS90</f>
        <v>0</v>
      </c>
      <c r="C3020" t="inlineStr">
        <is>
          <t>+LS20</t>
        </is>
      </c>
      <c r="D3020" t="inlineStr">
        <is>
          <t>-1745K1322.0</t>
        </is>
      </c>
      <c r="E3020" t="inlineStr">
        <is>
          <t>DILA-40</t>
        </is>
      </c>
      <c r="F3020" t="inlineStr">
        <is>
          <t>#KALK!</t>
        </is>
      </c>
      <c r="G3020" t="inlineStr">
        <is>
          <t>HILFSSCHUETZ</t>
        </is>
      </c>
      <c r="H3020" t="inlineStr">
        <is>
          <t>4S Federzugkl.</t>
        </is>
      </c>
      <c r="I3020">
        <v>2410</v>
      </c>
      <c r="J3020">
        <f>GS90/1745.7</f>
        <v>0</v>
      </c>
      <c r="M3020" t="inlineStr">
        <is>
          <t>-1745K1322.0</t>
        </is>
      </c>
    </row>
    <row r="3021">
      <c r="A3021">
        <v>3020</v>
      </c>
      <c r="B3021">
        <f>GS06</f>
        <v>0</v>
      </c>
      <c r="C3021" t="inlineStr">
        <is>
          <t>+LS22</t>
        </is>
      </c>
      <c r="D3021" t="inlineStr">
        <is>
          <t>-1745Q1</t>
        </is>
      </c>
      <c r="E3021" t="inlineStr">
        <is>
          <t>DILA-XHI22</t>
        </is>
      </c>
      <c r="F3021" t="inlineStr">
        <is>
          <t>DILA-XHI22</t>
        </is>
      </c>
      <c r="G3021" t="inlineStr">
        <is>
          <t>HILFSKONTAKTBLOCK</t>
        </is>
      </c>
      <c r="H3021" t="inlineStr">
        <is>
          <t>2S 2OE Last+Hilfssch. Cage</t>
        </is>
      </c>
      <c r="I3021">
        <v>4479</v>
      </c>
      <c r="J3021">
        <f>GS06/1745.6</f>
        <v>0</v>
      </c>
      <c r="K3021" t="inlineStr">
        <is>
          <t>DIL MC25</t>
        </is>
      </c>
      <c r="M3021" t="inlineStr">
        <is>
          <t>-1745Q1</t>
        </is>
      </c>
    </row>
    <row r="3022">
      <c r="A3022">
        <v>3021</v>
      </c>
      <c r="B3022">
        <f>GS06</f>
        <v>0</v>
      </c>
      <c r="C3022" t="inlineStr">
        <is>
          <t>+LS22</t>
        </is>
      </c>
      <c r="D3022" t="inlineStr">
        <is>
          <t>-1745Q1</t>
        </is>
      </c>
      <c r="E3022" t="inlineStr">
        <is>
          <t>DILMC25-10(RDC24)</t>
        </is>
      </c>
      <c r="F3022" t="inlineStr">
        <is>
          <t>DILA-XHI22</t>
        </is>
      </c>
      <c r="G3022" t="inlineStr">
        <is>
          <t>LASTSCHUETZ</t>
        </is>
      </c>
      <c r="H3022" t="inlineStr">
        <is>
          <t>11kW 1S Federzugkl.</t>
        </is>
      </c>
      <c r="I3022">
        <v>4479</v>
      </c>
      <c r="J3022">
        <f>GS06/1745.6</f>
        <v>0</v>
      </c>
      <c r="K3022" t="inlineStr">
        <is>
          <t>DIL MC25</t>
        </is>
      </c>
      <c r="M3022" t="inlineStr">
        <is>
          <t>-1745Q1</t>
        </is>
      </c>
    </row>
    <row r="3023">
      <c r="A3023">
        <v>3022</v>
      </c>
      <c r="B3023">
        <f>GS90</f>
        <v>0</v>
      </c>
      <c r="C3023" t="inlineStr">
        <is>
          <t>+LS20</t>
        </is>
      </c>
      <c r="D3023" t="inlineStr">
        <is>
          <t>-1745Q1</t>
        </is>
      </c>
      <c r="E3023" t="inlineStr">
        <is>
          <t>DILM150-XHIC22</t>
        </is>
      </c>
      <c r="F3023" t="inlineStr">
        <is>
          <t>DILM150-XHIC22</t>
        </is>
      </c>
      <c r="G3023" t="inlineStr">
        <is>
          <t>HILFSKONTAKTBLOCK</t>
        </is>
      </c>
      <c r="H3023" t="inlineStr">
        <is>
          <t>2S 2OE ab DILMC40</t>
        </is>
      </c>
      <c r="I3023">
        <v>2410</v>
      </c>
      <c r="J3023">
        <f>GS90/1745.4</f>
        <v>0</v>
      </c>
      <c r="K3023" t="inlineStr">
        <is>
          <t>DIL MC 65</t>
        </is>
      </c>
      <c r="M3023" t="inlineStr">
        <is>
          <t>-1745Q1</t>
        </is>
      </c>
    </row>
    <row r="3024">
      <c r="A3024">
        <v>3023</v>
      </c>
      <c r="B3024">
        <f>GS90</f>
        <v>0</v>
      </c>
      <c r="C3024" t="inlineStr">
        <is>
          <t>+LS20</t>
        </is>
      </c>
      <c r="D3024" t="inlineStr">
        <is>
          <t>-1745Q1</t>
        </is>
      </c>
      <c r="E3024" t="inlineStr">
        <is>
          <t>DILMC65(RDC24)</t>
        </is>
      </c>
      <c r="F3024" t="inlineStr">
        <is>
          <t>DILM150-XHIC22</t>
        </is>
      </c>
      <c r="G3024" t="inlineStr">
        <is>
          <t>LASTSCHUETZ</t>
        </is>
      </c>
      <c r="H3024" t="inlineStr">
        <is>
          <t>30kW Federzugkl.</t>
        </is>
      </c>
      <c r="I3024">
        <v>2410</v>
      </c>
      <c r="J3024">
        <f>GS90/1745.4</f>
        <v>0</v>
      </c>
      <c r="K3024" t="inlineStr">
        <is>
          <t>DIL MC 65</t>
        </is>
      </c>
      <c r="M3024" t="inlineStr">
        <is>
          <t>-1745Q1</t>
        </is>
      </c>
    </row>
    <row r="3025">
      <c r="A3025">
        <v>3024</v>
      </c>
      <c r="B3025">
        <f>GS13</f>
        <v>0</v>
      </c>
      <c r="C3025" t="inlineStr">
        <is>
          <t>+LS3</t>
        </is>
      </c>
      <c r="D3025" t="inlineStr">
        <is>
          <t>-17460.7</t>
        </is>
      </c>
      <c r="E3025" t="inlineStr">
        <is>
          <t>DIL_EM-10-G</t>
        </is>
      </c>
      <c r="F3025" t="inlineStr">
        <is>
          <t>#KALK!</t>
        </is>
      </c>
      <c r="G3025" t="inlineStr">
        <is>
          <t>LASTSCHUETZ</t>
        </is>
      </c>
      <c r="H3025" t="inlineStr">
        <is>
          <t>4kW 1S</t>
        </is>
      </c>
      <c r="I3025">
        <v>414</v>
      </c>
      <c r="J3025">
        <f>GS13/174.6</f>
        <v>0</v>
      </c>
      <c r="M3025" t="inlineStr">
        <is>
          <t>-17460.7</t>
        </is>
      </c>
    </row>
    <row r="3026">
      <c r="A3026">
        <v>3025</v>
      </c>
      <c r="B3026">
        <f>GS13</f>
        <v>0</v>
      </c>
      <c r="C3026" t="inlineStr">
        <is>
          <t>+LS3</t>
        </is>
      </c>
      <c r="D3026" t="inlineStr">
        <is>
          <t>-17461.0</t>
        </is>
      </c>
      <c r="E3026" t="inlineStr">
        <is>
          <t>DIL_EM-10-G</t>
        </is>
      </c>
      <c r="F3026" t="inlineStr">
        <is>
          <t>#KALK!</t>
        </is>
      </c>
      <c r="G3026" t="inlineStr">
        <is>
          <t>LASTSCHUETZ</t>
        </is>
      </c>
      <c r="H3026" t="inlineStr">
        <is>
          <t>4kW 1S</t>
        </is>
      </c>
      <c r="I3026">
        <v>414</v>
      </c>
      <c r="J3026">
        <f>GS13/174.6</f>
        <v>0</v>
      </c>
      <c r="M3026" t="inlineStr">
        <is>
          <t>-17461.0</t>
        </is>
      </c>
    </row>
    <row r="3027">
      <c r="A3027">
        <v>3026</v>
      </c>
      <c r="B3027">
        <f>GS06</f>
        <v>0</v>
      </c>
      <c r="C3027" t="inlineStr">
        <is>
          <t>+LS22</t>
        </is>
      </c>
      <c r="D3027" t="inlineStr">
        <is>
          <t>-1747Q1613.1</t>
        </is>
      </c>
      <c r="E3027" t="inlineStr">
        <is>
          <t>DILM-9-10</t>
        </is>
      </c>
      <c r="F3027" t="inlineStr">
        <is>
          <t>#KALK!</t>
        </is>
      </c>
      <c r="G3027" t="inlineStr">
        <is>
          <t>LASTSCHUETZ</t>
        </is>
      </c>
      <c r="H3027" t="inlineStr">
        <is>
          <t>4kW 1S Federzugkl.</t>
        </is>
      </c>
      <c r="I3027">
        <v>4477</v>
      </c>
      <c r="J3027">
        <f>GS06/1747.6</f>
        <v>0</v>
      </c>
      <c r="K3027" t="inlineStr">
        <is>
          <t>DIL MC9</t>
        </is>
      </c>
      <c r="M3027" t="inlineStr">
        <is>
          <t>-1747Q1613.1</t>
        </is>
      </c>
    </row>
    <row r="3028">
      <c r="A3028">
        <v>3027</v>
      </c>
      <c r="B3028">
        <f>GS90</f>
        <v>0</v>
      </c>
      <c r="C3028" t="inlineStr">
        <is>
          <t>+LS20</t>
        </is>
      </c>
      <c r="D3028" t="inlineStr">
        <is>
          <t>-1748K1322.2</t>
        </is>
      </c>
      <c r="E3028" t="inlineStr">
        <is>
          <t>DILA-22</t>
        </is>
      </c>
      <c r="F3028" t="inlineStr">
        <is>
          <t>#KALK!</t>
        </is>
      </c>
      <c r="G3028" t="inlineStr">
        <is>
          <t>HILFSSCHUETZ</t>
        </is>
      </c>
      <c r="H3028" t="inlineStr">
        <is>
          <t>2S 2Oe Federzugkl.</t>
        </is>
      </c>
      <c r="I3028">
        <v>2407</v>
      </c>
      <c r="J3028">
        <f>GS90/1748.5</f>
        <v>0</v>
      </c>
      <c r="M3028" t="inlineStr">
        <is>
          <t>-1748K1322.2</t>
        </is>
      </c>
    </row>
    <row r="3029">
      <c r="A3029">
        <v>3028</v>
      </c>
      <c r="B3029">
        <f>GS90</f>
        <v>0</v>
      </c>
      <c r="C3029" t="inlineStr">
        <is>
          <t>+LS20</t>
        </is>
      </c>
      <c r="D3029" t="inlineStr">
        <is>
          <t>-1748Q1322.3</t>
        </is>
      </c>
      <c r="E3029" t="inlineStr">
        <is>
          <t>DILM-9-10</t>
        </is>
      </c>
      <c r="F3029" t="inlineStr">
        <is>
          <t>#KALK!</t>
        </is>
      </c>
      <c r="G3029" t="inlineStr">
        <is>
          <t>LASTSCHUETZ</t>
        </is>
      </c>
      <c r="H3029" t="inlineStr">
        <is>
          <t>4kW 1S Federzugkl.</t>
        </is>
      </c>
      <c r="I3029">
        <v>2407</v>
      </c>
      <c r="J3029">
        <f>GS90/1748.7</f>
        <v>0</v>
      </c>
      <c r="M3029" t="inlineStr">
        <is>
          <t>-1748Q1322.3</t>
        </is>
      </c>
    </row>
    <row r="3030">
      <c r="A3030">
        <v>3029</v>
      </c>
      <c r="B3030">
        <f>GS32</f>
        <v>0</v>
      </c>
      <c r="C3030" t="inlineStr">
        <is>
          <t>+LS3</t>
        </is>
      </c>
      <c r="D3030" t="inlineStr">
        <is>
          <t>-174K1</t>
        </is>
      </c>
      <c r="E3030" t="inlineStr">
        <is>
          <t>22_DIL-M</t>
        </is>
      </c>
      <c r="F3030" t="inlineStr">
        <is>
          <t>22_DIL-M</t>
        </is>
      </c>
      <c r="G3030" t="inlineStr">
        <is>
          <t>HILFSKONTAKTBLOCK</t>
        </is>
      </c>
      <c r="H3030" t="inlineStr">
        <is>
          <t>2S 2OE Lastschuetz DIL M</t>
        </is>
      </c>
      <c r="I3030">
        <v>1116</v>
      </c>
      <c r="J3030">
        <f>GS32/174.2</f>
        <v>0</v>
      </c>
      <c r="K3030" t="inlineStr">
        <is>
          <t>DIL0AM</t>
        </is>
      </c>
      <c r="M3030" t="inlineStr">
        <is>
          <t>-174K1</t>
        </is>
      </c>
    </row>
    <row r="3031">
      <c r="A3031">
        <v>3030</v>
      </c>
      <c r="B3031">
        <f>GS32</f>
        <v>0</v>
      </c>
      <c r="C3031" t="inlineStr">
        <is>
          <t>+LS3</t>
        </is>
      </c>
      <c r="D3031" t="inlineStr">
        <is>
          <t>-174K1</t>
        </is>
      </c>
      <c r="E3031" t="inlineStr">
        <is>
          <t>DIL_0AM</t>
        </is>
      </c>
      <c r="F3031" t="inlineStr">
        <is>
          <t>22_DIL-M</t>
        </is>
      </c>
      <c r="G3031" t="inlineStr">
        <is>
          <t>LASTSCHUETZ</t>
        </is>
      </c>
      <c r="H3031" t="inlineStr">
        <is>
          <t>11 kW</t>
        </is>
      </c>
      <c r="I3031">
        <v>1116</v>
      </c>
      <c r="J3031">
        <f>GS32/174.2</f>
        <v>0</v>
      </c>
      <c r="K3031" t="inlineStr">
        <is>
          <t>DIL0AM</t>
        </is>
      </c>
      <c r="M3031" t="inlineStr">
        <is>
          <t>-174K1</t>
        </is>
      </c>
    </row>
    <row r="3032">
      <c r="A3032">
        <v>3031</v>
      </c>
      <c r="B3032">
        <f>GS02</f>
        <v>0</v>
      </c>
      <c r="C3032" t="inlineStr">
        <is>
          <t>+LS2</t>
        </is>
      </c>
      <c r="D3032" t="inlineStr">
        <is>
          <t>-174K24.7</t>
        </is>
      </c>
      <c r="E3032" t="inlineStr">
        <is>
          <t>DIL_EM-10-G</t>
        </is>
      </c>
      <c r="F3032" t="inlineStr">
        <is>
          <t>#KALK!</t>
        </is>
      </c>
      <c r="G3032" t="inlineStr">
        <is>
          <t>LASTSCHUETZ</t>
        </is>
      </c>
      <c r="H3032" t="inlineStr">
        <is>
          <t>4kW 1S</t>
        </is>
      </c>
      <c r="I3032">
        <v>575</v>
      </c>
      <c r="J3032">
        <f>GS02/174.7</f>
        <v>0</v>
      </c>
      <c r="M3032" t="inlineStr">
        <is>
          <t>-174K24.7</t>
        </is>
      </c>
    </row>
    <row r="3033">
      <c r="A3033">
        <v>3032</v>
      </c>
      <c r="B3033">
        <f>GS34</f>
        <v>0</v>
      </c>
      <c r="C3033" t="inlineStr">
        <is>
          <t>+LS3</t>
        </is>
      </c>
      <c r="D3033" t="inlineStr">
        <is>
          <t>-174K24.7</t>
        </is>
      </c>
      <c r="E3033" t="inlineStr">
        <is>
          <t>DIL_EM-10-G</t>
        </is>
      </c>
      <c r="F3033" t="inlineStr">
        <is>
          <t>#KALK!</t>
        </is>
      </c>
      <c r="G3033" t="inlineStr">
        <is>
          <t>LASTSCHUETZ</t>
        </is>
      </c>
      <c r="H3033" t="inlineStr">
        <is>
          <t>4kW 1S</t>
        </is>
      </c>
      <c r="I3033">
        <v>298</v>
      </c>
      <c r="J3033">
        <f>GS34/174.7</f>
        <v>0</v>
      </c>
      <c r="M3033" t="inlineStr">
        <is>
          <t>-174K24.7</t>
        </is>
      </c>
    </row>
    <row r="3034">
      <c r="A3034">
        <v>3033</v>
      </c>
      <c r="B3034">
        <f>GS26</f>
        <v>0</v>
      </c>
      <c r="C3034" t="inlineStr">
        <is>
          <t>+LS2</t>
        </is>
      </c>
      <c r="D3034" t="inlineStr">
        <is>
          <t>-174K3517.1</t>
        </is>
      </c>
      <c r="E3034" t="inlineStr">
        <is>
          <t>DILM-9-10</t>
        </is>
      </c>
      <c r="F3034" t="inlineStr">
        <is>
          <t>#KALK!</t>
        </is>
      </c>
      <c r="G3034" t="inlineStr">
        <is>
          <t>LASTSCHUETZ</t>
        </is>
      </c>
      <c r="H3034" t="inlineStr">
        <is>
          <t>4kW 1S Federzugkl.</t>
        </is>
      </c>
      <c r="I3034">
        <v>642</v>
      </c>
      <c r="J3034">
        <f>GS26/174.8</f>
        <v>0</v>
      </c>
      <c r="M3034" t="inlineStr">
        <is>
          <t>-174K3517.1</t>
        </is>
      </c>
    </row>
    <row r="3035">
      <c r="A3035">
        <v>3034</v>
      </c>
      <c r="B3035">
        <f>GS16</f>
        <v>0</v>
      </c>
      <c r="C3035" t="inlineStr">
        <is>
          <t>+LS3</t>
        </is>
      </c>
      <c r="D3035" t="inlineStr">
        <is>
          <t>-174K36.0</t>
        </is>
      </c>
      <c r="E3035" t="inlineStr">
        <is>
          <t>DIL_ER-22-G</t>
        </is>
      </c>
      <c r="F3035" t="inlineStr">
        <is>
          <t>#KALK!</t>
        </is>
      </c>
      <c r="G3035" t="inlineStr">
        <is>
          <t>HILFSSCHUETZ</t>
        </is>
      </c>
      <c r="H3035" t="inlineStr">
        <is>
          <t>2S 2OE</t>
        </is>
      </c>
      <c r="I3035">
        <v>396</v>
      </c>
      <c r="J3035">
        <f>GS16/174.5</f>
        <v>0</v>
      </c>
      <c r="M3035" t="inlineStr">
        <is>
          <t>-174K36.0</t>
        </is>
      </c>
    </row>
    <row r="3036">
      <c r="A3036">
        <v>3035</v>
      </c>
      <c r="B3036">
        <f>GS16</f>
        <v>0</v>
      </c>
      <c r="C3036" t="inlineStr">
        <is>
          <t>+LS3</t>
        </is>
      </c>
      <c r="D3036" t="inlineStr">
        <is>
          <t>-174K36.1</t>
        </is>
      </c>
      <c r="E3036" t="inlineStr">
        <is>
          <t>DIL_ER-22-G</t>
        </is>
      </c>
      <c r="F3036" t="inlineStr">
        <is>
          <t>#KALK!</t>
        </is>
      </c>
      <c r="G3036" t="inlineStr">
        <is>
          <t>HILFSSCHUETZ</t>
        </is>
      </c>
      <c r="H3036" t="inlineStr">
        <is>
          <t>2S 2OE</t>
        </is>
      </c>
      <c r="I3036">
        <v>396</v>
      </c>
      <c r="J3036">
        <f>GS16/174.6</f>
        <v>0</v>
      </c>
      <c r="M3036" t="inlineStr">
        <is>
          <t>-174K36.1</t>
        </is>
      </c>
    </row>
    <row r="3037">
      <c r="A3037">
        <v>3036</v>
      </c>
      <c r="B3037">
        <f>GS16</f>
        <v>0</v>
      </c>
      <c r="C3037" t="inlineStr">
        <is>
          <t>+LS3</t>
        </is>
      </c>
      <c r="D3037" t="inlineStr">
        <is>
          <t>-174K36.2</t>
        </is>
      </c>
      <c r="E3037" t="inlineStr">
        <is>
          <t>DIL_ER-22-G</t>
        </is>
      </c>
      <c r="F3037" t="inlineStr">
        <is>
          <t>#KALK!</t>
        </is>
      </c>
      <c r="G3037" t="inlineStr">
        <is>
          <t>HILFSSCHUETZ</t>
        </is>
      </c>
      <c r="H3037" t="inlineStr">
        <is>
          <t>2S 2OE</t>
        </is>
      </c>
      <c r="I3037">
        <v>396</v>
      </c>
      <c r="J3037">
        <f>GS16/174.7</f>
        <v>0</v>
      </c>
      <c r="M3037" t="inlineStr">
        <is>
          <t>-174K36.2</t>
        </is>
      </c>
    </row>
    <row r="3038">
      <c r="A3038">
        <v>3037</v>
      </c>
      <c r="B3038">
        <f>GS16</f>
        <v>0</v>
      </c>
      <c r="C3038" t="inlineStr">
        <is>
          <t>+LS3</t>
        </is>
      </c>
      <c r="D3038" t="inlineStr">
        <is>
          <t>-174K36.4</t>
        </is>
      </c>
      <c r="E3038" t="inlineStr">
        <is>
          <t>DIL_EM-10-G</t>
        </is>
      </c>
      <c r="F3038" t="inlineStr">
        <is>
          <t>#KALK!</t>
        </is>
      </c>
      <c r="G3038" t="inlineStr">
        <is>
          <t>LASTSCHUETZ</t>
        </is>
      </c>
      <c r="H3038" t="inlineStr">
        <is>
          <t>4kW 1S</t>
        </is>
      </c>
      <c r="I3038">
        <v>396</v>
      </c>
      <c r="J3038">
        <f>GS16/174.7</f>
        <v>0</v>
      </c>
      <c r="M3038" t="inlineStr">
        <is>
          <t>-174K36.4</t>
        </is>
      </c>
    </row>
    <row r="3039">
      <c r="A3039">
        <v>3038</v>
      </c>
      <c r="B3039">
        <f>GS11</f>
        <v>0</v>
      </c>
      <c r="C3039" t="inlineStr">
        <is>
          <t>+LS4</t>
        </is>
      </c>
      <c r="D3039" t="inlineStr">
        <is>
          <t>-174K46.7</t>
        </is>
      </c>
      <c r="E3039" t="inlineStr">
        <is>
          <t>DIL_EM-10-G</t>
        </is>
      </c>
      <c r="F3039" t="inlineStr">
        <is>
          <t>#KALK!</t>
        </is>
      </c>
      <c r="G3039" t="inlineStr">
        <is>
          <t>LASTSCHUETZ</t>
        </is>
      </c>
      <c r="H3039" t="inlineStr">
        <is>
          <t>4kW 1S</t>
        </is>
      </c>
      <c r="I3039">
        <v>285</v>
      </c>
      <c r="J3039">
        <f>GS11/174.7</f>
        <v>0</v>
      </c>
      <c r="M3039" t="inlineStr">
        <is>
          <t>-174K46.7</t>
        </is>
      </c>
    </row>
    <row r="3040">
      <c r="A3040">
        <v>3039</v>
      </c>
      <c r="B3040">
        <f>GS11</f>
        <v>0</v>
      </c>
      <c r="C3040" t="inlineStr">
        <is>
          <t>+LS4</t>
        </is>
      </c>
      <c r="D3040" t="inlineStr">
        <is>
          <t>-174K47.0</t>
        </is>
      </c>
      <c r="E3040" t="inlineStr">
        <is>
          <t>DIL_EM-10-G</t>
        </is>
      </c>
      <c r="F3040" t="inlineStr">
        <is>
          <t>#KALK!</t>
        </is>
      </c>
      <c r="G3040" t="inlineStr">
        <is>
          <t>LASTSCHUETZ</t>
        </is>
      </c>
      <c r="H3040" t="inlineStr">
        <is>
          <t>4kW 1S</t>
        </is>
      </c>
      <c r="I3040">
        <v>285</v>
      </c>
      <c r="J3040">
        <f>GS11/174.7</f>
        <v>0</v>
      </c>
      <c r="M3040" t="inlineStr">
        <is>
          <t>-174K47.0</t>
        </is>
      </c>
    </row>
    <row r="3041">
      <c r="A3041">
        <v>3040</v>
      </c>
      <c r="B3041">
        <f>GS23</f>
        <v>0</v>
      </c>
      <c r="C3041" t="inlineStr">
        <is>
          <t>+LS3</t>
        </is>
      </c>
      <c r="D3041" t="inlineStr">
        <is>
          <t>-174K60.7</t>
        </is>
      </c>
      <c r="E3041" t="inlineStr">
        <is>
          <t>DIL_EM-10-G</t>
        </is>
      </c>
      <c r="F3041" t="inlineStr">
        <is>
          <t>#KALK!</t>
        </is>
      </c>
      <c r="G3041" t="inlineStr">
        <is>
          <t>LASTSCHUETZ</t>
        </is>
      </c>
      <c r="H3041" t="inlineStr">
        <is>
          <t>4kW 1S</t>
        </is>
      </c>
      <c r="I3041">
        <v>473</v>
      </c>
      <c r="J3041">
        <f>GS23/174.6</f>
        <v>0</v>
      </c>
      <c r="M3041" t="inlineStr">
        <is>
          <t>-174K60.7</t>
        </is>
      </c>
    </row>
    <row r="3042">
      <c r="A3042">
        <v>3041</v>
      </c>
      <c r="B3042">
        <f>GS23</f>
        <v>0</v>
      </c>
      <c r="C3042" t="inlineStr">
        <is>
          <t>+LS3</t>
        </is>
      </c>
      <c r="D3042" t="inlineStr">
        <is>
          <t>-174K61.0</t>
        </is>
      </c>
      <c r="E3042" t="inlineStr">
        <is>
          <t>DIL_EM-10-G</t>
        </is>
      </c>
      <c r="F3042" t="inlineStr">
        <is>
          <t>#KALK!</t>
        </is>
      </c>
      <c r="G3042" t="inlineStr">
        <is>
          <t>LASTSCHUETZ</t>
        </is>
      </c>
      <c r="H3042" t="inlineStr">
        <is>
          <t>4kW 1S</t>
        </is>
      </c>
      <c r="I3042">
        <v>473</v>
      </c>
      <c r="J3042">
        <f>GS23/174.6</f>
        <v>0</v>
      </c>
      <c r="M3042" t="inlineStr">
        <is>
          <t>-174K61.0</t>
        </is>
      </c>
    </row>
    <row r="3043">
      <c r="A3043">
        <v>3042</v>
      </c>
      <c r="B3043">
        <f>GS15</f>
        <v>0</v>
      </c>
      <c r="C3043" t="inlineStr">
        <is>
          <t>+LS3</t>
        </is>
      </c>
      <c r="D3043" t="inlineStr">
        <is>
          <t>-174K66.4</t>
        </is>
      </c>
      <c r="E3043" t="inlineStr">
        <is>
          <t>DIL_EM-10-G</t>
        </is>
      </c>
      <c r="F3043" t="inlineStr">
        <is>
          <t>#KALK!</t>
        </is>
      </c>
      <c r="G3043" t="inlineStr">
        <is>
          <t>LASTSCHUETZ</t>
        </is>
      </c>
      <c r="H3043" t="inlineStr">
        <is>
          <t>4kW 1S</t>
        </is>
      </c>
      <c r="I3043">
        <v>666</v>
      </c>
      <c r="J3043">
        <f>GS15/174.6</f>
        <v>0</v>
      </c>
      <c r="M3043" t="inlineStr">
        <is>
          <t>-174K66.4</t>
        </is>
      </c>
    </row>
    <row r="3044">
      <c r="A3044">
        <v>3043</v>
      </c>
      <c r="B3044">
        <f>GS15</f>
        <v>0</v>
      </c>
      <c r="C3044" t="inlineStr">
        <is>
          <t>+LS3</t>
        </is>
      </c>
      <c r="D3044" t="inlineStr">
        <is>
          <t>-174K66.5</t>
        </is>
      </c>
      <c r="E3044" t="inlineStr">
        <is>
          <t>DIL_EM-10-G</t>
        </is>
      </c>
      <c r="F3044" t="inlineStr">
        <is>
          <t>#KALK!</t>
        </is>
      </c>
      <c r="G3044" t="inlineStr">
        <is>
          <t>LASTSCHUETZ</t>
        </is>
      </c>
      <c r="H3044" t="inlineStr">
        <is>
          <t>4kW 1S</t>
        </is>
      </c>
      <c r="I3044">
        <v>666</v>
      </c>
      <c r="J3044">
        <f>GS15/174.6</f>
        <v>0</v>
      </c>
      <c r="M3044" t="inlineStr">
        <is>
          <t>-174K66.5</t>
        </is>
      </c>
    </row>
    <row r="3045">
      <c r="A3045">
        <v>3044</v>
      </c>
      <c r="B3045">
        <f>GS14</f>
        <v>0</v>
      </c>
      <c r="C3045" t="inlineStr">
        <is>
          <t>+LS3</t>
        </is>
      </c>
      <c r="D3045" t="inlineStr">
        <is>
          <t>-174K68.3</t>
        </is>
      </c>
      <c r="E3045" t="inlineStr">
        <is>
          <t>DIL_EM-10-G</t>
        </is>
      </c>
      <c r="F3045" t="inlineStr">
        <is>
          <t>#KALK!</t>
        </is>
      </c>
      <c r="G3045" t="inlineStr">
        <is>
          <t>LASTSCHUETZ</t>
        </is>
      </c>
      <c r="H3045" t="inlineStr">
        <is>
          <t>4kW 1S</t>
        </is>
      </c>
      <c r="I3045">
        <v>300</v>
      </c>
      <c r="J3045">
        <f>GS14/174.6</f>
        <v>0</v>
      </c>
      <c r="M3045" t="inlineStr">
        <is>
          <t>-174K68.3</t>
        </is>
      </c>
    </row>
    <row r="3046">
      <c r="A3046">
        <v>3045</v>
      </c>
      <c r="B3046">
        <f>GS14</f>
        <v>0</v>
      </c>
      <c r="C3046" t="inlineStr">
        <is>
          <t>+LS3</t>
        </is>
      </c>
      <c r="D3046" t="inlineStr">
        <is>
          <t>-174K68.4</t>
        </is>
      </c>
      <c r="E3046" t="inlineStr">
        <is>
          <t>DIL_EM-10-G</t>
        </is>
      </c>
      <c r="F3046" t="inlineStr">
        <is>
          <t>#KALK!</t>
        </is>
      </c>
      <c r="G3046" t="inlineStr">
        <is>
          <t>LASTSCHUETZ</t>
        </is>
      </c>
      <c r="H3046" t="inlineStr">
        <is>
          <t>4kW 1S</t>
        </is>
      </c>
      <c r="I3046">
        <v>300</v>
      </c>
      <c r="J3046">
        <f>GS14/174.6</f>
        <v>0</v>
      </c>
      <c r="M3046" t="inlineStr">
        <is>
          <t>-174K68.4</t>
        </is>
      </c>
    </row>
    <row r="3047">
      <c r="A3047">
        <v>3046</v>
      </c>
      <c r="B3047">
        <f>GS01</f>
        <v>0</v>
      </c>
      <c r="C3047" t="inlineStr">
        <is>
          <t>+LS4</t>
        </is>
      </c>
      <c r="D3047" t="inlineStr">
        <is>
          <t>-174K96.7</t>
        </is>
      </c>
      <c r="E3047" t="inlineStr">
        <is>
          <t>DIL_EM-10-G</t>
        </is>
      </c>
      <c r="F3047" t="inlineStr">
        <is>
          <t>#KALK!</t>
        </is>
      </c>
      <c r="G3047" t="inlineStr">
        <is>
          <t>LASTSCHUETZ</t>
        </is>
      </c>
      <c r="H3047" t="inlineStr">
        <is>
          <t>4kW 1S</t>
        </is>
      </c>
      <c r="I3047">
        <v>336</v>
      </c>
      <c r="J3047">
        <f>GS01/174.7</f>
        <v>0</v>
      </c>
      <c r="M3047" t="inlineStr">
        <is>
          <t>-174K96.7</t>
        </is>
      </c>
    </row>
    <row r="3048">
      <c r="A3048">
        <v>3047</v>
      </c>
      <c r="B3048">
        <f>GS06</f>
        <v>0</v>
      </c>
      <c r="C3048" t="inlineStr">
        <is>
          <t>+LS22</t>
        </is>
      </c>
      <c r="D3048" t="inlineStr">
        <is>
          <t>-1750Q1613.2</t>
        </is>
      </c>
      <c r="E3048" t="inlineStr">
        <is>
          <t>DILM-9-10</t>
        </is>
      </c>
      <c r="F3048" t="inlineStr">
        <is>
          <t>#KALK!</t>
        </is>
      </c>
      <c r="G3048" t="inlineStr">
        <is>
          <t>LASTSCHUETZ</t>
        </is>
      </c>
      <c r="H3048" t="inlineStr">
        <is>
          <t>4kW 1S Federzugkl.</t>
        </is>
      </c>
      <c r="I3048">
        <v>4474</v>
      </c>
      <c r="J3048">
        <f>GS06/1750.6</f>
        <v>0</v>
      </c>
      <c r="K3048" t="inlineStr">
        <is>
          <t>DIL MC9</t>
        </is>
      </c>
      <c r="M3048" t="inlineStr">
        <is>
          <t>-1750Q1613.2</t>
        </is>
      </c>
    </row>
    <row r="3049">
      <c r="A3049">
        <v>3048</v>
      </c>
      <c r="B3049">
        <f>GS06</f>
        <v>0</v>
      </c>
      <c r="C3049" t="inlineStr">
        <is>
          <t>+LS22</t>
        </is>
      </c>
      <c r="D3049" t="inlineStr">
        <is>
          <t>-1754Q1613.3</t>
        </is>
      </c>
      <c r="E3049" t="inlineStr">
        <is>
          <t>DILM-9-10</t>
        </is>
      </c>
      <c r="F3049" t="inlineStr">
        <is>
          <t>#KALK!</t>
        </is>
      </c>
      <c r="G3049" t="inlineStr">
        <is>
          <t>LASTSCHUETZ</t>
        </is>
      </c>
      <c r="H3049" t="inlineStr">
        <is>
          <t>4kW 1S Federzugkl.</t>
        </is>
      </c>
      <c r="I3049">
        <v>4470</v>
      </c>
      <c r="J3049">
        <f>GS06/1754.6</f>
        <v>0</v>
      </c>
      <c r="K3049" t="inlineStr">
        <is>
          <t>DIL MC9</t>
        </is>
      </c>
      <c r="M3049" t="inlineStr">
        <is>
          <t>-1754Q1613.3</t>
        </is>
      </c>
    </row>
    <row r="3050">
      <c r="A3050">
        <v>3049</v>
      </c>
      <c r="B3050">
        <f>GS06</f>
        <v>0</v>
      </c>
      <c r="C3050" t="inlineStr">
        <is>
          <t>+LS22</t>
        </is>
      </c>
      <c r="D3050" t="inlineStr">
        <is>
          <t>-1755Q1613.4</t>
        </is>
      </c>
      <c r="E3050" t="inlineStr">
        <is>
          <t>DILM-9-01</t>
        </is>
      </c>
      <c r="F3050" t="inlineStr">
        <is>
          <t>DILA-XHI22</t>
        </is>
      </c>
      <c r="G3050" t="inlineStr">
        <is>
          <t>LASTSCHUETZ</t>
        </is>
      </c>
      <c r="H3050" t="inlineStr">
        <is>
          <t>4kW 1Oe Federzugkl.</t>
        </is>
      </c>
      <c r="I3050">
        <v>4469</v>
      </c>
      <c r="J3050">
        <f>GS06/1755.6</f>
        <v>0</v>
      </c>
      <c r="M3050" t="inlineStr">
        <is>
          <t>-1755Q1613.4</t>
        </is>
      </c>
    </row>
    <row r="3051">
      <c r="A3051">
        <v>3050</v>
      </c>
      <c r="B3051">
        <f>GS06</f>
        <v>0</v>
      </c>
      <c r="C3051" t="inlineStr">
        <is>
          <t>+LS22</t>
        </is>
      </c>
      <c r="D3051" t="inlineStr">
        <is>
          <t>-1755Q1613.4</t>
        </is>
      </c>
      <c r="E3051" t="inlineStr">
        <is>
          <t>DILA-XHI22</t>
        </is>
      </c>
      <c r="F3051" t="inlineStr">
        <is>
          <t>DILA-XHI22</t>
        </is>
      </c>
      <c r="G3051" t="inlineStr">
        <is>
          <t>HILFSKONTAKTBLOCK</t>
        </is>
      </c>
      <c r="H3051" t="inlineStr">
        <is>
          <t>2S 2OE Last+Hilfssch. Cage</t>
        </is>
      </c>
      <c r="I3051">
        <v>4469</v>
      </c>
      <c r="J3051">
        <f>GS06/1755.6</f>
        <v>0</v>
      </c>
      <c r="M3051" t="inlineStr">
        <is>
          <t>-1755Q1613.4</t>
        </is>
      </c>
    </row>
    <row r="3052">
      <c r="A3052">
        <v>3051</v>
      </c>
      <c r="B3052">
        <f>GS06</f>
        <v>0</v>
      </c>
      <c r="C3052" t="inlineStr">
        <is>
          <t>+LS22</t>
        </is>
      </c>
      <c r="D3052" t="inlineStr">
        <is>
          <t>-1755Q1613.5</t>
        </is>
      </c>
      <c r="E3052" t="inlineStr">
        <is>
          <t>DILM-9-01</t>
        </is>
      </c>
      <c r="F3052" t="inlineStr">
        <is>
          <t>DILA-XHI22</t>
        </is>
      </c>
      <c r="G3052" t="inlineStr">
        <is>
          <t>LASTSCHUETZ</t>
        </is>
      </c>
      <c r="H3052" t="inlineStr">
        <is>
          <t>4kW 1Oe Federzugkl.</t>
        </is>
      </c>
      <c r="I3052">
        <v>4469</v>
      </c>
      <c r="J3052">
        <f>GS06/1755.7</f>
        <v>0</v>
      </c>
      <c r="M3052" t="inlineStr">
        <is>
          <t>-1755Q1613.5</t>
        </is>
      </c>
    </row>
    <row r="3053">
      <c r="A3053">
        <v>3052</v>
      </c>
      <c r="B3053">
        <f>GS06</f>
        <v>0</v>
      </c>
      <c r="C3053" t="inlineStr">
        <is>
          <t>+LS22</t>
        </is>
      </c>
      <c r="D3053" t="inlineStr">
        <is>
          <t>-1755Q1613.5</t>
        </is>
      </c>
      <c r="E3053" t="inlineStr">
        <is>
          <t>DILA-XHI22</t>
        </is>
      </c>
      <c r="F3053" t="inlineStr">
        <is>
          <t>DILA-XHI22</t>
        </is>
      </c>
      <c r="G3053" t="inlineStr">
        <is>
          <t>HILFSKONTAKTBLOCK</t>
        </is>
      </c>
      <c r="H3053" t="inlineStr">
        <is>
          <t>2S 2OE Last+Hilfssch. Cage</t>
        </is>
      </c>
      <c r="I3053">
        <v>4469</v>
      </c>
      <c r="J3053">
        <f>GS06/1755.7</f>
        <v>0</v>
      </c>
      <c r="M3053" t="inlineStr">
        <is>
          <t>-1755Q1613.5</t>
        </is>
      </c>
    </row>
    <row r="3054">
      <c r="A3054">
        <v>3053</v>
      </c>
      <c r="B3054">
        <f>GS13</f>
        <v>0</v>
      </c>
      <c r="C3054" t="inlineStr">
        <is>
          <t>+LS3</t>
        </is>
      </c>
      <c r="D3054" t="inlineStr">
        <is>
          <t>-17561.1</t>
        </is>
      </c>
      <c r="E3054" t="inlineStr">
        <is>
          <t>DIL_EM-10-G</t>
        </is>
      </c>
      <c r="F3054" t="inlineStr">
        <is>
          <t>#KALK!</t>
        </is>
      </c>
      <c r="G3054" t="inlineStr">
        <is>
          <t>LASTSCHUETZ</t>
        </is>
      </c>
      <c r="H3054" t="inlineStr">
        <is>
          <t>4kW 1S</t>
        </is>
      </c>
      <c r="I3054">
        <v>415</v>
      </c>
      <c r="J3054">
        <f>GS13/175.6</f>
        <v>0</v>
      </c>
      <c r="M3054" t="inlineStr">
        <is>
          <t>-17561.1</t>
        </is>
      </c>
    </row>
    <row r="3055">
      <c r="A3055">
        <v>3054</v>
      </c>
      <c r="B3055">
        <f>GS13</f>
        <v>0</v>
      </c>
      <c r="C3055" t="inlineStr">
        <is>
          <t>+LS3</t>
        </is>
      </c>
      <c r="D3055" t="inlineStr">
        <is>
          <t>-17561.2</t>
        </is>
      </c>
      <c r="E3055" t="inlineStr">
        <is>
          <t>DIL_EM-10-G</t>
        </is>
      </c>
      <c r="F3055" t="inlineStr">
        <is>
          <t>#KALK!</t>
        </is>
      </c>
      <c r="G3055" t="inlineStr">
        <is>
          <t>LASTSCHUETZ</t>
        </is>
      </c>
      <c r="H3055" t="inlineStr">
        <is>
          <t>4kW 1S</t>
        </is>
      </c>
      <c r="I3055">
        <v>415</v>
      </c>
      <c r="J3055">
        <f>GS13/175.6</f>
        <v>0</v>
      </c>
      <c r="M3055" t="inlineStr">
        <is>
          <t>-17561.2</t>
        </is>
      </c>
    </row>
    <row r="3056">
      <c r="A3056">
        <v>3055</v>
      </c>
      <c r="B3056">
        <f>GS05</f>
        <v>0</v>
      </c>
      <c r="C3056" t="inlineStr">
        <is>
          <t>+LS02</t>
        </is>
      </c>
      <c r="D3056" t="inlineStr">
        <is>
          <t>-175K1</t>
        </is>
      </c>
      <c r="E3056" t="inlineStr">
        <is>
          <t>DILM-9-01</t>
        </is>
      </c>
      <c r="F3056" t="inlineStr">
        <is>
          <t>#KALK!</t>
        </is>
      </c>
      <c r="G3056" t="inlineStr">
        <is>
          <t>LASTSCHUETZ</t>
        </is>
      </c>
      <c r="H3056" t="inlineStr">
        <is>
          <t>4kW 1Oe Federzugkl.</t>
        </is>
      </c>
      <c r="I3056">
        <v>1982</v>
      </c>
      <c r="J3056">
        <f>GS05/175.5</f>
        <v>0</v>
      </c>
      <c r="M3056" t="inlineStr">
        <is>
          <t>-175K1</t>
        </is>
      </c>
    </row>
    <row r="3057">
      <c r="A3057">
        <v>3056</v>
      </c>
      <c r="B3057">
        <f>GS25</f>
        <v>0</v>
      </c>
      <c r="C3057" t="inlineStr">
        <is>
          <t>+LS4</t>
        </is>
      </c>
      <c r="D3057" t="inlineStr">
        <is>
          <t>-175K1</t>
        </is>
      </c>
      <c r="E3057" t="inlineStr">
        <is>
          <t>DIL_0AM</t>
        </is>
      </c>
      <c r="F3057" t="inlineStr">
        <is>
          <t>22_DIL-M</t>
        </is>
      </c>
      <c r="G3057" t="inlineStr">
        <is>
          <t>LASTSCHUETZ</t>
        </is>
      </c>
      <c r="H3057" t="inlineStr">
        <is>
          <t>11 kW</t>
        </is>
      </c>
      <c r="I3057">
        <v>296</v>
      </c>
      <c r="J3057">
        <f>GS25/175.2</f>
        <v>0</v>
      </c>
      <c r="K3057" t="inlineStr">
        <is>
          <t>DIL0AM</t>
        </is>
      </c>
      <c r="M3057" t="inlineStr">
        <is>
          <t>-175K1</t>
        </is>
      </c>
    </row>
    <row r="3058">
      <c r="A3058">
        <v>3057</v>
      </c>
      <c r="B3058">
        <f>GS25</f>
        <v>0</v>
      </c>
      <c r="C3058" t="inlineStr">
        <is>
          <t>+LS4</t>
        </is>
      </c>
      <c r="D3058" t="inlineStr">
        <is>
          <t>-175K1</t>
        </is>
      </c>
      <c r="E3058" t="inlineStr">
        <is>
          <t>22_DIL-M</t>
        </is>
      </c>
      <c r="F3058" t="inlineStr">
        <is>
          <t>22_DIL-M</t>
        </is>
      </c>
      <c r="G3058" t="inlineStr">
        <is>
          <t>HILFSKONTAKTBLOCK</t>
        </is>
      </c>
      <c r="H3058" t="inlineStr">
        <is>
          <t>2S 2OE Lastschuetz DIL M</t>
        </is>
      </c>
      <c r="I3058">
        <v>296</v>
      </c>
      <c r="J3058">
        <f>GS25/175.2</f>
        <v>0</v>
      </c>
      <c r="K3058" t="inlineStr">
        <is>
          <t>DIL0AM</t>
        </is>
      </c>
      <c r="M3058" t="inlineStr">
        <is>
          <t>-175K1</t>
        </is>
      </c>
    </row>
    <row r="3059">
      <c r="A3059">
        <v>3058</v>
      </c>
      <c r="B3059">
        <f>GS33</f>
        <v>0</v>
      </c>
      <c r="C3059" t="inlineStr">
        <is>
          <t>+LS3</t>
        </is>
      </c>
      <c r="D3059" t="inlineStr">
        <is>
          <t>-175K1</t>
        </is>
      </c>
      <c r="E3059" t="inlineStr">
        <is>
          <t>DIL_2AM</t>
        </is>
      </c>
      <c r="F3059" t="inlineStr">
        <is>
          <t>22_DIL-M</t>
        </is>
      </c>
      <c r="G3059" t="inlineStr">
        <is>
          <t>LASTSCHUETZ</t>
        </is>
      </c>
      <c r="H3059" t="inlineStr">
        <is>
          <t>30 kW</t>
        </is>
      </c>
      <c r="I3059">
        <v>609</v>
      </c>
      <c r="J3059">
        <f>GS33/175.2</f>
        <v>0</v>
      </c>
      <c r="K3059" t="inlineStr">
        <is>
          <t>DIL2AM</t>
        </is>
      </c>
      <c r="M3059" t="inlineStr">
        <is>
          <t>-175K1</t>
        </is>
      </c>
    </row>
    <row r="3060">
      <c r="A3060">
        <v>3059</v>
      </c>
      <c r="B3060">
        <f>GS33</f>
        <v>0</v>
      </c>
      <c r="C3060" t="inlineStr">
        <is>
          <t>+LS3</t>
        </is>
      </c>
      <c r="D3060" t="inlineStr">
        <is>
          <t>-175K1</t>
        </is>
      </c>
      <c r="E3060" t="inlineStr">
        <is>
          <t>22_DIL-M</t>
        </is>
      </c>
      <c r="F3060" t="inlineStr">
        <is>
          <t>22_DIL-M</t>
        </is>
      </c>
      <c r="G3060" t="inlineStr">
        <is>
          <t>HILFSKONTAKTBLOCK</t>
        </is>
      </c>
      <c r="H3060" t="inlineStr">
        <is>
          <t>2S 2OE Lastschuetz DIL M</t>
        </is>
      </c>
      <c r="I3060">
        <v>609</v>
      </c>
      <c r="J3060">
        <f>GS33/175.2</f>
        <v>0</v>
      </c>
      <c r="K3060" t="inlineStr">
        <is>
          <t>DIL2AM</t>
        </is>
      </c>
      <c r="M3060" t="inlineStr">
        <is>
          <t>-175K1</t>
        </is>
      </c>
    </row>
    <row r="3061">
      <c r="A3061">
        <v>3060</v>
      </c>
      <c r="B3061">
        <f>GS36</f>
        <v>0</v>
      </c>
      <c r="C3061" t="inlineStr">
        <is>
          <t>+LS03</t>
        </is>
      </c>
      <c r="D3061" t="inlineStr">
        <is>
          <t>-175K1</t>
        </is>
      </c>
      <c r="E3061" t="inlineStr">
        <is>
          <t>DILA-XHIC40</t>
        </is>
      </c>
      <c r="F3061" t="inlineStr">
        <is>
          <t>DILA-XHIC40</t>
        </is>
      </c>
      <c r="G3061" t="inlineStr">
        <is>
          <t>HILFSKONTAKTBLOCK</t>
        </is>
      </c>
      <c r="H3061" t="inlineStr">
        <is>
          <t>4S Last+Hilfssch. Cage</t>
        </is>
      </c>
      <c r="I3061">
        <v>348</v>
      </c>
      <c r="J3061">
        <f>GS36/175.5</f>
        <v>0</v>
      </c>
      <c r="M3061" t="inlineStr">
        <is>
          <t>-175K1</t>
        </is>
      </c>
    </row>
    <row r="3062">
      <c r="A3062">
        <v>3061</v>
      </c>
      <c r="B3062">
        <f>GS36</f>
        <v>0</v>
      </c>
      <c r="C3062" t="inlineStr">
        <is>
          <t>+LS03</t>
        </is>
      </c>
      <c r="D3062" t="inlineStr">
        <is>
          <t>-182Q123.7</t>
        </is>
      </c>
      <c r="E3062" t="inlineStr">
        <is>
          <t>DILM-9-10</t>
        </is>
      </c>
      <c r="F3062" t="inlineStr">
        <is>
          <t>#KALK!</t>
        </is>
      </c>
      <c r="G3062" t="inlineStr">
        <is>
          <t>LASTSCHUETZ</t>
        </is>
      </c>
      <c r="H3062" t="inlineStr">
        <is>
          <t>4kW 1S Federzugkl.</t>
        </is>
      </c>
      <c r="I3062">
        <v>355</v>
      </c>
      <c r="J3062">
        <f>GS36/182.5</f>
        <v>0</v>
      </c>
      <c r="L3062" t="inlineStr">
        <is>
          <t>KF_0406</t>
        </is>
      </c>
      <c r="M3062" t="inlineStr">
        <is>
          <t>KF_0406
-182Q123.7</t>
        </is>
      </c>
      <c r="N3062" t="inlineStr">
        <is>
          <t>P</t>
        </is>
      </c>
    </row>
    <row r="3063">
      <c r="A3063">
        <v>3062</v>
      </c>
      <c r="B3063">
        <f>GS05</f>
        <v>0</v>
      </c>
      <c r="C3063" t="inlineStr">
        <is>
          <t>+LS02</t>
        </is>
      </c>
      <c r="D3063" t="inlineStr">
        <is>
          <t>-175K109.2</t>
        </is>
      </c>
      <c r="E3063" t="inlineStr">
        <is>
          <t>DILA-22</t>
        </is>
      </c>
      <c r="F3063" t="inlineStr">
        <is>
          <t>#KALK!</t>
        </is>
      </c>
      <c r="G3063" t="inlineStr">
        <is>
          <t>HILFSSCHUETZ</t>
        </is>
      </c>
      <c r="H3063" t="inlineStr">
        <is>
          <t>2S 2Oe Federzugkl.</t>
        </is>
      </c>
      <c r="I3063">
        <v>1982</v>
      </c>
      <c r="J3063">
        <f>GS05/175.8</f>
        <v>0</v>
      </c>
      <c r="M3063" t="inlineStr">
        <is>
          <t>-175K109.2</t>
        </is>
      </c>
    </row>
    <row r="3064">
      <c r="A3064">
        <v>3063</v>
      </c>
      <c r="B3064">
        <f>GS35</f>
        <v>0</v>
      </c>
      <c r="C3064" t="inlineStr">
        <is>
          <t>+LS03</t>
        </is>
      </c>
      <c r="D3064" t="inlineStr">
        <is>
          <t>-175K112.0</t>
        </is>
      </c>
      <c r="E3064" t="inlineStr">
        <is>
          <t>DILA-40</t>
        </is>
      </c>
      <c r="F3064" t="inlineStr">
        <is>
          <t>#KALK!</t>
        </is>
      </c>
      <c r="G3064" t="inlineStr">
        <is>
          <t>HILFSSCHUETZ</t>
        </is>
      </c>
      <c r="H3064" t="inlineStr">
        <is>
          <t>4S Federzugkl.</t>
        </is>
      </c>
      <c r="I3064">
        <v>334</v>
      </c>
      <c r="J3064">
        <f>GS35/175.7</f>
        <v>0</v>
      </c>
      <c r="M3064" t="inlineStr">
        <is>
          <t>-175K112.0</t>
        </is>
      </c>
    </row>
    <row r="3065">
      <c r="A3065">
        <v>3064</v>
      </c>
      <c r="B3065">
        <f>GS36</f>
        <v>0</v>
      </c>
      <c r="C3065" t="inlineStr">
        <is>
          <t>+LS03</t>
        </is>
      </c>
      <c r="D3065" t="inlineStr">
        <is>
          <t>-187K1</t>
        </is>
      </c>
      <c r="E3065" t="inlineStr">
        <is>
          <t>DILM-9-01</t>
        </is>
      </c>
      <c r="F3065" t="inlineStr">
        <is>
          <t>#KALK!</t>
        </is>
      </c>
      <c r="G3065" t="inlineStr">
        <is>
          <t>LASTSCHUETZ</t>
        </is>
      </c>
      <c r="H3065" t="inlineStr">
        <is>
          <t>4kW 1Oe Federzugkl.</t>
        </is>
      </c>
      <c r="I3065">
        <v>360</v>
      </c>
      <c r="J3065">
        <f>GS36/187.6</f>
        <v>0</v>
      </c>
      <c r="L3065" t="inlineStr">
        <is>
          <t>Lichtvorhang KF</t>
        </is>
      </c>
      <c r="M3065" t="inlineStr">
        <is>
          <t>Lichtvorhang KF
-187K1</t>
        </is>
      </c>
    </row>
    <row r="3066">
      <c r="A3066">
        <v>3065</v>
      </c>
      <c r="B3066">
        <f>GS46</f>
        <v>0</v>
      </c>
      <c r="C3066" t="inlineStr">
        <is>
          <t>+LS02</t>
        </is>
      </c>
      <c r="D3066" t="inlineStr">
        <is>
          <t>-175K148.0</t>
        </is>
      </c>
      <c r="E3066" t="inlineStr">
        <is>
          <t>DILA-40</t>
        </is>
      </c>
      <c r="F3066" t="inlineStr">
        <is>
          <t>#KALK!</t>
        </is>
      </c>
      <c r="G3066" t="inlineStr">
        <is>
          <t>HILFSSCHUETZ</t>
        </is>
      </c>
      <c r="H3066" t="inlineStr">
        <is>
          <t>4S Federzugkl.</t>
        </is>
      </c>
      <c r="I3066">
        <v>331</v>
      </c>
      <c r="J3066">
        <f>GS46/175.7</f>
        <v>0</v>
      </c>
      <c r="M3066" t="inlineStr">
        <is>
          <t>-175K148.0</t>
        </is>
      </c>
    </row>
    <row r="3067">
      <c r="A3067">
        <v>3066</v>
      </c>
      <c r="B3067">
        <f>GS47</f>
        <v>0</v>
      </c>
      <c r="C3067" t="inlineStr">
        <is>
          <t>+LS02</t>
        </is>
      </c>
      <c r="D3067" t="inlineStr">
        <is>
          <t>-175K148.0</t>
        </is>
      </c>
      <c r="E3067" t="inlineStr">
        <is>
          <t>DILA-40</t>
        </is>
      </c>
      <c r="F3067" t="inlineStr">
        <is>
          <t>#KALK!</t>
        </is>
      </c>
      <c r="G3067" t="inlineStr">
        <is>
          <t>HILFSSCHUETZ</t>
        </is>
      </c>
      <c r="H3067" t="inlineStr">
        <is>
          <t>4S Federzugkl.</t>
        </is>
      </c>
      <c r="I3067">
        <v>331</v>
      </c>
      <c r="J3067">
        <f>GS47/175.7</f>
        <v>0</v>
      </c>
      <c r="M3067" t="inlineStr">
        <is>
          <t>-175K148.0</t>
        </is>
      </c>
    </row>
    <row r="3068">
      <c r="A3068">
        <v>3067</v>
      </c>
      <c r="B3068">
        <f>GS48</f>
        <v>0</v>
      </c>
      <c r="C3068" t="inlineStr">
        <is>
          <t>+LS02</t>
        </is>
      </c>
      <c r="D3068" t="inlineStr">
        <is>
          <t>-175K148.0</t>
        </is>
      </c>
      <c r="E3068" t="inlineStr">
        <is>
          <t>DILA-40</t>
        </is>
      </c>
      <c r="F3068" t="inlineStr">
        <is>
          <t>#KALK!</t>
        </is>
      </c>
      <c r="G3068" t="inlineStr">
        <is>
          <t>HILFSSCHUETZ</t>
        </is>
      </c>
      <c r="H3068" t="inlineStr">
        <is>
          <t>4S Federzugkl.</t>
        </is>
      </c>
      <c r="I3068">
        <v>327</v>
      </c>
      <c r="J3068">
        <f>GS48/175.7</f>
        <v>0</v>
      </c>
      <c r="M3068" t="inlineStr">
        <is>
          <t>-175K148.0</t>
        </is>
      </c>
    </row>
    <row r="3069">
      <c r="A3069">
        <v>3068</v>
      </c>
      <c r="B3069">
        <f>GS49</f>
        <v>0</v>
      </c>
      <c r="C3069" t="inlineStr">
        <is>
          <t>+LS02</t>
        </is>
      </c>
      <c r="D3069" t="inlineStr">
        <is>
          <t>-175K148.0</t>
        </is>
      </c>
      <c r="E3069" t="inlineStr">
        <is>
          <t>DILA-40</t>
        </is>
      </c>
      <c r="F3069" t="inlineStr">
        <is>
          <t>#KALK!</t>
        </is>
      </c>
      <c r="G3069" t="inlineStr">
        <is>
          <t>HILFSSCHUETZ</t>
        </is>
      </c>
      <c r="H3069" t="inlineStr">
        <is>
          <t>4S Federzugkl.</t>
        </is>
      </c>
      <c r="I3069">
        <v>326</v>
      </c>
      <c r="J3069">
        <f>GS49/175.7</f>
        <v>0</v>
      </c>
      <c r="M3069" t="inlineStr">
        <is>
          <t>-175K148.0</t>
        </is>
      </c>
    </row>
    <row r="3070">
      <c r="A3070">
        <v>3069</v>
      </c>
      <c r="B3070">
        <f>GS92</f>
        <v>0</v>
      </c>
      <c r="C3070" t="inlineStr">
        <is>
          <t>+LS02</t>
        </is>
      </c>
      <c r="D3070" t="inlineStr">
        <is>
          <t>-175K162.4</t>
        </is>
      </c>
      <c r="E3070" t="inlineStr">
        <is>
          <t>DILA-40</t>
        </is>
      </c>
      <c r="F3070" t="inlineStr">
        <is>
          <t>#KALK!</t>
        </is>
      </c>
      <c r="G3070" t="inlineStr">
        <is>
          <t>HILFSSCHUETZ</t>
        </is>
      </c>
      <c r="H3070" t="inlineStr">
        <is>
          <t>4S Federzugkl.</t>
        </is>
      </c>
      <c r="I3070">
        <v>322</v>
      </c>
      <c r="J3070">
        <f>GS92/175.7</f>
        <v>0</v>
      </c>
      <c r="M3070" t="inlineStr">
        <is>
          <t>-175K162.4</t>
        </is>
      </c>
    </row>
    <row r="3071">
      <c r="A3071">
        <v>3070</v>
      </c>
      <c r="B3071">
        <f>GS93</f>
        <v>0</v>
      </c>
      <c r="C3071" t="inlineStr">
        <is>
          <t>+LS02</t>
        </is>
      </c>
      <c r="D3071" t="inlineStr">
        <is>
          <t>-175K162.4</t>
        </is>
      </c>
      <c r="E3071" t="inlineStr">
        <is>
          <t>DILA-40</t>
        </is>
      </c>
      <c r="F3071" t="inlineStr">
        <is>
          <t>#KALK!</t>
        </is>
      </c>
      <c r="G3071" t="inlineStr">
        <is>
          <t>HILFSSCHUETZ</t>
        </is>
      </c>
      <c r="H3071" t="inlineStr">
        <is>
          <t>4S Federzugkl.</t>
        </is>
      </c>
      <c r="I3071">
        <v>734</v>
      </c>
      <c r="J3071">
        <f>GS93/175.7</f>
        <v>0</v>
      </c>
      <c r="M3071" t="inlineStr">
        <is>
          <t>-175K162.4</t>
        </is>
      </c>
    </row>
    <row r="3072">
      <c r="A3072">
        <v>3071</v>
      </c>
      <c r="B3072">
        <f>GS94</f>
        <v>0</v>
      </c>
      <c r="C3072" t="inlineStr">
        <is>
          <t>+LS15</t>
        </is>
      </c>
      <c r="D3072" t="inlineStr">
        <is>
          <t>-175K175.7</t>
        </is>
      </c>
      <c r="E3072" t="inlineStr">
        <is>
          <t>DILA-40</t>
        </is>
      </c>
      <c r="F3072" t="inlineStr">
        <is>
          <t>#KALK!</t>
        </is>
      </c>
      <c r="G3072" t="inlineStr">
        <is>
          <t>HILFSSCHUETZ</t>
        </is>
      </c>
      <c r="H3072" t="inlineStr">
        <is>
          <t>4S Federzugkl.</t>
        </is>
      </c>
      <c r="I3072">
        <v>265</v>
      </c>
      <c r="J3072">
        <f>GS94/175.7</f>
        <v>0</v>
      </c>
      <c r="M3072" t="inlineStr">
        <is>
          <t>-175K175.7</t>
        </is>
      </c>
    </row>
    <row r="3073">
      <c r="A3073">
        <v>3072</v>
      </c>
      <c r="B3073">
        <f>GS95</f>
        <v>0</v>
      </c>
      <c r="C3073" t="inlineStr">
        <is>
          <t>+LS15</t>
        </is>
      </c>
      <c r="D3073" t="inlineStr">
        <is>
          <t>-175K175.7</t>
        </is>
      </c>
      <c r="E3073" t="inlineStr">
        <is>
          <t>DILA-40</t>
        </is>
      </c>
      <c r="F3073" t="inlineStr">
        <is>
          <t>#KALK!</t>
        </is>
      </c>
      <c r="G3073" t="inlineStr">
        <is>
          <t>HILFSSCHUETZ</t>
        </is>
      </c>
      <c r="H3073" t="inlineStr">
        <is>
          <t>4S Federzugkl.</t>
        </is>
      </c>
      <c r="I3073">
        <v>265</v>
      </c>
      <c r="J3073">
        <f>GS95/175.7</f>
        <v>0</v>
      </c>
      <c r="M3073" t="inlineStr">
        <is>
          <t>-175K175.7</t>
        </is>
      </c>
    </row>
    <row r="3074">
      <c r="A3074">
        <v>3073</v>
      </c>
      <c r="B3074">
        <f>GS96</f>
        <v>0</v>
      </c>
      <c r="C3074" t="inlineStr">
        <is>
          <t>+LS15</t>
        </is>
      </c>
      <c r="D3074" t="inlineStr">
        <is>
          <t>-175K175.7</t>
        </is>
      </c>
      <c r="E3074" t="inlineStr">
        <is>
          <t>DILA-40</t>
        </is>
      </c>
      <c r="F3074" t="inlineStr">
        <is>
          <t>#KALK!</t>
        </is>
      </c>
      <c r="G3074" t="inlineStr">
        <is>
          <t>HILFSSCHUETZ</t>
        </is>
      </c>
      <c r="H3074" t="inlineStr">
        <is>
          <t>4S Federzugkl.</t>
        </is>
      </c>
      <c r="I3074">
        <v>265</v>
      </c>
      <c r="J3074">
        <f>GS96/175.7</f>
        <v>0</v>
      </c>
      <c r="M3074" t="inlineStr">
        <is>
          <t>-175K175.7</t>
        </is>
      </c>
    </row>
    <row r="3075">
      <c r="A3075">
        <v>3074</v>
      </c>
      <c r="B3075">
        <f>GS97</f>
        <v>0</v>
      </c>
      <c r="C3075" t="inlineStr">
        <is>
          <t>+LS15</t>
        </is>
      </c>
      <c r="D3075" t="inlineStr">
        <is>
          <t>-175K175.7</t>
        </is>
      </c>
      <c r="E3075" t="inlineStr">
        <is>
          <t>DILA-40</t>
        </is>
      </c>
      <c r="F3075" t="inlineStr">
        <is>
          <t>#KALK!</t>
        </is>
      </c>
      <c r="G3075" t="inlineStr">
        <is>
          <t>HILFSSCHUETZ</t>
        </is>
      </c>
      <c r="H3075" t="inlineStr">
        <is>
          <t>4S Federzugkl.</t>
        </is>
      </c>
      <c r="I3075">
        <v>265</v>
      </c>
      <c r="J3075">
        <f>GS97/175.7</f>
        <v>0</v>
      </c>
      <c r="M3075" t="inlineStr">
        <is>
          <t>-175K175.7</t>
        </is>
      </c>
    </row>
    <row r="3076">
      <c r="A3076">
        <v>3075</v>
      </c>
      <c r="B3076">
        <f>GS05</f>
        <v>0</v>
      </c>
      <c r="C3076" t="inlineStr">
        <is>
          <t>+LS02</t>
        </is>
      </c>
      <c r="D3076" t="inlineStr">
        <is>
          <t>-175K2</t>
        </is>
      </c>
      <c r="E3076" t="inlineStr">
        <is>
          <t>DILM-9-01</t>
        </is>
      </c>
      <c r="F3076" t="inlineStr">
        <is>
          <t>#KALK!</t>
        </is>
      </c>
      <c r="G3076" t="inlineStr">
        <is>
          <t>LASTSCHUETZ</t>
        </is>
      </c>
      <c r="H3076" t="inlineStr">
        <is>
          <t>4kW 1Oe Federzugkl.</t>
        </is>
      </c>
      <c r="I3076">
        <v>1982</v>
      </c>
      <c r="J3076">
        <f>GS05/175.5</f>
        <v>0</v>
      </c>
      <c r="M3076" t="inlineStr">
        <is>
          <t>-175K2</t>
        </is>
      </c>
    </row>
    <row r="3077">
      <c r="A3077">
        <v>3076</v>
      </c>
      <c r="B3077">
        <f>GS33</f>
        <v>0</v>
      </c>
      <c r="C3077" t="inlineStr">
        <is>
          <t>+LS3</t>
        </is>
      </c>
      <c r="D3077" t="inlineStr">
        <is>
          <t>-175K2</t>
        </is>
      </c>
      <c r="E3077" t="inlineStr">
        <is>
          <t>DIL_0AM</t>
        </is>
      </c>
      <c r="F3077" t="inlineStr">
        <is>
          <t>22_DIL-M</t>
        </is>
      </c>
      <c r="G3077" t="inlineStr">
        <is>
          <t>LASTSCHUETZ</t>
        </is>
      </c>
      <c r="H3077" t="inlineStr">
        <is>
          <t>11 kW</t>
        </is>
      </c>
      <c r="I3077">
        <v>609</v>
      </c>
      <c r="J3077">
        <f>GS33/175.3</f>
        <v>0</v>
      </c>
      <c r="K3077" t="inlineStr">
        <is>
          <t>DIL0AM</t>
        </is>
      </c>
      <c r="M3077" t="inlineStr">
        <is>
          <t>-175K2</t>
        </is>
      </c>
    </row>
    <row r="3078">
      <c r="A3078">
        <v>3077</v>
      </c>
      <c r="B3078">
        <f>GS33</f>
        <v>0</v>
      </c>
      <c r="C3078" t="inlineStr">
        <is>
          <t>+LS3</t>
        </is>
      </c>
      <c r="D3078" t="inlineStr">
        <is>
          <t>-175K2</t>
        </is>
      </c>
      <c r="E3078" t="inlineStr">
        <is>
          <t>22_DIL-M</t>
        </is>
      </c>
      <c r="F3078" t="inlineStr">
        <is>
          <t>22_DIL-M</t>
        </is>
      </c>
      <c r="G3078" t="inlineStr">
        <is>
          <t>HILFSKONTAKTBLOCK</t>
        </is>
      </c>
      <c r="H3078" t="inlineStr">
        <is>
          <t>2S 2OE Lastschuetz DIL M</t>
        </is>
      </c>
      <c r="I3078">
        <v>609</v>
      </c>
      <c r="J3078">
        <f>GS33/175.3</f>
        <v>0</v>
      </c>
      <c r="K3078" t="inlineStr">
        <is>
          <t>DIL0AM</t>
        </is>
      </c>
      <c r="M3078" t="inlineStr">
        <is>
          <t>-175K2</t>
        </is>
      </c>
    </row>
    <row r="3079">
      <c r="A3079">
        <v>3078</v>
      </c>
      <c r="B3079">
        <f>GS34</f>
        <v>0</v>
      </c>
      <c r="C3079" t="inlineStr">
        <is>
          <t>+LS3</t>
        </is>
      </c>
      <c r="D3079" t="inlineStr">
        <is>
          <t>-175K25.0</t>
        </is>
      </c>
      <c r="E3079" t="inlineStr">
        <is>
          <t>DIL_EM-10-G</t>
        </is>
      </c>
      <c r="F3079" t="inlineStr">
        <is>
          <t>#KALK!</t>
        </is>
      </c>
      <c r="G3079" t="inlineStr">
        <is>
          <t>LASTSCHUETZ</t>
        </is>
      </c>
      <c r="H3079" t="inlineStr">
        <is>
          <t>4kW 1S</t>
        </is>
      </c>
      <c r="I3079">
        <v>299</v>
      </c>
      <c r="J3079">
        <f>GS34/175.6</f>
        <v>0</v>
      </c>
      <c r="M3079" t="inlineStr">
        <is>
          <t>-175K25.0</t>
        </is>
      </c>
    </row>
    <row r="3080">
      <c r="A3080">
        <v>3079</v>
      </c>
      <c r="B3080">
        <f>GS02</f>
        <v>0</v>
      </c>
      <c r="C3080" t="inlineStr">
        <is>
          <t>+LS2</t>
        </is>
      </c>
      <c r="D3080" t="inlineStr">
        <is>
          <t>-175K25.4</t>
        </is>
      </c>
      <c r="E3080" t="inlineStr">
        <is>
          <t>DIL_EM-10-G</t>
        </is>
      </c>
      <c r="F3080" t="inlineStr">
        <is>
          <t>#KALK!</t>
        </is>
      </c>
      <c r="G3080" t="inlineStr">
        <is>
          <t>LASTSCHUETZ</t>
        </is>
      </c>
      <c r="H3080" t="inlineStr">
        <is>
          <t>4kW 1S</t>
        </is>
      </c>
      <c r="I3080">
        <v>576</v>
      </c>
      <c r="J3080">
        <f>GS02/175.6</f>
        <v>0</v>
      </c>
      <c r="M3080" t="inlineStr">
        <is>
          <t>-175K25.4</t>
        </is>
      </c>
    </row>
    <row r="3081">
      <c r="A3081">
        <v>3080</v>
      </c>
      <c r="B3081">
        <f>GS31</f>
        <v>0</v>
      </c>
      <c r="C3081" t="inlineStr">
        <is>
          <t>+LS2</t>
        </is>
      </c>
      <c r="D3081" t="inlineStr">
        <is>
          <t>-175K30.0</t>
        </is>
      </c>
      <c r="E3081" t="inlineStr">
        <is>
          <t>DIL_EM-10-G</t>
        </is>
      </c>
      <c r="F3081" t="inlineStr">
        <is>
          <t>#KALK!</t>
        </is>
      </c>
      <c r="G3081" t="inlineStr">
        <is>
          <t>LASTSCHUETZ</t>
        </is>
      </c>
      <c r="H3081" t="inlineStr">
        <is>
          <t>4kW 1S</t>
        </is>
      </c>
      <c r="I3081">
        <v>459</v>
      </c>
      <c r="J3081">
        <f>GS31/175.6</f>
        <v>0</v>
      </c>
      <c r="M3081" t="inlineStr">
        <is>
          <t>-175K30.0</t>
        </is>
      </c>
    </row>
    <row r="3082">
      <c r="A3082">
        <v>3081</v>
      </c>
      <c r="B3082">
        <f>GS31</f>
        <v>0</v>
      </c>
      <c r="C3082" t="inlineStr">
        <is>
          <t>+LS2</t>
        </is>
      </c>
      <c r="D3082" t="inlineStr">
        <is>
          <t>-175K30.1</t>
        </is>
      </c>
      <c r="E3082" t="inlineStr">
        <is>
          <t>DIL_EM-10-G</t>
        </is>
      </c>
      <c r="F3082" t="inlineStr">
        <is>
          <t>#KALK!</t>
        </is>
      </c>
      <c r="G3082" t="inlineStr">
        <is>
          <t>LASTSCHUETZ</t>
        </is>
      </c>
      <c r="H3082" t="inlineStr">
        <is>
          <t>4kW 1S</t>
        </is>
      </c>
      <c r="I3082">
        <v>459</v>
      </c>
      <c r="J3082">
        <f>GS31/175.6</f>
        <v>0</v>
      </c>
      <c r="M3082" t="inlineStr">
        <is>
          <t>-175K30.1</t>
        </is>
      </c>
    </row>
    <row r="3083">
      <c r="A3083">
        <v>3082</v>
      </c>
      <c r="B3083">
        <f>GS04</f>
        <v>0</v>
      </c>
      <c r="C3083" t="inlineStr">
        <is>
          <t>+LS3</t>
        </is>
      </c>
      <c r="D3083" t="inlineStr">
        <is>
          <t>-175K37.7</t>
        </is>
      </c>
      <c r="E3083" t="inlineStr">
        <is>
          <t>DIL_EM-10-G</t>
        </is>
      </c>
      <c r="F3083" t="inlineStr">
        <is>
          <t>#KALK!</t>
        </is>
      </c>
      <c r="G3083" t="inlineStr">
        <is>
          <t>LASTSCHUETZ</t>
        </is>
      </c>
      <c r="H3083" t="inlineStr">
        <is>
          <t>4kW 1S</t>
        </is>
      </c>
      <c r="I3083">
        <v>425</v>
      </c>
      <c r="J3083">
        <f>GS04/175.7</f>
        <v>0</v>
      </c>
      <c r="M3083" t="inlineStr">
        <is>
          <t>-175K37.7</t>
        </is>
      </c>
    </row>
    <row r="3084">
      <c r="A3084">
        <v>3083</v>
      </c>
      <c r="B3084">
        <f>GS11</f>
        <v>0</v>
      </c>
      <c r="C3084" t="inlineStr">
        <is>
          <t>+LS4</t>
        </is>
      </c>
      <c r="D3084" t="inlineStr">
        <is>
          <t>-175K40.0</t>
        </is>
      </c>
      <c r="E3084" t="inlineStr">
        <is>
          <t>DIL_EM-10-G</t>
        </is>
      </c>
      <c r="F3084" t="inlineStr">
        <is>
          <t>#KALK!</t>
        </is>
      </c>
      <c r="G3084" t="inlineStr">
        <is>
          <t>LASTSCHUETZ</t>
        </is>
      </c>
      <c r="H3084" t="inlineStr">
        <is>
          <t>4kW 1S</t>
        </is>
      </c>
      <c r="I3084">
        <v>286</v>
      </c>
      <c r="J3084">
        <f>GS11/175.6</f>
        <v>0</v>
      </c>
      <c r="M3084" t="inlineStr">
        <is>
          <t>-175K40.0</t>
        </is>
      </c>
    </row>
    <row r="3085">
      <c r="A3085">
        <v>3084</v>
      </c>
      <c r="B3085">
        <f>GS21</f>
        <v>0</v>
      </c>
      <c r="C3085" t="inlineStr">
        <is>
          <t>+LS4</t>
        </is>
      </c>
      <c r="D3085" t="inlineStr">
        <is>
          <t>-175K40.0</t>
        </is>
      </c>
      <c r="E3085" t="inlineStr">
        <is>
          <t>DIL_EM-10-G</t>
        </is>
      </c>
      <c r="F3085" t="inlineStr">
        <is>
          <t>#KALK!</t>
        </is>
      </c>
      <c r="G3085" t="inlineStr">
        <is>
          <t>LASTSCHUETZ</t>
        </is>
      </c>
      <c r="H3085" t="inlineStr">
        <is>
          <t>4kW 1S</t>
        </is>
      </c>
      <c r="I3085">
        <v>260</v>
      </c>
      <c r="J3085">
        <f>GS21/175.6</f>
        <v>0</v>
      </c>
      <c r="M3085" t="inlineStr">
        <is>
          <t>-175K40.0</t>
        </is>
      </c>
    </row>
    <row r="3086">
      <c r="A3086">
        <v>3085</v>
      </c>
      <c r="B3086">
        <f>GS37</f>
        <v>0</v>
      </c>
      <c r="C3086" t="inlineStr">
        <is>
          <t>+LS03</t>
        </is>
      </c>
      <c r="D3086" t="inlineStr">
        <is>
          <t>-175K429.4</t>
        </is>
      </c>
      <c r="E3086" t="inlineStr">
        <is>
          <t>DILA-40</t>
        </is>
      </c>
      <c r="F3086" t="inlineStr">
        <is>
          <t>#KALK!</t>
        </is>
      </c>
      <c r="G3086" t="inlineStr">
        <is>
          <t>HILFSSCHUETZ</t>
        </is>
      </c>
      <c r="H3086" t="inlineStr">
        <is>
          <t>4S Federzugkl.</t>
        </is>
      </c>
      <c r="I3086">
        <v>336</v>
      </c>
      <c r="J3086">
        <f>GS37/175.7</f>
        <v>0</v>
      </c>
      <c r="M3086" t="inlineStr">
        <is>
          <t>-175K429.4</t>
        </is>
      </c>
    </row>
    <row r="3087">
      <c r="A3087">
        <v>3086</v>
      </c>
      <c r="B3087">
        <f>GS91</f>
        <v>0</v>
      </c>
      <c r="C3087" t="inlineStr">
        <is>
          <t>+LS02</t>
        </is>
      </c>
      <c r="D3087" t="inlineStr">
        <is>
          <t>-175K446.0</t>
        </is>
      </c>
      <c r="E3087" t="inlineStr">
        <is>
          <t>DILA-40</t>
        </is>
      </c>
      <c r="F3087" t="inlineStr">
        <is>
          <t>#KALK!</t>
        </is>
      </c>
      <c r="G3087" t="inlineStr">
        <is>
          <t>HILFSSCHUETZ</t>
        </is>
      </c>
      <c r="H3087" t="inlineStr">
        <is>
          <t>4S Federzugkl.</t>
        </is>
      </c>
      <c r="I3087">
        <v>323</v>
      </c>
      <c r="J3087">
        <f>GS91/175.7</f>
        <v>0</v>
      </c>
      <c r="M3087" t="inlineStr">
        <is>
          <t>-175K446.0</t>
        </is>
      </c>
    </row>
    <row r="3088">
      <c r="A3088">
        <v>3087</v>
      </c>
      <c r="B3088">
        <f>GS11</f>
        <v>0</v>
      </c>
      <c r="C3088" t="inlineStr">
        <is>
          <t>+LS4</t>
        </is>
      </c>
      <c r="D3088" t="inlineStr">
        <is>
          <t>-175K45.7</t>
        </is>
      </c>
      <c r="E3088" t="inlineStr">
        <is>
          <t>DIL_EM-10-G</t>
        </is>
      </c>
      <c r="F3088" t="inlineStr">
        <is>
          <t>#KALK!</t>
        </is>
      </c>
      <c r="G3088" t="inlineStr">
        <is>
          <t>LASTSCHUETZ</t>
        </is>
      </c>
      <c r="H3088" t="inlineStr">
        <is>
          <t>4kW 1S</t>
        </is>
      </c>
      <c r="I3088">
        <v>286</v>
      </c>
      <c r="J3088">
        <f>GS11/175.6</f>
        <v>0</v>
      </c>
      <c r="M3088" t="inlineStr">
        <is>
          <t>-175K45.7</t>
        </is>
      </c>
    </row>
    <row r="3089">
      <c r="A3089">
        <v>3088</v>
      </c>
      <c r="B3089">
        <f>GS21</f>
        <v>0</v>
      </c>
      <c r="C3089" t="inlineStr">
        <is>
          <t>+LS4</t>
        </is>
      </c>
      <c r="D3089" t="inlineStr">
        <is>
          <t>-175K45.7</t>
        </is>
      </c>
      <c r="E3089" t="inlineStr">
        <is>
          <t>DIL_EM-10-G</t>
        </is>
      </c>
      <c r="F3089" t="inlineStr">
        <is>
          <t>#KALK!</t>
        </is>
      </c>
      <c r="G3089" t="inlineStr">
        <is>
          <t>LASTSCHUETZ</t>
        </is>
      </c>
      <c r="H3089" t="inlineStr">
        <is>
          <t>4kW 1S</t>
        </is>
      </c>
      <c r="I3089">
        <v>260</v>
      </c>
      <c r="J3089">
        <f>GS21/175.6</f>
        <v>0</v>
      </c>
      <c r="M3089" t="inlineStr">
        <is>
          <t>-175K45.7</t>
        </is>
      </c>
    </row>
    <row r="3090">
      <c r="A3090">
        <v>3089</v>
      </c>
      <c r="B3090">
        <f>GS98</f>
        <v>0</v>
      </c>
      <c r="C3090" t="inlineStr">
        <is>
          <t>+LS05</t>
        </is>
      </c>
      <c r="D3090" t="inlineStr">
        <is>
          <t>-175K50.0</t>
        </is>
      </c>
      <c r="E3090" t="inlineStr">
        <is>
          <t>DILA-40</t>
        </is>
      </c>
      <c r="F3090" t="inlineStr">
        <is>
          <t>#KALK!</t>
        </is>
      </c>
      <c r="G3090" t="inlineStr">
        <is>
          <t>HILFSSCHUETZ</t>
        </is>
      </c>
      <c r="H3090" t="inlineStr">
        <is>
          <t>4S Federzugkl.</t>
        </is>
      </c>
      <c r="I3090">
        <v>313</v>
      </c>
      <c r="J3090">
        <f>GS98/175.5</f>
        <v>0</v>
      </c>
      <c r="M3090" t="inlineStr">
        <is>
          <t>-175K50.0</t>
        </is>
      </c>
    </row>
    <row r="3091">
      <c r="A3091">
        <v>3090</v>
      </c>
      <c r="B3091">
        <f>GS23</f>
        <v>0</v>
      </c>
      <c r="C3091" t="inlineStr">
        <is>
          <t>+LS3</t>
        </is>
      </c>
      <c r="D3091" t="inlineStr">
        <is>
          <t>-175K61.1</t>
        </is>
      </c>
      <c r="E3091" t="inlineStr">
        <is>
          <t>DIL_EM-10-G</t>
        </is>
      </c>
      <c r="F3091" t="inlineStr">
        <is>
          <t>#KALK!</t>
        </is>
      </c>
      <c r="G3091" t="inlineStr">
        <is>
          <t>LASTSCHUETZ</t>
        </is>
      </c>
      <c r="H3091" t="inlineStr">
        <is>
          <t>4kW 1S</t>
        </is>
      </c>
      <c r="I3091">
        <v>474</v>
      </c>
      <c r="J3091">
        <f>GS23/175.6</f>
        <v>0</v>
      </c>
      <c r="M3091" t="inlineStr">
        <is>
          <t>-175K61.1</t>
        </is>
      </c>
    </row>
    <row r="3092">
      <c r="A3092">
        <v>3091</v>
      </c>
      <c r="B3092">
        <f>GS23</f>
        <v>0</v>
      </c>
      <c r="C3092" t="inlineStr">
        <is>
          <t>+LS3</t>
        </is>
      </c>
      <c r="D3092" t="inlineStr">
        <is>
          <t>-175K61.2</t>
        </is>
      </c>
      <c r="E3092" t="inlineStr">
        <is>
          <t>DIL_EM-10-G</t>
        </is>
      </c>
      <c r="F3092" t="inlineStr">
        <is>
          <t>#KALK!</t>
        </is>
      </c>
      <c r="G3092" t="inlineStr">
        <is>
          <t>LASTSCHUETZ</t>
        </is>
      </c>
      <c r="H3092" t="inlineStr">
        <is>
          <t>4kW 1S</t>
        </is>
      </c>
      <c r="I3092">
        <v>474</v>
      </c>
      <c r="J3092">
        <f>GS23/175.6</f>
        <v>0</v>
      </c>
      <c r="M3092" t="inlineStr">
        <is>
          <t>-175K61.2</t>
        </is>
      </c>
    </row>
    <row r="3093">
      <c r="A3093">
        <v>3092</v>
      </c>
      <c r="B3093">
        <f>GS15</f>
        <v>0</v>
      </c>
      <c r="C3093" t="inlineStr">
        <is>
          <t>+LS3</t>
        </is>
      </c>
      <c r="D3093" t="inlineStr">
        <is>
          <t>-175K66.6</t>
        </is>
      </c>
      <c r="E3093" t="inlineStr">
        <is>
          <t>DIL_EM-10-G</t>
        </is>
      </c>
      <c r="F3093" t="inlineStr">
        <is>
          <t>#KALK!</t>
        </is>
      </c>
      <c r="G3093" t="inlineStr">
        <is>
          <t>LASTSCHUETZ</t>
        </is>
      </c>
      <c r="H3093" t="inlineStr">
        <is>
          <t>4kW 1S</t>
        </is>
      </c>
      <c r="I3093">
        <v>667</v>
      </c>
      <c r="J3093">
        <f>GS15/175.6</f>
        <v>0</v>
      </c>
      <c r="M3093" t="inlineStr">
        <is>
          <t>-175K66.6</t>
        </is>
      </c>
    </row>
    <row r="3094">
      <c r="A3094">
        <v>3093</v>
      </c>
      <c r="B3094">
        <f>GS14</f>
        <v>0</v>
      </c>
      <c r="C3094" t="inlineStr">
        <is>
          <t>+LS3</t>
        </is>
      </c>
      <c r="D3094" t="inlineStr">
        <is>
          <t>-175K68.5</t>
        </is>
      </c>
      <c r="E3094" t="inlineStr">
        <is>
          <t>DIL_EM-10-G</t>
        </is>
      </c>
      <c r="F3094" t="inlineStr">
        <is>
          <t>#KALK!</t>
        </is>
      </c>
      <c r="G3094" t="inlineStr">
        <is>
          <t>LASTSCHUETZ</t>
        </is>
      </c>
      <c r="H3094" t="inlineStr">
        <is>
          <t>4kW 1S</t>
        </is>
      </c>
      <c r="I3094">
        <v>301</v>
      </c>
      <c r="J3094">
        <f>GS14/175.6</f>
        <v>0</v>
      </c>
      <c r="M3094" t="inlineStr">
        <is>
          <t>-175K68.5</t>
        </is>
      </c>
    </row>
    <row r="3095">
      <c r="A3095">
        <v>3094</v>
      </c>
      <c r="B3095">
        <f>GS14</f>
        <v>0</v>
      </c>
      <c r="C3095" t="inlineStr">
        <is>
          <t>+LS3</t>
        </is>
      </c>
      <c r="D3095" t="inlineStr">
        <is>
          <t>-175K68.6</t>
        </is>
      </c>
      <c r="E3095" t="inlineStr">
        <is>
          <t>DIL_EM-10-G</t>
        </is>
      </c>
      <c r="F3095" t="inlineStr">
        <is>
          <t>#KALK!</t>
        </is>
      </c>
      <c r="G3095" t="inlineStr">
        <is>
          <t>LASTSCHUETZ</t>
        </is>
      </c>
      <c r="H3095" t="inlineStr">
        <is>
          <t>4kW 1S</t>
        </is>
      </c>
      <c r="I3095">
        <v>301</v>
      </c>
      <c r="J3095">
        <f>GS14/175.6</f>
        <v>0</v>
      </c>
      <c r="M3095" t="inlineStr">
        <is>
          <t>-175K68.6</t>
        </is>
      </c>
    </row>
    <row r="3096">
      <c r="A3096">
        <v>3095</v>
      </c>
      <c r="B3096">
        <f>GS38</f>
        <v>0</v>
      </c>
      <c r="C3096" t="inlineStr">
        <is>
          <t>+LS02</t>
        </is>
      </c>
      <c r="D3096" t="inlineStr">
        <is>
          <t>-175K744.4</t>
        </is>
      </c>
      <c r="E3096" t="inlineStr">
        <is>
          <t>DILA-40</t>
        </is>
      </c>
      <c r="F3096" t="inlineStr">
        <is>
          <t>#KALK!</t>
        </is>
      </c>
      <c r="G3096" t="inlineStr">
        <is>
          <t>HILFSSCHUETZ</t>
        </is>
      </c>
      <c r="H3096" t="inlineStr">
        <is>
          <t>4S Federzugkl.</t>
        </is>
      </c>
      <c r="I3096">
        <v>306</v>
      </c>
      <c r="J3096">
        <f>GS38/175.7</f>
        <v>0</v>
      </c>
      <c r="M3096" t="inlineStr">
        <is>
          <t>-175K744.4</t>
        </is>
      </c>
    </row>
    <row r="3097">
      <c r="A3097">
        <v>3096</v>
      </c>
      <c r="B3097">
        <f>GS39</f>
        <v>0</v>
      </c>
      <c r="C3097" t="inlineStr">
        <is>
          <t>+LS02</t>
        </is>
      </c>
      <c r="D3097" t="inlineStr">
        <is>
          <t>-175K744.4</t>
        </is>
      </c>
      <c r="E3097" t="inlineStr">
        <is>
          <t>DILA-40</t>
        </is>
      </c>
      <c r="F3097" t="inlineStr">
        <is>
          <t>#KALK!</t>
        </is>
      </c>
      <c r="G3097" t="inlineStr">
        <is>
          <t>HILFSSCHUETZ</t>
        </is>
      </c>
      <c r="H3097" t="inlineStr">
        <is>
          <t>4S Federzugkl.</t>
        </is>
      </c>
      <c r="I3097">
        <v>368</v>
      </c>
      <c r="J3097">
        <f>GS39/175.7</f>
        <v>0</v>
      </c>
      <c r="M3097" t="inlineStr">
        <is>
          <t>-175K744.4</t>
        </is>
      </c>
    </row>
    <row r="3098">
      <c r="A3098">
        <v>3097</v>
      </c>
      <c r="B3098">
        <f>GS01</f>
        <v>0</v>
      </c>
      <c r="C3098" t="inlineStr">
        <is>
          <t>+LS4</t>
        </is>
      </c>
      <c r="D3098" t="inlineStr">
        <is>
          <t>-175K97.3</t>
        </is>
      </c>
      <c r="E3098" t="inlineStr">
        <is>
          <t>DIL_EM-10-G</t>
        </is>
      </c>
      <c r="F3098" t="inlineStr">
        <is>
          <t>#KALK!</t>
        </is>
      </c>
      <c r="G3098" t="inlineStr">
        <is>
          <t>LASTSCHUETZ</t>
        </is>
      </c>
      <c r="H3098" t="inlineStr">
        <is>
          <t>4kW 1S</t>
        </is>
      </c>
      <c r="I3098">
        <v>337</v>
      </c>
      <c r="J3098">
        <f>GS01/175.7</f>
        <v>0</v>
      </c>
      <c r="M3098" t="inlineStr">
        <is>
          <t>-175K97.3</t>
        </is>
      </c>
    </row>
    <row r="3099">
      <c r="A3099">
        <v>3098</v>
      </c>
      <c r="B3099">
        <f>GS35</f>
        <v>0</v>
      </c>
      <c r="C3099" t="inlineStr">
        <is>
          <t>+LS03</t>
        </is>
      </c>
      <c r="D3099" t="inlineStr">
        <is>
          <t>-175Q1</t>
        </is>
      </c>
      <c r="E3099" t="inlineStr">
        <is>
          <t>DILM-25-10</t>
        </is>
      </c>
      <c r="F3099" t="inlineStr">
        <is>
          <t>DILA-XHI22</t>
        </is>
      </c>
      <c r="G3099" t="inlineStr">
        <is>
          <t>LASTSCHUETZ</t>
        </is>
      </c>
      <c r="H3099" t="inlineStr">
        <is>
          <t>11kW 1S Federzugkl.</t>
        </is>
      </c>
      <c r="I3099">
        <v>334</v>
      </c>
      <c r="J3099">
        <f>GS35/175.4</f>
        <v>0</v>
      </c>
      <c r="K3099" t="inlineStr">
        <is>
          <t>DIL MC25</t>
        </is>
      </c>
      <c r="M3099" t="inlineStr">
        <is>
          <t>-175Q1</t>
        </is>
      </c>
    </row>
    <row r="3100">
      <c r="A3100">
        <v>3099</v>
      </c>
      <c r="B3100">
        <f>GS35</f>
        <v>0</v>
      </c>
      <c r="C3100" t="inlineStr">
        <is>
          <t>+LS03</t>
        </is>
      </c>
      <c r="D3100" t="inlineStr">
        <is>
          <t>-175Q1</t>
        </is>
      </c>
      <c r="E3100" t="inlineStr">
        <is>
          <t>DILA-XHI22</t>
        </is>
      </c>
      <c r="F3100" t="inlineStr">
        <is>
          <t>DILA-XHI22</t>
        </is>
      </c>
      <c r="G3100" t="inlineStr">
        <is>
          <t>HILFSKONTAKTBLOCK</t>
        </is>
      </c>
      <c r="H3100" t="inlineStr">
        <is>
          <t>2S 2OE Last+Hilfssch. Cage</t>
        </is>
      </c>
      <c r="I3100">
        <v>334</v>
      </c>
      <c r="J3100">
        <f>GS35/175.4</f>
        <v>0</v>
      </c>
      <c r="K3100" t="inlineStr">
        <is>
          <t>DIL MC25</t>
        </is>
      </c>
      <c r="M3100" t="inlineStr">
        <is>
          <t>-175Q1</t>
        </is>
      </c>
    </row>
    <row r="3101">
      <c r="A3101">
        <v>3100</v>
      </c>
      <c r="B3101">
        <f>GS36</f>
        <v>0</v>
      </c>
      <c r="C3101" t="inlineStr">
        <is>
          <t>+LS03</t>
        </is>
      </c>
      <c r="D3101" t="inlineStr">
        <is>
          <t>-175Q1</t>
        </is>
      </c>
      <c r="E3101" t="inlineStr">
        <is>
          <t>DILA-XHI22</t>
        </is>
      </c>
      <c r="F3101" t="inlineStr">
        <is>
          <t>DILA-XHI22</t>
        </is>
      </c>
      <c r="G3101" t="inlineStr">
        <is>
          <t>HILFSKONTAKTBLOCK</t>
        </is>
      </c>
      <c r="H3101" t="inlineStr">
        <is>
          <t>2S 2OE Last+Hilfssch. Cage</t>
        </is>
      </c>
      <c r="I3101">
        <v>348</v>
      </c>
      <c r="J3101">
        <f>GS36/175.5</f>
        <v>0</v>
      </c>
      <c r="K3101" t="inlineStr">
        <is>
          <t>DIL MC25</t>
        </is>
      </c>
      <c r="L3101" t="inlineStr">
        <is>
          <t>HVO 04</t>
        </is>
      </c>
      <c r="M3101" t="inlineStr">
        <is>
          <t>HVO 04
-175Q1</t>
        </is>
      </c>
      <c r="N3101" t="inlineStr">
        <is>
          <t>P</t>
        </is>
      </c>
    </row>
    <row r="3102">
      <c r="A3102">
        <v>3101</v>
      </c>
      <c r="B3102">
        <f>GS36</f>
        <v>0</v>
      </c>
      <c r="C3102" t="inlineStr">
        <is>
          <t>+LS03</t>
        </is>
      </c>
      <c r="D3102" t="inlineStr">
        <is>
          <t>-175Q1</t>
        </is>
      </c>
      <c r="E3102" t="inlineStr">
        <is>
          <t>DILMC25-10(RDC24)</t>
        </is>
      </c>
      <c r="F3102" t="inlineStr">
        <is>
          <t>DILA-XHI22</t>
        </is>
      </c>
      <c r="G3102" t="inlineStr">
        <is>
          <t>LASTSCHUETZ</t>
        </is>
      </c>
      <c r="H3102" t="inlineStr">
        <is>
          <t>11kW 1S Federzugkl.</t>
        </is>
      </c>
      <c r="I3102">
        <v>348</v>
      </c>
      <c r="J3102">
        <f>GS36/175.5</f>
        <v>0</v>
      </c>
      <c r="K3102" t="inlineStr">
        <is>
          <t>DIL MC25</t>
        </is>
      </c>
      <c r="L3102" t="inlineStr">
        <is>
          <t>HVO 04</t>
        </is>
      </c>
      <c r="M3102" t="inlineStr">
        <is>
          <t>HVO 04
-175Q1</t>
        </is>
      </c>
      <c r="N3102" t="inlineStr">
        <is>
          <t>P</t>
        </is>
      </c>
    </row>
    <row r="3103">
      <c r="A3103">
        <v>3102</v>
      </c>
      <c r="B3103">
        <f>GS37</f>
        <v>0</v>
      </c>
      <c r="C3103" t="inlineStr">
        <is>
          <t>+LS03</t>
        </is>
      </c>
      <c r="D3103" t="inlineStr">
        <is>
          <t>-175Q1</t>
        </is>
      </c>
      <c r="E3103" t="inlineStr">
        <is>
          <t>DILMC25-10(RDC24)</t>
        </is>
      </c>
      <c r="F3103" t="inlineStr">
        <is>
          <t>DILA-XHI22</t>
        </is>
      </c>
      <c r="G3103" t="inlineStr">
        <is>
          <t>LASTSCHUETZ</t>
        </is>
      </c>
      <c r="H3103" t="inlineStr">
        <is>
          <t>11kW 1S Federzugkl.</t>
        </is>
      </c>
      <c r="I3103">
        <v>336</v>
      </c>
      <c r="J3103">
        <f>GS37/175.4</f>
        <v>0</v>
      </c>
      <c r="K3103" t="inlineStr">
        <is>
          <t>DIL MC25</t>
        </is>
      </c>
      <c r="M3103" t="inlineStr">
        <is>
          <t>-175Q1</t>
        </is>
      </c>
    </row>
    <row r="3104">
      <c r="A3104">
        <v>3103</v>
      </c>
      <c r="B3104">
        <f>GS37</f>
        <v>0</v>
      </c>
      <c r="C3104" t="inlineStr">
        <is>
          <t>+LS03</t>
        </is>
      </c>
      <c r="D3104" t="inlineStr">
        <is>
          <t>-175Q1</t>
        </is>
      </c>
      <c r="E3104" t="inlineStr">
        <is>
          <t>DILA-XHI22</t>
        </is>
      </c>
      <c r="F3104" t="inlineStr">
        <is>
          <t>DILA-XHI22</t>
        </is>
      </c>
      <c r="G3104" t="inlineStr">
        <is>
          <t>HILFSKONTAKTBLOCK</t>
        </is>
      </c>
      <c r="H3104" t="inlineStr">
        <is>
          <t>2S 2OE Last+Hilfssch. Cage</t>
        </is>
      </c>
      <c r="I3104">
        <v>336</v>
      </c>
      <c r="J3104">
        <f>GS37/175.4</f>
        <v>0</v>
      </c>
      <c r="K3104" t="inlineStr">
        <is>
          <t>DIL MC25</t>
        </is>
      </c>
      <c r="M3104" t="inlineStr">
        <is>
          <t>-175Q1</t>
        </is>
      </c>
    </row>
    <row r="3105">
      <c r="A3105">
        <v>3104</v>
      </c>
      <c r="B3105">
        <f>GS38</f>
        <v>0</v>
      </c>
      <c r="C3105" t="inlineStr">
        <is>
          <t>+LS02</t>
        </is>
      </c>
      <c r="D3105" t="inlineStr">
        <is>
          <t>-175Q1</t>
        </is>
      </c>
      <c r="E3105" t="inlineStr">
        <is>
          <t>DILA-XHI22</t>
        </is>
      </c>
      <c r="F3105" t="inlineStr">
        <is>
          <t>DILA-XHI22</t>
        </is>
      </c>
      <c r="G3105" t="inlineStr">
        <is>
          <t>HILFSKONTAKTBLOCK</t>
        </is>
      </c>
      <c r="H3105" t="inlineStr">
        <is>
          <t>2S 2OE Last+Hilfssch. Cage</t>
        </is>
      </c>
      <c r="I3105">
        <v>306</v>
      </c>
      <c r="J3105">
        <f>GS38/175.4</f>
        <v>0</v>
      </c>
      <c r="K3105" t="inlineStr">
        <is>
          <t>DIL MC25</t>
        </is>
      </c>
      <c r="M3105" t="inlineStr">
        <is>
          <t>-175Q1</t>
        </is>
      </c>
    </row>
    <row r="3106">
      <c r="A3106">
        <v>3105</v>
      </c>
      <c r="B3106">
        <f>GS38</f>
        <v>0</v>
      </c>
      <c r="C3106" t="inlineStr">
        <is>
          <t>+LS02</t>
        </is>
      </c>
      <c r="D3106" t="inlineStr">
        <is>
          <t>-175Q1</t>
        </is>
      </c>
      <c r="E3106" t="inlineStr">
        <is>
          <t>DILMC25-10(RDC24)</t>
        </is>
      </c>
      <c r="F3106" t="inlineStr">
        <is>
          <t>DILA-XHI22</t>
        </is>
      </c>
      <c r="G3106" t="inlineStr">
        <is>
          <t>LASTSCHUETZ</t>
        </is>
      </c>
      <c r="H3106" t="inlineStr">
        <is>
          <t>11kW 1S Federzugkl.</t>
        </is>
      </c>
      <c r="I3106">
        <v>306</v>
      </c>
      <c r="J3106">
        <f>GS38/175.4</f>
        <v>0</v>
      </c>
      <c r="K3106" t="inlineStr">
        <is>
          <t>DIL MC25</t>
        </is>
      </c>
      <c r="M3106" t="inlineStr">
        <is>
          <t>-175Q1</t>
        </is>
      </c>
    </row>
    <row r="3107">
      <c r="A3107">
        <v>3106</v>
      </c>
      <c r="B3107">
        <f>GS39</f>
        <v>0</v>
      </c>
      <c r="C3107" t="inlineStr">
        <is>
          <t>+LS02</t>
        </is>
      </c>
      <c r="D3107" t="inlineStr">
        <is>
          <t>-175Q1</t>
        </is>
      </c>
      <c r="E3107" t="inlineStr">
        <is>
          <t>DILMC25-10(RDC24)</t>
        </is>
      </c>
      <c r="F3107" t="inlineStr">
        <is>
          <t>DILA-XHI22</t>
        </is>
      </c>
      <c r="G3107" t="inlineStr">
        <is>
          <t>LASTSCHUETZ</t>
        </is>
      </c>
      <c r="H3107" t="inlineStr">
        <is>
          <t>11kW 1S Federzugkl.</t>
        </is>
      </c>
      <c r="I3107">
        <v>368</v>
      </c>
      <c r="J3107">
        <f>GS39/175.4</f>
        <v>0</v>
      </c>
      <c r="K3107" t="inlineStr">
        <is>
          <t>DIL MC25</t>
        </is>
      </c>
      <c r="M3107" t="inlineStr">
        <is>
          <t>-175Q1</t>
        </is>
      </c>
    </row>
    <row r="3108">
      <c r="A3108">
        <v>3107</v>
      </c>
      <c r="B3108">
        <f>GS39</f>
        <v>0</v>
      </c>
      <c r="C3108" t="inlineStr">
        <is>
          <t>+LS02</t>
        </is>
      </c>
      <c r="D3108" t="inlineStr">
        <is>
          <t>-175Q1</t>
        </is>
      </c>
      <c r="E3108" t="inlineStr">
        <is>
          <t>DILA-XHI22</t>
        </is>
      </c>
      <c r="F3108" t="inlineStr">
        <is>
          <t>DILA-XHI22</t>
        </is>
      </c>
      <c r="G3108" t="inlineStr">
        <is>
          <t>HILFSKONTAKTBLOCK</t>
        </is>
      </c>
      <c r="H3108" t="inlineStr">
        <is>
          <t>2S 2OE Last+Hilfssch. Cage</t>
        </is>
      </c>
      <c r="I3108">
        <v>368</v>
      </c>
      <c r="J3108">
        <f>GS39/175.4</f>
        <v>0</v>
      </c>
      <c r="K3108" t="inlineStr">
        <is>
          <t>DIL MC25</t>
        </is>
      </c>
      <c r="M3108" t="inlineStr">
        <is>
          <t>-175Q1</t>
        </is>
      </c>
    </row>
    <row r="3109">
      <c r="A3109">
        <v>3108</v>
      </c>
      <c r="B3109">
        <f>GS46</f>
        <v>0</v>
      </c>
      <c r="C3109" t="inlineStr">
        <is>
          <t>+LS02</t>
        </is>
      </c>
      <c r="D3109" t="inlineStr">
        <is>
          <t>-175Q1</t>
        </is>
      </c>
      <c r="E3109" t="inlineStr">
        <is>
          <t>DILMC25-10(RDC24)</t>
        </is>
      </c>
      <c r="F3109" t="inlineStr">
        <is>
          <t>DILA-XHI22</t>
        </is>
      </c>
      <c r="G3109" t="inlineStr">
        <is>
          <t>LASTSCHUETZ</t>
        </is>
      </c>
      <c r="H3109" t="inlineStr">
        <is>
          <t>11kW 1S Federzugkl.</t>
        </is>
      </c>
      <c r="I3109">
        <v>331</v>
      </c>
      <c r="J3109">
        <f>GS46/175.4</f>
        <v>0</v>
      </c>
      <c r="K3109" t="inlineStr">
        <is>
          <t>DIL MC25</t>
        </is>
      </c>
      <c r="M3109" t="inlineStr">
        <is>
          <t>-175Q1</t>
        </is>
      </c>
    </row>
    <row r="3110">
      <c r="A3110">
        <v>3109</v>
      </c>
      <c r="B3110">
        <f>GS46</f>
        <v>0</v>
      </c>
      <c r="C3110" t="inlineStr">
        <is>
          <t>+LS02</t>
        </is>
      </c>
      <c r="D3110" t="inlineStr">
        <is>
          <t>-175Q1</t>
        </is>
      </c>
      <c r="E3110" t="inlineStr">
        <is>
          <t>DILA-XHI22</t>
        </is>
      </c>
      <c r="F3110" t="inlineStr">
        <is>
          <t>DILA-XHI22</t>
        </is>
      </c>
      <c r="G3110" t="inlineStr">
        <is>
          <t>HILFSKONTAKTBLOCK</t>
        </is>
      </c>
      <c r="H3110" t="inlineStr">
        <is>
          <t>2S 2OE Last+Hilfssch. Cage</t>
        </is>
      </c>
      <c r="I3110">
        <v>331</v>
      </c>
      <c r="J3110">
        <f>GS46/175.4</f>
        <v>0</v>
      </c>
      <c r="K3110" t="inlineStr">
        <is>
          <t>DIL MC25</t>
        </is>
      </c>
      <c r="M3110" t="inlineStr">
        <is>
          <t>-175Q1</t>
        </is>
      </c>
    </row>
    <row r="3111">
      <c r="A3111">
        <v>3110</v>
      </c>
      <c r="B3111">
        <f>GS47</f>
        <v>0</v>
      </c>
      <c r="C3111" t="inlineStr">
        <is>
          <t>+LS02</t>
        </is>
      </c>
      <c r="D3111" t="inlineStr">
        <is>
          <t>-175Q1</t>
        </is>
      </c>
      <c r="E3111" t="inlineStr">
        <is>
          <t>DILMC25-10(RDC24)</t>
        </is>
      </c>
      <c r="F3111" t="inlineStr">
        <is>
          <t>DILA-XHI22</t>
        </is>
      </c>
      <c r="G3111" t="inlineStr">
        <is>
          <t>LASTSCHUETZ</t>
        </is>
      </c>
      <c r="H3111" t="inlineStr">
        <is>
          <t>11kW 1S Federzugkl.</t>
        </is>
      </c>
      <c r="I3111">
        <v>331</v>
      </c>
      <c r="J3111">
        <f>GS47/175.4</f>
        <v>0</v>
      </c>
      <c r="K3111" t="inlineStr">
        <is>
          <t>DIL MC25</t>
        </is>
      </c>
      <c r="M3111" t="inlineStr">
        <is>
          <t>-175Q1</t>
        </is>
      </c>
    </row>
    <row r="3112">
      <c r="A3112">
        <v>3111</v>
      </c>
      <c r="B3112">
        <f>GS47</f>
        <v>0</v>
      </c>
      <c r="C3112" t="inlineStr">
        <is>
          <t>+LS02</t>
        </is>
      </c>
      <c r="D3112" t="inlineStr">
        <is>
          <t>-175Q1</t>
        </is>
      </c>
      <c r="E3112" t="inlineStr">
        <is>
          <t>DILA-XHI22</t>
        </is>
      </c>
      <c r="F3112" t="inlineStr">
        <is>
          <t>DILA-XHI22</t>
        </is>
      </c>
      <c r="G3112" t="inlineStr">
        <is>
          <t>HILFSKONTAKTBLOCK</t>
        </is>
      </c>
      <c r="H3112" t="inlineStr">
        <is>
          <t>2S 2OE Last+Hilfssch. Cage</t>
        </is>
      </c>
      <c r="I3112">
        <v>331</v>
      </c>
      <c r="J3112">
        <f>GS47/175.4</f>
        <v>0</v>
      </c>
      <c r="K3112" t="inlineStr">
        <is>
          <t>DIL MC25</t>
        </is>
      </c>
      <c r="M3112" t="inlineStr">
        <is>
          <t>-175Q1</t>
        </is>
      </c>
    </row>
    <row r="3113">
      <c r="A3113">
        <v>3112</v>
      </c>
      <c r="B3113">
        <f>GS48</f>
        <v>0</v>
      </c>
      <c r="C3113" t="inlineStr">
        <is>
          <t>+LS02</t>
        </is>
      </c>
      <c r="D3113" t="inlineStr">
        <is>
          <t>-175Q1</t>
        </is>
      </c>
      <c r="E3113" t="inlineStr">
        <is>
          <t>DILA-XHI22</t>
        </is>
      </c>
      <c r="F3113" t="inlineStr">
        <is>
          <t>DILA-XHI22</t>
        </is>
      </c>
      <c r="G3113" t="inlineStr">
        <is>
          <t>HILFSKONTAKTBLOCK</t>
        </is>
      </c>
      <c r="H3113" t="inlineStr">
        <is>
          <t>2S 2OE Last+Hilfssch. Cage</t>
        </is>
      </c>
      <c r="I3113">
        <v>327</v>
      </c>
      <c r="J3113">
        <f>GS48/175.4</f>
        <v>0</v>
      </c>
      <c r="K3113" t="inlineStr">
        <is>
          <t>DIL MC25</t>
        </is>
      </c>
      <c r="M3113" t="inlineStr">
        <is>
          <t>-175Q1</t>
        </is>
      </c>
    </row>
    <row r="3114">
      <c r="A3114">
        <v>3113</v>
      </c>
      <c r="B3114">
        <f>GS48</f>
        <v>0</v>
      </c>
      <c r="C3114" t="inlineStr">
        <is>
          <t>+LS02</t>
        </is>
      </c>
      <c r="D3114" t="inlineStr">
        <is>
          <t>-175Q1</t>
        </is>
      </c>
      <c r="E3114" t="inlineStr">
        <is>
          <t>DILMC25-10(RDC24)</t>
        </is>
      </c>
      <c r="F3114" t="inlineStr">
        <is>
          <t>DILA-XHI22</t>
        </is>
      </c>
      <c r="G3114" t="inlineStr">
        <is>
          <t>LASTSCHUETZ</t>
        </is>
      </c>
      <c r="H3114" t="inlineStr">
        <is>
          <t>11kW 1S Federzugkl.</t>
        </is>
      </c>
      <c r="I3114">
        <v>327</v>
      </c>
      <c r="J3114">
        <f>GS48/175.4</f>
        <v>0</v>
      </c>
      <c r="K3114" t="inlineStr">
        <is>
          <t>DIL MC25</t>
        </is>
      </c>
      <c r="M3114" t="inlineStr">
        <is>
          <t>-175Q1</t>
        </is>
      </c>
    </row>
    <row r="3115">
      <c r="A3115">
        <v>3114</v>
      </c>
      <c r="B3115">
        <f>GS49</f>
        <v>0</v>
      </c>
      <c r="C3115" t="inlineStr">
        <is>
          <t>+LS02</t>
        </is>
      </c>
      <c r="D3115" t="inlineStr">
        <is>
          <t>-175Q1</t>
        </is>
      </c>
      <c r="E3115" t="inlineStr">
        <is>
          <t>DILMC25-10(RDC24)</t>
        </is>
      </c>
      <c r="F3115" t="inlineStr">
        <is>
          <t>DILA-XHI22</t>
        </is>
      </c>
      <c r="G3115" t="inlineStr">
        <is>
          <t>LASTSCHUETZ</t>
        </is>
      </c>
      <c r="H3115" t="inlineStr">
        <is>
          <t>11kW 1S Federzugkl.</t>
        </is>
      </c>
      <c r="I3115">
        <v>326</v>
      </c>
      <c r="J3115">
        <f>GS49/175.4</f>
        <v>0</v>
      </c>
      <c r="K3115" t="inlineStr">
        <is>
          <t>DIL MC25</t>
        </is>
      </c>
      <c r="M3115" t="inlineStr">
        <is>
          <t>-175Q1</t>
        </is>
      </c>
    </row>
    <row r="3116">
      <c r="A3116">
        <v>3115</v>
      </c>
      <c r="B3116">
        <f>GS49</f>
        <v>0</v>
      </c>
      <c r="C3116" t="inlineStr">
        <is>
          <t>+LS02</t>
        </is>
      </c>
      <c r="D3116" t="inlineStr">
        <is>
          <t>-175Q1</t>
        </is>
      </c>
      <c r="E3116" t="inlineStr">
        <is>
          <t>DILA-XHI22</t>
        </is>
      </c>
      <c r="F3116" t="inlineStr">
        <is>
          <t>DILA-XHI22</t>
        </is>
      </c>
      <c r="G3116" t="inlineStr">
        <is>
          <t>HILFSKONTAKTBLOCK</t>
        </is>
      </c>
      <c r="H3116" t="inlineStr">
        <is>
          <t>2S 2OE Last+Hilfssch. Cage</t>
        </is>
      </c>
      <c r="I3116">
        <v>326</v>
      </c>
      <c r="J3116">
        <f>GS49/175.4</f>
        <v>0</v>
      </c>
      <c r="K3116" t="inlineStr">
        <is>
          <t>DIL MC25</t>
        </is>
      </c>
      <c r="M3116" t="inlineStr">
        <is>
          <t>-175Q1</t>
        </is>
      </c>
    </row>
    <row r="3117">
      <c r="A3117">
        <v>3116</v>
      </c>
      <c r="B3117">
        <f>GS51</f>
        <v>0</v>
      </c>
      <c r="C3117" t="inlineStr">
        <is>
          <t>+LS02</t>
        </is>
      </c>
      <c r="D3117" t="inlineStr">
        <is>
          <t>-175Q1</t>
        </is>
      </c>
      <c r="E3117" t="inlineStr">
        <is>
          <t>DILA-XHI22</t>
        </is>
      </c>
      <c r="F3117" t="inlineStr">
        <is>
          <t>DILA-XHI22</t>
        </is>
      </c>
      <c r="G3117" t="inlineStr">
        <is>
          <t>HILFSKONTAKTBLOCK</t>
        </is>
      </c>
      <c r="H3117" t="inlineStr">
        <is>
          <t>2S 2OE Last+Hilfssch. Cage</t>
        </is>
      </c>
      <c r="I3117">
        <v>367</v>
      </c>
      <c r="J3117">
        <f>GS51/175.6</f>
        <v>0</v>
      </c>
      <c r="K3117" t="inlineStr">
        <is>
          <t>DIL MC25</t>
        </is>
      </c>
      <c r="M3117" t="inlineStr">
        <is>
          <t>-175Q1</t>
        </is>
      </c>
    </row>
    <row r="3118">
      <c r="A3118">
        <v>3117</v>
      </c>
      <c r="B3118">
        <f>GS51</f>
        <v>0</v>
      </c>
      <c r="C3118" t="inlineStr">
        <is>
          <t>+LS02</t>
        </is>
      </c>
      <c r="D3118" t="inlineStr">
        <is>
          <t>-175Q1</t>
        </is>
      </c>
      <c r="E3118" t="inlineStr">
        <is>
          <t>DILMC25-10(RDC24)</t>
        </is>
      </c>
      <c r="F3118" t="inlineStr">
        <is>
          <t>DILA-XHI22</t>
        </is>
      </c>
      <c r="G3118" t="inlineStr">
        <is>
          <t>LASTSCHUETZ</t>
        </is>
      </c>
      <c r="H3118" t="inlineStr">
        <is>
          <t>11kW 1S Federzugkl.</t>
        </is>
      </c>
      <c r="I3118">
        <v>367</v>
      </c>
      <c r="J3118">
        <f>GS51/175.6</f>
        <v>0</v>
      </c>
      <c r="K3118" t="inlineStr">
        <is>
          <t>DIL MC25</t>
        </is>
      </c>
      <c r="M3118" t="inlineStr">
        <is>
          <t>-175Q1</t>
        </is>
      </c>
    </row>
    <row r="3119">
      <c r="A3119">
        <v>3118</v>
      </c>
      <c r="B3119">
        <f>GS91</f>
        <v>0</v>
      </c>
      <c r="C3119" t="inlineStr">
        <is>
          <t>+LS02</t>
        </is>
      </c>
      <c r="D3119" t="inlineStr">
        <is>
          <t>-175Q1</t>
        </is>
      </c>
      <c r="E3119" t="inlineStr">
        <is>
          <t>DILA-XHI22</t>
        </is>
      </c>
      <c r="F3119" t="inlineStr">
        <is>
          <t>DILA-XHI22</t>
        </is>
      </c>
      <c r="G3119" t="inlineStr">
        <is>
          <t>HILFSKONTAKTBLOCK</t>
        </is>
      </c>
      <c r="H3119" t="inlineStr">
        <is>
          <t>2S 2OE Last+Hilfssch. Cage</t>
        </is>
      </c>
      <c r="I3119">
        <v>323</v>
      </c>
      <c r="J3119">
        <f>GS91/175.4</f>
        <v>0</v>
      </c>
      <c r="K3119" t="inlineStr">
        <is>
          <t>DIL MC25</t>
        </is>
      </c>
      <c r="M3119" t="inlineStr">
        <is>
          <t>-175Q1</t>
        </is>
      </c>
    </row>
    <row r="3120">
      <c r="A3120">
        <v>3119</v>
      </c>
      <c r="B3120">
        <f>GS91</f>
        <v>0</v>
      </c>
      <c r="C3120" t="inlineStr">
        <is>
          <t>+LS02</t>
        </is>
      </c>
      <c r="D3120" t="inlineStr">
        <is>
          <t>-175Q1</t>
        </is>
      </c>
      <c r="E3120" t="inlineStr">
        <is>
          <t>DILMC25-10(RDC24)</t>
        </is>
      </c>
      <c r="F3120" t="inlineStr">
        <is>
          <t>DILA-XHI22</t>
        </is>
      </c>
      <c r="G3120" t="inlineStr">
        <is>
          <t>LASTSCHUETZ</t>
        </is>
      </c>
      <c r="H3120" t="inlineStr">
        <is>
          <t>11kW 1S Federzugkl.</t>
        </is>
      </c>
      <c r="I3120">
        <v>323</v>
      </c>
      <c r="J3120">
        <f>GS91/175.4</f>
        <v>0</v>
      </c>
      <c r="K3120" t="inlineStr">
        <is>
          <t>DIL MC25</t>
        </is>
      </c>
      <c r="M3120" t="inlineStr">
        <is>
          <t>-175Q1</t>
        </is>
      </c>
    </row>
    <row r="3121">
      <c r="A3121">
        <v>3120</v>
      </c>
      <c r="B3121">
        <f>GS92</f>
        <v>0</v>
      </c>
      <c r="C3121" t="inlineStr">
        <is>
          <t>+LS02</t>
        </is>
      </c>
      <c r="D3121" t="inlineStr">
        <is>
          <t>-175Q1</t>
        </is>
      </c>
      <c r="E3121" t="inlineStr">
        <is>
          <t>DILMC25-10(RDC24)</t>
        </is>
      </c>
      <c r="F3121" t="inlineStr">
        <is>
          <t>DILA-XHI22</t>
        </is>
      </c>
      <c r="G3121" t="inlineStr">
        <is>
          <t>LASTSCHUETZ</t>
        </is>
      </c>
      <c r="H3121" t="inlineStr">
        <is>
          <t>11kW 1S Federzugkl.</t>
        </is>
      </c>
      <c r="I3121">
        <v>322</v>
      </c>
      <c r="J3121">
        <f>GS92/175.4</f>
        <v>0</v>
      </c>
      <c r="K3121" t="inlineStr">
        <is>
          <t>DIL MC25</t>
        </is>
      </c>
      <c r="M3121" t="inlineStr">
        <is>
          <t>-175Q1</t>
        </is>
      </c>
    </row>
    <row r="3122">
      <c r="A3122">
        <v>3121</v>
      </c>
      <c r="B3122">
        <f>GS92</f>
        <v>0</v>
      </c>
      <c r="C3122" t="inlineStr">
        <is>
          <t>+LS02</t>
        </is>
      </c>
      <c r="D3122" t="inlineStr">
        <is>
          <t>-175Q1</t>
        </is>
      </c>
      <c r="E3122" t="inlineStr">
        <is>
          <t>DILA-XHI22</t>
        </is>
      </c>
      <c r="F3122" t="inlineStr">
        <is>
          <t>DILA-XHI22</t>
        </is>
      </c>
      <c r="G3122" t="inlineStr">
        <is>
          <t>HILFSKONTAKTBLOCK</t>
        </is>
      </c>
      <c r="H3122" t="inlineStr">
        <is>
          <t>2S 2OE Last+Hilfssch. Cage</t>
        </is>
      </c>
      <c r="I3122">
        <v>322</v>
      </c>
      <c r="J3122">
        <f>GS92/175.4</f>
        <v>0</v>
      </c>
      <c r="K3122" t="inlineStr">
        <is>
          <t>DIL MC25</t>
        </is>
      </c>
      <c r="M3122" t="inlineStr">
        <is>
          <t>-175Q1</t>
        </is>
      </c>
    </row>
    <row r="3123">
      <c r="A3123">
        <v>3122</v>
      </c>
      <c r="B3123">
        <f>GS93</f>
        <v>0</v>
      </c>
      <c r="C3123" t="inlineStr">
        <is>
          <t>+LS02</t>
        </is>
      </c>
      <c r="D3123" t="inlineStr">
        <is>
          <t>-175Q1</t>
        </is>
      </c>
      <c r="E3123" t="inlineStr">
        <is>
          <t>DILMC25-10(RDC24)</t>
        </is>
      </c>
      <c r="F3123" t="inlineStr">
        <is>
          <t>DILA-XHI22</t>
        </is>
      </c>
      <c r="G3123" t="inlineStr">
        <is>
          <t>LASTSCHUETZ</t>
        </is>
      </c>
      <c r="H3123" t="inlineStr">
        <is>
          <t>11kW 1S Federzugkl.</t>
        </is>
      </c>
      <c r="I3123">
        <v>734</v>
      </c>
      <c r="J3123">
        <f>GS93/175.4</f>
        <v>0</v>
      </c>
      <c r="K3123" t="inlineStr">
        <is>
          <t>DIL MC25</t>
        </is>
      </c>
      <c r="M3123" t="inlineStr">
        <is>
          <t>-175Q1</t>
        </is>
      </c>
    </row>
    <row r="3124">
      <c r="A3124">
        <v>3123</v>
      </c>
      <c r="B3124">
        <f>GS93</f>
        <v>0</v>
      </c>
      <c r="C3124" t="inlineStr">
        <is>
          <t>+LS02</t>
        </is>
      </c>
      <c r="D3124" t="inlineStr">
        <is>
          <t>-175Q1</t>
        </is>
      </c>
      <c r="E3124" t="inlineStr">
        <is>
          <t>DILA-XHI22</t>
        </is>
      </c>
      <c r="F3124" t="inlineStr">
        <is>
          <t>DILA-XHI22</t>
        </is>
      </c>
      <c r="G3124" t="inlineStr">
        <is>
          <t>HILFSKONTAKTBLOCK</t>
        </is>
      </c>
      <c r="H3124" t="inlineStr">
        <is>
          <t>2S 2OE Last+Hilfssch. Cage</t>
        </is>
      </c>
      <c r="I3124">
        <v>734</v>
      </c>
      <c r="J3124">
        <f>GS93/175.4</f>
        <v>0</v>
      </c>
      <c r="K3124" t="inlineStr">
        <is>
          <t>DIL MC25</t>
        </is>
      </c>
      <c r="M3124" t="inlineStr">
        <is>
          <t>-175Q1</t>
        </is>
      </c>
    </row>
    <row r="3125">
      <c r="A3125">
        <v>3124</v>
      </c>
      <c r="B3125">
        <f>GS94</f>
        <v>0</v>
      </c>
      <c r="C3125" t="inlineStr">
        <is>
          <t>+LS15</t>
        </is>
      </c>
      <c r="D3125" t="inlineStr">
        <is>
          <t>-175Q1</t>
        </is>
      </c>
      <c r="E3125" t="inlineStr">
        <is>
          <t>DILA-XHI22</t>
        </is>
      </c>
      <c r="F3125" t="inlineStr">
        <is>
          <t>DILA-XHI22</t>
        </is>
      </c>
      <c r="G3125" t="inlineStr">
        <is>
          <t>HILFSKONTAKTBLOCK</t>
        </is>
      </c>
      <c r="H3125" t="inlineStr">
        <is>
          <t>2S 2OE Last+Hilfssch. Cage</t>
        </is>
      </c>
      <c r="I3125">
        <v>265</v>
      </c>
      <c r="J3125">
        <f>GS94/175.4</f>
        <v>0</v>
      </c>
      <c r="K3125" t="inlineStr">
        <is>
          <t>DIL MC25</t>
        </is>
      </c>
      <c r="M3125" t="inlineStr">
        <is>
          <t>-175Q1</t>
        </is>
      </c>
    </row>
    <row r="3126">
      <c r="A3126">
        <v>3125</v>
      </c>
      <c r="B3126">
        <f>GS94</f>
        <v>0</v>
      </c>
      <c r="C3126" t="inlineStr">
        <is>
          <t>+LS15</t>
        </is>
      </c>
      <c r="D3126" t="inlineStr">
        <is>
          <t>-175Q1</t>
        </is>
      </c>
      <c r="E3126" t="inlineStr">
        <is>
          <t>DILMC25-10(RDC24)</t>
        </is>
      </c>
      <c r="F3126" t="inlineStr">
        <is>
          <t>DILA-XHI22</t>
        </is>
      </c>
      <c r="G3126" t="inlineStr">
        <is>
          <t>LASTSCHUETZ</t>
        </is>
      </c>
      <c r="H3126" t="inlineStr">
        <is>
          <t>11kW 1S Federzugkl.</t>
        </is>
      </c>
      <c r="I3126">
        <v>265</v>
      </c>
      <c r="J3126">
        <f>GS94/175.4</f>
        <v>0</v>
      </c>
      <c r="K3126" t="inlineStr">
        <is>
          <t>DIL MC25</t>
        </is>
      </c>
      <c r="M3126" t="inlineStr">
        <is>
          <t>-175Q1</t>
        </is>
      </c>
    </row>
    <row r="3127">
      <c r="A3127">
        <v>3126</v>
      </c>
      <c r="B3127">
        <f>GS95</f>
        <v>0</v>
      </c>
      <c r="C3127" t="inlineStr">
        <is>
          <t>+LS15</t>
        </is>
      </c>
      <c r="D3127" t="inlineStr">
        <is>
          <t>-175Q1</t>
        </is>
      </c>
      <c r="E3127" t="inlineStr">
        <is>
          <t>DILA-XHI22</t>
        </is>
      </c>
      <c r="F3127" t="inlineStr">
        <is>
          <t>DILA-XHI22</t>
        </is>
      </c>
      <c r="G3127" t="inlineStr">
        <is>
          <t>HILFSKONTAKTBLOCK</t>
        </is>
      </c>
      <c r="H3127" t="inlineStr">
        <is>
          <t>2S 2OE Last+Hilfssch. Cage</t>
        </is>
      </c>
      <c r="I3127">
        <v>265</v>
      </c>
      <c r="J3127">
        <f>GS95/175.4</f>
        <v>0</v>
      </c>
      <c r="K3127" t="inlineStr">
        <is>
          <t>DIL MC25</t>
        </is>
      </c>
      <c r="M3127" t="inlineStr">
        <is>
          <t>-175Q1</t>
        </is>
      </c>
    </row>
    <row r="3128">
      <c r="A3128">
        <v>3127</v>
      </c>
      <c r="B3128">
        <f>GS95</f>
        <v>0</v>
      </c>
      <c r="C3128" t="inlineStr">
        <is>
          <t>+LS15</t>
        </is>
      </c>
      <c r="D3128" t="inlineStr">
        <is>
          <t>-175Q1</t>
        </is>
      </c>
      <c r="E3128" t="inlineStr">
        <is>
          <t>DILMC25-10(RDC24)</t>
        </is>
      </c>
      <c r="F3128" t="inlineStr">
        <is>
          <t>DILA-XHI22</t>
        </is>
      </c>
      <c r="G3128" t="inlineStr">
        <is>
          <t>LASTSCHUETZ</t>
        </is>
      </c>
      <c r="H3128" t="inlineStr">
        <is>
          <t>11kW 1S Federzugkl.</t>
        </is>
      </c>
      <c r="I3128">
        <v>265</v>
      </c>
      <c r="J3128">
        <f>GS95/175.4</f>
        <v>0</v>
      </c>
      <c r="K3128" t="inlineStr">
        <is>
          <t>DIL MC25</t>
        </is>
      </c>
      <c r="M3128" t="inlineStr">
        <is>
          <t>-175Q1</t>
        </is>
      </c>
    </row>
    <row r="3129">
      <c r="A3129">
        <v>3128</v>
      </c>
      <c r="B3129">
        <f>GS96</f>
        <v>0</v>
      </c>
      <c r="C3129" t="inlineStr">
        <is>
          <t>+LS15</t>
        </is>
      </c>
      <c r="D3129" t="inlineStr">
        <is>
          <t>-175Q1</t>
        </is>
      </c>
      <c r="E3129" t="inlineStr">
        <is>
          <t>DILMC25-10(RDC24)</t>
        </is>
      </c>
      <c r="F3129" t="inlineStr">
        <is>
          <t>DILA-XHI22</t>
        </is>
      </c>
      <c r="G3129" t="inlineStr">
        <is>
          <t>LASTSCHUETZ</t>
        </is>
      </c>
      <c r="H3129" t="inlineStr">
        <is>
          <t>11kW 1S Federzugkl.</t>
        </is>
      </c>
      <c r="I3129">
        <v>265</v>
      </c>
      <c r="J3129">
        <f>GS96/175.4</f>
        <v>0</v>
      </c>
      <c r="K3129" t="inlineStr">
        <is>
          <t>DIL MC25</t>
        </is>
      </c>
      <c r="M3129" t="inlineStr">
        <is>
          <t>-175Q1</t>
        </is>
      </c>
    </row>
    <row r="3130">
      <c r="A3130">
        <v>3129</v>
      </c>
      <c r="B3130">
        <f>GS96</f>
        <v>0</v>
      </c>
      <c r="C3130" t="inlineStr">
        <is>
          <t>+LS15</t>
        </is>
      </c>
      <c r="D3130" t="inlineStr">
        <is>
          <t>-175Q1</t>
        </is>
      </c>
      <c r="E3130" t="inlineStr">
        <is>
          <t>DILA-XHI22</t>
        </is>
      </c>
      <c r="F3130" t="inlineStr">
        <is>
          <t>DILA-XHI22</t>
        </is>
      </c>
      <c r="G3130" t="inlineStr">
        <is>
          <t>HILFSKONTAKTBLOCK</t>
        </is>
      </c>
      <c r="H3130" t="inlineStr">
        <is>
          <t>2S 2OE Last+Hilfssch. Cage</t>
        </is>
      </c>
      <c r="I3130">
        <v>265</v>
      </c>
      <c r="J3130">
        <f>GS96/175.4</f>
        <v>0</v>
      </c>
      <c r="K3130" t="inlineStr">
        <is>
          <t>DIL MC25</t>
        </is>
      </c>
      <c r="M3130" t="inlineStr">
        <is>
          <t>-175Q1</t>
        </is>
      </c>
    </row>
    <row r="3131">
      <c r="A3131">
        <v>3130</v>
      </c>
      <c r="B3131">
        <f>GS97</f>
        <v>0</v>
      </c>
      <c r="C3131" t="inlineStr">
        <is>
          <t>+LS15</t>
        </is>
      </c>
      <c r="D3131" t="inlineStr">
        <is>
          <t>-175Q1</t>
        </is>
      </c>
      <c r="E3131" t="inlineStr">
        <is>
          <t>DILMC25-10(RDC24)</t>
        </is>
      </c>
      <c r="F3131" t="inlineStr">
        <is>
          <t>DILA-XHI22</t>
        </is>
      </c>
      <c r="G3131" t="inlineStr">
        <is>
          <t>LASTSCHUETZ</t>
        </is>
      </c>
      <c r="H3131" t="inlineStr">
        <is>
          <t>11kW 1S Federzugkl.</t>
        </is>
      </c>
      <c r="I3131">
        <v>265</v>
      </c>
      <c r="J3131">
        <f>GS97/175.4</f>
        <v>0</v>
      </c>
      <c r="K3131" t="inlineStr">
        <is>
          <t>DIL MC25</t>
        </is>
      </c>
      <c r="M3131" t="inlineStr">
        <is>
          <t>-175Q1</t>
        </is>
      </c>
    </row>
    <row r="3132">
      <c r="A3132">
        <v>3131</v>
      </c>
      <c r="B3132">
        <f>GS97</f>
        <v>0</v>
      </c>
      <c r="C3132" t="inlineStr">
        <is>
          <t>+LS15</t>
        </is>
      </c>
      <c r="D3132" t="inlineStr">
        <is>
          <t>-175Q1</t>
        </is>
      </c>
      <c r="E3132" t="inlineStr">
        <is>
          <t>DILA-XHI22</t>
        </is>
      </c>
      <c r="F3132" t="inlineStr">
        <is>
          <t>DILA-XHI22</t>
        </is>
      </c>
      <c r="G3132" t="inlineStr">
        <is>
          <t>HILFSKONTAKTBLOCK</t>
        </is>
      </c>
      <c r="H3132" t="inlineStr">
        <is>
          <t>2S 2OE Last+Hilfssch. Cage</t>
        </is>
      </c>
      <c r="I3132">
        <v>265</v>
      </c>
      <c r="J3132">
        <f>GS97/175.4</f>
        <v>0</v>
      </c>
      <c r="K3132" t="inlineStr">
        <is>
          <t>DIL MC25</t>
        </is>
      </c>
      <c r="M3132" t="inlineStr">
        <is>
          <t>-175Q1</t>
        </is>
      </c>
    </row>
    <row r="3133">
      <c r="A3133">
        <v>3132</v>
      </c>
      <c r="B3133">
        <f>GS08</f>
        <v>0</v>
      </c>
      <c r="C3133" t="inlineStr">
        <is>
          <t>+LS02</t>
        </is>
      </c>
      <c r="D3133" t="inlineStr">
        <is>
          <t>-175Q212.1</t>
        </is>
      </c>
      <c r="E3133" t="inlineStr">
        <is>
          <t>DILM-9-01</t>
        </is>
      </c>
      <c r="F3133" t="inlineStr">
        <is>
          <t>#KALK!</t>
        </is>
      </c>
      <c r="G3133" t="inlineStr">
        <is>
          <t>LASTSCHUETZ</t>
        </is>
      </c>
      <c r="H3133" t="inlineStr">
        <is>
          <t>4kW 1Oe Federzugkl.</t>
        </is>
      </c>
      <c r="I3133">
        <v>158</v>
      </c>
      <c r="J3133">
        <f>GS08/175.6</f>
        <v>0</v>
      </c>
      <c r="M3133" t="inlineStr">
        <is>
          <t>-175Q212.1</t>
        </is>
      </c>
    </row>
    <row r="3134">
      <c r="A3134">
        <v>3133</v>
      </c>
      <c r="B3134">
        <f>GS13</f>
        <v>0</v>
      </c>
      <c r="C3134" t="inlineStr">
        <is>
          <t>+LS3</t>
        </is>
      </c>
      <c r="D3134" t="inlineStr">
        <is>
          <t>-17661.3</t>
        </is>
      </c>
      <c r="E3134" t="inlineStr">
        <is>
          <t>DIL_EM-10-G</t>
        </is>
      </c>
      <c r="F3134" t="inlineStr">
        <is>
          <t>#KALK!</t>
        </is>
      </c>
      <c r="G3134" t="inlineStr">
        <is>
          <t>LASTSCHUETZ</t>
        </is>
      </c>
      <c r="H3134" t="inlineStr">
        <is>
          <t>4kW 1S</t>
        </is>
      </c>
      <c r="I3134">
        <v>416</v>
      </c>
      <c r="J3134">
        <f>GS13/176.6</f>
        <v>0</v>
      </c>
      <c r="M3134" t="inlineStr">
        <is>
          <t>-17661.3</t>
        </is>
      </c>
    </row>
    <row r="3135">
      <c r="A3135">
        <v>3134</v>
      </c>
      <c r="B3135">
        <f>GS13</f>
        <v>0</v>
      </c>
      <c r="C3135" t="inlineStr">
        <is>
          <t>+LS3</t>
        </is>
      </c>
      <c r="D3135" t="inlineStr">
        <is>
          <t>-17661.4</t>
        </is>
      </c>
      <c r="E3135" t="inlineStr">
        <is>
          <t>DIL_EM-10-G</t>
        </is>
      </c>
      <c r="F3135" t="inlineStr">
        <is>
          <t>#KALK!</t>
        </is>
      </c>
      <c r="G3135" t="inlineStr">
        <is>
          <t>LASTSCHUETZ</t>
        </is>
      </c>
      <c r="H3135" t="inlineStr">
        <is>
          <t>4kW 1S</t>
        </is>
      </c>
      <c r="I3135">
        <v>416</v>
      </c>
      <c r="J3135">
        <f>GS13/176.6</f>
        <v>0</v>
      </c>
      <c r="M3135" t="inlineStr">
        <is>
          <t>-17661.4</t>
        </is>
      </c>
    </row>
    <row r="3136">
      <c r="A3136">
        <v>3135</v>
      </c>
      <c r="B3136">
        <f>GS02</f>
        <v>0</v>
      </c>
      <c r="C3136" t="inlineStr">
        <is>
          <t>+LS2</t>
        </is>
      </c>
      <c r="D3136" t="inlineStr">
        <is>
          <t>-176K25.3</t>
        </is>
      </c>
      <c r="E3136" t="inlineStr">
        <is>
          <t>DIL_EM-10-G</t>
        </is>
      </c>
      <c r="F3136" t="inlineStr">
        <is>
          <t>#KALK!</t>
        </is>
      </c>
      <c r="G3136" t="inlineStr">
        <is>
          <t>LASTSCHUETZ</t>
        </is>
      </c>
      <c r="H3136" t="inlineStr">
        <is>
          <t>4kW 1S</t>
        </is>
      </c>
      <c r="I3136">
        <v>577</v>
      </c>
      <c r="J3136">
        <f>GS02/176.7</f>
        <v>0</v>
      </c>
      <c r="M3136" t="inlineStr">
        <is>
          <t>-176K25.3</t>
        </is>
      </c>
    </row>
    <row r="3137">
      <c r="A3137">
        <v>3136</v>
      </c>
      <c r="B3137">
        <f>GS34</f>
        <v>0</v>
      </c>
      <c r="C3137" t="inlineStr">
        <is>
          <t>+LS3</t>
        </is>
      </c>
      <c r="D3137" t="inlineStr">
        <is>
          <t>-176K25.4</t>
        </is>
      </c>
      <c r="E3137" t="inlineStr">
        <is>
          <t>DIL_EM-10-G</t>
        </is>
      </c>
      <c r="F3137" t="inlineStr">
        <is>
          <t>#KALK!</t>
        </is>
      </c>
      <c r="G3137" t="inlineStr">
        <is>
          <t>LASTSCHUETZ</t>
        </is>
      </c>
      <c r="H3137" t="inlineStr">
        <is>
          <t>4kW 1S</t>
        </is>
      </c>
      <c r="I3137">
        <v>300</v>
      </c>
      <c r="J3137">
        <f>GS34/176.7</f>
        <v>0</v>
      </c>
      <c r="M3137" t="inlineStr">
        <is>
          <t>-176K25.4</t>
        </is>
      </c>
    </row>
    <row r="3138">
      <c r="A3138">
        <v>3137</v>
      </c>
      <c r="B3138">
        <f>GS31</f>
        <v>0</v>
      </c>
      <c r="C3138" t="inlineStr">
        <is>
          <t>+LS2</t>
        </is>
      </c>
      <c r="D3138" t="inlineStr">
        <is>
          <t>-176K30.2</t>
        </is>
      </c>
      <c r="E3138" t="inlineStr">
        <is>
          <t>DIL_EM-10-G</t>
        </is>
      </c>
      <c r="F3138" t="inlineStr">
        <is>
          <t>#KALK!</t>
        </is>
      </c>
      <c r="G3138" t="inlineStr">
        <is>
          <t>LASTSCHUETZ</t>
        </is>
      </c>
      <c r="H3138" t="inlineStr">
        <is>
          <t>4kW 1S</t>
        </is>
      </c>
      <c r="I3138">
        <v>460</v>
      </c>
      <c r="J3138">
        <f>GS31/176.6</f>
        <v>0</v>
      </c>
      <c r="M3138" t="inlineStr">
        <is>
          <t>-176K30.2</t>
        </is>
      </c>
    </row>
    <row r="3139">
      <c r="A3139">
        <v>3138</v>
      </c>
      <c r="B3139">
        <f>GS31</f>
        <v>0</v>
      </c>
      <c r="C3139" t="inlineStr">
        <is>
          <t>+LS2</t>
        </is>
      </c>
      <c r="D3139" t="inlineStr">
        <is>
          <t>-176K30.3</t>
        </is>
      </c>
      <c r="E3139" t="inlineStr">
        <is>
          <t>DIL_EM-10-G</t>
        </is>
      </c>
      <c r="F3139" t="inlineStr">
        <is>
          <t>#KALK!</t>
        </is>
      </c>
      <c r="G3139" t="inlineStr">
        <is>
          <t>LASTSCHUETZ</t>
        </is>
      </c>
      <c r="H3139" t="inlineStr">
        <is>
          <t>4kW 1S</t>
        </is>
      </c>
      <c r="I3139">
        <v>460</v>
      </c>
      <c r="J3139">
        <f>GS31/176.6</f>
        <v>0</v>
      </c>
      <c r="M3139" t="inlineStr">
        <is>
          <t>-176K30.3</t>
        </is>
      </c>
    </row>
    <row r="3140">
      <c r="A3140">
        <v>3139</v>
      </c>
      <c r="B3140">
        <f>GS32</f>
        <v>0</v>
      </c>
      <c r="C3140" t="inlineStr">
        <is>
          <t>+LS3</t>
        </is>
      </c>
      <c r="D3140" t="inlineStr">
        <is>
          <t>-176K34.3</t>
        </is>
      </c>
      <c r="E3140" t="inlineStr">
        <is>
          <t>DIL_EM-10-G</t>
        </is>
      </c>
      <c r="F3140" t="inlineStr">
        <is>
          <t>#KALK!</t>
        </is>
      </c>
      <c r="G3140" t="inlineStr">
        <is>
          <t>LASTSCHUETZ</t>
        </is>
      </c>
      <c r="H3140" t="inlineStr">
        <is>
          <t>4kW 1S</t>
        </is>
      </c>
      <c r="I3140">
        <v>1124</v>
      </c>
      <c r="J3140">
        <f>GS32/176.7</f>
        <v>0</v>
      </c>
      <c r="M3140" t="inlineStr">
        <is>
          <t>-176K34.3</t>
        </is>
      </c>
    </row>
    <row r="3141">
      <c r="A3141">
        <v>3140</v>
      </c>
      <c r="B3141">
        <f>GS04</f>
        <v>0</v>
      </c>
      <c r="C3141" t="inlineStr">
        <is>
          <t>+LS3</t>
        </is>
      </c>
      <c r="D3141" t="inlineStr">
        <is>
          <t>-176K38.3</t>
        </is>
      </c>
      <c r="E3141" t="inlineStr">
        <is>
          <t>DIL_EM-10-G</t>
        </is>
      </c>
      <c r="F3141" t="inlineStr">
        <is>
          <t>#KALK!</t>
        </is>
      </c>
      <c r="G3141" t="inlineStr">
        <is>
          <t>LASTSCHUETZ</t>
        </is>
      </c>
      <c r="H3141" t="inlineStr">
        <is>
          <t>4kW 1S</t>
        </is>
      </c>
      <c r="I3141">
        <v>426</v>
      </c>
      <c r="J3141">
        <f>GS04/176.8</f>
        <v>0</v>
      </c>
      <c r="M3141" t="inlineStr">
        <is>
          <t>-176K38.3</t>
        </is>
      </c>
    </row>
    <row r="3142">
      <c r="A3142">
        <v>3141</v>
      </c>
      <c r="B3142">
        <f>GS11</f>
        <v>0</v>
      </c>
      <c r="C3142" t="inlineStr">
        <is>
          <t>+LS4</t>
        </is>
      </c>
      <c r="D3142" t="inlineStr">
        <is>
          <t>-176K40.1</t>
        </is>
      </c>
      <c r="E3142" t="inlineStr">
        <is>
          <t>DIL_EM-10-G</t>
        </is>
      </c>
      <c r="F3142" t="inlineStr">
        <is>
          <t>#KALK!</t>
        </is>
      </c>
      <c r="G3142" t="inlineStr">
        <is>
          <t>LASTSCHUETZ</t>
        </is>
      </c>
      <c r="H3142" t="inlineStr">
        <is>
          <t>4kW 1S</t>
        </is>
      </c>
      <c r="I3142">
        <v>287</v>
      </c>
      <c r="J3142">
        <f>GS11/176.6</f>
        <v>0</v>
      </c>
      <c r="M3142" t="inlineStr">
        <is>
          <t>-176K40.1</t>
        </is>
      </c>
    </row>
    <row r="3143">
      <c r="A3143">
        <v>3142</v>
      </c>
      <c r="B3143">
        <f>GS21</f>
        <v>0</v>
      </c>
      <c r="C3143" t="inlineStr">
        <is>
          <t>+LS4</t>
        </is>
      </c>
      <c r="D3143" t="inlineStr">
        <is>
          <t>-176K40.1</t>
        </is>
      </c>
      <c r="E3143" t="inlineStr">
        <is>
          <t>DIL_EM-10-G</t>
        </is>
      </c>
      <c r="F3143" t="inlineStr">
        <is>
          <t>#KALK!</t>
        </is>
      </c>
      <c r="G3143" t="inlineStr">
        <is>
          <t>LASTSCHUETZ</t>
        </is>
      </c>
      <c r="H3143" t="inlineStr">
        <is>
          <t>4kW 1S</t>
        </is>
      </c>
      <c r="I3143">
        <v>261</v>
      </c>
      <c r="J3143">
        <f>GS21/176.6</f>
        <v>0</v>
      </c>
      <c r="M3143" t="inlineStr">
        <is>
          <t>-176K40.1</t>
        </is>
      </c>
    </row>
    <row r="3144">
      <c r="A3144">
        <v>3143</v>
      </c>
      <c r="B3144">
        <f>GS11</f>
        <v>0</v>
      </c>
      <c r="C3144" t="inlineStr">
        <is>
          <t>+LS4</t>
        </is>
      </c>
      <c r="D3144" t="inlineStr">
        <is>
          <t>-176K46.0</t>
        </is>
      </c>
      <c r="E3144" t="inlineStr">
        <is>
          <t>DIL_EM-10-G</t>
        </is>
      </c>
      <c r="F3144" t="inlineStr">
        <is>
          <t>#KALK!</t>
        </is>
      </c>
      <c r="G3144" t="inlineStr">
        <is>
          <t>LASTSCHUETZ</t>
        </is>
      </c>
      <c r="H3144" t="inlineStr">
        <is>
          <t>4kW 1S</t>
        </is>
      </c>
      <c r="I3144">
        <v>287</v>
      </c>
      <c r="J3144">
        <f>GS11/176.6</f>
        <v>0</v>
      </c>
      <c r="M3144" t="inlineStr">
        <is>
          <t>-176K46.0</t>
        </is>
      </c>
    </row>
    <row r="3145">
      <c r="A3145">
        <v>3144</v>
      </c>
      <c r="B3145">
        <f>GS21</f>
        <v>0</v>
      </c>
      <c r="C3145" t="inlineStr">
        <is>
          <t>+LS4</t>
        </is>
      </c>
      <c r="D3145" t="inlineStr">
        <is>
          <t>-176K46.0</t>
        </is>
      </c>
      <c r="E3145" t="inlineStr">
        <is>
          <t>DIL_EM-10-G</t>
        </is>
      </c>
      <c r="F3145" t="inlineStr">
        <is>
          <t>#KALK!</t>
        </is>
      </c>
      <c r="G3145" t="inlineStr">
        <is>
          <t>LASTSCHUETZ</t>
        </is>
      </c>
      <c r="H3145" t="inlineStr">
        <is>
          <t>4kW 1S</t>
        </is>
      </c>
      <c r="I3145">
        <v>261</v>
      </c>
      <c r="J3145">
        <f>GS21/176.6</f>
        <v>0</v>
      </c>
      <c r="M3145" t="inlineStr">
        <is>
          <t>-176K46.0</t>
        </is>
      </c>
    </row>
    <row r="3146">
      <c r="A3146">
        <v>3145</v>
      </c>
      <c r="B3146">
        <f>GS23</f>
        <v>0</v>
      </c>
      <c r="C3146" t="inlineStr">
        <is>
          <t>+LS3</t>
        </is>
      </c>
      <c r="D3146" t="inlineStr">
        <is>
          <t>-176K61.3</t>
        </is>
      </c>
      <c r="E3146" t="inlineStr">
        <is>
          <t>DIL_EM-10-G</t>
        </is>
      </c>
      <c r="F3146" t="inlineStr">
        <is>
          <t>#KALK!</t>
        </is>
      </c>
      <c r="G3146" t="inlineStr">
        <is>
          <t>LASTSCHUETZ</t>
        </is>
      </c>
      <c r="H3146" t="inlineStr">
        <is>
          <t>4kW 1S</t>
        </is>
      </c>
      <c r="I3146">
        <v>475</v>
      </c>
      <c r="J3146">
        <f>GS23/176.6</f>
        <v>0</v>
      </c>
      <c r="M3146" t="inlineStr">
        <is>
          <t>-176K61.3</t>
        </is>
      </c>
    </row>
    <row r="3147">
      <c r="A3147">
        <v>3146</v>
      </c>
      <c r="B3147">
        <f>GS23</f>
        <v>0</v>
      </c>
      <c r="C3147" t="inlineStr">
        <is>
          <t>+LS3</t>
        </is>
      </c>
      <c r="D3147" t="inlineStr">
        <is>
          <t>-176K61.4</t>
        </is>
      </c>
      <c r="E3147" t="inlineStr">
        <is>
          <t>DIL_EM-10-G</t>
        </is>
      </c>
      <c r="F3147" t="inlineStr">
        <is>
          <t>#KALK!</t>
        </is>
      </c>
      <c r="G3147" t="inlineStr">
        <is>
          <t>LASTSCHUETZ</t>
        </is>
      </c>
      <c r="H3147" t="inlineStr">
        <is>
          <t>4kW 1S</t>
        </is>
      </c>
      <c r="I3147">
        <v>475</v>
      </c>
      <c r="J3147">
        <f>GS23/176.6</f>
        <v>0</v>
      </c>
      <c r="M3147" t="inlineStr">
        <is>
          <t>-176K61.4</t>
        </is>
      </c>
    </row>
    <row r="3148">
      <c r="A3148">
        <v>3147</v>
      </c>
      <c r="B3148">
        <f>GS15</f>
        <v>0</v>
      </c>
      <c r="C3148" t="inlineStr">
        <is>
          <t>+LS3</t>
        </is>
      </c>
      <c r="D3148" t="inlineStr">
        <is>
          <t>-176K67.2</t>
        </is>
      </c>
      <c r="E3148" t="inlineStr">
        <is>
          <t>DIL_EM-10-G</t>
        </is>
      </c>
      <c r="F3148" t="inlineStr">
        <is>
          <t>#KALK!</t>
        </is>
      </c>
      <c r="G3148" t="inlineStr">
        <is>
          <t>LASTSCHUETZ</t>
        </is>
      </c>
      <c r="H3148" t="inlineStr">
        <is>
          <t>4kW 1S</t>
        </is>
      </c>
      <c r="I3148">
        <v>668</v>
      </c>
      <c r="J3148">
        <f>GS15/176.7</f>
        <v>0</v>
      </c>
      <c r="M3148" t="inlineStr">
        <is>
          <t>-176K67.2</t>
        </is>
      </c>
    </row>
    <row r="3149">
      <c r="A3149">
        <v>3148</v>
      </c>
      <c r="B3149">
        <f>GS14</f>
        <v>0</v>
      </c>
      <c r="C3149" t="inlineStr">
        <is>
          <t>+LS3</t>
        </is>
      </c>
      <c r="D3149" t="inlineStr">
        <is>
          <t>-176K68.7</t>
        </is>
      </c>
      <c r="E3149" t="inlineStr">
        <is>
          <t>DIL_EM-10-G</t>
        </is>
      </c>
      <c r="F3149" t="inlineStr">
        <is>
          <t>#KALK!</t>
        </is>
      </c>
      <c r="G3149" t="inlineStr">
        <is>
          <t>LASTSCHUETZ</t>
        </is>
      </c>
      <c r="H3149" t="inlineStr">
        <is>
          <t>4kW 1S</t>
        </is>
      </c>
      <c r="I3149">
        <v>302</v>
      </c>
      <c r="J3149">
        <f>GS14/176.6</f>
        <v>0</v>
      </c>
      <c r="M3149" t="inlineStr">
        <is>
          <t>-176K68.7</t>
        </is>
      </c>
    </row>
    <row r="3150">
      <c r="A3150">
        <v>3149</v>
      </c>
      <c r="B3150">
        <f>GS14</f>
        <v>0</v>
      </c>
      <c r="C3150" t="inlineStr">
        <is>
          <t>+LS3</t>
        </is>
      </c>
      <c r="D3150" t="inlineStr">
        <is>
          <t>-176K69.0</t>
        </is>
      </c>
      <c r="E3150" t="inlineStr">
        <is>
          <t>DIL_EM-10-G</t>
        </is>
      </c>
      <c r="F3150" t="inlineStr">
        <is>
          <t>#KALK!</t>
        </is>
      </c>
      <c r="G3150" t="inlineStr">
        <is>
          <t>LASTSCHUETZ</t>
        </is>
      </c>
      <c r="H3150" t="inlineStr">
        <is>
          <t>4kW 1S</t>
        </is>
      </c>
      <c r="I3150">
        <v>302</v>
      </c>
      <c r="J3150">
        <f>GS14/176.6</f>
        <v>0</v>
      </c>
      <c r="M3150" t="inlineStr">
        <is>
          <t>-176K69.0</t>
        </is>
      </c>
    </row>
    <row r="3151">
      <c r="A3151">
        <v>3150</v>
      </c>
      <c r="B3151">
        <f>GS51</f>
        <v>0</v>
      </c>
      <c r="C3151" t="inlineStr">
        <is>
          <t>+LS02</t>
        </is>
      </c>
      <c r="D3151" t="inlineStr">
        <is>
          <t>-176Q117.1</t>
        </is>
      </c>
      <c r="E3151" t="inlineStr">
        <is>
          <t>DILM-9-10</t>
        </is>
      </c>
      <c r="F3151" t="inlineStr">
        <is>
          <t>#KALK!</t>
        </is>
      </c>
      <c r="G3151" t="inlineStr">
        <is>
          <t>LASTSCHUETZ</t>
        </is>
      </c>
      <c r="H3151" t="inlineStr">
        <is>
          <t>4kW 1S Federzugkl.</t>
        </is>
      </c>
      <c r="I3151">
        <v>368</v>
      </c>
      <c r="J3151">
        <f>GS51/176.6</f>
        <v>0</v>
      </c>
      <c r="K3151" t="inlineStr">
        <is>
          <t>DIL MC9</t>
        </is>
      </c>
      <c r="M3151" t="inlineStr">
        <is>
          <t>-176Q117.1</t>
        </is>
      </c>
    </row>
    <row r="3152">
      <c r="A3152">
        <v>3151</v>
      </c>
      <c r="B3152">
        <f>GS92</f>
        <v>0</v>
      </c>
      <c r="C3152" t="inlineStr">
        <is>
          <t>+LS02</t>
        </is>
      </c>
      <c r="D3152" t="inlineStr">
        <is>
          <t>-176Q162.5</t>
        </is>
      </c>
      <c r="E3152" t="inlineStr">
        <is>
          <t>DILM-9-10</t>
        </is>
      </c>
      <c r="F3152" t="inlineStr">
        <is>
          <t>#KALK!</t>
        </is>
      </c>
      <c r="G3152" t="inlineStr">
        <is>
          <t>LASTSCHUETZ</t>
        </is>
      </c>
      <c r="H3152" t="inlineStr">
        <is>
          <t>4kW 1S Federzugkl.</t>
        </is>
      </c>
      <c r="I3152">
        <v>323</v>
      </c>
      <c r="J3152">
        <f>GS92/176.5</f>
        <v>0</v>
      </c>
      <c r="M3152" t="inlineStr">
        <is>
          <t>-176Q162.5</t>
        </is>
      </c>
    </row>
    <row r="3153">
      <c r="A3153">
        <v>3152</v>
      </c>
      <c r="B3153">
        <f>GS93</f>
        <v>0</v>
      </c>
      <c r="C3153" t="inlineStr">
        <is>
          <t>+LS02</t>
        </is>
      </c>
      <c r="D3153" t="inlineStr">
        <is>
          <t>-176Q162.5</t>
        </is>
      </c>
      <c r="E3153" t="inlineStr">
        <is>
          <t>DILM-9-10</t>
        </is>
      </c>
      <c r="F3153" t="inlineStr">
        <is>
          <t>#KALK!</t>
        </is>
      </c>
      <c r="G3153" t="inlineStr">
        <is>
          <t>LASTSCHUETZ</t>
        </is>
      </c>
      <c r="H3153" t="inlineStr">
        <is>
          <t>4kW 1S Federzugkl.</t>
        </is>
      </c>
      <c r="I3153">
        <v>735</v>
      </c>
      <c r="J3153">
        <f>GS93/176.5</f>
        <v>0</v>
      </c>
      <c r="M3153" t="inlineStr">
        <is>
          <t>-176Q162.5</t>
        </is>
      </c>
    </row>
    <row r="3154">
      <c r="A3154">
        <v>3153</v>
      </c>
      <c r="B3154">
        <f>GS90</f>
        <v>0</v>
      </c>
      <c r="C3154" t="inlineStr">
        <is>
          <t>+LS21</t>
        </is>
      </c>
      <c r="D3154" t="inlineStr">
        <is>
          <t>-1775K1328.4</t>
        </is>
      </c>
      <c r="E3154" t="inlineStr">
        <is>
          <t>DILA-40</t>
        </is>
      </c>
      <c r="F3154" t="inlineStr">
        <is>
          <t>#KALK!</t>
        </is>
      </c>
      <c r="G3154" t="inlineStr">
        <is>
          <t>HILFSSCHUETZ</t>
        </is>
      </c>
      <c r="H3154" t="inlineStr">
        <is>
          <t>4S Federzugkl.</t>
        </is>
      </c>
      <c r="I3154">
        <v>2561</v>
      </c>
      <c r="J3154">
        <f>GS90/1775.7</f>
        <v>0</v>
      </c>
      <c r="M3154" t="inlineStr">
        <is>
          <t>-1775K1328.4</t>
        </is>
      </c>
    </row>
    <row r="3155">
      <c r="A3155">
        <v>3154</v>
      </c>
      <c r="B3155">
        <f>GS90</f>
        <v>0</v>
      </c>
      <c r="C3155" t="inlineStr">
        <is>
          <t>+LS21</t>
        </is>
      </c>
      <c r="D3155" t="inlineStr">
        <is>
          <t>-1775Q1</t>
        </is>
      </c>
      <c r="E3155" t="inlineStr">
        <is>
          <t>DILMC25-10(RDC24)</t>
        </is>
      </c>
      <c r="F3155" t="inlineStr">
        <is>
          <t>DILA-XHI22</t>
        </is>
      </c>
      <c r="G3155" t="inlineStr">
        <is>
          <t>LASTSCHUETZ</t>
        </is>
      </c>
      <c r="H3155" t="inlineStr">
        <is>
          <t>11kW 1S Federzugkl.</t>
        </is>
      </c>
      <c r="I3155">
        <v>2561</v>
      </c>
      <c r="J3155">
        <f>GS90/1775.4</f>
        <v>0</v>
      </c>
      <c r="K3155" t="inlineStr">
        <is>
          <t>DIL MC25</t>
        </is>
      </c>
      <c r="M3155" t="inlineStr">
        <is>
          <t>-1775Q1</t>
        </is>
      </c>
    </row>
    <row r="3156">
      <c r="A3156">
        <v>3155</v>
      </c>
      <c r="B3156">
        <f>GS90</f>
        <v>0</v>
      </c>
      <c r="C3156" t="inlineStr">
        <is>
          <t>+LS21</t>
        </is>
      </c>
      <c r="D3156" t="inlineStr">
        <is>
          <t>-1775Q1</t>
        </is>
      </c>
      <c r="E3156" t="inlineStr">
        <is>
          <t>DILA-XHI22</t>
        </is>
      </c>
      <c r="F3156" t="inlineStr">
        <is>
          <t>DILA-XHI22</t>
        </is>
      </c>
      <c r="G3156" t="inlineStr">
        <is>
          <t>HILFSKONTAKTBLOCK</t>
        </is>
      </c>
      <c r="H3156" t="inlineStr">
        <is>
          <t>2S 2OE Last+Hilfssch. Cage</t>
        </is>
      </c>
      <c r="I3156">
        <v>2561</v>
      </c>
      <c r="J3156">
        <f>GS90/1775.4</f>
        <v>0</v>
      </c>
      <c r="K3156" t="inlineStr">
        <is>
          <t>DIL MC25</t>
        </is>
      </c>
      <c r="M3156" t="inlineStr">
        <is>
          <t>-1775Q1</t>
        </is>
      </c>
    </row>
    <row r="3157">
      <c r="A3157">
        <v>3156</v>
      </c>
      <c r="B3157">
        <f>GS13</f>
        <v>0</v>
      </c>
      <c r="C3157" t="inlineStr">
        <is>
          <t>+LS3</t>
        </is>
      </c>
      <c r="D3157" t="inlineStr">
        <is>
          <t>-17761.5</t>
        </is>
      </c>
      <c r="E3157" t="inlineStr">
        <is>
          <t>DIL_EM-10-G</t>
        </is>
      </c>
      <c r="F3157" t="inlineStr">
        <is>
          <t>#KALK!</t>
        </is>
      </c>
      <c r="G3157" t="inlineStr">
        <is>
          <t>LASTSCHUETZ</t>
        </is>
      </c>
      <c r="H3157" t="inlineStr">
        <is>
          <t>4kW 1S</t>
        </is>
      </c>
      <c r="I3157">
        <v>417</v>
      </c>
      <c r="J3157">
        <f>GS13/177.6</f>
        <v>0</v>
      </c>
      <c r="M3157" t="inlineStr">
        <is>
          <t>-17761.5</t>
        </is>
      </c>
    </row>
    <row r="3158">
      <c r="A3158">
        <v>3157</v>
      </c>
      <c r="B3158">
        <f>GS34</f>
        <v>0</v>
      </c>
      <c r="C3158" t="inlineStr">
        <is>
          <t>+LS3</t>
        </is>
      </c>
      <c r="D3158" t="inlineStr">
        <is>
          <t>-177K25.5</t>
        </is>
      </c>
      <c r="E3158" t="inlineStr">
        <is>
          <t>DIL_EM-10-G</t>
        </is>
      </c>
      <c r="F3158" t="inlineStr">
        <is>
          <t>#KALK!</t>
        </is>
      </c>
      <c r="G3158" t="inlineStr">
        <is>
          <t>LASTSCHUETZ</t>
        </is>
      </c>
      <c r="H3158" t="inlineStr">
        <is>
          <t>4kW 1S</t>
        </is>
      </c>
      <c r="I3158">
        <v>301</v>
      </c>
      <c r="J3158">
        <f>GS34/177.6</f>
        <v>0</v>
      </c>
      <c r="M3158" t="inlineStr">
        <is>
          <t>-177K25.5</t>
        </is>
      </c>
    </row>
    <row r="3159">
      <c r="A3159">
        <v>3158</v>
      </c>
      <c r="B3159">
        <f>GS34</f>
        <v>0</v>
      </c>
      <c r="C3159" t="inlineStr">
        <is>
          <t>+LS3</t>
        </is>
      </c>
      <c r="D3159" t="inlineStr">
        <is>
          <t>-177K25.6</t>
        </is>
      </c>
      <c r="E3159" t="inlineStr">
        <is>
          <t>DIL_EM-10-G</t>
        </is>
      </c>
      <c r="F3159" t="inlineStr">
        <is>
          <t>#KALK!</t>
        </is>
      </c>
      <c r="G3159" t="inlineStr">
        <is>
          <t>LASTSCHUETZ</t>
        </is>
      </c>
      <c r="H3159" t="inlineStr">
        <is>
          <t>4kW 1S</t>
        </is>
      </c>
      <c r="I3159">
        <v>301</v>
      </c>
      <c r="J3159">
        <f>GS34/177.6</f>
        <v>0</v>
      </c>
      <c r="M3159" t="inlineStr">
        <is>
          <t>-177K25.6</t>
        </is>
      </c>
    </row>
    <row r="3160">
      <c r="A3160">
        <v>3159</v>
      </c>
      <c r="B3160">
        <f>GS02</f>
        <v>0</v>
      </c>
      <c r="C3160" t="inlineStr">
        <is>
          <t>+LS2</t>
        </is>
      </c>
      <c r="D3160" t="inlineStr">
        <is>
          <t>-177K26.1</t>
        </is>
      </c>
      <c r="E3160" t="inlineStr">
        <is>
          <t>DIL_EM-10-G</t>
        </is>
      </c>
      <c r="F3160" t="inlineStr">
        <is>
          <t>#KALK!</t>
        </is>
      </c>
      <c r="G3160" t="inlineStr">
        <is>
          <t>LASTSCHUETZ</t>
        </is>
      </c>
      <c r="H3160" t="inlineStr">
        <is>
          <t>4kW 1S</t>
        </is>
      </c>
      <c r="I3160">
        <v>578</v>
      </c>
      <c r="J3160">
        <f>GS02/177.7</f>
        <v>0</v>
      </c>
      <c r="M3160" t="inlineStr">
        <is>
          <t>-177K26.1</t>
        </is>
      </c>
    </row>
    <row r="3161">
      <c r="A3161">
        <v>3160</v>
      </c>
      <c r="B3161">
        <f>GS31</f>
        <v>0</v>
      </c>
      <c r="C3161" t="inlineStr">
        <is>
          <t>+LS2</t>
        </is>
      </c>
      <c r="D3161" t="inlineStr">
        <is>
          <t>-177K30.4</t>
        </is>
      </c>
      <c r="E3161" t="inlineStr">
        <is>
          <t>DIL_EM-10-G</t>
        </is>
      </c>
      <c r="F3161" t="inlineStr">
        <is>
          <t>#KALK!</t>
        </is>
      </c>
      <c r="G3161" t="inlineStr">
        <is>
          <t>LASTSCHUETZ</t>
        </is>
      </c>
      <c r="H3161" t="inlineStr">
        <is>
          <t>4kW 1S</t>
        </is>
      </c>
      <c r="I3161">
        <v>461</v>
      </c>
      <c r="J3161">
        <f>GS31/177.6</f>
        <v>0</v>
      </c>
      <c r="M3161" t="inlineStr">
        <is>
          <t>-177K30.4</t>
        </is>
      </c>
    </row>
    <row r="3162">
      <c r="A3162">
        <v>3161</v>
      </c>
      <c r="B3162">
        <f>GS31</f>
        <v>0</v>
      </c>
      <c r="C3162" t="inlineStr">
        <is>
          <t>+LS2</t>
        </is>
      </c>
      <c r="D3162" t="inlineStr">
        <is>
          <t>-177K30.5</t>
        </is>
      </c>
      <c r="E3162" t="inlineStr">
        <is>
          <t>DIL_EM-10-G</t>
        </is>
      </c>
      <c r="F3162" t="inlineStr">
        <is>
          <t>#KALK!</t>
        </is>
      </c>
      <c r="G3162" t="inlineStr">
        <is>
          <t>LASTSCHUETZ</t>
        </is>
      </c>
      <c r="H3162" t="inlineStr">
        <is>
          <t>4kW 1S</t>
        </is>
      </c>
      <c r="I3162">
        <v>461</v>
      </c>
      <c r="J3162">
        <f>GS31/177.6</f>
        <v>0</v>
      </c>
      <c r="M3162" t="inlineStr">
        <is>
          <t>-177K30.5</t>
        </is>
      </c>
    </row>
    <row r="3163">
      <c r="A3163">
        <v>3162</v>
      </c>
      <c r="B3163">
        <f>GS32</f>
        <v>0</v>
      </c>
      <c r="C3163" t="inlineStr">
        <is>
          <t>+LS3</t>
        </is>
      </c>
      <c r="D3163" t="inlineStr">
        <is>
          <t>-177K34.4</t>
        </is>
      </c>
      <c r="E3163" t="inlineStr">
        <is>
          <t>DIL_EM-10-G</t>
        </is>
      </c>
      <c r="F3163" t="inlineStr">
        <is>
          <t>#KALK!</t>
        </is>
      </c>
      <c r="G3163" t="inlineStr">
        <is>
          <t>LASTSCHUETZ</t>
        </is>
      </c>
      <c r="H3163" t="inlineStr">
        <is>
          <t>4kW 1S</t>
        </is>
      </c>
      <c r="I3163">
        <v>1123</v>
      </c>
      <c r="J3163">
        <f>GS32/177.6</f>
        <v>0</v>
      </c>
      <c r="M3163" t="inlineStr">
        <is>
          <t>-177K34.4</t>
        </is>
      </c>
    </row>
    <row r="3164">
      <c r="A3164">
        <v>3163</v>
      </c>
      <c r="B3164">
        <f>GS04</f>
        <v>0</v>
      </c>
      <c r="C3164" t="inlineStr">
        <is>
          <t>+LS3</t>
        </is>
      </c>
      <c r="D3164" t="inlineStr">
        <is>
          <t>-177K38.7</t>
        </is>
      </c>
      <c r="E3164" t="inlineStr">
        <is>
          <t>DIL_EM-10-G</t>
        </is>
      </c>
      <c r="F3164" t="inlineStr">
        <is>
          <t>#KALK!</t>
        </is>
      </c>
      <c r="G3164" t="inlineStr">
        <is>
          <t>LASTSCHUETZ</t>
        </is>
      </c>
      <c r="H3164" t="inlineStr">
        <is>
          <t>4kW 1S</t>
        </is>
      </c>
      <c r="I3164">
        <v>427</v>
      </c>
      <c r="J3164">
        <f>GS04/177.8</f>
        <v>0</v>
      </c>
      <c r="M3164" t="inlineStr">
        <is>
          <t>-177K38.7</t>
        </is>
      </c>
    </row>
    <row r="3165">
      <c r="A3165">
        <v>3164</v>
      </c>
      <c r="B3165">
        <f>GS11</f>
        <v>0</v>
      </c>
      <c r="C3165" t="inlineStr">
        <is>
          <t>+LS4</t>
        </is>
      </c>
      <c r="D3165" t="inlineStr">
        <is>
          <t>-177K40.5</t>
        </is>
      </c>
      <c r="E3165" t="inlineStr">
        <is>
          <t>DIL_EM-10-G</t>
        </is>
      </c>
      <c r="F3165" t="inlineStr">
        <is>
          <t>#KALK!</t>
        </is>
      </c>
      <c r="G3165" t="inlineStr">
        <is>
          <t>LASTSCHUETZ</t>
        </is>
      </c>
      <c r="H3165" t="inlineStr">
        <is>
          <t>4kW 1S</t>
        </is>
      </c>
      <c r="I3165">
        <v>288</v>
      </c>
      <c r="J3165">
        <f>GS11/177.7</f>
        <v>0</v>
      </c>
      <c r="M3165" t="inlineStr">
        <is>
          <t>-177K40.5</t>
        </is>
      </c>
    </row>
    <row r="3166">
      <c r="A3166">
        <v>3165</v>
      </c>
      <c r="B3166">
        <f>GS21</f>
        <v>0</v>
      </c>
      <c r="C3166" t="inlineStr">
        <is>
          <t>+LS4</t>
        </is>
      </c>
      <c r="D3166" t="inlineStr">
        <is>
          <t>-177K40.5</t>
        </is>
      </c>
      <c r="E3166" t="inlineStr">
        <is>
          <t>DIL_EM-10-G</t>
        </is>
      </c>
      <c r="F3166" t="inlineStr">
        <is>
          <t>#KALK!</t>
        </is>
      </c>
      <c r="G3166" t="inlineStr">
        <is>
          <t>LASTSCHUETZ</t>
        </is>
      </c>
      <c r="H3166" t="inlineStr">
        <is>
          <t>4kW 1S</t>
        </is>
      </c>
      <c r="I3166">
        <v>262</v>
      </c>
      <c r="J3166">
        <f>GS21/177.7</f>
        <v>0</v>
      </c>
      <c r="M3166" t="inlineStr">
        <is>
          <t>-177K40.5</t>
        </is>
      </c>
    </row>
    <row r="3167">
      <c r="A3167">
        <v>3166</v>
      </c>
      <c r="B3167">
        <f>GS23</f>
        <v>0</v>
      </c>
      <c r="C3167" t="inlineStr">
        <is>
          <t>+LS3</t>
        </is>
      </c>
      <c r="D3167" t="inlineStr">
        <is>
          <t>-177K61.5</t>
        </is>
      </c>
      <c r="E3167" t="inlineStr">
        <is>
          <t>DIL_EM-10-G</t>
        </is>
      </c>
      <c r="F3167" t="inlineStr">
        <is>
          <t>#KALK!</t>
        </is>
      </c>
      <c r="G3167" t="inlineStr">
        <is>
          <t>LASTSCHUETZ</t>
        </is>
      </c>
      <c r="H3167" t="inlineStr">
        <is>
          <t>4kW 1S</t>
        </is>
      </c>
      <c r="I3167">
        <v>476</v>
      </c>
      <c r="J3167">
        <f>GS23/177.6</f>
        <v>0</v>
      </c>
      <c r="M3167" t="inlineStr">
        <is>
          <t>-177K61.5</t>
        </is>
      </c>
    </row>
    <row r="3168">
      <c r="A3168">
        <v>3167</v>
      </c>
      <c r="B3168">
        <f>GS25</f>
        <v>0</v>
      </c>
      <c r="C3168" t="inlineStr">
        <is>
          <t>+LS4</t>
        </is>
      </c>
      <c r="D3168" t="inlineStr">
        <is>
          <t>-177K66.0</t>
        </is>
      </c>
      <c r="E3168" t="inlineStr">
        <is>
          <t>DIL_EM-10-G</t>
        </is>
      </c>
      <c r="F3168" t="inlineStr">
        <is>
          <t>#KALK!</t>
        </is>
      </c>
      <c r="G3168" t="inlineStr">
        <is>
          <t>LASTSCHUETZ</t>
        </is>
      </c>
      <c r="H3168" t="inlineStr">
        <is>
          <t>4kW 1S</t>
        </is>
      </c>
      <c r="I3168">
        <v>298</v>
      </c>
      <c r="J3168">
        <f>GS25/177.6</f>
        <v>0</v>
      </c>
      <c r="M3168" t="inlineStr">
        <is>
          <t>-177K66.0</t>
        </is>
      </c>
    </row>
    <row r="3169">
      <c r="A3169">
        <v>3168</v>
      </c>
      <c r="B3169">
        <f>GS25</f>
        <v>0</v>
      </c>
      <c r="C3169" t="inlineStr">
        <is>
          <t>+LS4</t>
        </is>
      </c>
      <c r="D3169" t="inlineStr">
        <is>
          <t>-177K66.1</t>
        </is>
      </c>
      <c r="E3169" t="inlineStr">
        <is>
          <t>DIL_EM-10-G</t>
        </is>
      </c>
      <c r="F3169" t="inlineStr">
        <is>
          <t>#KALK!</t>
        </is>
      </c>
      <c r="G3169" t="inlineStr">
        <is>
          <t>LASTSCHUETZ</t>
        </is>
      </c>
      <c r="H3169" t="inlineStr">
        <is>
          <t>4kW 1S</t>
        </is>
      </c>
      <c r="I3169">
        <v>298</v>
      </c>
      <c r="J3169">
        <f>GS25/177.6</f>
        <v>0</v>
      </c>
      <c r="M3169" t="inlineStr">
        <is>
          <t>-177K66.1</t>
        </is>
      </c>
    </row>
    <row r="3170">
      <c r="A3170">
        <v>3169</v>
      </c>
      <c r="B3170">
        <f>GS15</f>
        <v>0</v>
      </c>
      <c r="C3170" t="inlineStr">
        <is>
          <t>+LS3</t>
        </is>
      </c>
      <c r="D3170" t="inlineStr">
        <is>
          <t>-177K67.3</t>
        </is>
      </c>
      <c r="E3170" t="inlineStr">
        <is>
          <t>DIL_EM-10-G</t>
        </is>
      </c>
      <c r="F3170" t="inlineStr">
        <is>
          <t>#KALK!</t>
        </is>
      </c>
      <c r="G3170" t="inlineStr">
        <is>
          <t>LASTSCHUETZ</t>
        </is>
      </c>
      <c r="H3170" t="inlineStr">
        <is>
          <t>4kW 1S</t>
        </is>
      </c>
      <c r="I3170">
        <v>669</v>
      </c>
      <c r="J3170">
        <f>GS15/177.6</f>
        <v>0</v>
      </c>
      <c r="M3170" t="inlineStr">
        <is>
          <t>-177K67.3</t>
        </is>
      </c>
    </row>
    <row r="3171">
      <c r="A3171">
        <v>3170</v>
      </c>
      <c r="B3171">
        <f>GS15</f>
        <v>0</v>
      </c>
      <c r="C3171" t="inlineStr">
        <is>
          <t>+LS3</t>
        </is>
      </c>
      <c r="D3171" t="inlineStr">
        <is>
          <t>-177K67.4</t>
        </is>
      </c>
      <c r="E3171" t="inlineStr">
        <is>
          <t>DIL_EM-10-G</t>
        </is>
      </c>
      <c r="F3171" t="inlineStr">
        <is>
          <t>#KALK!</t>
        </is>
      </c>
      <c r="G3171" t="inlineStr">
        <is>
          <t>LASTSCHUETZ</t>
        </is>
      </c>
      <c r="H3171" t="inlineStr">
        <is>
          <t>4kW 1S</t>
        </is>
      </c>
      <c r="I3171">
        <v>669</v>
      </c>
      <c r="J3171">
        <f>GS15/177.6</f>
        <v>0</v>
      </c>
      <c r="M3171" t="inlineStr">
        <is>
          <t>-177K67.4</t>
        </is>
      </c>
    </row>
    <row r="3172">
      <c r="A3172">
        <v>3171</v>
      </c>
      <c r="B3172">
        <f>GS91</f>
        <v>0</v>
      </c>
      <c r="C3172" t="inlineStr">
        <is>
          <t>+LS02</t>
        </is>
      </c>
      <c r="D3172" t="inlineStr">
        <is>
          <t>-177Q446.2</t>
        </is>
      </c>
      <c r="E3172" t="inlineStr">
        <is>
          <t>DILM-9-10</t>
        </is>
      </c>
      <c r="F3172" t="inlineStr">
        <is>
          <t>#KALK!</t>
        </is>
      </c>
      <c r="G3172" t="inlineStr">
        <is>
          <t>LASTSCHUETZ</t>
        </is>
      </c>
      <c r="H3172" t="inlineStr">
        <is>
          <t>4kW 1S Federzugkl.</t>
        </is>
      </c>
      <c r="I3172">
        <v>331</v>
      </c>
      <c r="J3172">
        <f>GS91/177.5</f>
        <v>0</v>
      </c>
      <c r="M3172" t="inlineStr">
        <is>
          <t>-177Q446.2</t>
        </is>
      </c>
    </row>
    <row r="3173">
      <c r="A3173">
        <v>3172</v>
      </c>
      <c r="B3173">
        <f>GS90</f>
        <v>0</v>
      </c>
      <c r="C3173" t="inlineStr">
        <is>
          <t>+LS21</t>
        </is>
      </c>
      <c r="D3173" t="inlineStr">
        <is>
          <t>-1781Q1311.2</t>
        </is>
      </c>
      <c r="E3173" t="inlineStr">
        <is>
          <t>DILM-9-10</t>
        </is>
      </c>
      <c r="F3173" t="inlineStr">
        <is>
          <t>#KALK!</t>
        </is>
      </c>
      <c r="G3173" t="inlineStr">
        <is>
          <t>LASTSCHUETZ</t>
        </is>
      </c>
      <c r="H3173" t="inlineStr">
        <is>
          <t>4kW 1S Federzugkl.</t>
        </is>
      </c>
      <c r="I3173">
        <v>2556</v>
      </c>
      <c r="J3173">
        <f>GS90/1781.5</f>
        <v>0</v>
      </c>
      <c r="M3173" t="inlineStr">
        <is>
          <t>-1781Q1311.2</t>
        </is>
      </c>
    </row>
    <row r="3174">
      <c r="A3174">
        <v>3173</v>
      </c>
      <c r="B3174">
        <f>GS55</f>
        <v>0</v>
      </c>
      <c r="C3174" t="inlineStr">
        <is>
          <t>+LS29</t>
        </is>
      </c>
      <c r="D3174" t="inlineStr">
        <is>
          <t>-1785Q1</t>
        </is>
      </c>
      <c r="E3174" t="inlineStr">
        <is>
          <t>DILA-XHI22</t>
        </is>
      </c>
      <c r="F3174" t="inlineStr">
        <is>
          <t>DILA-XHI22</t>
        </is>
      </c>
      <c r="G3174" t="inlineStr">
        <is>
          <t>HILFSKONTAKTBLOCK</t>
        </is>
      </c>
      <c r="H3174" t="inlineStr">
        <is>
          <t>2S 2OE Last+Hilfssch. Cage</t>
        </is>
      </c>
      <c r="I3174">
        <v>1974</v>
      </c>
      <c r="J3174">
        <f>GS55/1785.6</f>
        <v>0</v>
      </c>
      <c r="K3174" t="inlineStr">
        <is>
          <t>DIL MC25</t>
        </is>
      </c>
      <c r="M3174" t="inlineStr">
        <is>
          <t>-1785Q1</t>
        </is>
      </c>
    </row>
    <row r="3175">
      <c r="A3175">
        <v>3174</v>
      </c>
      <c r="B3175">
        <f>GS55</f>
        <v>0</v>
      </c>
      <c r="C3175" t="inlineStr">
        <is>
          <t>+LS29</t>
        </is>
      </c>
      <c r="D3175" t="inlineStr">
        <is>
          <t>-1785Q1</t>
        </is>
      </c>
      <c r="E3175" t="inlineStr">
        <is>
          <t>DILMC25-10(RDC24)</t>
        </is>
      </c>
      <c r="F3175" t="inlineStr">
        <is>
          <t>DILA-XHI22</t>
        </is>
      </c>
      <c r="G3175" t="inlineStr">
        <is>
          <t>LASTSCHUETZ</t>
        </is>
      </c>
      <c r="H3175" t="inlineStr">
        <is>
          <t>11kW 1S Federzugkl.</t>
        </is>
      </c>
      <c r="I3175">
        <v>1974</v>
      </c>
      <c r="J3175">
        <f>GS55/1785.6</f>
        <v>0</v>
      </c>
      <c r="K3175" t="inlineStr">
        <is>
          <t>DIL MC25</t>
        </is>
      </c>
      <c r="M3175" t="inlineStr">
        <is>
          <t>-1785Q1</t>
        </is>
      </c>
    </row>
    <row r="3176">
      <c r="A3176">
        <v>3175</v>
      </c>
      <c r="B3176">
        <f>GS13</f>
        <v>0</v>
      </c>
      <c r="C3176" t="inlineStr">
        <is>
          <t>+LS3</t>
        </is>
      </c>
      <c r="D3176" t="inlineStr">
        <is>
          <t>-17861.6</t>
        </is>
      </c>
      <c r="E3176" t="inlineStr">
        <is>
          <t>DIL_EM-10-G</t>
        </is>
      </c>
      <c r="F3176" t="inlineStr">
        <is>
          <t>#KALK!</t>
        </is>
      </c>
      <c r="G3176" t="inlineStr">
        <is>
          <t>LASTSCHUETZ</t>
        </is>
      </c>
      <c r="H3176" t="inlineStr">
        <is>
          <t>4kW 1S</t>
        </is>
      </c>
      <c r="I3176">
        <v>418</v>
      </c>
      <c r="J3176">
        <f>GS13/178.6</f>
        <v>0</v>
      </c>
      <c r="M3176" t="inlineStr">
        <is>
          <t>-17861.6</t>
        </is>
      </c>
    </row>
    <row r="3177">
      <c r="A3177">
        <v>3176</v>
      </c>
      <c r="B3177">
        <f>GS13</f>
        <v>0</v>
      </c>
      <c r="C3177" t="inlineStr">
        <is>
          <t>+LS3</t>
        </is>
      </c>
      <c r="D3177" t="inlineStr">
        <is>
          <t>-17861.7</t>
        </is>
      </c>
      <c r="E3177" t="inlineStr">
        <is>
          <t>DIL_EM-10-G</t>
        </is>
      </c>
      <c r="F3177" t="inlineStr">
        <is>
          <t>#KALK!</t>
        </is>
      </c>
      <c r="G3177" t="inlineStr">
        <is>
          <t>LASTSCHUETZ</t>
        </is>
      </c>
      <c r="H3177" t="inlineStr">
        <is>
          <t>4kW 1S</t>
        </is>
      </c>
      <c r="I3177">
        <v>418</v>
      </c>
      <c r="J3177">
        <f>GS13/178.6</f>
        <v>0</v>
      </c>
      <c r="M3177" t="inlineStr">
        <is>
          <t>-17861.7</t>
        </is>
      </c>
    </row>
    <row r="3178">
      <c r="A3178">
        <v>3177</v>
      </c>
      <c r="B3178">
        <f>GS16</f>
        <v>0</v>
      </c>
      <c r="C3178" t="inlineStr">
        <is>
          <t>+LS3</t>
        </is>
      </c>
      <c r="D3178" t="inlineStr">
        <is>
          <t>-178K1</t>
        </is>
      </c>
      <c r="E3178" t="inlineStr">
        <is>
          <t>DIL_EM-10-G</t>
        </is>
      </c>
      <c r="F3178" t="inlineStr">
        <is>
          <t>#KALK!</t>
        </is>
      </c>
      <c r="G3178" t="inlineStr">
        <is>
          <t>LASTSCHUETZ</t>
        </is>
      </c>
      <c r="H3178" t="inlineStr">
        <is>
          <t>4kW 1S</t>
        </is>
      </c>
      <c r="I3178">
        <v>400</v>
      </c>
      <c r="J3178">
        <f>GS16/178.5</f>
        <v>0</v>
      </c>
      <c r="M3178" t="inlineStr">
        <is>
          <t>-178K1</t>
        </is>
      </c>
    </row>
    <row r="3179">
      <c r="A3179">
        <v>3178</v>
      </c>
      <c r="B3179">
        <f>GS34</f>
        <v>0</v>
      </c>
      <c r="C3179" t="inlineStr">
        <is>
          <t>+LS3</t>
        </is>
      </c>
      <c r="D3179" t="inlineStr">
        <is>
          <t>-178K25.7</t>
        </is>
      </c>
      <c r="E3179" t="inlineStr">
        <is>
          <t>DIL_EM-10-G</t>
        </is>
      </c>
      <c r="F3179" t="inlineStr">
        <is>
          <t>#KALK!</t>
        </is>
      </c>
      <c r="G3179" t="inlineStr">
        <is>
          <t>LASTSCHUETZ</t>
        </is>
      </c>
      <c r="H3179" t="inlineStr">
        <is>
          <t>4kW 1S</t>
        </is>
      </c>
      <c r="I3179">
        <v>302</v>
      </c>
      <c r="J3179">
        <f>GS34/178.6</f>
        <v>0</v>
      </c>
      <c r="M3179" t="inlineStr">
        <is>
          <t>-178K25.7</t>
        </is>
      </c>
    </row>
    <row r="3180">
      <c r="A3180">
        <v>3179</v>
      </c>
      <c r="B3180">
        <f>GS34</f>
        <v>0</v>
      </c>
      <c r="C3180" t="inlineStr">
        <is>
          <t>+LS3</t>
        </is>
      </c>
      <c r="D3180" t="inlineStr">
        <is>
          <t>-178K26.0</t>
        </is>
      </c>
      <c r="E3180" t="inlineStr">
        <is>
          <t>DIL_EM-10-G</t>
        </is>
      </c>
      <c r="F3180" t="inlineStr">
        <is>
          <t>#KALK!</t>
        </is>
      </c>
      <c r="G3180" t="inlineStr">
        <is>
          <t>LASTSCHUETZ</t>
        </is>
      </c>
      <c r="H3180" t="inlineStr">
        <is>
          <t>4kW 1S</t>
        </is>
      </c>
      <c r="I3180">
        <v>302</v>
      </c>
      <c r="J3180">
        <f>GS34/178.6</f>
        <v>0</v>
      </c>
      <c r="M3180" t="inlineStr">
        <is>
          <t>-178K26.0</t>
        </is>
      </c>
    </row>
    <row r="3181">
      <c r="A3181">
        <v>3180</v>
      </c>
      <c r="B3181">
        <f>GS02</f>
        <v>0</v>
      </c>
      <c r="C3181" t="inlineStr">
        <is>
          <t>+LS2</t>
        </is>
      </c>
      <c r="D3181" t="inlineStr">
        <is>
          <t>-178K27.0</t>
        </is>
      </c>
      <c r="E3181" t="inlineStr">
        <is>
          <t>DIL_EM-10-G</t>
        </is>
      </c>
      <c r="F3181" t="inlineStr">
        <is>
          <t>#KALK!</t>
        </is>
      </c>
      <c r="G3181" t="inlineStr">
        <is>
          <t>LASTSCHUETZ</t>
        </is>
      </c>
      <c r="H3181" t="inlineStr">
        <is>
          <t>4kW 1S</t>
        </is>
      </c>
      <c r="I3181">
        <v>579</v>
      </c>
      <c r="J3181">
        <f>GS02/178.6</f>
        <v>0</v>
      </c>
      <c r="M3181" t="inlineStr">
        <is>
          <t>-178K27.0</t>
        </is>
      </c>
    </row>
    <row r="3182">
      <c r="A3182">
        <v>3181</v>
      </c>
      <c r="B3182">
        <f>GS31</f>
        <v>0</v>
      </c>
      <c r="C3182" t="inlineStr">
        <is>
          <t>+LS2</t>
        </is>
      </c>
      <c r="D3182" t="inlineStr">
        <is>
          <t>-178K30.6</t>
        </is>
      </c>
      <c r="E3182" t="inlineStr">
        <is>
          <t>DIL_EM-10-G</t>
        </is>
      </c>
      <c r="F3182" t="inlineStr">
        <is>
          <t>#KALK!</t>
        </is>
      </c>
      <c r="G3182" t="inlineStr">
        <is>
          <t>LASTSCHUETZ</t>
        </is>
      </c>
      <c r="H3182" t="inlineStr">
        <is>
          <t>4kW 1S</t>
        </is>
      </c>
      <c r="I3182">
        <v>462</v>
      </c>
      <c r="J3182">
        <f>GS31/178.6</f>
        <v>0</v>
      </c>
      <c r="M3182" t="inlineStr">
        <is>
          <t>-178K30.6</t>
        </is>
      </c>
    </row>
    <row r="3183">
      <c r="A3183">
        <v>3182</v>
      </c>
      <c r="B3183">
        <f>GS31</f>
        <v>0</v>
      </c>
      <c r="C3183" t="inlineStr">
        <is>
          <t>+LS2</t>
        </is>
      </c>
      <c r="D3183" t="inlineStr">
        <is>
          <t>-178K30.7</t>
        </is>
      </c>
      <c r="E3183" t="inlineStr">
        <is>
          <t>DIL_EM-10-G</t>
        </is>
      </c>
      <c r="F3183" t="inlineStr">
        <is>
          <t>#KALK!</t>
        </is>
      </c>
      <c r="G3183" t="inlineStr">
        <is>
          <t>LASTSCHUETZ</t>
        </is>
      </c>
      <c r="H3183" t="inlineStr">
        <is>
          <t>4kW 1S</t>
        </is>
      </c>
      <c r="I3183">
        <v>462</v>
      </c>
      <c r="J3183">
        <f>GS31/178.6</f>
        <v>0</v>
      </c>
      <c r="M3183" t="inlineStr">
        <is>
          <t>-178K30.7</t>
        </is>
      </c>
    </row>
    <row r="3184">
      <c r="A3184">
        <v>3183</v>
      </c>
      <c r="B3184">
        <f>GS32</f>
        <v>0</v>
      </c>
      <c r="C3184" t="inlineStr">
        <is>
          <t>+LS3</t>
        </is>
      </c>
      <c r="D3184" t="inlineStr">
        <is>
          <t>-178K34.5</t>
        </is>
      </c>
      <c r="E3184" t="inlineStr">
        <is>
          <t>DILM-9-01</t>
        </is>
      </c>
      <c r="F3184" t="inlineStr">
        <is>
          <t>#KALK!</t>
        </is>
      </c>
      <c r="G3184" t="inlineStr">
        <is>
          <t>LASTSCHUETZ</t>
        </is>
      </c>
      <c r="H3184" t="inlineStr">
        <is>
          <t>4kW 1Oe Federzugkl.</t>
        </is>
      </c>
      <c r="I3184">
        <v>1122</v>
      </c>
      <c r="J3184">
        <f>GS32/178.6</f>
        <v>0</v>
      </c>
      <c r="M3184" t="inlineStr">
        <is>
          <t>-178K34.5</t>
        </is>
      </c>
    </row>
    <row r="3185">
      <c r="A3185">
        <v>3184</v>
      </c>
      <c r="B3185">
        <f>GS32</f>
        <v>0</v>
      </c>
      <c r="C3185" t="inlineStr">
        <is>
          <t>+LS3</t>
        </is>
      </c>
      <c r="D3185" t="inlineStr">
        <is>
          <t>-178K34.6</t>
        </is>
      </c>
      <c r="E3185" t="inlineStr">
        <is>
          <t>DIL_EM-10-G</t>
        </is>
      </c>
      <c r="F3185" t="inlineStr">
        <is>
          <t>#KALK!</t>
        </is>
      </c>
      <c r="G3185" t="inlineStr">
        <is>
          <t>LASTSCHUETZ</t>
        </is>
      </c>
      <c r="H3185" t="inlineStr">
        <is>
          <t>4kW 1S</t>
        </is>
      </c>
      <c r="I3185">
        <v>1122</v>
      </c>
      <c r="J3185">
        <f>GS32/178.7</f>
        <v>0</v>
      </c>
      <c r="M3185" t="inlineStr">
        <is>
          <t>-178K34.6</t>
        </is>
      </c>
    </row>
    <row r="3186">
      <c r="A3186">
        <v>3185</v>
      </c>
      <c r="B3186">
        <f>GS32</f>
        <v>0</v>
      </c>
      <c r="C3186" t="inlineStr">
        <is>
          <t>+LS3</t>
        </is>
      </c>
      <c r="D3186" t="inlineStr">
        <is>
          <t>-178K37.4</t>
        </is>
      </c>
      <c r="E3186" t="inlineStr">
        <is>
          <t>DILM-9-01</t>
        </is>
      </c>
      <c r="F3186" t="inlineStr">
        <is>
          <t>#KALK!</t>
        </is>
      </c>
      <c r="G3186" t="inlineStr">
        <is>
          <t>LASTSCHUETZ</t>
        </is>
      </c>
      <c r="H3186" t="inlineStr">
        <is>
          <t>4kW 1Oe Federzugkl.</t>
        </is>
      </c>
      <c r="I3186">
        <v>1122</v>
      </c>
      <c r="J3186">
        <f>GS32/178.6</f>
        <v>0</v>
      </c>
      <c r="M3186" t="inlineStr">
        <is>
          <t>-178K37.4</t>
        </is>
      </c>
    </row>
    <row r="3187">
      <c r="A3187">
        <v>3186</v>
      </c>
      <c r="B3187">
        <f>GS04</f>
        <v>0</v>
      </c>
      <c r="C3187" t="inlineStr">
        <is>
          <t>+LS3</t>
        </is>
      </c>
      <c r="D3187" t="inlineStr">
        <is>
          <t>-178K39.3</t>
        </is>
      </c>
      <c r="E3187" t="inlineStr">
        <is>
          <t>DIL_EM-10-G</t>
        </is>
      </c>
      <c r="F3187" t="inlineStr">
        <is>
          <t>#KALK!</t>
        </is>
      </c>
      <c r="G3187" t="inlineStr">
        <is>
          <t>LASTSCHUETZ</t>
        </is>
      </c>
      <c r="H3187" t="inlineStr">
        <is>
          <t>4kW 1S</t>
        </is>
      </c>
      <c r="I3187">
        <v>428</v>
      </c>
      <c r="J3187">
        <f>GS04/178.7</f>
        <v>0</v>
      </c>
      <c r="M3187" t="inlineStr">
        <is>
          <t>-178K39.3</t>
        </is>
      </c>
    </row>
    <row r="3188">
      <c r="A3188">
        <v>3187</v>
      </c>
      <c r="B3188">
        <f>GS11</f>
        <v>0</v>
      </c>
      <c r="C3188" t="inlineStr">
        <is>
          <t>+LS4</t>
        </is>
      </c>
      <c r="D3188" t="inlineStr">
        <is>
          <t>-178K40.6</t>
        </is>
      </c>
      <c r="E3188" t="inlineStr">
        <is>
          <t>DIL_EM-10-G</t>
        </is>
      </c>
      <c r="F3188" t="inlineStr">
        <is>
          <t>#KALK!</t>
        </is>
      </c>
      <c r="G3188" t="inlineStr">
        <is>
          <t>LASTSCHUETZ</t>
        </is>
      </c>
      <c r="H3188" t="inlineStr">
        <is>
          <t>4kW 1S</t>
        </is>
      </c>
      <c r="I3188">
        <v>289</v>
      </c>
      <c r="J3188">
        <f>GS11/178.6</f>
        <v>0</v>
      </c>
      <c r="M3188" t="inlineStr">
        <is>
          <t>-178K40.6</t>
        </is>
      </c>
    </row>
    <row r="3189">
      <c r="A3189">
        <v>3188</v>
      </c>
      <c r="B3189">
        <f>GS21</f>
        <v>0</v>
      </c>
      <c r="C3189" t="inlineStr">
        <is>
          <t>+LS4</t>
        </is>
      </c>
      <c r="D3189" t="inlineStr">
        <is>
          <t>-178K40.6</t>
        </is>
      </c>
      <c r="E3189" t="inlineStr">
        <is>
          <t>DIL_EM-10-G</t>
        </is>
      </c>
      <c r="F3189" t="inlineStr">
        <is>
          <t>#KALK!</t>
        </is>
      </c>
      <c r="G3189" t="inlineStr">
        <is>
          <t>LASTSCHUETZ</t>
        </is>
      </c>
      <c r="H3189" t="inlineStr">
        <is>
          <t>4kW 1S</t>
        </is>
      </c>
      <c r="I3189">
        <v>263</v>
      </c>
      <c r="J3189">
        <f>GS21/178.6</f>
        <v>0</v>
      </c>
      <c r="M3189" t="inlineStr">
        <is>
          <t>-178K40.6</t>
        </is>
      </c>
    </row>
    <row r="3190">
      <c r="A3190">
        <v>3189</v>
      </c>
      <c r="B3190">
        <f>GS23</f>
        <v>0</v>
      </c>
      <c r="C3190" t="inlineStr">
        <is>
          <t>+LS3</t>
        </is>
      </c>
      <c r="D3190" t="inlineStr">
        <is>
          <t>-178K61.6</t>
        </is>
      </c>
      <c r="E3190" t="inlineStr">
        <is>
          <t>DIL_EM-10-G</t>
        </is>
      </c>
      <c r="F3190" t="inlineStr">
        <is>
          <t>#KALK!</t>
        </is>
      </c>
      <c r="G3190" t="inlineStr">
        <is>
          <t>LASTSCHUETZ</t>
        </is>
      </c>
      <c r="H3190" t="inlineStr">
        <is>
          <t>4kW 1S</t>
        </is>
      </c>
      <c r="I3190">
        <v>477</v>
      </c>
      <c r="J3190">
        <f>GS23/178.6</f>
        <v>0</v>
      </c>
      <c r="M3190" t="inlineStr">
        <is>
          <t>-178K61.6</t>
        </is>
      </c>
    </row>
    <row r="3191">
      <c r="A3191">
        <v>3190</v>
      </c>
      <c r="B3191">
        <f>GS23</f>
        <v>0</v>
      </c>
      <c r="C3191" t="inlineStr">
        <is>
          <t>+LS3</t>
        </is>
      </c>
      <c r="D3191" t="inlineStr">
        <is>
          <t>-178K61.7</t>
        </is>
      </c>
      <c r="E3191" t="inlineStr">
        <is>
          <t>DIL_EM-10-G</t>
        </is>
      </c>
      <c r="F3191" t="inlineStr">
        <is>
          <t>#KALK!</t>
        </is>
      </c>
      <c r="G3191" t="inlineStr">
        <is>
          <t>LASTSCHUETZ</t>
        </is>
      </c>
      <c r="H3191" t="inlineStr">
        <is>
          <t>4kW 1S</t>
        </is>
      </c>
      <c r="I3191">
        <v>477</v>
      </c>
      <c r="J3191">
        <f>GS23/178.6</f>
        <v>0</v>
      </c>
      <c r="M3191" t="inlineStr">
        <is>
          <t>-178K61.7</t>
        </is>
      </c>
    </row>
    <row r="3192">
      <c r="A3192">
        <v>3191</v>
      </c>
      <c r="B3192">
        <f>GS25</f>
        <v>0</v>
      </c>
      <c r="C3192" t="inlineStr">
        <is>
          <t>+LS4</t>
        </is>
      </c>
      <c r="D3192" t="inlineStr">
        <is>
          <t>-178K66.2</t>
        </is>
      </c>
      <c r="E3192" t="inlineStr">
        <is>
          <t>DIL_EM-10-G</t>
        </is>
      </c>
      <c r="F3192" t="inlineStr">
        <is>
          <t>#KALK!</t>
        </is>
      </c>
      <c r="G3192" t="inlineStr">
        <is>
          <t>LASTSCHUETZ</t>
        </is>
      </c>
      <c r="H3192" t="inlineStr">
        <is>
          <t>4kW 1S</t>
        </is>
      </c>
      <c r="I3192">
        <v>299</v>
      </c>
      <c r="J3192">
        <f>GS25/178.6</f>
        <v>0</v>
      </c>
      <c r="M3192" t="inlineStr">
        <is>
          <t>-178K66.2</t>
        </is>
      </c>
    </row>
    <row r="3193">
      <c r="A3193">
        <v>3192</v>
      </c>
      <c r="B3193">
        <f>GS25</f>
        <v>0</v>
      </c>
      <c r="C3193" t="inlineStr">
        <is>
          <t>+LS4</t>
        </is>
      </c>
      <c r="D3193" t="inlineStr">
        <is>
          <t>-178K66.3</t>
        </is>
      </c>
      <c r="E3193" t="inlineStr">
        <is>
          <t>DIL_EM-10-G</t>
        </is>
      </c>
      <c r="F3193" t="inlineStr">
        <is>
          <t>#KALK!</t>
        </is>
      </c>
      <c r="G3193" t="inlineStr">
        <is>
          <t>LASTSCHUETZ</t>
        </is>
      </c>
      <c r="H3193" t="inlineStr">
        <is>
          <t>4kW 1S</t>
        </is>
      </c>
      <c r="I3193">
        <v>299</v>
      </c>
      <c r="J3193">
        <f>GS25/178.6</f>
        <v>0</v>
      </c>
      <c r="M3193" t="inlineStr">
        <is>
          <t>-178K66.3</t>
        </is>
      </c>
    </row>
    <row r="3194">
      <c r="A3194">
        <v>3193</v>
      </c>
      <c r="B3194">
        <f>GS15</f>
        <v>0</v>
      </c>
      <c r="C3194" t="inlineStr">
        <is>
          <t>+LS3</t>
        </is>
      </c>
      <c r="D3194" t="inlineStr">
        <is>
          <t>-178K67.5</t>
        </is>
      </c>
      <c r="E3194" t="inlineStr">
        <is>
          <t>DIL_EM-10-G</t>
        </is>
      </c>
      <c r="F3194" t="inlineStr">
        <is>
          <t>#KALK!</t>
        </is>
      </c>
      <c r="G3194" t="inlineStr">
        <is>
          <t>LASTSCHUETZ</t>
        </is>
      </c>
      <c r="H3194" t="inlineStr">
        <is>
          <t>4kW 1S</t>
        </is>
      </c>
      <c r="I3194">
        <v>670</v>
      </c>
      <c r="J3194">
        <f>GS15/178.6</f>
        <v>0</v>
      </c>
      <c r="M3194" t="inlineStr">
        <is>
          <t>-178K67.5</t>
        </is>
      </c>
    </row>
    <row r="3195">
      <c r="A3195">
        <v>3194</v>
      </c>
      <c r="B3195">
        <f>GS15</f>
        <v>0</v>
      </c>
      <c r="C3195" t="inlineStr">
        <is>
          <t>+LS3</t>
        </is>
      </c>
      <c r="D3195" t="inlineStr">
        <is>
          <t>-178K67.6</t>
        </is>
      </c>
      <c r="E3195" t="inlineStr">
        <is>
          <t>DIL_EM-10-G</t>
        </is>
      </c>
      <c r="F3195" t="inlineStr">
        <is>
          <t>#KALK!</t>
        </is>
      </c>
      <c r="G3195" t="inlineStr">
        <is>
          <t>LASTSCHUETZ</t>
        </is>
      </c>
      <c r="H3195" t="inlineStr">
        <is>
          <t>4kW 1S</t>
        </is>
      </c>
      <c r="I3195">
        <v>670</v>
      </c>
      <c r="J3195">
        <f>GS15/178.6</f>
        <v>0</v>
      </c>
      <c r="M3195" t="inlineStr">
        <is>
          <t>-178K67.6</t>
        </is>
      </c>
    </row>
    <row r="3196">
      <c r="A3196">
        <v>3195</v>
      </c>
      <c r="B3196">
        <f>GS90</f>
        <v>0</v>
      </c>
      <c r="C3196" t="inlineStr">
        <is>
          <t>+LS21</t>
        </is>
      </c>
      <c r="D3196" t="inlineStr">
        <is>
          <t>-1791K1330.0</t>
        </is>
      </c>
      <c r="E3196" t="inlineStr">
        <is>
          <t>DILA-40</t>
        </is>
      </c>
      <c r="F3196" t="inlineStr">
        <is>
          <t>#KALK!</t>
        </is>
      </c>
      <c r="G3196" t="inlineStr">
        <is>
          <t>HILFSSCHUETZ</t>
        </is>
      </c>
      <c r="H3196" t="inlineStr">
        <is>
          <t>4S Federzugkl.</t>
        </is>
      </c>
      <c r="I3196">
        <v>2274</v>
      </c>
      <c r="J3196">
        <f>GS90/1791.7</f>
        <v>0</v>
      </c>
      <c r="M3196" t="inlineStr">
        <is>
          <t>-1791K1330.0</t>
        </is>
      </c>
    </row>
    <row r="3197">
      <c r="A3197">
        <v>3196</v>
      </c>
      <c r="B3197">
        <f>GS90</f>
        <v>0</v>
      </c>
      <c r="C3197" t="inlineStr">
        <is>
          <t>+LS21</t>
        </is>
      </c>
      <c r="D3197" t="inlineStr">
        <is>
          <t>-1791Q1</t>
        </is>
      </c>
      <c r="E3197" t="inlineStr">
        <is>
          <t>DILMC25-10(RDC24)</t>
        </is>
      </c>
      <c r="F3197" t="inlineStr">
        <is>
          <t>DILA-XHI22</t>
        </is>
      </c>
      <c r="G3197" t="inlineStr">
        <is>
          <t>LASTSCHUETZ</t>
        </is>
      </c>
      <c r="H3197" t="inlineStr">
        <is>
          <t>11kW 1S Federzugkl.</t>
        </is>
      </c>
      <c r="I3197">
        <v>2274</v>
      </c>
      <c r="J3197">
        <f>GS90/1791.4</f>
        <v>0</v>
      </c>
      <c r="K3197" t="inlineStr">
        <is>
          <t>DIL MC25</t>
        </is>
      </c>
      <c r="M3197" t="inlineStr">
        <is>
          <t>-1791Q1</t>
        </is>
      </c>
    </row>
    <row r="3198">
      <c r="A3198">
        <v>3197</v>
      </c>
      <c r="B3198">
        <f>GS90</f>
        <v>0</v>
      </c>
      <c r="C3198" t="inlineStr">
        <is>
          <t>+LS21</t>
        </is>
      </c>
      <c r="D3198" t="inlineStr">
        <is>
          <t>-1791Q1</t>
        </is>
      </c>
      <c r="E3198" t="inlineStr">
        <is>
          <t>DILA-XHI22</t>
        </is>
      </c>
      <c r="F3198" t="inlineStr">
        <is>
          <t>DILA-XHI22</t>
        </is>
      </c>
      <c r="G3198" t="inlineStr">
        <is>
          <t>HILFSKONTAKTBLOCK</t>
        </is>
      </c>
      <c r="H3198" t="inlineStr">
        <is>
          <t>2S 2OE Last+Hilfssch. Cage</t>
        </is>
      </c>
      <c r="I3198">
        <v>2274</v>
      </c>
      <c r="J3198">
        <f>GS90/1791.4</f>
        <v>0</v>
      </c>
      <c r="K3198" t="inlineStr">
        <is>
          <t>DIL MC25</t>
        </is>
      </c>
      <c r="M3198" t="inlineStr">
        <is>
          <t>-1791Q1</t>
        </is>
      </c>
    </row>
    <row r="3199">
      <c r="A3199">
        <v>3198</v>
      </c>
      <c r="B3199">
        <f>GS90</f>
        <v>0</v>
      </c>
      <c r="C3199" t="inlineStr">
        <is>
          <t>+LS21</t>
        </is>
      </c>
      <c r="D3199" t="inlineStr">
        <is>
          <t>-1792Q1330.1</t>
        </is>
      </c>
      <c r="E3199" t="inlineStr">
        <is>
          <t>DILM-9-10</t>
        </is>
      </c>
      <c r="F3199" t="inlineStr">
        <is>
          <t>#KALK!</t>
        </is>
      </c>
      <c r="G3199" t="inlineStr">
        <is>
          <t>LASTSCHUETZ</t>
        </is>
      </c>
      <c r="H3199" t="inlineStr">
        <is>
          <t>4kW 1S Federzugkl.</t>
        </is>
      </c>
      <c r="I3199">
        <v>2273</v>
      </c>
      <c r="J3199">
        <f>GS90/1792.5</f>
        <v>0</v>
      </c>
      <c r="M3199" t="inlineStr">
        <is>
          <t>-1792Q1330.1</t>
        </is>
      </c>
    </row>
    <row r="3200">
      <c r="A3200">
        <v>3199</v>
      </c>
      <c r="B3200">
        <f>GS55</f>
        <v>0</v>
      </c>
      <c r="C3200" t="inlineStr">
        <is>
          <t>+LS29</t>
        </is>
      </c>
      <c r="D3200" t="inlineStr">
        <is>
          <t>-1795Q1</t>
        </is>
      </c>
      <c r="E3200" t="inlineStr">
        <is>
          <t>DILA-XHI22</t>
        </is>
      </c>
      <c r="F3200" t="inlineStr">
        <is>
          <t>DILA-XHI22</t>
        </is>
      </c>
      <c r="G3200" t="inlineStr">
        <is>
          <t>HILFSKONTAKTBLOCK</t>
        </is>
      </c>
      <c r="H3200" t="inlineStr">
        <is>
          <t>2S 2OE Last+Hilfssch. Cage</t>
        </is>
      </c>
      <c r="I3200">
        <v>1984</v>
      </c>
      <c r="J3200">
        <f>GS55/1795.6</f>
        <v>0</v>
      </c>
      <c r="K3200" t="inlineStr">
        <is>
          <t>DIL MC25</t>
        </is>
      </c>
      <c r="M3200" t="inlineStr">
        <is>
          <t>-1795Q1</t>
        </is>
      </c>
    </row>
    <row r="3201">
      <c r="A3201">
        <v>3200</v>
      </c>
      <c r="B3201">
        <f>GS55</f>
        <v>0</v>
      </c>
      <c r="C3201" t="inlineStr">
        <is>
          <t>+LS29</t>
        </is>
      </c>
      <c r="D3201" t="inlineStr">
        <is>
          <t>-1795Q1</t>
        </is>
      </c>
      <c r="E3201" t="inlineStr">
        <is>
          <t>DILMC25-10(RDC24)</t>
        </is>
      </c>
      <c r="F3201" t="inlineStr">
        <is>
          <t>DILA-XHI22</t>
        </is>
      </c>
      <c r="G3201" t="inlineStr">
        <is>
          <t>LASTSCHUETZ</t>
        </is>
      </c>
      <c r="H3201" t="inlineStr">
        <is>
          <t>11kW 1S Federzugkl.</t>
        </is>
      </c>
      <c r="I3201">
        <v>1984</v>
      </c>
      <c r="J3201">
        <f>GS55/1795.6</f>
        <v>0</v>
      </c>
      <c r="K3201" t="inlineStr">
        <is>
          <t>DIL MC25</t>
        </is>
      </c>
      <c r="M3201" t="inlineStr">
        <is>
          <t>-1795Q1</t>
        </is>
      </c>
    </row>
    <row r="3202">
      <c r="A3202">
        <v>3201</v>
      </c>
      <c r="B3202">
        <f>GS13</f>
        <v>0</v>
      </c>
      <c r="C3202" t="inlineStr">
        <is>
          <t>+LS3</t>
        </is>
      </c>
      <c r="D3202" t="inlineStr">
        <is>
          <t>-17962.0</t>
        </is>
      </c>
      <c r="E3202" t="inlineStr">
        <is>
          <t>DIL_EM-10-G</t>
        </is>
      </c>
      <c r="F3202" t="inlineStr">
        <is>
          <t>#KALK!</t>
        </is>
      </c>
      <c r="G3202" t="inlineStr">
        <is>
          <t>LASTSCHUETZ</t>
        </is>
      </c>
      <c r="H3202" t="inlineStr">
        <is>
          <t>4kW 1S</t>
        </is>
      </c>
      <c r="I3202">
        <v>419</v>
      </c>
      <c r="J3202">
        <f>GS13/179.6</f>
        <v>0</v>
      </c>
      <c r="M3202" t="inlineStr">
        <is>
          <t>-17962.0</t>
        </is>
      </c>
    </row>
    <row r="3203">
      <c r="A3203">
        <v>3202</v>
      </c>
      <c r="B3203">
        <f>GS13</f>
        <v>0</v>
      </c>
      <c r="C3203" t="inlineStr">
        <is>
          <t>+LS3</t>
        </is>
      </c>
      <c r="D3203" t="inlineStr">
        <is>
          <t>-17962.1</t>
        </is>
      </c>
      <c r="E3203" t="inlineStr">
        <is>
          <t>DIL_EM-10-G</t>
        </is>
      </c>
      <c r="F3203" t="inlineStr">
        <is>
          <t>#KALK!</t>
        </is>
      </c>
      <c r="G3203" t="inlineStr">
        <is>
          <t>LASTSCHUETZ</t>
        </is>
      </c>
      <c r="H3203" t="inlineStr">
        <is>
          <t>4kW 1S</t>
        </is>
      </c>
      <c r="I3203">
        <v>419</v>
      </c>
      <c r="J3203">
        <f>GS13/179.6</f>
        <v>0</v>
      </c>
      <c r="M3203" t="inlineStr">
        <is>
          <t>-17962.1</t>
        </is>
      </c>
    </row>
    <row r="3204">
      <c r="A3204">
        <v>3203</v>
      </c>
      <c r="B3204">
        <f>GC22</f>
        <v>0</v>
      </c>
      <c r="C3204" t="inlineStr">
        <is>
          <t>+LS2</t>
        </is>
      </c>
      <c r="D3204" t="inlineStr">
        <is>
          <t>-179K1</t>
        </is>
      </c>
      <c r="E3204" t="inlineStr">
        <is>
          <t>DIL_0AM</t>
        </is>
      </c>
      <c r="F3204" t="inlineStr">
        <is>
          <t>22_DIL-M</t>
        </is>
      </c>
      <c r="G3204" t="inlineStr">
        <is>
          <t>LASTSCHUETZ</t>
        </is>
      </c>
      <c r="H3204" t="inlineStr">
        <is>
          <t>11 kW</t>
        </is>
      </c>
      <c r="I3204">
        <v>543</v>
      </c>
      <c r="J3204">
        <f>GC22/179.2</f>
        <v>0</v>
      </c>
      <c r="K3204" t="inlineStr">
        <is>
          <t>DIL0AM</t>
        </is>
      </c>
      <c r="M3204" t="inlineStr">
        <is>
          <t>-179K1</t>
        </is>
      </c>
    </row>
    <row r="3205">
      <c r="A3205">
        <v>3204</v>
      </c>
      <c r="B3205">
        <f>GC22</f>
        <v>0</v>
      </c>
      <c r="C3205" t="inlineStr">
        <is>
          <t>+LS2</t>
        </is>
      </c>
      <c r="D3205" t="inlineStr">
        <is>
          <t>-179K1</t>
        </is>
      </c>
      <c r="E3205" t="inlineStr">
        <is>
          <t>22_DIL-M</t>
        </is>
      </c>
      <c r="F3205" t="inlineStr">
        <is>
          <t>22_DIL-M</t>
        </is>
      </c>
      <c r="G3205" t="inlineStr">
        <is>
          <t>HILFSKONTAKTBLOCK</t>
        </is>
      </c>
      <c r="H3205" t="inlineStr">
        <is>
          <t>2S 2OE Lastschuetz DIL M</t>
        </is>
      </c>
      <c r="I3205">
        <v>543</v>
      </c>
      <c r="J3205">
        <f>GC22/179.2</f>
        <v>0</v>
      </c>
      <c r="K3205" t="inlineStr">
        <is>
          <t>DIL0AM</t>
        </is>
      </c>
      <c r="M3205" t="inlineStr">
        <is>
          <t>-179K1</t>
        </is>
      </c>
    </row>
    <row r="3206">
      <c r="A3206">
        <v>3205</v>
      </c>
      <c r="B3206">
        <f>GS12</f>
        <v>0</v>
      </c>
      <c r="C3206" t="inlineStr">
        <is>
          <t>+LS2</t>
        </is>
      </c>
      <c r="D3206" t="inlineStr">
        <is>
          <t>-179K1</t>
        </is>
      </c>
      <c r="E3206" t="inlineStr">
        <is>
          <t>22_DIL-M</t>
        </is>
      </c>
      <c r="F3206" t="inlineStr">
        <is>
          <t>22_DIL-M</t>
        </is>
      </c>
      <c r="G3206" t="inlineStr">
        <is>
          <t>HILFSKONTAKTBLOCK</t>
        </is>
      </c>
      <c r="H3206" t="inlineStr">
        <is>
          <t>2S 2OE Lastschuetz DIL M</t>
        </is>
      </c>
      <c r="I3206">
        <v>311</v>
      </c>
      <c r="J3206">
        <f>GS12/179.2</f>
        <v>0</v>
      </c>
      <c r="K3206" t="inlineStr">
        <is>
          <t>DIL0AM</t>
        </is>
      </c>
      <c r="M3206" t="inlineStr">
        <is>
          <t>-179K1</t>
        </is>
      </c>
    </row>
    <row r="3207">
      <c r="A3207">
        <v>3206</v>
      </c>
      <c r="B3207">
        <f>GS12</f>
        <v>0</v>
      </c>
      <c r="C3207" t="inlineStr">
        <is>
          <t>+LS2</t>
        </is>
      </c>
      <c r="D3207" t="inlineStr">
        <is>
          <t>-179K1</t>
        </is>
      </c>
      <c r="E3207" t="inlineStr">
        <is>
          <t>DIL_0AM</t>
        </is>
      </c>
      <c r="F3207" t="inlineStr">
        <is>
          <t>22_DIL-M</t>
        </is>
      </c>
      <c r="G3207" t="inlineStr">
        <is>
          <t>LASTSCHUETZ</t>
        </is>
      </c>
      <c r="H3207" t="inlineStr">
        <is>
          <t>11 kW</t>
        </is>
      </c>
      <c r="I3207">
        <v>311</v>
      </c>
      <c r="J3207">
        <f>GS12/179.2</f>
        <v>0</v>
      </c>
      <c r="K3207" t="inlineStr">
        <is>
          <t>DIL0AM</t>
        </is>
      </c>
      <c r="M3207" t="inlineStr">
        <is>
          <t>-179K1</t>
        </is>
      </c>
    </row>
    <row r="3208">
      <c r="A3208">
        <v>3207</v>
      </c>
      <c r="B3208">
        <f>GS38</f>
        <v>0</v>
      </c>
      <c r="C3208" t="inlineStr">
        <is>
          <t>+LS02</t>
        </is>
      </c>
      <c r="D3208" t="inlineStr">
        <is>
          <t>-179K1</t>
        </is>
      </c>
      <c r="E3208" t="inlineStr">
        <is>
          <t>DILM-9-01</t>
        </is>
      </c>
      <c r="F3208" t="inlineStr">
        <is>
          <t>#KALK!</t>
        </is>
      </c>
      <c r="G3208" t="inlineStr">
        <is>
          <t>LASTSCHUETZ</t>
        </is>
      </c>
      <c r="H3208" t="inlineStr">
        <is>
          <t>4kW 1Oe Federzugkl.</t>
        </is>
      </c>
      <c r="I3208">
        <v>309</v>
      </c>
      <c r="J3208">
        <f>GS38/179.5</f>
        <v>0</v>
      </c>
      <c r="M3208" t="inlineStr">
        <is>
          <t>-179K1</t>
        </is>
      </c>
    </row>
    <row r="3209">
      <c r="A3209">
        <v>3208</v>
      </c>
      <c r="B3209">
        <f>GS39</f>
        <v>0</v>
      </c>
      <c r="C3209" t="inlineStr">
        <is>
          <t>+LS02</t>
        </is>
      </c>
      <c r="D3209" t="inlineStr">
        <is>
          <t>-179K1</t>
        </is>
      </c>
      <c r="E3209" t="inlineStr">
        <is>
          <t>DILM-9-01</t>
        </is>
      </c>
      <c r="F3209" t="inlineStr">
        <is>
          <t>#KALK!</t>
        </is>
      </c>
      <c r="G3209" t="inlineStr">
        <is>
          <t>LASTSCHUETZ</t>
        </is>
      </c>
      <c r="H3209" t="inlineStr">
        <is>
          <t>4kW 1Oe Federzugkl.</t>
        </is>
      </c>
      <c r="I3209">
        <v>379</v>
      </c>
      <c r="J3209">
        <f>GS39/179.5</f>
        <v>0</v>
      </c>
      <c r="M3209" t="inlineStr">
        <is>
          <t>-179K1</t>
        </is>
      </c>
    </row>
    <row r="3210">
      <c r="A3210">
        <v>3209</v>
      </c>
      <c r="B3210">
        <f>GS38</f>
        <v>0</v>
      </c>
      <c r="C3210" t="inlineStr">
        <is>
          <t>+LS02</t>
        </is>
      </c>
      <c r="D3210" t="inlineStr">
        <is>
          <t>-179K2</t>
        </is>
      </c>
      <c r="E3210" t="inlineStr">
        <is>
          <t>DILM-9-01</t>
        </is>
      </c>
      <c r="F3210" t="inlineStr">
        <is>
          <t>#KALK!</t>
        </is>
      </c>
      <c r="G3210" t="inlineStr">
        <is>
          <t>LASTSCHUETZ</t>
        </is>
      </c>
      <c r="H3210" t="inlineStr">
        <is>
          <t>4kW 1Oe Federzugkl.</t>
        </is>
      </c>
      <c r="I3210">
        <v>309</v>
      </c>
      <c r="J3210">
        <f>GS38/179.6</f>
        <v>0</v>
      </c>
      <c r="M3210" t="inlineStr">
        <is>
          <t>-179K2</t>
        </is>
      </c>
    </row>
    <row r="3211">
      <c r="A3211">
        <v>3210</v>
      </c>
      <c r="B3211">
        <f>GS39</f>
        <v>0</v>
      </c>
      <c r="C3211" t="inlineStr">
        <is>
          <t>+LS02</t>
        </is>
      </c>
      <c r="D3211" t="inlineStr">
        <is>
          <t>-179K2</t>
        </is>
      </c>
      <c r="E3211" t="inlineStr">
        <is>
          <t>DILM-9-01</t>
        </is>
      </c>
      <c r="F3211" t="inlineStr">
        <is>
          <t>#KALK!</t>
        </is>
      </c>
      <c r="G3211" t="inlineStr">
        <is>
          <t>LASTSCHUETZ</t>
        </is>
      </c>
      <c r="H3211" t="inlineStr">
        <is>
          <t>4kW 1Oe Federzugkl.</t>
        </is>
      </c>
      <c r="I3211">
        <v>379</v>
      </c>
      <c r="J3211">
        <f>GS39/179.6</f>
        <v>0</v>
      </c>
      <c r="M3211" t="inlineStr">
        <is>
          <t>-179K2</t>
        </is>
      </c>
    </row>
    <row r="3212">
      <c r="A3212">
        <v>3211</v>
      </c>
      <c r="B3212">
        <f>GS33</f>
        <v>0</v>
      </c>
      <c r="C3212" t="inlineStr">
        <is>
          <t>+LS3</t>
        </is>
      </c>
      <c r="D3212" t="inlineStr">
        <is>
          <t>-179K24.0</t>
        </is>
      </c>
      <c r="E3212" t="inlineStr">
        <is>
          <t>DIL_ER-22-G</t>
        </is>
      </c>
      <c r="F3212" t="inlineStr">
        <is>
          <t>#KALK!</t>
        </is>
      </c>
      <c r="G3212" t="inlineStr">
        <is>
          <t>HILFSSCHUETZ</t>
        </is>
      </c>
      <c r="H3212" t="inlineStr">
        <is>
          <t>2S 2OE</t>
        </is>
      </c>
      <c r="I3212">
        <v>613</v>
      </c>
      <c r="J3212">
        <f>GS33/179.5</f>
        <v>0</v>
      </c>
      <c r="M3212" t="inlineStr">
        <is>
          <t>-179K24.0</t>
        </is>
      </c>
    </row>
    <row r="3213">
      <c r="A3213">
        <v>3212</v>
      </c>
      <c r="B3213">
        <f>GS33</f>
        <v>0</v>
      </c>
      <c r="C3213" t="inlineStr">
        <is>
          <t>+LS3</t>
        </is>
      </c>
      <c r="D3213" t="inlineStr">
        <is>
          <t>-179K24.1</t>
        </is>
      </c>
      <c r="E3213" t="inlineStr">
        <is>
          <t>DIL_ER-22-G</t>
        </is>
      </c>
      <c r="F3213" t="inlineStr">
        <is>
          <t>#KALK!</t>
        </is>
      </c>
      <c r="G3213" t="inlineStr">
        <is>
          <t>HILFSSCHUETZ</t>
        </is>
      </c>
      <c r="H3213" t="inlineStr">
        <is>
          <t>2S 2OE</t>
        </is>
      </c>
      <c r="I3213">
        <v>613</v>
      </c>
      <c r="J3213">
        <f>GS33/179.6</f>
        <v>0</v>
      </c>
      <c r="M3213" t="inlineStr">
        <is>
          <t>-179K24.1</t>
        </is>
      </c>
    </row>
    <row r="3214">
      <c r="A3214">
        <v>3213</v>
      </c>
      <c r="B3214">
        <f>GS33</f>
        <v>0</v>
      </c>
      <c r="C3214" t="inlineStr">
        <is>
          <t>+LS3</t>
        </is>
      </c>
      <c r="D3214" t="inlineStr">
        <is>
          <t>-179K24.2</t>
        </is>
      </c>
      <c r="E3214" t="inlineStr">
        <is>
          <t>DIL_ER-22-G</t>
        </is>
      </c>
      <c r="F3214" t="inlineStr">
        <is>
          <t>#KALK!</t>
        </is>
      </c>
      <c r="G3214" t="inlineStr">
        <is>
          <t>HILFSSCHUETZ</t>
        </is>
      </c>
      <c r="H3214" t="inlineStr">
        <is>
          <t>2S 2OE</t>
        </is>
      </c>
      <c r="I3214">
        <v>613</v>
      </c>
      <c r="J3214">
        <f>GS33/179.7</f>
        <v>0</v>
      </c>
      <c r="M3214" t="inlineStr">
        <is>
          <t>-179K24.2</t>
        </is>
      </c>
    </row>
    <row r="3215">
      <c r="A3215">
        <v>3214</v>
      </c>
      <c r="B3215">
        <f>GS33</f>
        <v>0</v>
      </c>
      <c r="C3215" t="inlineStr">
        <is>
          <t>+LS3</t>
        </is>
      </c>
      <c r="D3215" t="inlineStr">
        <is>
          <t>-179K24.4</t>
        </is>
      </c>
      <c r="E3215" t="inlineStr">
        <is>
          <t>DIL_EM-10-G</t>
        </is>
      </c>
      <c r="F3215" t="inlineStr">
        <is>
          <t>#KALK!</t>
        </is>
      </c>
      <c r="G3215" t="inlineStr">
        <is>
          <t>LASTSCHUETZ</t>
        </is>
      </c>
      <c r="H3215" t="inlineStr">
        <is>
          <t>4kW 1S</t>
        </is>
      </c>
      <c r="I3215">
        <v>613</v>
      </c>
      <c r="J3215">
        <f>GS33/179.7</f>
        <v>0</v>
      </c>
      <c r="M3215" t="inlineStr">
        <is>
          <t>-179K24.4</t>
        </is>
      </c>
    </row>
    <row r="3216">
      <c r="A3216">
        <v>3215</v>
      </c>
      <c r="B3216">
        <f>GS34</f>
        <v>0</v>
      </c>
      <c r="C3216" t="inlineStr">
        <is>
          <t>+LS3</t>
        </is>
      </c>
      <c r="D3216" t="inlineStr">
        <is>
          <t>-179K26.4</t>
        </is>
      </c>
      <c r="E3216" t="inlineStr">
        <is>
          <t>DIL_EM-10-G</t>
        </is>
      </c>
      <c r="F3216" t="inlineStr">
        <is>
          <t>#KALK!</t>
        </is>
      </c>
      <c r="G3216" t="inlineStr">
        <is>
          <t>LASTSCHUETZ</t>
        </is>
      </c>
      <c r="H3216" t="inlineStr">
        <is>
          <t>4kW 1S</t>
        </is>
      </c>
      <c r="I3216">
        <v>303</v>
      </c>
      <c r="J3216">
        <f>GS34/179.7</f>
        <v>0</v>
      </c>
      <c r="M3216" t="inlineStr">
        <is>
          <t>-179K26.4</t>
        </is>
      </c>
    </row>
    <row r="3217">
      <c r="A3217">
        <v>3216</v>
      </c>
      <c r="B3217">
        <f>GS02</f>
        <v>0</v>
      </c>
      <c r="C3217" t="inlineStr">
        <is>
          <t>+LS2</t>
        </is>
      </c>
      <c r="D3217" t="inlineStr">
        <is>
          <t>-179K26.7</t>
        </is>
      </c>
      <c r="E3217" t="inlineStr">
        <is>
          <t>DIL_EM-10-G</t>
        </is>
      </c>
      <c r="F3217" t="inlineStr">
        <is>
          <t>#KALK!</t>
        </is>
      </c>
      <c r="G3217" t="inlineStr">
        <is>
          <t>LASTSCHUETZ</t>
        </is>
      </c>
      <c r="H3217" t="inlineStr">
        <is>
          <t>4kW 1S</t>
        </is>
      </c>
      <c r="I3217">
        <v>580</v>
      </c>
      <c r="J3217">
        <f>GS02/179.7</f>
        <v>0</v>
      </c>
      <c r="M3217" t="inlineStr">
        <is>
          <t>-179K26.7</t>
        </is>
      </c>
    </row>
    <row r="3218">
      <c r="A3218">
        <v>3217</v>
      </c>
      <c r="B3218">
        <f>GS31</f>
        <v>0</v>
      </c>
      <c r="C3218" t="inlineStr">
        <is>
          <t>+LS2</t>
        </is>
      </c>
      <c r="D3218" t="inlineStr">
        <is>
          <t>-179K31.0</t>
        </is>
      </c>
      <c r="E3218" t="inlineStr">
        <is>
          <t>DIL_EM-10-G</t>
        </is>
      </c>
      <c r="F3218" t="inlineStr">
        <is>
          <t>#KALK!</t>
        </is>
      </c>
      <c r="G3218" t="inlineStr">
        <is>
          <t>LASTSCHUETZ</t>
        </is>
      </c>
      <c r="H3218" t="inlineStr">
        <is>
          <t>4kW 1S</t>
        </is>
      </c>
      <c r="I3218">
        <v>463</v>
      </c>
      <c r="J3218">
        <f>GS31/179.6</f>
        <v>0</v>
      </c>
      <c r="M3218" t="inlineStr">
        <is>
          <t>-179K31.0</t>
        </is>
      </c>
    </row>
    <row r="3219">
      <c r="A3219">
        <v>3218</v>
      </c>
      <c r="B3219">
        <f>GS31</f>
        <v>0</v>
      </c>
      <c r="C3219" t="inlineStr">
        <is>
          <t>+LS2</t>
        </is>
      </c>
      <c r="D3219" t="inlineStr">
        <is>
          <t>-179K31.1</t>
        </is>
      </c>
      <c r="E3219" t="inlineStr">
        <is>
          <t>DIL_EM-10-G</t>
        </is>
      </c>
      <c r="F3219" t="inlineStr">
        <is>
          <t>#KALK!</t>
        </is>
      </c>
      <c r="G3219" t="inlineStr">
        <is>
          <t>LASTSCHUETZ</t>
        </is>
      </c>
      <c r="H3219" t="inlineStr">
        <is>
          <t>4kW 1S</t>
        </is>
      </c>
      <c r="I3219">
        <v>463</v>
      </c>
      <c r="J3219">
        <f>GS31/179.6</f>
        <v>0</v>
      </c>
      <c r="M3219" t="inlineStr">
        <is>
          <t>-179K31.1</t>
        </is>
      </c>
    </row>
    <row r="3220">
      <c r="A3220">
        <v>3219</v>
      </c>
      <c r="B3220">
        <f>GS32</f>
        <v>0</v>
      </c>
      <c r="C3220" t="inlineStr">
        <is>
          <t>+LS3</t>
        </is>
      </c>
      <c r="D3220" t="inlineStr">
        <is>
          <t>-179K34.7</t>
        </is>
      </c>
      <c r="E3220" t="inlineStr">
        <is>
          <t>DIL_EM-10-G</t>
        </is>
      </c>
      <c r="F3220" t="inlineStr">
        <is>
          <t>#KALK!</t>
        </is>
      </c>
      <c r="G3220" t="inlineStr">
        <is>
          <t>LASTSCHUETZ</t>
        </is>
      </c>
      <c r="H3220" t="inlineStr">
        <is>
          <t>4kW 1S</t>
        </is>
      </c>
      <c r="I3220">
        <v>1121</v>
      </c>
      <c r="J3220">
        <f>GS32/179.6</f>
        <v>0</v>
      </c>
      <c r="M3220" t="inlineStr">
        <is>
          <t>-179K34.7</t>
        </is>
      </c>
    </row>
    <row r="3221">
      <c r="A3221">
        <v>3220</v>
      </c>
      <c r="B3221">
        <f>GS32</f>
        <v>0</v>
      </c>
      <c r="C3221" t="inlineStr">
        <is>
          <t>+LS3</t>
        </is>
      </c>
      <c r="D3221" t="inlineStr">
        <is>
          <t>-179K35.0</t>
        </is>
      </c>
      <c r="E3221" t="inlineStr">
        <is>
          <t>DIL_EM-10-G</t>
        </is>
      </c>
      <c r="F3221" t="inlineStr">
        <is>
          <t>#KALK!</t>
        </is>
      </c>
      <c r="G3221" t="inlineStr">
        <is>
          <t>LASTSCHUETZ</t>
        </is>
      </c>
      <c r="H3221" t="inlineStr">
        <is>
          <t>4kW 1S</t>
        </is>
      </c>
      <c r="I3221">
        <v>1121</v>
      </c>
      <c r="J3221">
        <f>GS32/179.6</f>
        <v>0</v>
      </c>
      <c r="M3221" t="inlineStr">
        <is>
          <t>-179K35.0</t>
        </is>
      </c>
    </row>
    <row r="3222">
      <c r="A3222">
        <v>3221</v>
      </c>
      <c r="B3222">
        <f>GS16</f>
        <v>0</v>
      </c>
      <c r="C3222" t="inlineStr">
        <is>
          <t>+LS3</t>
        </is>
      </c>
      <c r="D3222" t="inlineStr">
        <is>
          <t>-179K37.3</t>
        </is>
      </c>
      <c r="E3222" t="inlineStr">
        <is>
          <t>DIL_EM-10-G</t>
        </is>
      </c>
      <c r="F3222" t="inlineStr">
        <is>
          <t>#KALK!</t>
        </is>
      </c>
      <c r="G3222" t="inlineStr">
        <is>
          <t>LASTSCHUETZ</t>
        </is>
      </c>
      <c r="H3222" t="inlineStr">
        <is>
          <t>4kW 1S</t>
        </is>
      </c>
      <c r="I3222">
        <v>401</v>
      </c>
      <c r="J3222">
        <f>GS16/179.7</f>
        <v>0</v>
      </c>
      <c r="M3222" t="inlineStr">
        <is>
          <t>-179K37.3</t>
        </is>
      </c>
    </row>
    <row r="3223">
      <c r="A3223">
        <v>3222</v>
      </c>
      <c r="B3223">
        <f>GS04</f>
        <v>0</v>
      </c>
      <c r="C3223" t="inlineStr">
        <is>
          <t>+LS3</t>
        </is>
      </c>
      <c r="D3223" t="inlineStr">
        <is>
          <t>-179K39.7</t>
        </is>
      </c>
      <c r="E3223" t="inlineStr">
        <is>
          <t>DIL_EM-10-G</t>
        </is>
      </c>
      <c r="F3223" t="inlineStr">
        <is>
          <t>#KALK!</t>
        </is>
      </c>
      <c r="G3223" t="inlineStr">
        <is>
          <t>LASTSCHUETZ</t>
        </is>
      </c>
      <c r="H3223" t="inlineStr">
        <is>
          <t>4kW 1S</t>
        </is>
      </c>
      <c r="I3223">
        <v>429</v>
      </c>
      <c r="J3223">
        <f>GS04/179.7</f>
        <v>0</v>
      </c>
      <c r="M3223" t="inlineStr">
        <is>
          <t>-179K39.7</t>
        </is>
      </c>
    </row>
    <row r="3224">
      <c r="A3224">
        <v>3223</v>
      </c>
      <c r="B3224">
        <f>GS11</f>
        <v>0</v>
      </c>
      <c r="C3224" t="inlineStr">
        <is>
          <t>+LS4</t>
        </is>
      </c>
      <c r="D3224" t="inlineStr">
        <is>
          <t>-179K41.3</t>
        </is>
      </c>
      <c r="E3224" t="inlineStr">
        <is>
          <t>DIL_EM-10-G</t>
        </is>
      </c>
      <c r="F3224" t="inlineStr">
        <is>
          <t>#KALK!</t>
        </is>
      </c>
      <c r="G3224" t="inlineStr">
        <is>
          <t>LASTSCHUETZ</t>
        </is>
      </c>
      <c r="H3224" t="inlineStr">
        <is>
          <t>4kW 1S</t>
        </is>
      </c>
      <c r="I3224">
        <v>290</v>
      </c>
      <c r="J3224">
        <f>GS11/179.7</f>
        <v>0</v>
      </c>
      <c r="M3224" t="inlineStr">
        <is>
          <t>-179K41.3</t>
        </is>
      </c>
    </row>
    <row r="3225">
      <c r="A3225">
        <v>3224</v>
      </c>
      <c r="B3225">
        <f>GS21</f>
        <v>0</v>
      </c>
      <c r="C3225" t="inlineStr">
        <is>
          <t>+LS4</t>
        </is>
      </c>
      <c r="D3225" t="inlineStr">
        <is>
          <t>-179K41.3</t>
        </is>
      </c>
      <c r="E3225" t="inlineStr">
        <is>
          <t>DIL_EM-10-G</t>
        </is>
      </c>
      <c r="F3225" t="inlineStr">
        <is>
          <t>#KALK!</t>
        </is>
      </c>
      <c r="G3225" t="inlineStr">
        <is>
          <t>LASTSCHUETZ</t>
        </is>
      </c>
      <c r="H3225" t="inlineStr">
        <is>
          <t>4kW 1S</t>
        </is>
      </c>
      <c r="I3225">
        <v>264</v>
      </c>
      <c r="J3225">
        <f>GS21/179.7</f>
        <v>0</v>
      </c>
      <c r="M3225" t="inlineStr">
        <is>
          <t>-179K41.3</t>
        </is>
      </c>
    </row>
    <row r="3226">
      <c r="A3226">
        <v>3225</v>
      </c>
      <c r="B3226">
        <f>GS23</f>
        <v>0</v>
      </c>
      <c r="C3226" t="inlineStr">
        <is>
          <t>+LS3</t>
        </is>
      </c>
      <c r="D3226" t="inlineStr">
        <is>
          <t>-179K62.0</t>
        </is>
      </c>
      <c r="E3226" t="inlineStr">
        <is>
          <t>DIL_EM-10-G</t>
        </is>
      </c>
      <c r="F3226" t="inlineStr">
        <is>
          <t>#KALK!</t>
        </is>
      </c>
      <c r="G3226" t="inlineStr">
        <is>
          <t>LASTSCHUETZ</t>
        </is>
      </c>
      <c r="H3226" t="inlineStr">
        <is>
          <t>4kW 1S</t>
        </is>
      </c>
      <c r="I3226">
        <v>478</v>
      </c>
      <c r="J3226">
        <f>GS23/179.6</f>
        <v>0</v>
      </c>
      <c r="M3226" t="inlineStr">
        <is>
          <t>-179K62.0</t>
        </is>
      </c>
    </row>
    <row r="3227">
      <c r="A3227">
        <v>3226</v>
      </c>
      <c r="B3227">
        <f>GS23</f>
        <v>0</v>
      </c>
      <c r="C3227" t="inlineStr">
        <is>
          <t>+LS3</t>
        </is>
      </c>
      <c r="D3227" t="inlineStr">
        <is>
          <t>-179K62.1</t>
        </is>
      </c>
      <c r="E3227" t="inlineStr">
        <is>
          <t>DIL_EM-10-G</t>
        </is>
      </c>
      <c r="F3227" t="inlineStr">
        <is>
          <t>#KALK!</t>
        </is>
      </c>
      <c r="G3227" t="inlineStr">
        <is>
          <t>LASTSCHUETZ</t>
        </is>
      </c>
      <c r="H3227" t="inlineStr">
        <is>
          <t>4kW 1S</t>
        </is>
      </c>
      <c r="I3227">
        <v>478</v>
      </c>
      <c r="J3227">
        <f>GS23/179.6</f>
        <v>0</v>
      </c>
      <c r="M3227" t="inlineStr">
        <is>
          <t>-179K62.1</t>
        </is>
      </c>
    </row>
    <row r="3228">
      <c r="A3228">
        <v>3227</v>
      </c>
      <c r="B3228">
        <f>GS25</f>
        <v>0</v>
      </c>
      <c r="C3228" t="inlineStr">
        <is>
          <t>+LS4</t>
        </is>
      </c>
      <c r="D3228" t="inlineStr">
        <is>
          <t>-179K66.4</t>
        </is>
      </c>
      <c r="E3228" t="inlineStr">
        <is>
          <t>DIL_EM-10-G</t>
        </is>
      </c>
      <c r="F3228" t="inlineStr">
        <is>
          <t>#KALK!</t>
        </is>
      </c>
      <c r="G3228" t="inlineStr">
        <is>
          <t>LASTSCHUETZ</t>
        </is>
      </c>
      <c r="H3228" t="inlineStr">
        <is>
          <t>4kW 1S</t>
        </is>
      </c>
      <c r="I3228">
        <v>300</v>
      </c>
      <c r="J3228">
        <f>GS25/179.6</f>
        <v>0</v>
      </c>
      <c r="M3228" t="inlineStr">
        <is>
          <t>-179K66.4</t>
        </is>
      </c>
    </row>
    <row r="3229">
      <c r="A3229">
        <v>3228</v>
      </c>
      <c r="B3229">
        <f>GS25</f>
        <v>0</v>
      </c>
      <c r="C3229" t="inlineStr">
        <is>
          <t>+LS4</t>
        </is>
      </c>
      <c r="D3229" t="inlineStr">
        <is>
          <t>-179K66.5</t>
        </is>
      </c>
      <c r="E3229" t="inlineStr">
        <is>
          <t>DIL_EM-10-G</t>
        </is>
      </c>
      <c r="F3229" t="inlineStr">
        <is>
          <t>#KALK!</t>
        </is>
      </c>
      <c r="G3229" t="inlineStr">
        <is>
          <t>LASTSCHUETZ</t>
        </is>
      </c>
      <c r="H3229" t="inlineStr">
        <is>
          <t>4kW 1S</t>
        </is>
      </c>
      <c r="I3229">
        <v>300</v>
      </c>
      <c r="J3229">
        <f>GS25/179.6</f>
        <v>0</v>
      </c>
      <c r="M3229" t="inlineStr">
        <is>
          <t>-179K66.5</t>
        </is>
      </c>
    </row>
    <row r="3230">
      <c r="A3230">
        <v>3229</v>
      </c>
      <c r="B3230">
        <f>GS94</f>
        <v>0</v>
      </c>
      <c r="C3230" t="inlineStr">
        <is>
          <t>+LS15</t>
        </is>
      </c>
      <c r="D3230" t="inlineStr">
        <is>
          <t>-179Q175.5</t>
        </is>
      </c>
      <c r="E3230" t="inlineStr">
        <is>
          <t>DILM-9-10</t>
        </is>
      </c>
      <c r="F3230" t="inlineStr">
        <is>
          <t>#KALK!</t>
        </is>
      </c>
      <c r="G3230" t="inlineStr">
        <is>
          <t>LASTSCHUETZ</t>
        </is>
      </c>
      <c r="H3230" t="inlineStr">
        <is>
          <t>4kW 1S Federzugkl.</t>
        </is>
      </c>
      <c r="I3230">
        <v>269</v>
      </c>
      <c r="J3230">
        <f>GS94/179.5</f>
        <v>0</v>
      </c>
      <c r="M3230" t="inlineStr">
        <is>
          <t>-179Q175.5</t>
        </is>
      </c>
    </row>
    <row r="3231">
      <c r="A3231">
        <v>3230</v>
      </c>
      <c r="B3231">
        <f>GS95</f>
        <v>0</v>
      </c>
      <c r="C3231" t="inlineStr">
        <is>
          <t>+LS15</t>
        </is>
      </c>
      <c r="D3231" t="inlineStr">
        <is>
          <t>-179Q175.5</t>
        </is>
      </c>
      <c r="E3231" t="inlineStr">
        <is>
          <t>DILM-9-10</t>
        </is>
      </c>
      <c r="F3231" t="inlineStr">
        <is>
          <t>#KALK!</t>
        </is>
      </c>
      <c r="G3231" t="inlineStr">
        <is>
          <t>LASTSCHUETZ</t>
        </is>
      </c>
      <c r="H3231" t="inlineStr">
        <is>
          <t>4kW 1S Federzugkl.</t>
        </is>
      </c>
      <c r="I3231">
        <v>269</v>
      </c>
      <c r="J3231">
        <f>GS95/179.5</f>
        <v>0</v>
      </c>
      <c r="M3231" t="inlineStr">
        <is>
          <t>-179Q175.5</t>
        </is>
      </c>
    </row>
    <row r="3232">
      <c r="A3232">
        <v>3231</v>
      </c>
      <c r="B3232">
        <f>GS96</f>
        <v>0</v>
      </c>
      <c r="C3232" t="inlineStr">
        <is>
          <t>+LS15</t>
        </is>
      </c>
      <c r="D3232" t="inlineStr">
        <is>
          <t>-179Q175.5</t>
        </is>
      </c>
      <c r="E3232" t="inlineStr">
        <is>
          <t>DILM-9-10</t>
        </is>
      </c>
      <c r="F3232" t="inlineStr">
        <is>
          <t>#KALK!</t>
        </is>
      </c>
      <c r="G3232" t="inlineStr">
        <is>
          <t>LASTSCHUETZ</t>
        </is>
      </c>
      <c r="H3232" t="inlineStr">
        <is>
          <t>4kW 1S Federzugkl.</t>
        </is>
      </c>
      <c r="I3232">
        <v>269</v>
      </c>
      <c r="J3232">
        <f>GS96/179.5</f>
        <v>0</v>
      </c>
      <c r="M3232" t="inlineStr">
        <is>
          <t>-179Q175.5</t>
        </is>
      </c>
    </row>
    <row r="3233">
      <c r="A3233">
        <v>3232</v>
      </c>
      <c r="B3233">
        <f>GS97</f>
        <v>0</v>
      </c>
      <c r="C3233" t="inlineStr">
        <is>
          <t>+LS15</t>
        </is>
      </c>
      <c r="D3233" t="inlineStr">
        <is>
          <t>-179Q175.5</t>
        </is>
      </c>
      <c r="E3233" t="inlineStr">
        <is>
          <t>DILM-9-10</t>
        </is>
      </c>
      <c r="F3233" t="inlineStr">
        <is>
          <t>#KALK!</t>
        </is>
      </c>
      <c r="G3233" t="inlineStr">
        <is>
          <t>LASTSCHUETZ</t>
        </is>
      </c>
      <c r="H3233" t="inlineStr">
        <is>
          <t>4kW 1S Federzugkl.</t>
        </is>
      </c>
      <c r="I3233">
        <v>269</v>
      </c>
      <c r="J3233">
        <f>GS97/179.5</f>
        <v>0</v>
      </c>
      <c r="M3233" t="inlineStr">
        <is>
          <t>-179Q175.5</t>
        </is>
      </c>
    </row>
    <row r="3234">
      <c r="A3234">
        <v>3233</v>
      </c>
      <c r="B3234">
        <f>GS91</f>
        <v>0</v>
      </c>
      <c r="C3234" t="inlineStr">
        <is>
          <t>+LS02</t>
        </is>
      </c>
      <c r="D3234" t="inlineStr">
        <is>
          <t>-179Q446.4</t>
        </is>
      </c>
      <c r="E3234" t="inlineStr">
        <is>
          <t>DILM-9-10</t>
        </is>
      </c>
      <c r="F3234" t="inlineStr">
        <is>
          <t>#KALK!</t>
        </is>
      </c>
      <c r="G3234" t="inlineStr">
        <is>
          <t>LASTSCHUETZ</t>
        </is>
      </c>
      <c r="H3234" t="inlineStr">
        <is>
          <t>4kW 1S Federzugkl.</t>
        </is>
      </c>
      <c r="I3234">
        <v>329</v>
      </c>
      <c r="J3234">
        <f>GS91/179.5</f>
        <v>0</v>
      </c>
      <c r="M3234" t="inlineStr">
        <is>
          <t>-179Q446.4</t>
        </is>
      </c>
    </row>
    <row r="3235">
      <c r="A3235">
        <v>3234</v>
      </c>
      <c r="B3235">
        <f>GS05</f>
        <v>0</v>
      </c>
      <c r="C3235" t="inlineStr">
        <is>
          <t>+ES02</t>
        </is>
      </c>
      <c r="D3235" t="inlineStr">
        <is>
          <t>-17K1</t>
        </is>
      </c>
      <c r="E3235" t="inlineStr">
        <is>
          <t>DILA-40</t>
        </is>
      </c>
      <c r="F3235" t="inlineStr">
        <is>
          <t>DILA-XHIC31</t>
        </is>
      </c>
      <c r="G3235" t="inlineStr">
        <is>
          <t>HILFSSCHUETZ</t>
        </is>
      </c>
      <c r="H3235" t="inlineStr">
        <is>
          <t>4S Federzugkl.</t>
        </is>
      </c>
      <c r="I3235">
        <v>448</v>
      </c>
      <c r="J3235">
        <f>GS05/17.6</f>
        <v>0</v>
      </c>
      <c r="M3235" t="inlineStr">
        <is>
          <t>-17K1</t>
        </is>
      </c>
    </row>
    <row r="3236">
      <c r="A3236">
        <v>3235</v>
      </c>
      <c r="B3236">
        <f>GS05</f>
        <v>0</v>
      </c>
      <c r="C3236" t="inlineStr">
        <is>
          <t>+ES02</t>
        </is>
      </c>
      <c r="D3236" t="inlineStr">
        <is>
          <t>-17K1</t>
        </is>
      </c>
      <c r="E3236" t="inlineStr">
        <is>
          <t>DILA-XHIC31</t>
        </is>
      </c>
      <c r="F3236" t="inlineStr">
        <is>
          <t>DILA-XHIC31</t>
        </is>
      </c>
      <c r="G3236" t="inlineStr">
        <is>
          <t>HILFSKONTAKTBLOCK</t>
        </is>
      </c>
      <c r="H3236" t="inlineStr">
        <is>
          <t>3S 1OE Last+Hilfssch. Cage</t>
        </is>
      </c>
      <c r="I3236">
        <v>448</v>
      </c>
      <c r="J3236">
        <f>GS05/17.6</f>
        <v>0</v>
      </c>
      <c r="M3236" t="inlineStr">
        <is>
          <t>-17K1</t>
        </is>
      </c>
    </row>
    <row r="3237">
      <c r="A3237">
        <v>3236</v>
      </c>
      <c r="B3237">
        <f>GS06</f>
        <v>0</v>
      </c>
      <c r="C3237" t="inlineStr">
        <is>
          <t>+ES02</t>
        </is>
      </c>
      <c r="D3237" t="inlineStr">
        <is>
          <t>-17K1</t>
        </is>
      </c>
      <c r="E3237" t="inlineStr">
        <is>
          <t>DILA-40</t>
        </is>
      </c>
      <c r="F3237" t="inlineStr">
        <is>
          <t>DILA-XHIC31</t>
        </is>
      </c>
      <c r="G3237" t="inlineStr">
        <is>
          <t>HILFSSCHUETZ</t>
        </is>
      </c>
      <c r="H3237" t="inlineStr">
        <is>
          <t>4S Federzugkl.</t>
        </is>
      </c>
      <c r="I3237">
        <v>448</v>
      </c>
      <c r="J3237">
        <f>GS06/17.6</f>
        <v>0</v>
      </c>
      <c r="M3237" t="inlineStr">
        <is>
          <t>-17K1</t>
        </is>
      </c>
    </row>
    <row r="3238">
      <c r="A3238">
        <v>3237</v>
      </c>
      <c r="B3238">
        <f>GS06</f>
        <v>0</v>
      </c>
      <c r="C3238" t="inlineStr">
        <is>
          <t>+ES02</t>
        </is>
      </c>
      <c r="D3238" t="inlineStr">
        <is>
          <t>-17K1</t>
        </is>
      </c>
      <c r="E3238" t="inlineStr">
        <is>
          <t>DILA-XHIC31</t>
        </is>
      </c>
      <c r="F3238" t="inlineStr">
        <is>
          <t>DILA-XHIC31</t>
        </is>
      </c>
      <c r="G3238" t="inlineStr">
        <is>
          <t>HILFSKONTAKTBLOCK</t>
        </is>
      </c>
      <c r="H3238" t="inlineStr">
        <is>
          <t>3S 1OE Last+Hilfssch. Cage</t>
        </is>
      </c>
      <c r="I3238">
        <v>448</v>
      </c>
      <c r="J3238">
        <f>GS06/17.6</f>
        <v>0</v>
      </c>
      <c r="M3238" t="inlineStr">
        <is>
          <t>-17K1</t>
        </is>
      </c>
    </row>
    <row r="3239">
      <c r="A3239">
        <v>3238</v>
      </c>
      <c r="B3239">
        <f>GS08</f>
        <v>0</v>
      </c>
      <c r="C3239" t="inlineStr">
        <is>
          <t>+ES02</t>
        </is>
      </c>
      <c r="D3239" t="inlineStr">
        <is>
          <t>-17K1</t>
        </is>
      </c>
      <c r="E3239" t="inlineStr">
        <is>
          <t>DILA-XHIC31</t>
        </is>
      </c>
      <c r="F3239" t="inlineStr">
        <is>
          <t>DILA-XHIC31</t>
        </is>
      </c>
      <c r="G3239" t="inlineStr">
        <is>
          <t>HILFSKONTAKTBLOCK</t>
        </is>
      </c>
      <c r="H3239" t="inlineStr">
        <is>
          <t>3S 1OE Last+Hilfssch. Cage</t>
        </is>
      </c>
      <c r="I3239">
        <v>448</v>
      </c>
      <c r="J3239">
        <f>GS08/17.6</f>
        <v>0</v>
      </c>
      <c r="M3239" t="inlineStr">
        <is>
          <t>-17K1</t>
        </is>
      </c>
    </row>
    <row r="3240">
      <c r="A3240">
        <v>3239</v>
      </c>
      <c r="B3240">
        <f>GS08</f>
        <v>0</v>
      </c>
      <c r="C3240" t="inlineStr">
        <is>
          <t>+ES02</t>
        </is>
      </c>
      <c r="D3240" t="inlineStr">
        <is>
          <t>-17K1</t>
        </is>
      </c>
      <c r="E3240" t="inlineStr">
        <is>
          <t>DILA-40</t>
        </is>
      </c>
      <c r="F3240" t="inlineStr">
        <is>
          <t>DILA-XHIC31</t>
        </is>
      </c>
      <c r="G3240" t="inlineStr">
        <is>
          <t>HILFSSCHUETZ</t>
        </is>
      </c>
      <c r="H3240" t="inlineStr">
        <is>
          <t>4S Federzugkl.</t>
        </is>
      </c>
      <c r="I3240">
        <v>448</v>
      </c>
      <c r="J3240">
        <f>GS08/17.6</f>
        <v>0</v>
      </c>
      <c r="M3240" t="inlineStr">
        <is>
          <t>-17K1</t>
        </is>
      </c>
    </row>
    <row r="3241">
      <c r="A3241">
        <v>3240</v>
      </c>
      <c r="B3241">
        <f>GS51</f>
        <v>0</v>
      </c>
      <c r="C3241" t="inlineStr">
        <is>
          <t>+ES02</t>
        </is>
      </c>
      <c r="D3241" t="inlineStr">
        <is>
          <t>-17K1</t>
        </is>
      </c>
      <c r="E3241" t="inlineStr">
        <is>
          <t>DILA-XHIC31</t>
        </is>
      </c>
      <c r="F3241" t="inlineStr">
        <is>
          <t>DILA-XHIC31</t>
        </is>
      </c>
      <c r="G3241" t="inlineStr">
        <is>
          <t>HILFSKONTAKTBLOCK</t>
        </is>
      </c>
      <c r="H3241" t="inlineStr">
        <is>
          <t>3S 1OE Last+Hilfssch. Cage</t>
        </is>
      </c>
      <c r="I3241">
        <v>191</v>
      </c>
      <c r="J3241">
        <f>GS51/17.6</f>
        <v>0</v>
      </c>
      <c r="M3241" t="inlineStr">
        <is>
          <t>-17K1</t>
        </is>
      </c>
    </row>
    <row r="3242">
      <c r="A3242">
        <v>3241</v>
      </c>
      <c r="B3242">
        <f>GS51</f>
        <v>0</v>
      </c>
      <c r="C3242" t="inlineStr">
        <is>
          <t>+ES02</t>
        </is>
      </c>
      <c r="D3242" t="inlineStr">
        <is>
          <t>-17K1</t>
        </is>
      </c>
      <c r="E3242" t="inlineStr">
        <is>
          <t>DILA-40</t>
        </is>
      </c>
      <c r="F3242" t="inlineStr">
        <is>
          <t>DILA-XHIC31</t>
        </is>
      </c>
      <c r="G3242" t="inlineStr">
        <is>
          <t>HILFSSCHUETZ</t>
        </is>
      </c>
      <c r="H3242" t="inlineStr">
        <is>
          <t>4S Federzugkl.</t>
        </is>
      </c>
      <c r="I3242">
        <v>191</v>
      </c>
      <c r="J3242">
        <f>GS51/17.6</f>
        <v>0</v>
      </c>
      <c r="M3242" t="inlineStr">
        <is>
          <t>-17K1</t>
        </is>
      </c>
    </row>
    <row r="3243">
      <c r="A3243">
        <v>3242</v>
      </c>
      <c r="B3243">
        <f>GS55</f>
        <v>0</v>
      </c>
      <c r="C3243" t="inlineStr">
        <is>
          <t>+ES02</t>
        </is>
      </c>
      <c r="D3243" t="inlineStr">
        <is>
          <t>-17K1</t>
        </is>
      </c>
      <c r="E3243" t="inlineStr">
        <is>
          <t>DILA-40</t>
        </is>
      </c>
      <c r="F3243" t="inlineStr">
        <is>
          <t>DILA-XHIC31</t>
        </is>
      </c>
      <c r="G3243" t="inlineStr">
        <is>
          <t>HILFSSCHUETZ</t>
        </is>
      </c>
      <c r="H3243" t="inlineStr">
        <is>
          <t>4S Federzugkl.</t>
        </is>
      </c>
      <c r="I3243">
        <v>242</v>
      </c>
      <c r="J3243">
        <f>GS55/17.6</f>
        <v>0</v>
      </c>
      <c r="M3243" t="inlineStr">
        <is>
          <t>-17K1</t>
        </is>
      </c>
    </row>
    <row r="3244">
      <c r="A3244">
        <v>3243</v>
      </c>
      <c r="B3244">
        <f>GS55</f>
        <v>0</v>
      </c>
      <c r="C3244" t="inlineStr">
        <is>
          <t>+ES02</t>
        </is>
      </c>
      <c r="D3244" t="inlineStr">
        <is>
          <t>-17K1</t>
        </is>
      </c>
      <c r="E3244" t="inlineStr">
        <is>
          <t>DILA-XHIC31</t>
        </is>
      </c>
      <c r="F3244" t="inlineStr">
        <is>
          <t>DILA-XHIC31</t>
        </is>
      </c>
      <c r="G3244" t="inlineStr">
        <is>
          <t>HILFSKONTAKTBLOCK</t>
        </is>
      </c>
      <c r="H3244" t="inlineStr">
        <is>
          <t>3S 1OE Last+Hilfssch. Cage</t>
        </is>
      </c>
      <c r="I3244">
        <v>242</v>
      </c>
      <c r="J3244">
        <f>GS55/17.6</f>
        <v>0</v>
      </c>
      <c r="M3244" t="inlineStr">
        <is>
          <t>-17K1</t>
        </is>
      </c>
    </row>
    <row r="3245">
      <c r="A3245">
        <v>3244</v>
      </c>
      <c r="B3245">
        <f>GS90</f>
        <v>0</v>
      </c>
      <c r="C3245" t="inlineStr">
        <is>
          <t>+ES02</t>
        </is>
      </c>
      <c r="D3245" t="inlineStr">
        <is>
          <t>-17K1</t>
        </is>
      </c>
      <c r="E3245" t="inlineStr">
        <is>
          <t>DILA-40</t>
        </is>
      </c>
      <c r="F3245" t="inlineStr">
        <is>
          <t>#KALK!</t>
        </is>
      </c>
      <c r="G3245" t="inlineStr">
        <is>
          <t>HILFSSCHUETZ</t>
        </is>
      </c>
      <c r="H3245" t="inlineStr">
        <is>
          <t>4S Federzugkl.</t>
        </is>
      </c>
      <c r="I3245">
        <v>157</v>
      </c>
      <c r="J3245">
        <f>GS90/17.5</f>
        <v>0</v>
      </c>
      <c r="M3245" t="inlineStr">
        <is>
          <t>-17K1</t>
        </is>
      </c>
    </row>
    <row r="3246">
      <c r="A3246">
        <v>3245</v>
      </c>
      <c r="B3246">
        <f>GS91</f>
        <v>0</v>
      </c>
      <c r="C3246" t="inlineStr">
        <is>
          <t>+ES02</t>
        </is>
      </c>
      <c r="D3246" t="inlineStr">
        <is>
          <t>-17K1</t>
        </is>
      </c>
      <c r="E3246" t="inlineStr">
        <is>
          <t>DILA-40</t>
        </is>
      </c>
      <c r="F3246" t="inlineStr">
        <is>
          <t>#KALK!</t>
        </is>
      </c>
      <c r="G3246" t="inlineStr">
        <is>
          <t>HILFSSCHUETZ</t>
        </is>
      </c>
      <c r="H3246" t="inlineStr">
        <is>
          <t>4S Federzugkl.</t>
        </is>
      </c>
      <c r="I3246">
        <v>158</v>
      </c>
      <c r="J3246">
        <f>GS91/17.6</f>
        <v>0</v>
      </c>
      <c r="M3246" t="inlineStr">
        <is>
          <t>-17K1</t>
        </is>
      </c>
    </row>
    <row r="3247">
      <c r="A3247">
        <v>3246</v>
      </c>
      <c r="B3247">
        <f>GS93</f>
        <v>0</v>
      </c>
      <c r="C3247" t="inlineStr">
        <is>
          <t>+ES02</t>
        </is>
      </c>
      <c r="D3247" t="inlineStr">
        <is>
          <t>-17K1</t>
        </is>
      </c>
      <c r="E3247" t="inlineStr">
        <is>
          <t>DILA-40</t>
        </is>
      </c>
      <c r="F3247" t="inlineStr">
        <is>
          <t>#KALK!</t>
        </is>
      </c>
      <c r="G3247" t="inlineStr">
        <is>
          <t>HILFSSCHUETZ</t>
        </is>
      </c>
      <c r="H3247" t="inlineStr">
        <is>
          <t>4S Federzugkl.</t>
        </is>
      </c>
      <c r="I3247">
        <v>581</v>
      </c>
      <c r="J3247">
        <f>GS93/17.6</f>
        <v>0</v>
      </c>
      <c r="M3247" t="inlineStr">
        <is>
          <t>-17K1</t>
        </is>
      </c>
    </row>
    <row r="3248">
      <c r="A3248">
        <v>3247</v>
      </c>
      <c r="B3248">
        <f>GS90</f>
        <v>0</v>
      </c>
      <c r="C3248" t="inlineStr">
        <is>
          <t>+ES01</t>
        </is>
      </c>
      <c r="D3248" t="inlineStr">
        <is>
          <t>-17K2</t>
        </is>
      </c>
      <c r="E3248" t="inlineStr">
        <is>
          <t>DILA-XHIC31</t>
        </is>
      </c>
      <c r="F3248" t="inlineStr">
        <is>
          <t>DILA-XHIC31</t>
        </is>
      </c>
      <c r="G3248" t="inlineStr">
        <is>
          <t>HILFSKONTAKTBLOCK</t>
        </is>
      </c>
      <c r="H3248" t="inlineStr">
        <is>
          <t>3S 1OE Last+Hilfssch. Cage</t>
        </is>
      </c>
      <c r="I3248">
        <v>157</v>
      </c>
      <c r="J3248">
        <f>GS90/17.6</f>
        <v>0</v>
      </c>
      <c r="M3248" t="inlineStr">
        <is>
          <t>-17K2</t>
        </is>
      </c>
    </row>
    <row r="3249">
      <c r="A3249">
        <v>3248</v>
      </c>
      <c r="B3249">
        <f>GS90</f>
        <v>0</v>
      </c>
      <c r="C3249" t="inlineStr">
        <is>
          <t>+ES01</t>
        </is>
      </c>
      <c r="D3249" t="inlineStr">
        <is>
          <t>-17K2</t>
        </is>
      </c>
      <c r="E3249" t="inlineStr">
        <is>
          <t>DILA-31</t>
        </is>
      </c>
      <c r="F3249" t="inlineStr">
        <is>
          <t>DILA-XHIC31</t>
        </is>
      </c>
      <c r="G3249" t="inlineStr">
        <is>
          <t>HILFSSCHUETZ</t>
        </is>
      </c>
      <c r="H3249" t="inlineStr">
        <is>
          <t>3S 1Oe Federzugkl.</t>
        </is>
      </c>
      <c r="I3249">
        <v>157</v>
      </c>
      <c r="J3249">
        <f>GS90/17.6</f>
        <v>0</v>
      </c>
      <c r="M3249" t="inlineStr">
        <is>
          <t>-17K2</t>
        </is>
      </c>
    </row>
    <row r="3250">
      <c r="A3250">
        <v>3249</v>
      </c>
      <c r="B3250">
        <f>GC03</f>
        <v>0</v>
      </c>
      <c r="C3250" t="inlineStr">
        <is>
          <t>+ES1</t>
        </is>
      </c>
      <c r="D3250" t="inlineStr">
        <is>
          <t>-17K4.3</t>
        </is>
      </c>
      <c r="E3250" t="inlineStr">
        <is>
          <t>DIL_ER-22-G</t>
        </is>
      </c>
      <c r="F3250" t="inlineStr">
        <is>
          <t>#KALK!</t>
        </is>
      </c>
      <c r="G3250" t="inlineStr">
        <is>
          <t>HILFSSCHUETZ</t>
        </is>
      </c>
      <c r="H3250" t="inlineStr">
        <is>
          <t>2S 2OE</t>
        </is>
      </c>
      <c r="I3250">
        <v>261</v>
      </c>
      <c r="J3250">
        <f>GC03/17.6</f>
        <v>0</v>
      </c>
      <c r="M3250" t="inlineStr">
        <is>
          <t>-17K4.3</t>
        </is>
      </c>
    </row>
    <row r="3251">
      <c r="A3251">
        <v>3250</v>
      </c>
      <c r="B3251">
        <f>GS01</f>
        <v>0</v>
      </c>
      <c r="C3251" t="inlineStr">
        <is>
          <t>+ES1</t>
        </is>
      </c>
      <c r="D3251" t="inlineStr">
        <is>
          <t>-17K4.3</t>
        </is>
      </c>
      <c r="E3251" t="inlineStr">
        <is>
          <t>DIL_ER-22-G</t>
        </is>
      </c>
      <c r="F3251" t="inlineStr">
        <is>
          <t>#KALK!</t>
        </is>
      </c>
      <c r="G3251" t="inlineStr">
        <is>
          <t>HILFSSCHUETZ</t>
        </is>
      </c>
      <c r="H3251" t="inlineStr">
        <is>
          <t>2S 2OE</t>
        </is>
      </c>
      <c r="I3251">
        <v>106</v>
      </c>
      <c r="J3251">
        <f>GS01/17.6</f>
        <v>0</v>
      </c>
      <c r="M3251" t="inlineStr">
        <is>
          <t>-17K4.3</t>
        </is>
      </c>
    </row>
    <row r="3252">
      <c r="A3252">
        <v>3251</v>
      </c>
      <c r="B3252">
        <f>GS02</f>
        <v>0</v>
      </c>
      <c r="C3252" t="inlineStr">
        <is>
          <t>+ES1</t>
        </is>
      </c>
      <c r="D3252" t="inlineStr">
        <is>
          <t>-17K4.3</t>
        </is>
      </c>
      <c r="E3252" t="inlineStr">
        <is>
          <t>DIL_ER-22-G</t>
        </is>
      </c>
      <c r="F3252" t="inlineStr">
        <is>
          <t>#KALK!</t>
        </is>
      </c>
      <c r="G3252" t="inlineStr">
        <is>
          <t>HILFSSCHUETZ</t>
        </is>
      </c>
      <c r="H3252" t="inlineStr">
        <is>
          <t>2S 2OE</t>
        </is>
      </c>
      <c r="I3252">
        <v>408</v>
      </c>
      <c r="J3252">
        <f>GS02/17.6</f>
        <v>0</v>
      </c>
      <c r="M3252" t="inlineStr">
        <is>
          <t>-17K4.3</t>
        </is>
      </c>
    </row>
    <row r="3253">
      <c r="A3253">
        <v>3252</v>
      </c>
      <c r="B3253">
        <f>GS04</f>
        <v>0</v>
      </c>
      <c r="C3253" t="inlineStr">
        <is>
          <t>+ES1</t>
        </is>
      </c>
      <c r="D3253" t="inlineStr">
        <is>
          <t>-17K4.3</t>
        </is>
      </c>
      <c r="E3253" t="inlineStr">
        <is>
          <t>DIL_ER-31-G</t>
        </is>
      </c>
      <c r="F3253" t="inlineStr">
        <is>
          <t>#KALK!</t>
        </is>
      </c>
      <c r="G3253" t="inlineStr">
        <is>
          <t>HILFSSCHUETZ</t>
        </is>
      </c>
      <c r="H3253" t="inlineStr">
        <is>
          <t>3S 1OE</t>
        </is>
      </c>
      <c r="I3253">
        <v>261</v>
      </c>
      <c r="J3253">
        <f>GS04/17.6</f>
        <v>0</v>
      </c>
      <c r="M3253" t="inlineStr">
        <is>
          <t>-17K4.3</t>
        </is>
      </c>
    </row>
    <row r="3254">
      <c r="A3254">
        <v>3253</v>
      </c>
      <c r="B3254">
        <f>GS05</f>
        <v>0</v>
      </c>
      <c r="C3254" t="inlineStr">
        <is>
          <t>+ES02</t>
        </is>
      </c>
      <c r="D3254" t="inlineStr">
        <is>
          <t>-17K4.3</t>
        </is>
      </c>
      <c r="E3254" t="inlineStr">
        <is>
          <t>DILA-40</t>
        </is>
      </c>
      <c r="F3254" t="inlineStr">
        <is>
          <t>DILA-XHIC31</t>
        </is>
      </c>
      <c r="G3254" t="inlineStr">
        <is>
          <t>HILFSSCHUETZ</t>
        </is>
      </c>
      <c r="H3254" t="inlineStr">
        <is>
          <t>4S Federzugkl.</t>
        </is>
      </c>
      <c r="I3254">
        <v>448</v>
      </c>
      <c r="J3254">
        <f>GS05/17.5</f>
        <v>0</v>
      </c>
      <c r="M3254" t="inlineStr">
        <is>
          <t>-17K4.3</t>
        </is>
      </c>
    </row>
    <row r="3255">
      <c r="A3255">
        <v>3254</v>
      </c>
      <c r="B3255">
        <f>GS05</f>
        <v>0</v>
      </c>
      <c r="C3255" t="inlineStr">
        <is>
          <t>+ES02</t>
        </is>
      </c>
      <c r="D3255" t="inlineStr">
        <is>
          <t>-17K4.3</t>
        </is>
      </c>
      <c r="E3255" t="inlineStr">
        <is>
          <t>DILA-XHIC31</t>
        </is>
      </c>
      <c r="F3255" t="inlineStr">
        <is>
          <t>DILA-XHIC31</t>
        </is>
      </c>
      <c r="G3255" t="inlineStr">
        <is>
          <t>HILFSKONTAKTBLOCK</t>
        </is>
      </c>
      <c r="H3255" t="inlineStr">
        <is>
          <t>3S 1OE Last+Hilfssch. Cage</t>
        </is>
      </c>
      <c r="I3255">
        <v>448</v>
      </c>
      <c r="J3255">
        <f>GS05/17.5</f>
        <v>0</v>
      </c>
      <c r="M3255" t="inlineStr">
        <is>
          <t>-17K4.3</t>
        </is>
      </c>
    </row>
    <row r="3256">
      <c r="A3256">
        <v>3255</v>
      </c>
      <c r="B3256">
        <f>GS06</f>
        <v>0</v>
      </c>
      <c r="C3256" t="inlineStr">
        <is>
          <t>+ES02</t>
        </is>
      </c>
      <c r="D3256" t="inlineStr">
        <is>
          <t>-17K4.3</t>
        </is>
      </c>
      <c r="E3256" t="inlineStr">
        <is>
          <t>DILA-40</t>
        </is>
      </c>
      <c r="F3256" t="inlineStr">
        <is>
          <t>DILA-XHIC31</t>
        </is>
      </c>
      <c r="G3256" t="inlineStr">
        <is>
          <t>HILFSSCHUETZ</t>
        </is>
      </c>
      <c r="H3256" t="inlineStr">
        <is>
          <t>4S Federzugkl.</t>
        </is>
      </c>
      <c r="I3256">
        <v>448</v>
      </c>
      <c r="J3256">
        <f>GS06/17.5</f>
        <v>0</v>
      </c>
      <c r="M3256" t="inlineStr">
        <is>
          <t>-17K4.3</t>
        </is>
      </c>
    </row>
    <row r="3257">
      <c r="A3257">
        <v>3256</v>
      </c>
      <c r="B3257">
        <f>GS06</f>
        <v>0</v>
      </c>
      <c r="C3257" t="inlineStr">
        <is>
          <t>+ES02</t>
        </is>
      </c>
      <c r="D3257" t="inlineStr">
        <is>
          <t>-17K4.3</t>
        </is>
      </c>
      <c r="E3257" t="inlineStr">
        <is>
          <t>DILA-XHIC31</t>
        </is>
      </c>
      <c r="F3257" t="inlineStr">
        <is>
          <t>DILA-XHIC31</t>
        </is>
      </c>
      <c r="G3257" t="inlineStr">
        <is>
          <t>HILFSKONTAKTBLOCK</t>
        </is>
      </c>
      <c r="H3257" t="inlineStr">
        <is>
          <t>3S 1OE Last+Hilfssch. Cage</t>
        </is>
      </c>
      <c r="I3257">
        <v>448</v>
      </c>
      <c r="J3257">
        <f>GS06/17.5</f>
        <v>0</v>
      </c>
      <c r="M3257" t="inlineStr">
        <is>
          <t>-17K4.3</t>
        </is>
      </c>
    </row>
    <row r="3258">
      <c r="A3258">
        <v>3257</v>
      </c>
      <c r="B3258">
        <f>GS07</f>
        <v>0</v>
      </c>
      <c r="C3258" t="inlineStr">
        <is>
          <t>+ES02</t>
        </is>
      </c>
      <c r="D3258" t="inlineStr">
        <is>
          <t>-17K4.3</t>
        </is>
      </c>
      <c r="E3258" t="inlineStr">
        <is>
          <t>DILA-40</t>
        </is>
      </c>
      <c r="F3258" t="inlineStr">
        <is>
          <t>DILA-XHIC31</t>
        </is>
      </c>
      <c r="G3258" t="inlineStr">
        <is>
          <t>HILFSSCHUETZ</t>
        </is>
      </c>
      <c r="H3258" t="inlineStr">
        <is>
          <t>4S Federzugkl.</t>
        </is>
      </c>
      <c r="I3258">
        <v>190</v>
      </c>
      <c r="J3258">
        <f>GS07/17.5</f>
        <v>0</v>
      </c>
      <c r="M3258" t="inlineStr">
        <is>
          <t>-17K4.3</t>
        </is>
      </c>
    </row>
    <row r="3259">
      <c r="A3259">
        <v>3258</v>
      </c>
      <c r="B3259">
        <f>GS07</f>
        <v>0</v>
      </c>
      <c r="C3259" t="inlineStr">
        <is>
          <t>+ES02</t>
        </is>
      </c>
      <c r="D3259" t="inlineStr">
        <is>
          <t>-17K4.3</t>
        </is>
      </c>
      <c r="E3259" t="inlineStr">
        <is>
          <t>DILA-XHIC31</t>
        </is>
      </c>
      <c r="F3259" t="inlineStr">
        <is>
          <t>DILA-XHIC31</t>
        </is>
      </c>
      <c r="G3259" t="inlineStr">
        <is>
          <t>HILFSKONTAKTBLOCK</t>
        </is>
      </c>
      <c r="H3259" t="inlineStr">
        <is>
          <t>3S 1OE Last+Hilfssch. Cage</t>
        </is>
      </c>
      <c r="I3259">
        <v>190</v>
      </c>
      <c r="J3259">
        <f>GS07/17.5</f>
        <v>0</v>
      </c>
      <c r="M3259" t="inlineStr">
        <is>
          <t>-17K4.3</t>
        </is>
      </c>
    </row>
    <row r="3260">
      <c r="A3260">
        <v>3259</v>
      </c>
      <c r="B3260">
        <f>GS08</f>
        <v>0</v>
      </c>
      <c r="C3260" t="inlineStr">
        <is>
          <t>+ES02</t>
        </is>
      </c>
      <c r="D3260" t="inlineStr">
        <is>
          <t>-17K4.3</t>
        </is>
      </c>
      <c r="E3260" t="inlineStr">
        <is>
          <t>DILA-XHIC31</t>
        </is>
      </c>
      <c r="F3260" t="inlineStr">
        <is>
          <t>DILA-XHIC31</t>
        </is>
      </c>
      <c r="G3260" t="inlineStr">
        <is>
          <t>HILFSKONTAKTBLOCK</t>
        </is>
      </c>
      <c r="H3260" t="inlineStr">
        <is>
          <t>3S 1OE Last+Hilfssch. Cage</t>
        </is>
      </c>
      <c r="I3260">
        <v>448</v>
      </c>
      <c r="J3260">
        <f>GS08/17.5</f>
        <v>0</v>
      </c>
      <c r="M3260" t="inlineStr">
        <is>
          <t>-17K4.3</t>
        </is>
      </c>
    </row>
    <row r="3261">
      <c r="A3261">
        <v>3260</v>
      </c>
      <c r="B3261">
        <f>GS08</f>
        <v>0</v>
      </c>
      <c r="C3261" t="inlineStr">
        <is>
          <t>+ES02</t>
        </is>
      </c>
      <c r="D3261" t="inlineStr">
        <is>
          <t>-17K4.3</t>
        </is>
      </c>
      <c r="E3261" t="inlineStr">
        <is>
          <t>DILA-40</t>
        </is>
      </c>
      <c r="F3261" t="inlineStr">
        <is>
          <t>DILA-XHIC31</t>
        </is>
      </c>
      <c r="G3261" t="inlineStr">
        <is>
          <t>HILFSSCHUETZ</t>
        </is>
      </c>
      <c r="H3261" t="inlineStr">
        <is>
          <t>4S Federzugkl.</t>
        </is>
      </c>
      <c r="I3261">
        <v>448</v>
      </c>
      <c r="J3261">
        <f>GS08/17.5</f>
        <v>0</v>
      </c>
      <c r="M3261" t="inlineStr">
        <is>
          <t>-17K4.3</t>
        </is>
      </c>
    </row>
    <row r="3262">
      <c r="A3262">
        <v>3261</v>
      </c>
      <c r="B3262">
        <f>GS11</f>
        <v>0</v>
      </c>
      <c r="C3262" t="inlineStr">
        <is>
          <t>+ES1</t>
        </is>
      </c>
      <c r="D3262" t="inlineStr">
        <is>
          <t>-17K4.3</t>
        </is>
      </c>
      <c r="E3262" t="inlineStr">
        <is>
          <t>DIL_ER-22-G</t>
        </is>
      </c>
      <c r="F3262" t="inlineStr">
        <is>
          <t>#KALK!</t>
        </is>
      </c>
      <c r="G3262" t="inlineStr">
        <is>
          <t>HILFSSCHUETZ</t>
        </is>
      </c>
      <c r="H3262" t="inlineStr">
        <is>
          <t>2S 2OE</t>
        </is>
      </c>
      <c r="I3262">
        <v>109</v>
      </c>
      <c r="J3262">
        <f>GS11/17.6</f>
        <v>0</v>
      </c>
      <c r="M3262" t="inlineStr">
        <is>
          <t>-17K4.3</t>
        </is>
      </c>
    </row>
    <row r="3263">
      <c r="A3263">
        <v>3262</v>
      </c>
      <c r="B3263">
        <f>GS14</f>
        <v>0</v>
      </c>
      <c r="C3263" t="inlineStr">
        <is>
          <t>+ES1</t>
        </is>
      </c>
      <c r="D3263" t="inlineStr">
        <is>
          <t>-17K4.3</t>
        </is>
      </c>
      <c r="E3263" t="inlineStr">
        <is>
          <t>DIL_ER-22-G</t>
        </is>
      </c>
      <c r="F3263" t="inlineStr">
        <is>
          <t>#KALK!</t>
        </is>
      </c>
      <c r="G3263" t="inlineStr">
        <is>
          <t>HILFSSCHUETZ</t>
        </is>
      </c>
      <c r="H3263" t="inlineStr">
        <is>
          <t>2S 2OE</t>
        </is>
      </c>
      <c r="I3263">
        <v>142</v>
      </c>
      <c r="J3263">
        <f>GS14/17.6</f>
        <v>0</v>
      </c>
      <c r="M3263" t="inlineStr">
        <is>
          <t>-17K4.3</t>
        </is>
      </c>
    </row>
    <row r="3264">
      <c r="A3264">
        <v>3263</v>
      </c>
      <c r="B3264">
        <f>GS15</f>
        <v>0</v>
      </c>
      <c r="C3264" t="inlineStr">
        <is>
          <t>+ES1</t>
        </is>
      </c>
      <c r="D3264" t="inlineStr">
        <is>
          <t>-17K4.3</t>
        </is>
      </c>
      <c r="E3264" t="inlineStr">
        <is>
          <t>DIL_ER-22-G</t>
        </is>
      </c>
      <c r="F3264" t="inlineStr">
        <is>
          <t>#KALK!</t>
        </is>
      </c>
      <c r="G3264" t="inlineStr">
        <is>
          <t>HILFSSCHUETZ</t>
        </is>
      </c>
      <c r="H3264" t="inlineStr">
        <is>
          <t>2S 2OE</t>
        </is>
      </c>
      <c r="I3264">
        <v>501</v>
      </c>
      <c r="J3264">
        <f>GS15/17.6</f>
        <v>0</v>
      </c>
      <c r="M3264" t="inlineStr">
        <is>
          <t>-17K4.3</t>
        </is>
      </c>
    </row>
    <row r="3265">
      <c r="A3265">
        <v>3264</v>
      </c>
      <c r="B3265">
        <f>GS16</f>
        <v>0</v>
      </c>
      <c r="C3265" t="inlineStr">
        <is>
          <t>+ES1</t>
        </is>
      </c>
      <c r="D3265" t="inlineStr">
        <is>
          <t>-17K4.3</t>
        </is>
      </c>
      <c r="E3265" t="inlineStr">
        <is>
          <t>DIL_ER-22-G</t>
        </is>
      </c>
      <c r="F3265" t="inlineStr">
        <is>
          <t>31_DIL-E</t>
        </is>
      </c>
      <c r="G3265" t="inlineStr">
        <is>
          <t>HILFSSCHUETZ</t>
        </is>
      </c>
      <c r="H3265" t="inlineStr">
        <is>
          <t>2S 2OE</t>
        </is>
      </c>
      <c r="I3265">
        <v>231</v>
      </c>
      <c r="J3265">
        <f>GS16/17.6</f>
        <v>0</v>
      </c>
      <c r="M3265" t="inlineStr">
        <is>
          <t>-17K4.3</t>
        </is>
      </c>
    </row>
    <row r="3266">
      <c r="A3266">
        <v>3265</v>
      </c>
      <c r="B3266">
        <f>GS16</f>
        <v>0</v>
      </c>
      <c r="C3266" t="inlineStr">
        <is>
          <t>+ES1</t>
        </is>
      </c>
      <c r="D3266" t="inlineStr">
        <is>
          <t>-17K4.3</t>
        </is>
      </c>
      <c r="E3266" t="inlineStr">
        <is>
          <t>31_DIL-E</t>
        </is>
      </c>
      <c r="F3266" t="inlineStr">
        <is>
          <t>31_DIL-E</t>
        </is>
      </c>
      <c r="G3266" t="inlineStr">
        <is>
          <t>HILFSKONTAKTBLOCK</t>
        </is>
      </c>
      <c r="H3266" t="inlineStr">
        <is>
          <t>3S 1OE Last+Hilsschuetz</t>
        </is>
      </c>
      <c r="I3266">
        <v>231</v>
      </c>
      <c r="J3266">
        <f>GS16/17.6</f>
        <v>0</v>
      </c>
      <c r="M3266" t="inlineStr">
        <is>
          <t>-17K4.3</t>
        </is>
      </c>
    </row>
    <row r="3267">
      <c r="A3267">
        <v>3266</v>
      </c>
      <c r="B3267">
        <f>GS20</f>
        <v>0</v>
      </c>
      <c r="C3267" t="inlineStr">
        <is>
          <t>+ES02</t>
        </is>
      </c>
      <c r="D3267" t="inlineStr">
        <is>
          <t>-17K4.3</t>
        </is>
      </c>
      <c r="E3267" t="inlineStr">
        <is>
          <t>DILA-XHIC31</t>
        </is>
      </c>
      <c r="F3267" t="inlineStr">
        <is>
          <t>DILA-XHIC31</t>
        </is>
      </c>
      <c r="G3267" t="inlineStr">
        <is>
          <t>HILFSKONTAKTBLOCK</t>
        </is>
      </c>
      <c r="H3267" t="inlineStr">
        <is>
          <t>3S 1OE Last+Hilfssch. Cage</t>
        </is>
      </c>
      <c r="I3267">
        <v>448</v>
      </c>
      <c r="J3267">
        <f>GS20/17.5</f>
        <v>0</v>
      </c>
      <c r="M3267" t="inlineStr">
        <is>
          <t>-17K4.3</t>
        </is>
      </c>
    </row>
    <row r="3268">
      <c r="A3268">
        <v>3267</v>
      </c>
      <c r="B3268">
        <f>GS20</f>
        <v>0</v>
      </c>
      <c r="C3268" t="inlineStr">
        <is>
          <t>+ES02</t>
        </is>
      </c>
      <c r="D3268" t="inlineStr">
        <is>
          <t>-17K4.3</t>
        </is>
      </c>
      <c r="E3268" t="inlineStr">
        <is>
          <t>DILA-40</t>
        </is>
      </c>
      <c r="F3268" t="inlineStr">
        <is>
          <t>DILA-XHIC31</t>
        </is>
      </c>
      <c r="G3268" t="inlineStr">
        <is>
          <t>HILFSSCHUETZ</t>
        </is>
      </c>
      <c r="H3268" t="inlineStr">
        <is>
          <t>4S Federzugkl.</t>
        </is>
      </c>
      <c r="I3268">
        <v>448</v>
      </c>
      <c r="J3268">
        <f>GS20/17.5</f>
        <v>0</v>
      </c>
      <c r="M3268" t="inlineStr">
        <is>
          <t>-17K4.3</t>
        </is>
      </c>
    </row>
    <row r="3269">
      <c r="A3269">
        <v>3268</v>
      </c>
      <c r="B3269">
        <f>GS21</f>
        <v>0</v>
      </c>
      <c r="C3269" t="inlineStr">
        <is>
          <t>+ES1</t>
        </is>
      </c>
      <c r="D3269" t="inlineStr">
        <is>
          <t>-17K4.3</t>
        </is>
      </c>
      <c r="E3269" t="inlineStr">
        <is>
          <t>DIL_ER-22-G</t>
        </is>
      </c>
      <c r="F3269" t="inlineStr">
        <is>
          <t>#KALK!</t>
        </is>
      </c>
      <c r="G3269" t="inlineStr">
        <is>
          <t>HILFSSCHUETZ</t>
        </is>
      </c>
      <c r="H3269" t="inlineStr">
        <is>
          <t>2S 2OE</t>
        </is>
      </c>
      <c r="I3269">
        <v>119</v>
      </c>
      <c r="J3269">
        <f>GS21/17.6</f>
        <v>0</v>
      </c>
      <c r="M3269" t="inlineStr">
        <is>
          <t>-17K4.3</t>
        </is>
      </c>
    </row>
    <row r="3270">
      <c r="A3270">
        <v>3269</v>
      </c>
      <c r="B3270">
        <f>GS23</f>
        <v>0</v>
      </c>
      <c r="C3270" t="inlineStr">
        <is>
          <t>+ES1</t>
        </is>
      </c>
      <c r="D3270" t="inlineStr">
        <is>
          <t>-17K4.3</t>
        </is>
      </c>
      <c r="E3270" t="inlineStr">
        <is>
          <t>DILA-31</t>
        </is>
      </c>
      <c r="F3270" t="inlineStr">
        <is>
          <t>#KALK!</t>
        </is>
      </c>
      <c r="G3270" t="inlineStr">
        <is>
          <t>HILFSSCHUETZ</t>
        </is>
      </c>
      <c r="H3270" t="inlineStr">
        <is>
          <t>3S 1Oe Federzugkl.</t>
        </is>
      </c>
      <c r="I3270">
        <v>308</v>
      </c>
      <c r="J3270">
        <f>GS23/17.6</f>
        <v>0</v>
      </c>
      <c r="M3270" t="inlineStr">
        <is>
          <t>-17K4.3</t>
        </is>
      </c>
    </row>
    <row r="3271">
      <c r="A3271">
        <v>3270</v>
      </c>
      <c r="B3271">
        <f>GS24</f>
        <v>0</v>
      </c>
      <c r="C3271" t="inlineStr">
        <is>
          <t>+ES1</t>
        </is>
      </c>
      <c r="D3271" t="inlineStr">
        <is>
          <t>-17K4.3</t>
        </is>
      </c>
      <c r="E3271" t="inlineStr">
        <is>
          <t>DIL_ER-22-G</t>
        </is>
      </c>
      <c r="F3271" t="inlineStr">
        <is>
          <t>#KALK!</t>
        </is>
      </c>
      <c r="G3271" t="inlineStr">
        <is>
          <t>HILFSSCHUETZ</t>
        </is>
      </c>
      <c r="H3271" t="inlineStr">
        <is>
          <t>2S 2OE</t>
        </is>
      </c>
      <c r="I3271">
        <v>1063</v>
      </c>
      <c r="J3271">
        <f>GS24/17.6</f>
        <v>0</v>
      </c>
      <c r="M3271" t="inlineStr">
        <is>
          <t>-17K4.3</t>
        </is>
      </c>
    </row>
    <row r="3272">
      <c r="A3272">
        <v>3271</v>
      </c>
      <c r="B3272">
        <f>GS25</f>
        <v>0</v>
      </c>
      <c r="C3272" t="inlineStr">
        <is>
          <t>+ES1</t>
        </is>
      </c>
      <c r="D3272" t="inlineStr">
        <is>
          <t>-17K4.3</t>
        </is>
      </c>
      <c r="E3272" t="inlineStr">
        <is>
          <t>DIL_ER-22-G</t>
        </is>
      </c>
      <c r="F3272" t="inlineStr">
        <is>
          <t>#KALK!</t>
        </is>
      </c>
      <c r="G3272" t="inlineStr">
        <is>
          <t>HILFSSCHUETZ</t>
        </is>
      </c>
      <c r="H3272" t="inlineStr">
        <is>
          <t>2S 2OE</t>
        </is>
      </c>
      <c r="I3272">
        <v>145</v>
      </c>
      <c r="J3272">
        <f>GS25/17.6</f>
        <v>0</v>
      </c>
      <c r="M3272" t="inlineStr">
        <is>
          <t>-17K4.3</t>
        </is>
      </c>
    </row>
    <row r="3273">
      <c r="A3273">
        <v>3272</v>
      </c>
      <c r="B3273">
        <f>GS26</f>
        <v>0</v>
      </c>
      <c r="C3273" t="inlineStr">
        <is>
          <t>+ES2</t>
        </is>
      </c>
      <c r="D3273" t="inlineStr">
        <is>
          <t>-17K4.3</t>
        </is>
      </c>
      <c r="E3273" t="inlineStr">
        <is>
          <t>DILA-31</t>
        </is>
      </c>
      <c r="F3273" t="inlineStr">
        <is>
          <t>#KALK!</t>
        </is>
      </c>
      <c r="G3273" t="inlineStr">
        <is>
          <t>HILFSSCHUETZ</t>
        </is>
      </c>
      <c r="H3273" t="inlineStr">
        <is>
          <t>3S 1Oe Federzugkl.</t>
        </is>
      </c>
      <c r="I3273">
        <v>152</v>
      </c>
      <c r="J3273">
        <f>GS26/17.3</f>
        <v>0</v>
      </c>
      <c r="M3273" t="inlineStr">
        <is>
          <t>-17K4.3</t>
        </is>
      </c>
    </row>
    <row r="3274">
      <c r="A3274">
        <v>3273</v>
      </c>
      <c r="B3274">
        <f>GS30</f>
        <v>0</v>
      </c>
      <c r="C3274" t="inlineStr">
        <is>
          <t>+ES02</t>
        </is>
      </c>
      <c r="D3274" t="inlineStr">
        <is>
          <t>-17K4.3</t>
        </is>
      </c>
      <c r="E3274" t="inlineStr">
        <is>
          <t>DILA-40</t>
        </is>
      </c>
      <c r="F3274" t="inlineStr">
        <is>
          <t>DILA-XHIC31</t>
        </is>
      </c>
      <c r="G3274" t="inlineStr">
        <is>
          <t>HILFSSCHUETZ</t>
        </is>
      </c>
      <c r="H3274" t="inlineStr">
        <is>
          <t>4S Federzugkl.</t>
        </is>
      </c>
      <c r="I3274">
        <v>448</v>
      </c>
      <c r="J3274">
        <f>GS30/17.5</f>
        <v>0</v>
      </c>
      <c r="M3274" t="inlineStr">
        <is>
          <t>-17K4.3</t>
        </is>
      </c>
    </row>
    <row r="3275">
      <c r="A3275">
        <v>3274</v>
      </c>
      <c r="B3275">
        <f>GS30</f>
        <v>0</v>
      </c>
      <c r="C3275" t="inlineStr">
        <is>
          <t>+ES02</t>
        </is>
      </c>
      <c r="D3275" t="inlineStr">
        <is>
          <t>-17K4.3</t>
        </is>
      </c>
      <c r="E3275" t="inlineStr">
        <is>
          <t>DILA-XHIC31</t>
        </is>
      </c>
      <c r="F3275" t="inlineStr">
        <is>
          <t>DILA-XHIC31</t>
        </is>
      </c>
      <c r="G3275" t="inlineStr">
        <is>
          <t>HILFSKONTAKTBLOCK</t>
        </is>
      </c>
      <c r="H3275" t="inlineStr">
        <is>
          <t>3S 1OE Last+Hilfssch. Cage</t>
        </is>
      </c>
      <c r="I3275">
        <v>448</v>
      </c>
      <c r="J3275">
        <f>GS30/17.5</f>
        <v>0</v>
      </c>
      <c r="M3275" t="inlineStr">
        <is>
          <t>-17K4.3</t>
        </is>
      </c>
    </row>
    <row r="3276">
      <c r="A3276">
        <v>3275</v>
      </c>
      <c r="B3276">
        <f>GS31</f>
        <v>0</v>
      </c>
      <c r="C3276" t="inlineStr">
        <is>
          <t>+ES1</t>
        </is>
      </c>
      <c r="D3276" t="inlineStr">
        <is>
          <t>-17K4.3</t>
        </is>
      </c>
      <c r="E3276" t="inlineStr">
        <is>
          <t>DIL_ER-22-G</t>
        </is>
      </c>
      <c r="F3276" t="inlineStr">
        <is>
          <t>#KALK!</t>
        </is>
      </c>
      <c r="G3276" t="inlineStr">
        <is>
          <t>HILFSSCHUETZ</t>
        </is>
      </c>
      <c r="H3276" t="inlineStr">
        <is>
          <t>2S 2OE</t>
        </is>
      </c>
      <c r="I3276">
        <v>299</v>
      </c>
      <c r="J3276">
        <f>GS31/17.6</f>
        <v>0</v>
      </c>
      <c r="M3276" t="inlineStr">
        <is>
          <t>-17K4.3</t>
        </is>
      </c>
    </row>
    <row r="3277">
      <c r="A3277">
        <v>3276</v>
      </c>
      <c r="B3277">
        <f>GS32</f>
        <v>0</v>
      </c>
      <c r="C3277" t="inlineStr">
        <is>
          <t>+ES1</t>
        </is>
      </c>
      <c r="D3277" t="inlineStr">
        <is>
          <t>-17K4.3</t>
        </is>
      </c>
      <c r="E3277" t="inlineStr">
        <is>
          <t>40_DIL-E</t>
        </is>
      </c>
      <c r="F3277" t="inlineStr">
        <is>
          <t>40_DIL-E</t>
        </is>
      </c>
      <c r="G3277" t="inlineStr">
        <is>
          <t>HILFSKONTAKTBLOCK</t>
        </is>
      </c>
      <c r="H3277" t="inlineStr">
        <is>
          <t>4S Last+Hilfsschuetz</t>
        </is>
      </c>
      <c r="I3277">
        <v>1447</v>
      </c>
      <c r="J3277">
        <f>GS32/17.7</f>
        <v>0</v>
      </c>
      <c r="M3277" t="inlineStr">
        <is>
          <t>-17K4.3</t>
        </is>
      </c>
    </row>
    <row r="3278">
      <c r="A3278">
        <v>3277</v>
      </c>
      <c r="B3278">
        <f>GS32</f>
        <v>0</v>
      </c>
      <c r="C3278" t="inlineStr">
        <is>
          <t>+ES1</t>
        </is>
      </c>
      <c r="D3278" t="inlineStr">
        <is>
          <t>-17K4.3</t>
        </is>
      </c>
      <c r="E3278" t="inlineStr">
        <is>
          <t>DIL_ER-22-G</t>
        </is>
      </c>
      <c r="F3278" t="inlineStr">
        <is>
          <t>40_DIL-E</t>
        </is>
      </c>
      <c r="G3278" t="inlineStr">
        <is>
          <t>HILFSSCHUETZ</t>
        </is>
      </c>
      <c r="H3278" t="inlineStr">
        <is>
          <t>2S 2OE</t>
        </is>
      </c>
      <c r="I3278">
        <v>1447</v>
      </c>
      <c r="J3278">
        <f>GS32/17.7</f>
        <v>0</v>
      </c>
      <c r="M3278" t="inlineStr">
        <is>
          <t>-17K4.3</t>
        </is>
      </c>
    </row>
    <row r="3279">
      <c r="A3279">
        <v>3278</v>
      </c>
      <c r="B3279">
        <f>GS33</f>
        <v>0</v>
      </c>
      <c r="C3279" t="inlineStr">
        <is>
          <t>+ES1</t>
        </is>
      </c>
      <c r="D3279" t="inlineStr">
        <is>
          <t>-17K4.3</t>
        </is>
      </c>
      <c r="E3279" t="inlineStr">
        <is>
          <t>DIL_ER-22-G</t>
        </is>
      </c>
      <c r="F3279" t="inlineStr">
        <is>
          <t>#KALK!</t>
        </is>
      </c>
      <c r="G3279" t="inlineStr">
        <is>
          <t>HILFSSCHUETZ</t>
        </is>
      </c>
      <c r="H3279" t="inlineStr">
        <is>
          <t>2S 2OE</t>
        </is>
      </c>
      <c r="I3279">
        <v>453</v>
      </c>
      <c r="J3279">
        <f>GS33/17.6</f>
        <v>0</v>
      </c>
      <c r="M3279" t="inlineStr">
        <is>
          <t>-17K4.3</t>
        </is>
      </c>
    </row>
    <row r="3280">
      <c r="A3280">
        <v>3279</v>
      </c>
      <c r="B3280">
        <f>GS34</f>
        <v>0</v>
      </c>
      <c r="C3280" t="inlineStr">
        <is>
          <t>+ES1</t>
        </is>
      </c>
      <c r="D3280" t="inlineStr">
        <is>
          <t>-17K4.3</t>
        </is>
      </c>
      <c r="E3280" t="inlineStr">
        <is>
          <t>DIL_ER-22-G</t>
        </is>
      </c>
      <c r="F3280" t="inlineStr">
        <is>
          <t>#KALK!</t>
        </is>
      </c>
      <c r="G3280" t="inlineStr">
        <is>
          <t>HILFSSCHUETZ</t>
        </is>
      </c>
      <c r="H3280" t="inlineStr">
        <is>
          <t>2S 2OE</t>
        </is>
      </c>
      <c r="I3280">
        <v>140</v>
      </c>
      <c r="J3280">
        <f>GS34/17.6</f>
        <v>0</v>
      </c>
      <c r="M3280" t="inlineStr">
        <is>
          <t>-17K4.3</t>
        </is>
      </c>
    </row>
    <row r="3281">
      <c r="A3281">
        <v>3280</v>
      </c>
      <c r="B3281">
        <f>GS35</f>
        <v>0</v>
      </c>
      <c r="C3281" t="inlineStr">
        <is>
          <t>+ES02</t>
        </is>
      </c>
      <c r="D3281" t="inlineStr">
        <is>
          <t>-17K4.3</t>
        </is>
      </c>
      <c r="E3281" t="inlineStr">
        <is>
          <t>DILA-31</t>
        </is>
      </c>
      <c r="F3281" t="inlineStr">
        <is>
          <t>DILA-XHIC31</t>
        </is>
      </c>
      <c r="G3281" t="inlineStr">
        <is>
          <t>HILFSSCHUETZ</t>
        </is>
      </c>
      <c r="H3281" t="inlineStr">
        <is>
          <t>3S 1Oe Federzugkl.</t>
        </is>
      </c>
      <c r="I3281">
        <v>181</v>
      </c>
      <c r="J3281">
        <f>GS35/17.5</f>
        <v>0</v>
      </c>
      <c r="M3281" t="inlineStr">
        <is>
          <t>-17K4.3</t>
        </is>
      </c>
    </row>
    <row r="3282">
      <c r="A3282">
        <v>3281</v>
      </c>
      <c r="B3282">
        <f>GS35</f>
        <v>0</v>
      </c>
      <c r="C3282" t="inlineStr">
        <is>
          <t>+ES02</t>
        </is>
      </c>
      <c r="D3282" t="inlineStr">
        <is>
          <t>-17K4.3</t>
        </is>
      </c>
      <c r="E3282" t="inlineStr">
        <is>
          <t>DILA-XHIC31</t>
        </is>
      </c>
      <c r="F3282" t="inlineStr">
        <is>
          <t>DILA-XHIC31</t>
        </is>
      </c>
      <c r="G3282" t="inlineStr">
        <is>
          <t>HILFSKONTAKTBLOCK</t>
        </is>
      </c>
      <c r="H3282" t="inlineStr">
        <is>
          <t>3S 1OE Last+Hilfssch. Cage</t>
        </is>
      </c>
      <c r="I3282">
        <v>181</v>
      </c>
      <c r="J3282">
        <f>GS35/17.5</f>
        <v>0</v>
      </c>
      <c r="M3282" t="inlineStr">
        <is>
          <t>-17K4.3</t>
        </is>
      </c>
    </row>
    <row r="3283">
      <c r="A3283">
        <v>3282</v>
      </c>
      <c r="B3283">
        <f>GS36</f>
        <v>0</v>
      </c>
      <c r="C3283" t="inlineStr">
        <is>
          <t>+LS03</t>
        </is>
      </c>
      <c r="D3283" t="inlineStr">
        <is>
          <t>-187K2</t>
        </is>
      </c>
      <c r="E3283" t="inlineStr">
        <is>
          <t>DILM-9-01</t>
        </is>
      </c>
      <c r="F3283" t="inlineStr">
        <is>
          <t>#KALK!</t>
        </is>
      </c>
      <c r="G3283" t="inlineStr">
        <is>
          <t>LASTSCHUETZ</t>
        </is>
      </c>
      <c r="H3283" t="inlineStr">
        <is>
          <t>4kW 1Oe Federzugkl.</t>
        </is>
      </c>
      <c r="I3283">
        <v>360</v>
      </c>
      <c r="J3283">
        <f>GS36/187.7</f>
        <v>0</v>
      </c>
      <c r="L3283" t="inlineStr">
        <is>
          <t>Lichtvorhang KF</t>
        </is>
      </c>
      <c r="M3283" t="inlineStr">
        <is>
          <t>Lichtvorhang KF
-187K2</t>
        </is>
      </c>
    </row>
    <row r="3284">
      <c r="A3284">
        <v>3283</v>
      </c>
      <c r="B3284">
        <f>GS36</f>
        <v>0</v>
      </c>
      <c r="C3284" t="inlineStr">
        <is>
          <t>+ES02</t>
        </is>
      </c>
      <c r="D3284" t="inlineStr">
        <is>
          <t>-17K4.3</t>
        </is>
      </c>
      <c r="E3284" t="inlineStr">
        <is>
          <t>DILA-XHI22</t>
        </is>
      </c>
      <c r="F3284" t="inlineStr">
        <is>
          <t>DILA-XHI22</t>
        </is>
      </c>
      <c r="G3284" t="inlineStr">
        <is>
          <t>HILFSKONTAKTBLOCK</t>
        </is>
      </c>
      <c r="H3284" t="inlineStr">
        <is>
          <t>2S 2OE Last+Hilfssch. Cage</t>
        </is>
      </c>
      <c r="I3284">
        <v>182</v>
      </c>
      <c r="J3284">
        <f>GS36/17.5</f>
        <v>0</v>
      </c>
      <c r="M3284" t="inlineStr">
        <is>
          <t>-17K4.3</t>
        </is>
      </c>
    </row>
    <row r="3285">
      <c r="A3285">
        <v>3284</v>
      </c>
      <c r="B3285">
        <f>GS37</f>
        <v>0</v>
      </c>
      <c r="C3285" t="inlineStr">
        <is>
          <t>+ES02</t>
        </is>
      </c>
      <c r="D3285" t="inlineStr">
        <is>
          <t>-17K4.3</t>
        </is>
      </c>
      <c r="E3285" t="inlineStr">
        <is>
          <t>DILA-40</t>
        </is>
      </c>
      <c r="F3285" t="inlineStr">
        <is>
          <t>DILA-XHI22</t>
        </is>
      </c>
      <c r="G3285" t="inlineStr">
        <is>
          <t>HILFSSCHUETZ</t>
        </is>
      </c>
      <c r="H3285" t="inlineStr">
        <is>
          <t>4S Federzugkl.</t>
        </is>
      </c>
      <c r="I3285">
        <v>169</v>
      </c>
      <c r="J3285">
        <f>GS37/17.5</f>
        <v>0</v>
      </c>
      <c r="M3285" t="inlineStr">
        <is>
          <t>-17K4.3</t>
        </is>
      </c>
    </row>
    <row r="3286">
      <c r="A3286">
        <v>3285</v>
      </c>
      <c r="B3286">
        <f>GS37</f>
        <v>0</v>
      </c>
      <c r="C3286" t="inlineStr">
        <is>
          <t>+ES02</t>
        </is>
      </c>
      <c r="D3286" t="inlineStr">
        <is>
          <t>-17K4.3</t>
        </is>
      </c>
      <c r="E3286" t="inlineStr">
        <is>
          <t>DILA-XHI22</t>
        </is>
      </c>
      <c r="F3286" t="inlineStr">
        <is>
          <t>DILA-XHI22</t>
        </is>
      </c>
      <c r="G3286" t="inlineStr">
        <is>
          <t>HILFSKONTAKTBLOCK</t>
        </is>
      </c>
      <c r="H3286" t="inlineStr">
        <is>
          <t>2S 2OE Last+Hilfssch. Cage</t>
        </is>
      </c>
      <c r="I3286">
        <v>169</v>
      </c>
      <c r="J3286">
        <f>GS37/17.5</f>
        <v>0</v>
      </c>
      <c r="M3286" t="inlineStr">
        <is>
          <t>-17K4.3</t>
        </is>
      </c>
    </row>
    <row r="3287">
      <c r="A3287">
        <v>3286</v>
      </c>
      <c r="B3287">
        <f>GS38</f>
        <v>0</v>
      </c>
      <c r="C3287" t="inlineStr">
        <is>
          <t>+ES02</t>
        </is>
      </c>
      <c r="D3287" t="inlineStr">
        <is>
          <t>-17K4.3</t>
        </is>
      </c>
      <c r="E3287" t="inlineStr">
        <is>
          <t>DILA-XHI22</t>
        </is>
      </c>
      <c r="F3287" t="inlineStr">
        <is>
          <t>DILA-XHI22</t>
        </is>
      </c>
      <c r="G3287" t="inlineStr">
        <is>
          <t>HILFSKONTAKTBLOCK</t>
        </is>
      </c>
      <c r="H3287" t="inlineStr">
        <is>
          <t>2S 2OE Last+Hilfssch. Cage</t>
        </is>
      </c>
      <c r="I3287">
        <v>155</v>
      </c>
      <c r="J3287">
        <f>GS38/17.5</f>
        <v>0</v>
      </c>
      <c r="M3287" t="inlineStr">
        <is>
          <t>-17K4.3</t>
        </is>
      </c>
    </row>
    <row r="3288">
      <c r="A3288">
        <v>3287</v>
      </c>
      <c r="B3288">
        <f>GS38</f>
        <v>0</v>
      </c>
      <c r="C3288" t="inlineStr">
        <is>
          <t>+ES02</t>
        </is>
      </c>
      <c r="D3288" t="inlineStr">
        <is>
          <t>-17K4.3</t>
        </is>
      </c>
      <c r="E3288" t="inlineStr">
        <is>
          <t>DILA-40</t>
        </is>
      </c>
      <c r="F3288" t="inlineStr">
        <is>
          <t>DILA-XHI22</t>
        </is>
      </c>
      <c r="G3288" t="inlineStr">
        <is>
          <t>HILFSSCHUETZ</t>
        </is>
      </c>
      <c r="H3288" t="inlineStr">
        <is>
          <t>4S Federzugkl.</t>
        </is>
      </c>
      <c r="I3288">
        <v>155</v>
      </c>
      <c r="J3288">
        <f>GS38/17.5</f>
        <v>0</v>
      </c>
      <c r="M3288" t="inlineStr">
        <is>
          <t>-17K4.3</t>
        </is>
      </c>
    </row>
    <row r="3289">
      <c r="A3289">
        <v>3288</v>
      </c>
      <c r="B3289">
        <f>GS39</f>
        <v>0</v>
      </c>
      <c r="C3289" t="inlineStr">
        <is>
          <t>+ES02</t>
        </is>
      </c>
      <c r="D3289" t="inlineStr">
        <is>
          <t>-17K4.3</t>
        </is>
      </c>
      <c r="E3289" t="inlineStr">
        <is>
          <t>DILA-40</t>
        </is>
      </c>
      <c r="F3289" t="inlineStr">
        <is>
          <t>DILA-XHI22</t>
        </is>
      </c>
      <c r="G3289" t="inlineStr">
        <is>
          <t>HILFSSCHUETZ</t>
        </is>
      </c>
      <c r="H3289" t="inlineStr">
        <is>
          <t>4S Federzugkl.</t>
        </is>
      </c>
      <c r="I3289">
        <v>194</v>
      </c>
      <c r="J3289">
        <f>GS39/17.5</f>
        <v>0</v>
      </c>
      <c r="M3289" t="inlineStr">
        <is>
          <t>-17K4.3</t>
        </is>
      </c>
    </row>
    <row r="3290">
      <c r="A3290">
        <v>3289</v>
      </c>
      <c r="B3290">
        <f>GS39</f>
        <v>0</v>
      </c>
      <c r="C3290" t="inlineStr">
        <is>
          <t>+ES02</t>
        </is>
      </c>
      <c r="D3290" t="inlineStr">
        <is>
          <t>-17K4.3</t>
        </is>
      </c>
      <c r="E3290" t="inlineStr">
        <is>
          <t>DILA-XHI22</t>
        </is>
      </c>
      <c r="F3290" t="inlineStr">
        <is>
          <t>DILA-XHI22</t>
        </is>
      </c>
      <c r="G3290" t="inlineStr">
        <is>
          <t>HILFSKONTAKTBLOCK</t>
        </is>
      </c>
      <c r="H3290" t="inlineStr">
        <is>
          <t>2S 2OE Last+Hilfssch. Cage</t>
        </is>
      </c>
      <c r="I3290">
        <v>194</v>
      </c>
      <c r="J3290">
        <f>GS39/17.5</f>
        <v>0</v>
      </c>
      <c r="M3290" t="inlineStr">
        <is>
          <t>-17K4.3</t>
        </is>
      </c>
    </row>
    <row r="3291">
      <c r="A3291">
        <v>3290</v>
      </c>
      <c r="B3291">
        <f>GS46</f>
        <v>0</v>
      </c>
      <c r="C3291" t="inlineStr">
        <is>
          <t>+ES02</t>
        </is>
      </c>
      <c r="D3291" t="inlineStr">
        <is>
          <t>-17K4.3</t>
        </is>
      </c>
      <c r="E3291" t="inlineStr">
        <is>
          <t>DILA-40</t>
        </is>
      </c>
      <c r="F3291" t="inlineStr">
        <is>
          <t>DILA-XHIC31</t>
        </is>
      </c>
      <c r="G3291" t="inlineStr">
        <is>
          <t>HILFSSCHUETZ</t>
        </is>
      </c>
      <c r="H3291" t="inlineStr">
        <is>
          <t>4S Federzugkl.</t>
        </is>
      </c>
      <c r="I3291">
        <v>162</v>
      </c>
      <c r="J3291">
        <f>GS46/17.6</f>
        <v>0</v>
      </c>
      <c r="M3291" t="inlineStr">
        <is>
          <t>-17K4.3</t>
        </is>
      </c>
    </row>
    <row r="3292">
      <c r="A3292">
        <v>3291</v>
      </c>
      <c r="B3292">
        <f>GS46</f>
        <v>0</v>
      </c>
      <c r="C3292" t="inlineStr">
        <is>
          <t>+ES02</t>
        </is>
      </c>
      <c r="D3292" t="inlineStr">
        <is>
          <t>-17K4.3</t>
        </is>
      </c>
      <c r="E3292" t="inlineStr">
        <is>
          <t>DILA-XHIC31</t>
        </is>
      </c>
      <c r="F3292" t="inlineStr">
        <is>
          <t>DILA-XHIC31</t>
        </is>
      </c>
      <c r="G3292" t="inlineStr">
        <is>
          <t>HILFSKONTAKTBLOCK</t>
        </is>
      </c>
      <c r="H3292" t="inlineStr">
        <is>
          <t>3S 1OE Last+Hilfssch. Cage</t>
        </is>
      </c>
      <c r="I3292">
        <v>162</v>
      </c>
      <c r="J3292">
        <f>GS46/17.6</f>
        <v>0</v>
      </c>
      <c r="M3292" t="inlineStr">
        <is>
          <t>-17K4.3</t>
        </is>
      </c>
    </row>
    <row r="3293">
      <c r="A3293">
        <v>3292</v>
      </c>
      <c r="B3293">
        <f>GS47</f>
        <v>0</v>
      </c>
      <c r="C3293" t="inlineStr">
        <is>
          <t>+ES02</t>
        </is>
      </c>
      <c r="D3293" t="inlineStr">
        <is>
          <t>-17K4.3</t>
        </is>
      </c>
      <c r="E3293" t="inlineStr">
        <is>
          <t>DILA-40</t>
        </is>
      </c>
      <c r="F3293" t="inlineStr">
        <is>
          <t>DILA-XHIC31</t>
        </is>
      </c>
      <c r="G3293" t="inlineStr">
        <is>
          <t>HILFSSCHUETZ</t>
        </is>
      </c>
      <c r="H3293" t="inlineStr">
        <is>
          <t>4S Federzugkl.</t>
        </is>
      </c>
      <c r="I3293">
        <v>162</v>
      </c>
      <c r="J3293">
        <f>GS47/17.6</f>
        <v>0</v>
      </c>
      <c r="M3293" t="inlineStr">
        <is>
          <t>-17K4.3</t>
        </is>
      </c>
    </row>
    <row r="3294">
      <c r="A3294">
        <v>3293</v>
      </c>
      <c r="B3294">
        <f>GS47</f>
        <v>0</v>
      </c>
      <c r="C3294" t="inlineStr">
        <is>
          <t>+ES02</t>
        </is>
      </c>
      <c r="D3294" t="inlineStr">
        <is>
          <t>-17K4.3</t>
        </is>
      </c>
      <c r="E3294" t="inlineStr">
        <is>
          <t>DILA-XHIC31</t>
        </is>
      </c>
      <c r="F3294" t="inlineStr">
        <is>
          <t>DILA-XHIC31</t>
        </is>
      </c>
      <c r="G3294" t="inlineStr">
        <is>
          <t>HILFSKONTAKTBLOCK</t>
        </is>
      </c>
      <c r="H3294" t="inlineStr">
        <is>
          <t>3S 1OE Last+Hilfssch. Cage</t>
        </is>
      </c>
      <c r="I3294">
        <v>162</v>
      </c>
      <c r="J3294">
        <f>GS47/17.6</f>
        <v>0</v>
      </c>
      <c r="M3294" t="inlineStr">
        <is>
          <t>-17K4.3</t>
        </is>
      </c>
    </row>
    <row r="3295">
      <c r="A3295">
        <v>3294</v>
      </c>
      <c r="B3295">
        <f>GS48</f>
        <v>0</v>
      </c>
      <c r="C3295" t="inlineStr">
        <is>
          <t>+ES02</t>
        </is>
      </c>
      <c r="D3295" t="inlineStr">
        <is>
          <t>-17K4.3</t>
        </is>
      </c>
      <c r="E3295" t="inlineStr">
        <is>
          <t>DILA-XHIC31</t>
        </is>
      </c>
      <c r="F3295" t="inlineStr">
        <is>
          <t>DILA-XHIC31</t>
        </is>
      </c>
      <c r="G3295" t="inlineStr">
        <is>
          <t>HILFSKONTAKTBLOCK</t>
        </is>
      </c>
      <c r="H3295" t="inlineStr">
        <is>
          <t>3S 1OE Last+Hilfssch. Cage</t>
        </is>
      </c>
      <c r="I3295">
        <v>161</v>
      </c>
      <c r="J3295">
        <f>GS48/17.6</f>
        <v>0</v>
      </c>
      <c r="M3295" t="inlineStr">
        <is>
          <t>-17K4.3</t>
        </is>
      </c>
    </row>
    <row r="3296">
      <c r="A3296">
        <v>3295</v>
      </c>
      <c r="B3296">
        <f>GS48</f>
        <v>0</v>
      </c>
      <c r="C3296" t="inlineStr">
        <is>
          <t>+ES02</t>
        </is>
      </c>
      <c r="D3296" t="inlineStr">
        <is>
          <t>-17K4.3</t>
        </is>
      </c>
      <c r="E3296" t="inlineStr">
        <is>
          <t>DILA-31</t>
        </is>
      </c>
      <c r="F3296" t="inlineStr">
        <is>
          <t>DILA-XHIC31</t>
        </is>
      </c>
      <c r="G3296" t="inlineStr">
        <is>
          <t>HILFSSCHUETZ</t>
        </is>
      </c>
      <c r="H3296" t="inlineStr">
        <is>
          <t>3S 1Oe Federzugkl.</t>
        </is>
      </c>
      <c r="I3296">
        <v>161</v>
      </c>
      <c r="J3296">
        <f>GS48/17.6</f>
        <v>0</v>
      </c>
      <c r="M3296" t="inlineStr">
        <is>
          <t>-17K4.3</t>
        </is>
      </c>
    </row>
    <row r="3297">
      <c r="A3297">
        <v>3296</v>
      </c>
      <c r="B3297">
        <f>GS49</f>
        <v>0</v>
      </c>
      <c r="C3297" t="inlineStr">
        <is>
          <t>+ES02</t>
        </is>
      </c>
      <c r="D3297" t="inlineStr">
        <is>
          <t>-17K4.3</t>
        </is>
      </c>
      <c r="E3297" t="inlineStr">
        <is>
          <t>DILA-31</t>
        </is>
      </c>
      <c r="F3297" t="inlineStr">
        <is>
          <t>DILA-XHIC31</t>
        </is>
      </c>
      <c r="G3297" t="inlineStr">
        <is>
          <t>HILFSSCHUETZ</t>
        </is>
      </c>
      <c r="H3297" t="inlineStr">
        <is>
          <t>3S 1Oe Federzugkl.</t>
        </is>
      </c>
      <c r="I3297">
        <v>160</v>
      </c>
      <c r="J3297">
        <f>GS49/17.6</f>
        <v>0</v>
      </c>
      <c r="M3297" t="inlineStr">
        <is>
          <t>-17K4.3</t>
        </is>
      </c>
    </row>
    <row r="3298">
      <c r="A3298">
        <v>3297</v>
      </c>
      <c r="B3298">
        <f>GS49</f>
        <v>0</v>
      </c>
      <c r="C3298" t="inlineStr">
        <is>
          <t>+ES02</t>
        </is>
      </c>
      <c r="D3298" t="inlineStr">
        <is>
          <t>-17K4.3</t>
        </is>
      </c>
      <c r="E3298" t="inlineStr">
        <is>
          <t>DILA-XHIC31</t>
        </is>
      </c>
      <c r="F3298" t="inlineStr">
        <is>
          <t>DILA-XHIC31</t>
        </is>
      </c>
      <c r="G3298" t="inlineStr">
        <is>
          <t>HILFSKONTAKTBLOCK</t>
        </is>
      </c>
      <c r="H3298" t="inlineStr">
        <is>
          <t>3S 1OE Last+Hilfssch. Cage</t>
        </is>
      </c>
      <c r="I3298">
        <v>160</v>
      </c>
      <c r="J3298">
        <f>GS49/17.6</f>
        <v>0</v>
      </c>
      <c r="M3298" t="inlineStr">
        <is>
          <t>-17K4.3</t>
        </is>
      </c>
    </row>
    <row r="3299">
      <c r="A3299">
        <v>3298</v>
      </c>
      <c r="B3299">
        <f>GS51</f>
        <v>0</v>
      </c>
      <c r="C3299" t="inlineStr">
        <is>
          <t>+ES02</t>
        </is>
      </c>
      <c r="D3299" t="inlineStr">
        <is>
          <t>-17K4.3</t>
        </is>
      </c>
      <c r="E3299" t="inlineStr">
        <is>
          <t>DILA-XHIC31</t>
        </is>
      </c>
      <c r="F3299" t="inlineStr">
        <is>
          <t>DILA-XHIC31</t>
        </is>
      </c>
      <c r="G3299" t="inlineStr">
        <is>
          <t>HILFSKONTAKTBLOCK</t>
        </is>
      </c>
      <c r="H3299" t="inlineStr">
        <is>
          <t>3S 1OE Last+Hilfssch. Cage</t>
        </is>
      </c>
      <c r="I3299">
        <v>191</v>
      </c>
      <c r="J3299">
        <f>GS51/17.5</f>
        <v>0</v>
      </c>
      <c r="M3299" t="inlineStr">
        <is>
          <t>-17K4.3</t>
        </is>
      </c>
    </row>
    <row r="3300">
      <c r="A3300">
        <v>3299</v>
      </c>
      <c r="B3300">
        <f>GS51</f>
        <v>0</v>
      </c>
      <c r="C3300" t="inlineStr">
        <is>
          <t>+ES02</t>
        </is>
      </c>
      <c r="D3300" t="inlineStr">
        <is>
          <t>-17K4.3</t>
        </is>
      </c>
      <c r="E3300" t="inlineStr">
        <is>
          <t>DILA-40</t>
        </is>
      </c>
      <c r="F3300" t="inlineStr">
        <is>
          <t>DILA-XHIC31</t>
        </is>
      </c>
      <c r="G3300" t="inlineStr">
        <is>
          <t>HILFSSCHUETZ</t>
        </is>
      </c>
      <c r="H3300" t="inlineStr">
        <is>
          <t>4S Federzugkl.</t>
        </is>
      </c>
      <c r="I3300">
        <v>191</v>
      </c>
      <c r="J3300">
        <f>GS51/17.5</f>
        <v>0</v>
      </c>
      <c r="M3300" t="inlineStr">
        <is>
          <t>-17K4.3</t>
        </is>
      </c>
    </row>
    <row r="3301">
      <c r="A3301">
        <v>3300</v>
      </c>
      <c r="B3301">
        <f>GS52</f>
        <v>0</v>
      </c>
      <c r="C3301" t="inlineStr">
        <is>
          <t>+ES02</t>
        </is>
      </c>
      <c r="D3301" t="inlineStr">
        <is>
          <t>-17K4.3</t>
        </is>
      </c>
      <c r="E3301" t="inlineStr">
        <is>
          <t>DILA-40</t>
        </is>
      </c>
      <c r="F3301" t="inlineStr">
        <is>
          <t>DILA-XHIC31</t>
        </is>
      </c>
      <c r="G3301" t="inlineStr">
        <is>
          <t>HILFSSCHUETZ</t>
        </is>
      </c>
      <c r="H3301" t="inlineStr">
        <is>
          <t>4S Federzugkl.</t>
        </is>
      </c>
      <c r="I3301">
        <v>1842</v>
      </c>
      <c r="J3301">
        <f>GS52/17.5</f>
        <v>0</v>
      </c>
      <c r="M3301" t="inlineStr">
        <is>
          <t>-17K4.3</t>
        </is>
      </c>
    </row>
    <row r="3302">
      <c r="A3302">
        <v>3301</v>
      </c>
      <c r="B3302">
        <f>GS52</f>
        <v>0</v>
      </c>
      <c r="C3302" t="inlineStr">
        <is>
          <t>+ES02</t>
        </is>
      </c>
      <c r="D3302" t="inlineStr">
        <is>
          <t>-17K4.3</t>
        </is>
      </c>
      <c r="E3302" t="inlineStr">
        <is>
          <t>DILA-XHIC31</t>
        </is>
      </c>
      <c r="F3302" t="inlineStr">
        <is>
          <t>DILA-XHIC31</t>
        </is>
      </c>
      <c r="G3302" t="inlineStr">
        <is>
          <t>HILFSKONTAKTBLOCK</t>
        </is>
      </c>
      <c r="H3302" t="inlineStr">
        <is>
          <t>3S 1OE Last+Hilfssch. Cage</t>
        </is>
      </c>
      <c r="I3302">
        <v>1842</v>
      </c>
      <c r="J3302">
        <f>GS52/17.5</f>
        <v>0</v>
      </c>
      <c r="M3302" t="inlineStr">
        <is>
          <t>-17K4.3</t>
        </is>
      </c>
    </row>
    <row r="3303">
      <c r="A3303">
        <v>3302</v>
      </c>
      <c r="B3303">
        <f>GS53</f>
        <v>0</v>
      </c>
      <c r="C3303" t="inlineStr">
        <is>
          <t>+ES02</t>
        </is>
      </c>
      <c r="D3303" t="inlineStr">
        <is>
          <t>-17K4.3</t>
        </is>
      </c>
      <c r="E3303" t="inlineStr">
        <is>
          <t>DILA-40</t>
        </is>
      </c>
      <c r="F3303" t="inlineStr">
        <is>
          <t>DILA-XHIC31</t>
        </is>
      </c>
      <c r="G3303" t="inlineStr">
        <is>
          <t>HILFSSCHUETZ</t>
        </is>
      </c>
      <c r="H3303" t="inlineStr">
        <is>
          <t>4S Federzugkl.</t>
        </is>
      </c>
      <c r="I3303">
        <v>217</v>
      </c>
      <c r="J3303">
        <f>GS53/17.5</f>
        <v>0</v>
      </c>
      <c r="M3303" t="inlineStr">
        <is>
          <t>-17K4.3</t>
        </is>
      </c>
    </row>
    <row r="3304">
      <c r="A3304">
        <v>3303</v>
      </c>
      <c r="B3304">
        <f>GS53</f>
        <v>0</v>
      </c>
      <c r="C3304" t="inlineStr">
        <is>
          <t>+ES02</t>
        </is>
      </c>
      <c r="D3304" t="inlineStr">
        <is>
          <t>-17K4.3</t>
        </is>
      </c>
      <c r="E3304" t="inlineStr">
        <is>
          <t>DILA-XHIC31</t>
        </is>
      </c>
      <c r="F3304" t="inlineStr">
        <is>
          <t>DILA-XHIC31</t>
        </is>
      </c>
      <c r="G3304" t="inlineStr">
        <is>
          <t>HILFSKONTAKTBLOCK</t>
        </is>
      </c>
      <c r="H3304" t="inlineStr">
        <is>
          <t>3S 1OE Last+Hilfssch. Cage</t>
        </is>
      </c>
      <c r="I3304">
        <v>217</v>
      </c>
      <c r="J3304">
        <f>GS53/17.5</f>
        <v>0</v>
      </c>
      <c r="M3304" t="inlineStr">
        <is>
          <t>-17K4.3</t>
        </is>
      </c>
    </row>
    <row r="3305">
      <c r="A3305">
        <v>3304</v>
      </c>
      <c r="B3305">
        <f>GS55</f>
        <v>0</v>
      </c>
      <c r="C3305" t="inlineStr">
        <is>
          <t>+ES02</t>
        </is>
      </c>
      <c r="D3305" t="inlineStr">
        <is>
          <t>-17K4.3</t>
        </is>
      </c>
      <c r="E3305" t="inlineStr">
        <is>
          <t>DILA-40</t>
        </is>
      </c>
      <c r="F3305" t="inlineStr">
        <is>
          <t>DILA-XHIC31</t>
        </is>
      </c>
      <c r="G3305" t="inlineStr">
        <is>
          <t>HILFSSCHUETZ</t>
        </is>
      </c>
      <c r="H3305" t="inlineStr">
        <is>
          <t>4S Federzugkl.</t>
        </is>
      </c>
      <c r="I3305">
        <v>242</v>
      </c>
      <c r="J3305">
        <f>GS55/17.5</f>
        <v>0</v>
      </c>
      <c r="M3305" t="inlineStr">
        <is>
          <t>-17K4.3</t>
        </is>
      </c>
    </row>
    <row r="3306">
      <c r="A3306">
        <v>3305</v>
      </c>
      <c r="B3306">
        <f>GS55</f>
        <v>0</v>
      </c>
      <c r="C3306" t="inlineStr">
        <is>
          <t>+ES02</t>
        </is>
      </c>
      <c r="D3306" t="inlineStr">
        <is>
          <t>-17K4.3</t>
        </is>
      </c>
      <c r="E3306" t="inlineStr">
        <is>
          <t>DILA-XHIC31</t>
        </is>
      </c>
      <c r="F3306" t="inlineStr">
        <is>
          <t>DILA-XHIC31</t>
        </is>
      </c>
      <c r="G3306" t="inlineStr">
        <is>
          <t>HILFSKONTAKTBLOCK</t>
        </is>
      </c>
      <c r="H3306" t="inlineStr">
        <is>
          <t>3S 1OE Last+Hilfssch. Cage</t>
        </is>
      </c>
      <c r="I3306">
        <v>242</v>
      </c>
      <c r="J3306">
        <f>GS55/17.5</f>
        <v>0</v>
      </c>
      <c r="M3306" t="inlineStr">
        <is>
          <t>-17K4.3</t>
        </is>
      </c>
    </row>
    <row r="3307">
      <c r="A3307">
        <v>3306</v>
      </c>
      <c r="B3307">
        <f>GS69</f>
        <v>0</v>
      </c>
      <c r="C3307" t="inlineStr">
        <is>
          <t>+ES02</t>
        </is>
      </c>
      <c r="D3307" t="inlineStr">
        <is>
          <t>-17K4.3</t>
        </is>
      </c>
      <c r="E3307" t="inlineStr">
        <is>
          <t>DILA-40</t>
        </is>
      </c>
      <c r="F3307" t="inlineStr">
        <is>
          <t>DILA-XHIC31</t>
        </is>
      </c>
      <c r="G3307" t="inlineStr">
        <is>
          <t>HILFSSCHUETZ</t>
        </is>
      </c>
      <c r="H3307" t="inlineStr">
        <is>
          <t>4S Federzugkl.</t>
        </is>
      </c>
      <c r="I3307">
        <v>176</v>
      </c>
      <c r="J3307">
        <f>GS69/17.6</f>
        <v>0</v>
      </c>
      <c r="M3307" t="inlineStr">
        <is>
          <t>-17K4.3</t>
        </is>
      </c>
    </row>
    <row r="3308">
      <c r="A3308">
        <v>3307</v>
      </c>
      <c r="B3308">
        <f>GS69</f>
        <v>0</v>
      </c>
      <c r="C3308" t="inlineStr">
        <is>
          <t>+ES02</t>
        </is>
      </c>
      <c r="D3308" t="inlineStr">
        <is>
          <t>-17K4.3</t>
        </is>
      </c>
      <c r="E3308" t="inlineStr">
        <is>
          <t>DILA-XHIC31</t>
        </is>
      </c>
      <c r="F3308" t="inlineStr">
        <is>
          <t>DILA-XHIC31</t>
        </is>
      </c>
      <c r="G3308" t="inlineStr">
        <is>
          <t>HILFSKONTAKTBLOCK</t>
        </is>
      </c>
      <c r="H3308" t="inlineStr">
        <is>
          <t>3S 1OE Last+Hilfssch. Cage</t>
        </is>
      </c>
      <c r="I3308">
        <v>176</v>
      </c>
      <c r="J3308">
        <f>GS69/17.6</f>
        <v>0</v>
      </c>
      <c r="M3308" t="inlineStr">
        <is>
          <t>-17K4.3</t>
        </is>
      </c>
    </row>
    <row r="3309">
      <c r="A3309">
        <v>3308</v>
      </c>
      <c r="B3309">
        <f>GS7x</f>
        <v>0</v>
      </c>
      <c r="C3309" t="inlineStr">
        <is>
          <t>+ES02</t>
        </is>
      </c>
      <c r="D3309" t="inlineStr">
        <is>
          <t>-17K4.3</t>
        </is>
      </c>
      <c r="E3309" t="inlineStr">
        <is>
          <t>DILA-40</t>
        </is>
      </c>
      <c r="F3309" t="inlineStr">
        <is>
          <t>#ÜBERLAUF!</t>
        </is>
      </c>
      <c r="G3309" t="inlineStr">
        <is>
          <t>HILFSSCHUETZ</t>
        </is>
      </c>
      <c r="H3309" t="inlineStr">
        <is>
          <t>4S Federzugkl.</t>
        </is>
      </c>
      <c r="I3309">
        <v>192</v>
      </c>
      <c r="J3309">
        <f>GS7x/17.5</f>
        <v>0</v>
      </c>
      <c r="M3309" t="inlineStr">
        <is>
          <t>-17K4.3</t>
        </is>
      </c>
    </row>
    <row r="3310">
      <c r="A3310">
        <v>3309</v>
      </c>
      <c r="B3310">
        <f>GS7x</f>
        <v>0</v>
      </c>
      <c r="C3310" t="inlineStr">
        <is>
          <t>+ES02</t>
        </is>
      </c>
      <c r="D3310" t="inlineStr">
        <is>
          <t>-17K4.3</t>
        </is>
      </c>
      <c r="E3310" t="inlineStr">
        <is>
          <t>DILA-40</t>
        </is>
      </c>
      <c r="F3310" t="inlineStr">
        <is>
          <t>#ÜBERLAUF!</t>
        </is>
      </c>
      <c r="G3310" t="inlineStr">
        <is>
          <t>HILFSSCHUETZ</t>
        </is>
      </c>
      <c r="H3310" t="inlineStr">
        <is>
          <t>4S Federzugkl.</t>
        </is>
      </c>
      <c r="I3310">
        <v>204</v>
      </c>
      <c r="J3310">
        <f>GS7x/17.5</f>
        <v>0</v>
      </c>
      <c r="M3310" t="inlineStr">
        <is>
          <t>-17K4.3</t>
        </is>
      </c>
    </row>
    <row r="3311">
      <c r="A3311">
        <v>3310</v>
      </c>
      <c r="B3311">
        <f>GS7x</f>
        <v>0</v>
      </c>
      <c r="C3311" t="inlineStr">
        <is>
          <t>+ES02</t>
        </is>
      </c>
      <c r="D3311" t="inlineStr">
        <is>
          <t>-17K4.3</t>
        </is>
      </c>
      <c r="E3311" t="inlineStr">
        <is>
          <t>DILA-XHIC40</t>
        </is>
      </c>
      <c r="F3311" t="inlineStr">
        <is>
          <t>#ÜBERLAUF!</t>
        </is>
      </c>
      <c r="G3311" t="inlineStr">
        <is>
          <t>HILFSKONTAKTBLOCK</t>
        </is>
      </c>
      <c r="H3311" t="inlineStr">
        <is>
          <t>4S Last+Hilfssch. Cage</t>
        </is>
      </c>
      <c r="I3311">
        <v>192</v>
      </c>
      <c r="J3311">
        <f>GS7x/17.5</f>
        <v>0</v>
      </c>
      <c r="M3311" t="inlineStr">
        <is>
          <t>-17K4.3</t>
        </is>
      </c>
    </row>
    <row r="3312">
      <c r="A3312">
        <v>3311</v>
      </c>
      <c r="B3312">
        <f>GS7x</f>
        <v>0</v>
      </c>
      <c r="C3312" t="inlineStr">
        <is>
          <t>+ES02</t>
        </is>
      </c>
      <c r="D3312" t="inlineStr">
        <is>
          <t>-17K4.3</t>
        </is>
      </c>
      <c r="E3312" t="inlineStr">
        <is>
          <t>DILA-XHIC40</t>
        </is>
      </c>
      <c r="F3312" t="inlineStr">
        <is>
          <t>#ÜBERLAUF!</t>
        </is>
      </c>
      <c r="G3312" t="inlineStr">
        <is>
          <t>HILFSKONTAKTBLOCK</t>
        </is>
      </c>
      <c r="H3312" t="inlineStr">
        <is>
          <t>4S Last+Hilfssch. Cage</t>
        </is>
      </c>
      <c r="I3312">
        <v>204</v>
      </c>
      <c r="J3312">
        <f>GS7x/17.5</f>
        <v>0</v>
      </c>
      <c r="M3312" t="inlineStr">
        <is>
          <t>-17K4.3</t>
        </is>
      </c>
    </row>
    <row r="3313">
      <c r="A3313">
        <v>3312</v>
      </c>
      <c r="B3313">
        <f>GS90</f>
        <v>0</v>
      </c>
      <c r="C3313" t="inlineStr">
        <is>
          <t>+ES02</t>
        </is>
      </c>
      <c r="D3313" t="inlineStr">
        <is>
          <t>-17K4.3</t>
        </is>
      </c>
      <c r="E3313" t="inlineStr">
        <is>
          <t>DILA-XHIC31</t>
        </is>
      </c>
      <c r="F3313" t="inlineStr">
        <is>
          <t>DILA-XHIC31</t>
        </is>
      </c>
      <c r="G3313" t="inlineStr">
        <is>
          <t>HILFSKONTAKTBLOCK</t>
        </is>
      </c>
      <c r="H3313" t="inlineStr">
        <is>
          <t>3S 1OE Last+Hilfssch. Cage</t>
        </is>
      </c>
      <c r="I3313">
        <v>157</v>
      </c>
      <c r="J3313">
        <f>GS90/17.4</f>
        <v>0</v>
      </c>
      <c r="M3313" t="inlineStr">
        <is>
          <t>-17K4.3</t>
        </is>
      </c>
    </row>
    <row r="3314">
      <c r="A3314">
        <v>3313</v>
      </c>
      <c r="B3314">
        <f>GS90</f>
        <v>0</v>
      </c>
      <c r="C3314" t="inlineStr">
        <is>
          <t>+ES02</t>
        </is>
      </c>
      <c r="D3314" t="inlineStr">
        <is>
          <t>-17K4.3</t>
        </is>
      </c>
      <c r="E3314" t="inlineStr">
        <is>
          <t>DILA-31</t>
        </is>
      </c>
      <c r="F3314" t="inlineStr">
        <is>
          <t>DILA-XHIC31</t>
        </is>
      </c>
      <c r="G3314" t="inlineStr">
        <is>
          <t>HILFSSCHUETZ</t>
        </is>
      </c>
      <c r="H3314" t="inlineStr">
        <is>
          <t>3S 1Oe Federzugkl.</t>
        </is>
      </c>
      <c r="I3314">
        <v>157</v>
      </c>
      <c r="J3314">
        <f>GS90/17.4</f>
        <v>0</v>
      </c>
      <c r="M3314" t="inlineStr">
        <is>
          <t>-17K4.3</t>
        </is>
      </c>
    </row>
    <row r="3315">
      <c r="A3315">
        <v>3314</v>
      </c>
      <c r="B3315">
        <f>GS91</f>
        <v>0</v>
      </c>
      <c r="C3315" t="inlineStr">
        <is>
          <t>+ES02</t>
        </is>
      </c>
      <c r="D3315" t="inlineStr">
        <is>
          <t>-17K4.3</t>
        </is>
      </c>
      <c r="E3315" t="inlineStr">
        <is>
          <t>DILA-31</t>
        </is>
      </c>
      <c r="F3315" t="inlineStr">
        <is>
          <t>DILA-XHIC31</t>
        </is>
      </c>
      <c r="G3315" t="inlineStr">
        <is>
          <t>HILFSSCHUETZ</t>
        </is>
      </c>
      <c r="H3315" t="inlineStr">
        <is>
          <t>3S 1Oe Federzugkl.</t>
        </is>
      </c>
      <c r="I3315">
        <v>158</v>
      </c>
      <c r="J3315">
        <f>GS91/17.5</f>
        <v>0</v>
      </c>
      <c r="M3315" t="inlineStr">
        <is>
          <t>-17K4.3</t>
        </is>
      </c>
    </row>
    <row r="3316">
      <c r="A3316">
        <v>3315</v>
      </c>
      <c r="B3316">
        <f>GS91</f>
        <v>0</v>
      </c>
      <c r="C3316" t="inlineStr">
        <is>
          <t>+ES02</t>
        </is>
      </c>
      <c r="D3316" t="inlineStr">
        <is>
          <t>-17K4.3</t>
        </is>
      </c>
      <c r="E3316" t="inlineStr">
        <is>
          <t>DILA-XHIC31</t>
        </is>
      </c>
      <c r="F3316" t="inlineStr">
        <is>
          <t>DILA-XHIC31</t>
        </is>
      </c>
      <c r="G3316" t="inlineStr">
        <is>
          <t>HILFSKONTAKTBLOCK</t>
        </is>
      </c>
      <c r="H3316" t="inlineStr">
        <is>
          <t>3S 1OE Last+Hilfssch. Cage</t>
        </is>
      </c>
      <c r="I3316">
        <v>158</v>
      </c>
      <c r="J3316">
        <f>GS91/17.5</f>
        <v>0</v>
      </c>
      <c r="M3316" t="inlineStr">
        <is>
          <t>-17K4.3</t>
        </is>
      </c>
    </row>
    <row r="3317">
      <c r="A3317">
        <v>3316</v>
      </c>
      <c r="B3317">
        <f>GS92</f>
        <v>0</v>
      </c>
      <c r="C3317" t="inlineStr">
        <is>
          <t>+ES02</t>
        </is>
      </c>
      <c r="D3317" t="inlineStr">
        <is>
          <t>-17K4.3</t>
        </is>
      </c>
      <c r="E3317" t="inlineStr">
        <is>
          <t>DILA-31</t>
        </is>
      </c>
      <c r="F3317" t="inlineStr">
        <is>
          <t>DILA-XHIC31</t>
        </is>
      </c>
      <c r="G3317" t="inlineStr">
        <is>
          <t>HILFSSCHUETZ</t>
        </is>
      </c>
      <c r="H3317" t="inlineStr">
        <is>
          <t>3S 1Oe Federzugkl.</t>
        </is>
      </c>
      <c r="I3317">
        <v>157</v>
      </c>
      <c r="J3317">
        <f>GS92/17.6</f>
        <v>0</v>
      </c>
      <c r="M3317" t="inlineStr">
        <is>
          <t>-17K4.3</t>
        </is>
      </c>
    </row>
    <row r="3318">
      <c r="A3318">
        <v>3317</v>
      </c>
      <c r="B3318">
        <f>GS92</f>
        <v>0</v>
      </c>
      <c r="C3318" t="inlineStr">
        <is>
          <t>+ES02</t>
        </is>
      </c>
      <c r="D3318" t="inlineStr">
        <is>
          <t>-17K4.3</t>
        </is>
      </c>
      <c r="E3318" t="inlineStr">
        <is>
          <t>DILA-XHIC31</t>
        </is>
      </c>
      <c r="F3318" t="inlineStr">
        <is>
          <t>DILA-XHIC31</t>
        </is>
      </c>
      <c r="G3318" t="inlineStr">
        <is>
          <t>HILFSKONTAKTBLOCK</t>
        </is>
      </c>
      <c r="H3318" t="inlineStr">
        <is>
          <t>3S 1OE Last+Hilfssch. Cage</t>
        </is>
      </c>
      <c r="I3318">
        <v>157</v>
      </c>
      <c r="J3318">
        <f>GS92/17.6</f>
        <v>0</v>
      </c>
      <c r="M3318" t="inlineStr">
        <is>
          <t>-17K4.3</t>
        </is>
      </c>
    </row>
    <row r="3319">
      <c r="A3319">
        <v>3318</v>
      </c>
      <c r="B3319">
        <f>GS93</f>
        <v>0</v>
      </c>
      <c r="C3319" t="inlineStr">
        <is>
          <t>+ES02</t>
        </is>
      </c>
      <c r="D3319" t="inlineStr">
        <is>
          <t>-17K4.3</t>
        </is>
      </c>
      <c r="E3319" t="inlineStr">
        <is>
          <t>DILA-31</t>
        </is>
      </c>
      <c r="F3319" t="inlineStr">
        <is>
          <t>DILA-XHIC31</t>
        </is>
      </c>
      <c r="G3319" t="inlineStr">
        <is>
          <t>HILFSSCHUETZ</t>
        </is>
      </c>
      <c r="H3319" t="inlineStr">
        <is>
          <t>3S 1Oe Federzugkl.</t>
        </is>
      </c>
      <c r="I3319">
        <v>581</v>
      </c>
      <c r="J3319">
        <f>GS93/17.5</f>
        <v>0</v>
      </c>
      <c r="M3319" t="inlineStr">
        <is>
          <t>-17K4.3</t>
        </is>
      </c>
    </row>
    <row r="3320">
      <c r="A3320">
        <v>3319</v>
      </c>
      <c r="B3320">
        <f>GS93</f>
        <v>0</v>
      </c>
      <c r="C3320" t="inlineStr">
        <is>
          <t>+ES02</t>
        </is>
      </c>
      <c r="D3320" t="inlineStr">
        <is>
          <t>-17K4.3</t>
        </is>
      </c>
      <c r="E3320" t="inlineStr">
        <is>
          <t>DILA-XHIC31</t>
        </is>
      </c>
      <c r="F3320" t="inlineStr">
        <is>
          <t>DILA-XHIC31</t>
        </is>
      </c>
      <c r="G3320" t="inlineStr">
        <is>
          <t>HILFSKONTAKTBLOCK</t>
        </is>
      </c>
      <c r="H3320" t="inlineStr">
        <is>
          <t>3S 1OE Last+Hilfssch. Cage</t>
        </is>
      </c>
      <c r="I3320">
        <v>581</v>
      </c>
      <c r="J3320">
        <f>GS93/17.5</f>
        <v>0</v>
      </c>
      <c r="M3320" t="inlineStr">
        <is>
          <t>-17K4.3</t>
        </is>
      </c>
    </row>
    <row r="3321">
      <c r="A3321">
        <v>3320</v>
      </c>
      <c r="B3321">
        <f>GS94</f>
        <v>0</v>
      </c>
      <c r="C3321" t="inlineStr">
        <is>
          <t>+ES02</t>
        </is>
      </c>
      <c r="D3321" t="inlineStr">
        <is>
          <t>-17K4.3</t>
        </is>
      </c>
      <c r="E3321" t="inlineStr">
        <is>
          <t>DILA-40</t>
        </is>
      </c>
      <c r="F3321" t="inlineStr">
        <is>
          <t>DILA-XHI22</t>
        </is>
      </c>
      <c r="G3321" t="inlineStr">
        <is>
          <t>HILFSSCHUETZ</t>
        </is>
      </c>
      <c r="H3321" t="inlineStr">
        <is>
          <t>4S Federzugkl.</t>
        </is>
      </c>
      <c r="I3321">
        <v>165</v>
      </c>
      <c r="J3321">
        <f>GS94/17.6</f>
        <v>0</v>
      </c>
      <c r="M3321" t="inlineStr">
        <is>
          <t>-17K4.3</t>
        </is>
      </c>
    </row>
    <row r="3322">
      <c r="A3322">
        <v>3321</v>
      </c>
      <c r="B3322">
        <f>GS94</f>
        <v>0</v>
      </c>
      <c r="C3322" t="inlineStr">
        <is>
          <t>+ES02</t>
        </is>
      </c>
      <c r="D3322" t="inlineStr">
        <is>
          <t>-17K4.3</t>
        </is>
      </c>
      <c r="E3322" t="inlineStr">
        <is>
          <t>DILA-XHI22</t>
        </is>
      </c>
      <c r="F3322" t="inlineStr">
        <is>
          <t>DILA-XHI22</t>
        </is>
      </c>
      <c r="G3322" t="inlineStr">
        <is>
          <t>HILFSKONTAKTBLOCK</t>
        </is>
      </c>
      <c r="H3322" t="inlineStr">
        <is>
          <t>2S 2OE Last+Hilfssch. Cage</t>
        </is>
      </c>
      <c r="I3322">
        <v>165</v>
      </c>
      <c r="J3322">
        <f>GS94/17.6</f>
        <v>0</v>
      </c>
      <c r="M3322" t="inlineStr">
        <is>
          <t>-17K4.3</t>
        </is>
      </c>
    </row>
    <row r="3323">
      <c r="A3323">
        <v>3322</v>
      </c>
      <c r="B3323">
        <f>GS95</f>
        <v>0</v>
      </c>
      <c r="C3323" t="inlineStr">
        <is>
          <t>+ES02</t>
        </is>
      </c>
      <c r="D3323" t="inlineStr">
        <is>
          <t>-17K4.3</t>
        </is>
      </c>
      <c r="E3323" t="inlineStr">
        <is>
          <t>DILA-XHI22</t>
        </is>
      </c>
      <c r="F3323" t="inlineStr">
        <is>
          <t>DILA-XHI22</t>
        </is>
      </c>
      <c r="G3323" t="inlineStr">
        <is>
          <t>HILFSKONTAKTBLOCK</t>
        </is>
      </c>
      <c r="H3323" t="inlineStr">
        <is>
          <t>2S 2OE Last+Hilfssch. Cage</t>
        </is>
      </c>
      <c r="I3323">
        <v>165</v>
      </c>
      <c r="J3323">
        <f>GS95/17.6</f>
        <v>0</v>
      </c>
      <c r="M3323" t="inlineStr">
        <is>
          <t>-17K4.3</t>
        </is>
      </c>
    </row>
    <row r="3324">
      <c r="A3324">
        <v>3323</v>
      </c>
      <c r="B3324">
        <f>GS95</f>
        <v>0</v>
      </c>
      <c r="C3324" t="inlineStr">
        <is>
          <t>+ES02</t>
        </is>
      </c>
      <c r="D3324" t="inlineStr">
        <is>
          <t>-17K4.3</t>
        </is>
      </c>
      <c r="E3324" t="inlineStr">
        <is>
          <t>DILA-40</t>
        </is>
      </c>
      <c r="F3324" t="inlineStr">
        <is>
          <t>DILA-XHI22</t>
        </is>
      </c>
      <c r="G3324" t="inlineStr">
        <is>
          <t>HILFSSCHUETZ</t>
        </is>
      </c>
      <c r="H3324" t="inlineStr">
        <is>
          <t>4S Federzugkl.</t>
        </is>
      </c>
      <c r="I3324">
        <v>165</v>
      </c>
      <c r="J3324">
        <f>GS95/17.6</f>
        <v>0</v>
      </c>
      <c r="M3324" t="inlineStr">
        <is>
          <t>-17K4.3</t>
        </is>
      </c>
    </row>
    <row r="3325">
      <c r="A3325">
        <v>3324</v>
      </c>
      <c r="B3325">
        <f>GS96</f>
        <v>0</v>
      </c>
      <c r="C3325" t="inlineStr">
        <is>
          <t>+ES02</t>
        </is>
      </c>
      <c r="D3325" t="inlineStr">
        <is>
          <t>-17K4.3</t>
        </is>
      </c>
      <c r="E3325" t="inlineStr">
        <is>
          <t>DILA-40</t>
        </is>
      </c>
      <c r="F3325" t="inlineStr">
        <is>
          <t>DILA-XHI22</t>
        </is>
      </c>
      <c r="G3325" t="inlineStr">
        <is>
          <t>HILFSSCHUETZ</t>
        </is>
      </c>
      <c r="H3325" t="inlineStr">
        <is>
          <t>4S Federzugkl.</t>
        </is>
      </c>
      <c r="I3325">
        <v>165</v>
      </c>
      <c r="J3325">
        <f>GS96/17.6</f>
        <v>0</v>
      </c>
      <c r="M3325" t="inlineStr">
        <is>
          <t>-17K4.3</t>
        </is>
      </c>
    </row>
    <row r="3326">
      <c r="A3326">
        <v>3325</v>
      </c>
      <c r="B3326">
        <f>GS96</f>
        <v>0</v>
      </c>
      <c r="C3326" t="inlineStr">
        <is>
          <t>+ES02</t>
        </is>
      </c>
      <c r="D3326" t="inlineStr">
        <is>
          <t>-17K4.3</t>
        </is>
      </c>
      <c r="E3326" t="inlineStr">
        <is>
          <t>DILA-XHI22</t>
        </is>
      </c>
      <c r="F3326" t="inlineStr">
        <is>
          <t>DILA-XHI22</t>
        </is>
      </c>
      <c r="G3326" t="inlineStr">
        <is>
          <t>HILFSKONTAKTBLOCK</t>
        </is>
      </c>
      <c r="H3326" t="inlineStr">
        <is>
          <t>2S 2OE Last+Hilfssch. Cage</t>
        </is>
      </c>
      <c r="I3326">
        <v>165</v>
      </c>
      <c r="J3326">
        <f>GS96/17.6</f>
        <v>0</v>
      </c>
      <c r="M3326" t="inlineStr">
        <is>
          <t>-17K4.3</t>
        </is>
      </c>
    </row>
    <row r="3327">
      <c r="A3327">
        <v>3326</v>
      </c>
      <c r="B3327">
        <f>GS97</f>
        <v>0</v>
      </c>
      <c r="C3327" t="inlineStr">
        <is>
          <t>+ES02</t>
        </is>
      </c>
      <c r="D3327" t="inlineStr">
        <is>
          <t>-17K4.3</t>
        </is>
      </c>
      <c r="E3327" t="inlineStr">
        <is>
          <t>DILA-XHI22</t>
        </is>
      </c>
      <c r="F3327" t="inlineStr">
        <is>
          <t>DILA-XHI22</t>
        </is>
      </c>
      <c r="G3327" t="inlineStr">
        <is>
          <t>HILFSKONTAKTBLOCK</t>
        </is>
      </c>
      <c r="H3327" t="inlineStr">
        <is>
          <t>2S 2OE Last+Hilfssch. Cage</t>
        </is>
      </c>
      <c r="I3327">
        <v>165</v>
      </c>
      <c r="J3327">
        <f>GS97/17.6</f>
        <v>0</v>
      </c>
      <c r="M3327" t="inlineStr">
        <is>
          <t>-17K4.3</t>
        </is>
      </c>
    </row>
    <row r="3328">
      <c r="A3328">
        <v>3327</v>
      </c>
      <c r="B3328">
        <f>GS97</f>
        <v>0</v>
      </c>
      <c r="C3328" t="inlineStr">
        <is>
          <t>+ES02</t>
        </is>
      </c>
      <c r="D3328" t="inlineStr">
        <is>
          <t>-17K4.3</t>
        </is>
      </c>
      <c r="E3328" t="inlineStr">
        <is>
          <t>DILA-40</t>
        </is>
      </c>
      <c r="F3328" t="inlineStr">
        <is>
          <t>DILA-XHI22</t>
        </is>
      </c>
      <c r="G3328" t="inlineStr">
        <is>
          <t>HILFSSCHUETZ</t>
        </is>
      </c>
      <c r="H3328" t="inlineStr">
        <is>
          <t>4S Federzugkl.</t>
        </is>
      </c>
      <c r="I3328">
        <v>165</v>
      </c>
      <c r="J3328">
        <f>GS97/17.6</f>
        <v>0</v>
      </c>
      <c r="M3328" t="inlineStr">
        <is>
          <t>-17K4.3</t>
        </is>
      </c>
    </row>
    <row r="3329">
      <c r="A3329">
        <v>3328</v>
      </c>
      <c r="B3329">
        <f>GS08</f>
        <v>0</v>
      </c>
      <c r="C3329" t="inlineStr">
        <is>
          <t>+LS[p1]</t>
        </is>
      </c>
      <c r="D3329" t="inlineStr">
        <is>
          <t>-17Q[a+1].4</t>
        </is>
      </c>
      <c r="E3329" t="inlineStr">
        <is>
          <t>DILM-9-01</t>
        </is>
      </c>
      <c r="F3329" t="inlineStr">
        <is>
          <t>#KALK!</t>
        </is>
      </c>
      <c r="G3329" t="inlineStr">
        <is>
          <t>LASTSCHUETZ</t>
        </is>
      </c>
      <c r="H3329" t="inlineStr">
        <is>
          <t>4kW 1Oe Federzugkl.</t>
        </is>
      </c>
      <c r="I3329">
        <v>186</v>
      </c>
      <c r="J3329">
        <f>GS08/17.6</f>
        <v>0</v>
      </c>
      <c r="M3329" t="inlineStr">
        <is>
          <t>-17Q[a+1].4</t>
        </is>
      </c>
    </row>
    <row r="3330">
      <c r="A3330">
        <v>3329</v>
      </c>
      <c r="B3330">
        <f>GS08</f>
        <v>0</v>
      </c>
      <c r="C3330" t="inlineStr">
        <is>
          <t>+LS[p1]</t>
        </is>
      </c>
      <c r="D3330" t="inlineStr">
        <is>
          <t>-17Q[a+1].5</t>
        </is>
      </c>
      <c r="E3330" t="inlineStr">
        <is>
          <t>DILM-9-01</t>
        </is>
      </c>
      <c r="F3330" t="inlineStr">
        <is>
          <t>#KALK!</t>
        </is>
      </c>
      <c r="G3330" t="inlineStr">
        <is>
          <t>LASTSCHUETZ</t>
        </is>
      </c>
      <c r="H3330" t="inlineStr">
        <is>
          <t>4kW 1Oe Federzugkl.</t>
        </is>
      </c>
      <c r="I3330">
        <v>186</v>
      </c>
      <c r="J3330">
        <f>GS08/17.7</f>
        <v>0</v>
      </c>
      <c r="M3330" t="inlineStr">
        <is>
          <t>-17Q[a+1].5</t>
        </is>
      </c>
    </row>
    <row r="3331">
      <c r="A3331">
        <v>3330</v>
      </c>
      <c r="B3331">
        <f>GS69</f>
        <v>0</v>
      </c>
      <c r="C3331" t="inlineStr">
        <is>
          <t>+LS[I1]</t>
        </is>
      </c>
      <c r="D3331" t="inlineStr">
        <is>
          <t>-17Q[a+12].0</t>
        </is>
      </c>
      <c r="E3331" t="inlineStr">
        <is>
          <t>DILM-9-10</t>
        </is>
      </c>
      <c r="F3331" t="inlineStr">
        <is>
          <t>#KALK!</t>
        </is>
      </c>
      <c r="G3331" t="inlineStr">
        <is>
          <t>LASTSCHUETZ</t>
        </is>
      </c>
      <c r="H3331" t="inlineStr">
        <is>
          <t>4kW 1S Federzugkl.</t>
        </is>
      </c>
      <c r="I3331">
        <v>230</v>
      </c>
      <c r="J3331">
        <f>GS69/17.6</f>
        <v>0</v>
      </c>
      <c r="M3331" t="inlineStr">
        <is>
          <t>-17Q[a+12].0</t>
        </is>
      </c>
    </row>
    <row r="3332">
      <c r="A3332">
        <v>3331</v>
      </c>
      <c r="B3332">
        <f>GS80</f>
        <v>0</v>
      </c>
      <c r="C3332" t="inlineStr">
        <is>
          <t>+LS03</t>
        </is>
      </c>
      <c r="D3332" t="inlineStr">
        <is>
          <t>-17Q1</t>
        </is>
      </c>
      <c r="E3332" t="inlineStr">
        <is>
          <t>DILM-9-10</t>
        </is>
      </c>
      <c r="F3332" t="inlineStr">
        <is>
          <t>#KALK!</t>
        </is>
      </c>
      <c r="G3332" t="inlineStr">
        <is>
          <t>LASTSCHUETZ</t>
        </is>
      </c>
      <c r="H3332" t="inlineStr">
        <is>
          <t>4kW 1S Federzugkl.</t>
        </is>
      </c>
      <c r="I3332">
        <v>155</v>
      </c>
      <c r="J3332">
        <f>GS80/17.7</f>
        <v>0</v>
      </c>
      <c r="K3332" t="inlineStr">
        <is>
          <t>DILMC9</t>
        </is>
      </c>
      <c r="M3332" t="inlineStr">
        <is>
          <t>-17Q1</t>
        </is>
      </c>
    </row>
    <row r="3333">
      <c r="A3333">
        <v>3332</v>
      </c>
      <c r="B3333">
        <f>GS80</f>
        <v>0</v>
      </c>
      <c r="C3333" t="inlineStr">
        <is>
          <t>+LS01</t>
        </is>
      </c>
      <c r="D3333" t="inlineStr">
        <is>
          <t>-17Q1</t>
        </is>
      </c>
      <c r="E3333" t="inlineStr">
        <is>
          <t>DILM-9-10</t>
        </is>
      </c>
      <c r="F3333" t="inlineStr">
        <is>
          <t>#KALK!</t>
        </is>
      </c>
      <c r="G3333" t="inlineStr">
        <is>
          <t>LASTSCHUETZ</t>
        </is>
      </c>
      <c r="H3333" t="inlineStr">
        <is>
          <t>4kW 1S Federzugkl.</t>
        </is>
      </c>
      <c r="I3333">
        <v>235</v>
      </c>
      <c r="J3333">
        <f>GS80/17.7</f>
        <v>0</v>
      </c>
      <c r="K3333" t="inlineStr">
        <is>
          <t>DILMC9</t>
        </is>
      </c>
      <c r="M3333" t="inlineStr">
        <is>
          <t>-17Q1</t>
        </is>
      </c>
    </row>
    <row r="3334">
      <c r="A3334">
        <v>3333</v>
      </c>
      <c r="B3334">
        <f>GS80</f>
        <v>0</v>
      </c>
      <c r="C3334" t="inlineStr">
        <is>
          <t>+LS02</t>
        </is>
      </c>
      <c r="D3334" t="inlineStr">
        <is>
          <t>-17Q1</t>
        </is>
      </c>
      <c r="E3334" t="inlineStr">
        <is>
          <t>DILM-9-10</t>
        </is>
      </c>
      <c r="F3334" t="inlineStr">
        <is>
          <t>#KALK!</t>
        </is>
      </c>
      <c r="G3334" t="inlineStr">
        <is>
          <t>LASTSCHUETZ</t>
        </is>
      </c>
      <c r="H3334" t="inlineStr">
        <is>
          <t>4kW 1S Federzugkl.</t>
        </is>
      </c>
      <c r="I3334">
        <v>155</v>
      </c>
      <c r="J3334">
        <f>GS80/17.7</f>
        <v>0</v>
      </c>
      <c r="K3334" t="inlineStr">
        <is>
          <t>DILMC9</t>
        </is>
      </c>
      <c r="M3334" t="inlineStr">
        <is>
          <t>-17Q1</t>
        </is>
      </c>
    </row>
    <row r="3335">
      <c r="A3335">
        <v>3334</v>
      </c>
      <c r="B3335">
        <f>GS8x</f>
        <v>0</v>
      </c>
      <c r="C3335" t="inlineStr">
        <is>
          <t>+LS</t>
        </is>
      </c>
      <c r="D3335" t="inlineStr">
        <is>
          <t>-17Q1</t>
        </is>
      </c>
      <c r="E3335" t="inlineStr">
        <is>
          <t>DILM-9-10</t>
        </is>
      </c>
      <c r="F3335" t="inlineStr">
        <is>
          <t>#KALK!</t>
        </is>
      </c>
      <c r="G3335" t="inlineStr">
        <is>
          <t>LASTSCHUETZ</t>
        </is>
      </c>
      <c r="H3335" t="inlineStr">
        <is>
          <t>4kW 1S Federzugkl.</t>
        </is>
      </c>
      <c r="I3335">
        <v>184</v>
      </c>
      <c r="J3335">
        <f>GS8x/17.7</f>
        <v>0</v>
      </c>
      <c r="K3335" t="inlineStr">
        <is>
          <t>DILMC9</t>
        </is>
      </c>
      <c r="M3335" t="inlineStr">
        <is>
          <t>-17Q1</t>
        </is>
      </c>
    </row>
    <row r="3336">
      <c r="A3336">
        <v>3335</v>
      </c>
      <c r="B3336">
        <f>GS65</f>
        <v>0</v>
      </c>
      <c r="C3336" t="inlineStr">
        <is>
          <t>+LS[ll]</t>
        </is>
      </c>
      <c r="D3336" t="inlineStr">
        <is>
          <t>-17Q2</t>
        </is>
      </c>
      <c r="E3336" t="inlineStr">
        <is>
          <t>DILM-9-10</t>
        </is>
      </c>
      <c r="F3336" t="inlineStr">
        <is>
          <t>#KALK!</t>
        </is>
      </c>
      <c r="G3336" t="inlineStr">
        <is>
          <t>LASTSCHUETZ</t>
        </is>
      </c>
      <c r="H3336" t="inlineStr">
        <is>
          <t>4kW 1S Federzugkl.</t>
        </is>
      </c>
      <c r="I3336">
        <v>155</v>
      </c>
      <c r="J3336">
        <f>GS65/17.5</f>
        <v>0</v>
      </c>
      <c r="M3336" t="inlineStr">
        <is>
          <t>-17Q2</t>
        </is>
      </c>
    </row>
    <row r="3337">
      <c r="A3337">
        <v>3336</v>
      </c>
      <c r="B3337">
        <f>GS67</f>
        <v>0</v>
      </c>
      <c r="C3337" t="inlineStr">
        <is>
          <t>+LS[ll]</t>
        </is>
      </c>
      <c r="D3337" t="inlineStr">
        <is>
          <t>-17Q2</t>
        </is>
      </c>
      <c r="E3337" t="inlineStr">
        <is>
          <t>DILM-9-10</t>
        </is>
      </c>
      <c r="F3337" t="inlineStr">
        <is>
          <t>#KALK!</t>
        </is>
      </c>
      <c r="G3337" t="inlineStr">
        <is>
          <t>LASTSCHUETZ</t>
        </is>
      </c>
      <c r="H3337" t="inlineStr">
        <is>
          <t>4kW 1S Federzugkl.</t>
        </is>
      </c>
      <c r="I3337">
        <v>155</v>
      </c>
      <c r="J3337">
        <f>GS67/17.7</f>
        <v>0</v>
      </c>
      <c r="M3337" t="inlineStr">
        <is>
          <t>-17Q2</t>
        </is>
      </c>
    </row>
    <row r="3338">
      <c r="A3338">
        <v>3337</v>
      </c>
      <c r="B3338">
        <f>GS67</f>
        <v>0</v>
      </c>
      <c r="C3338" t="inlineStr">
        <is>
          <t>+LS[ll]</t>
        </is>
      </c>
      <c r="D3338" t="inlineStr">
        <is>
          <t>-17Q2</t>
        </is>
      </c>
      <c r="E3338" t="inlineStr">
        <is>
          <t>DILM-9-10</t>
        </is>
      </c>
      <c r="F3338" t="inlineStr">
        <is>
          <t>#KALK!</t>
        </is>
      </c>
      <c r="G3338" t="inlineStr">
        <is>
          <t>LASTSCHUETZ</t>
        </is>
      </c>
      <c r="H3338" t="inlineStr">
        <is>
          <t>4kW 1S Federzugkl.</t>
        </is>
      </c>
      <c r="I3338">
        <v>155</v>
      </c>
      <c r="J3338">
        <f>GS67/17.5</f>
        <v>0</v>
      </c>
      <c r="M3338" t="inlineStr">
        <is>
          <t>-17Q2</t>
        </is>
      </c>
    </row>
    <row r="3339">
      <c r="A3339">
        <v>3338</v>
      </c>
      <c r="B3339">
        <f>GS8x</f>
        <v>0</v>
      </c>
      <c r="C3339" t="inlineStr">
        <is>
          <t>+LS</t>
        </is>
      </c>
      <c r="D3339" t="inlineStr">
        <is>
          <t>-17Q2</t>
        </is>
      </c>
      <c r="E3339" t="inlineStr">
        <is>
          <t>DILM-9-10</t>
        </is>
      </c>
      <c r="F3339" t="inlineStr">
        <is>
          <t>#KALK!</t>
        </is>
      </c>
      <c r="G3339" t="inlineStr">
        <is>
          <t>LASTSCHUETZ</t>
        </is>
      </c>
      <c r="H3339" t="inlineStr">
        <is>
          <t>4kW 1S Federzugkl.</t>
        </is>
      </c>
      <c r="I3339">
        <v>162</v>
      </c>
      <c r="J3339">
        <f>GS8x/17.5</f>
        <v>0</v>
      </c>
      <c r="M3339" t="inlineStr">
        <is>
          <t>-17Q2</t>
        </is>
      </c>
    </row>
    <row r="3340">
      <c r="A3340">
        <v>3339</v>
      </c>
      <c r="B3340">
        <f>GS31</f>
        <v>0</v>
      </c>
      <c r="C3340" t="inlineStr">
        <is>
          <t>+LS2</t>
        </is>
      </c>
      <c r="D3340" t="inlineStr">
        <is>
          <t>-180.1K31.2</t>
        </is>
      </c>
      <c r="E3340" t="inlineStr">
        <is>
          <t>DILMC12-10(24VDC)</t>
        </is>
      </c>
      <c r="F3340" t="inlineStr">
        <is>
          <t>#KALK!</t>
        </is>
      </c>
      <c r="G3340" t="inlineStr">
        <is>
          <t>LASTSCHUETZ</t>
        </is>
      </c>
      <c r="H3340" t="inlineStr">
        <is>
          <t>5,5kW 1S Federzugkl.</t>
        </is>
      </c>
      <c r="I3340">
        <v>465</v>
      </c>
      <c r="J3340">
        <f>GS31/180.1.5</f>
        <v>0</v>
      </c>
      <c r="K3340" t="inlineStr">
        <is>
          <t>DIL MC12</t>
        </is>
      </c>
      <c r="M3340" t="inlineStr">
        <is>
          <t>-180.1K31.2</t>
        </is>
      </c>
    </row>
    <row r="3341">
      <c r="A3341">
        <v>3340</v>
      </c>
      <c r="B3341">
        <f>GS06</f>
        <v>0</v>
      </c>
      <c r="C3341" t="inlineStr">
        <is>
          <t>+LS23</t>
        </is>
      </c>
      <c r="D3341" t="inlineStr">
        <is>
          <t>-1805Q1</t>
        </is>
      </c>
      <c r="E3341" t="inlineStr">
        <is>
          <t>DILMC25-10(RDC24)</t>
        </is>
      </c>
      <c r="F3341" t="inlineStr">
        <is>
          <t>DILA-XHI22</t>
        </is>
      </c>
      <c r="G3341" t="inlineStr">
        <is>
          <t>LASTSCHUETZ</t>
        </is>
      </c>
      <c r="H3341" t="inlineStr">
        <is>
          <t>11kW 1S Federzugkl.</t>
        </is>
      </c>
      <c r="I3341">
        <v>5147</v>
      </c>
      <c r="J3341">
        <f>GS06/1805.6</f>
        <v>0</v>
      </c>
      <c r="K3341" t="inlineStr">
        <is>
          <t>DIL MC25</t>
        </is>
      </c>
      <c r="M3341" t="inlineStr">
        <is>
          <t>-1805Q1</t>
        </is>
      </c>
    </row>
    <row r="3342">
      <c r="A3342">
        <v>3341</v>
      </c>
      <c r="B3342">
        <f>GS06</f>
        <v>0</v>
      </c>
      <c r="C3342" t="inlineStr">
        <is>
          <t>+LS23</t>
        </is>
      </c>
      <c r="D3342" t="inlineStr">
        <is>
          <t>-1805Q1</t>
        </is>
      </c>
      <c r="E3342" t="inlineStr">
        <is>
          <t>DILA-XHI22</t>
        </is>
      </c>
      <c r="F3342" t="inlineStr">
        <is>
          <t>DILA-XHI22</t>
        </is>
      </c>
      <c r="G3342" t="inlineStr">
        <is>
          <t>HILFSKONTAKTBLOCK</t>
        </is>
      </c>
      <c r="H3342" t="inlineStr">
        <is>
          <t>2S 2OE Last+Hilfssch. Cage</t>
        </is>
      </c>
      <c r="I3342">
        <v>5147</v>
      </c>
      <c r="J3342">
        <f>GS06/1805.6</f>
        <v>0</v>
      </c>
      <c r="K3342" t="inlineStr">
        <is>
          <t>DIL MC25</t>
        </is>
      </c>
      <c r="M3342" t="inlineStr">
        <is>
          <t>-1805Q1</t>
        </is>
      </c>
    </row>
    <row r="3343">
      <c r="A3343">
        <v>3342</v>
      </c>
      <c r="B3343">
        <f>GS55</f>
        <v>0</v>
      </c>
      <c r="C3343" t="inlineStr">
        <is>
          <t>+LS29</t>
        </is>
      </c>
      <c r="D3343" t="inlineStr">
        <is>
          <t>-1805Q1</t>
        </is>
      </c>
      <c r="E3343" t="inlineStr">
        <is>
          <t>DILA-XHI22</t>
        </is>
      </c>
      <c r="F3343" t="inlineStr">
        <is>
          <t>DILA-XHI22</t>
        </is>
      </c>
      <c r="G3343" t="inlineStr">
        <is>
          <t>HILFSKONTAKTBLOCK</t>
        </is>
      </c>
      <c r="H3343" t="inlineStr">
        <is>
          <t>2S 2OE Last+Hilfssch. Cage</t>
        </is>
      </c>
      <c r="I3343">
        <v>1996</v>
      </c>
      <c r="J3343">
        <f>GS55/1805.6</f>
        <v>0</v>
      </c>
      <c r="K3343" t="inlineStr">
        <is>
          <t>DIL MC25</t>
        </is>
      </c>
      <c r="M3343" t="inlineStr">
        <is>
          <t>-1805Q1</t>
        </is>
      </c>
    </row>
    <row r="3344">
      <c r="A3344">
        <v>3343</v>
      </c>
      <c r="B3344">
        <f>GS55</f>
        <v>0</v>
      </c>
      <c r="C3344" t="inlineStr">
        <is>
          <t>+LS29</t>
        </is>
      </c>
      <c r="D3344" t="inlineStr">
        <is>
          <t>-1805Q1</t>
        </is>
      </c>
      <c r="E3344" t="inlineStr">
        <is>
          <t>DILMC25-10(RDC24)</t>
        </is>
      </c>
      <c r="F3344" t="inlineStr">
        <is>
          <t>DILA-XHI22</t>
        </is>
      </c>
      <c r="G3344" t="inlineStr">
        <is>
          <t>LASTSCHUETZ</t>
        </is>
      </c>
      <c r="H3344" t="inlineStr">
        <is>
          <t>11kW 1S Federzugkl.</t>
        </is>
      </c>
      <c r="I3344">
        <v>1996</v>
      </c>
      <c r="J3344">
        <f>GS55/1805.6</f>
        <v>0</v>
      </c>
      <c r="K3344" t="inlineStr">
        <is>
          <t>DIL MC25</t>
        </is>
      </c>
      <c r="M3344" t="inlineStr">
        <is>
          <t>-1805Q1</t>
        </is>
      </c>
    </row>
    <row r="3345">
      <c r="A3345">
        <v>3344</v>
      </c>
      <c r="B3345">
        <f>GS06</f>
        <v>0</v>
      </c>
      <c r="C3345" t="inlineStr">
        <is>
          <t>+LS23</t>
        </is>
      </c>
      <c r="D3345" t="inlineStr">
        <is>
          <t>-1805Q3</t>
        </is>
      </c>
      <c r="E3345" t="inlineStr">
        <is>
          <t>DILMC25-10(RDC24)</t>
        </is>
      </c>
      <c r="F3345" t="inlineStr">
        <is>
          <t>DILA-XHI22</t>
        </is>
      </c>
      <c r="G3345" t="inlineStr">
        <is>
          <t>LASTSCHUETZ</t>
        </is>
      </c>
      <c r="H3345" t="inlineStr">
        <is>
          <t>11kW 1S Federzugkl.</t>
        </is>
      </c>
      <c r="I3345">
        <v>5147</v>
      </c>
      <c r="J3345">
        <f>GS06/1805.7</f>
        <v>0</v>
      </c>
      <c r="K3345" t="inlineStr">
        <is>
          <t>DIL MC25</t>
        </is>
      </c>
      <c r="M3345" t="inlineStr">
        <is>
          <t>-1805Q3</t>
        </is>
      </c>
    </row>
    <row r="3346">
      <c r="A3346">
        <v>3345</v>
      </c>
      <c r="B3346">
        <f>GS06</f>
        <v>0</v>
      </c>
      <c r="C3346" t="inlineStr">
        <is>
          <t>+LS23</t>
        </is>
      </c>
      <c r="D3346" t="inlineStr">
        <is>
          <t>-1805Q3</t>
        </is>
      </c>
      <c r="E3346" t="inlineStr">
        <is>
          <t>DILA-XHI22</t>
        </is>
      </c>
      <c r="F3346" t="inlineStr">
        <is>
          <t>DILA-XHI22</t>
        </is>
      </c>
      <c r="G3346" t="inlineStr">
        <is>
          <t>HILFSKONTAKTBLOCK</t>
        </is>
      </c>
      <c r="H3346" t="inlineStr">
        <is>
          <t>2S 2OE Last+Hilfssch. Cage</t>
        </is>
      </c>
      <c r="I3346">
        <v>5147</v>
      </c>
      <c r="J3346">
        <f>GS06/1805.7</f>
        <v>0</v>
      </c>
      <c r="K3346" t="inlineStr">
        <is>
          <t>DIL MC25</t>
        </is>
      </c>
      <c r="M3346" t="inlineStr">
        <is>
          <t>-1805Q3</t>
        </is>
      </c>
    </row>
    <row r="3347">
      <c r="A3347">
        <v>3346</v>
      </c>
      <c r="B3347">
        <f>GS13</f>
        <v>0</v>
      </c>
      <c r="C3347" t="inlineStr">
        <is>
          <t>+LS3</t>
        </is>
      </c>
      <c r="D3347" t="inlineStr">
        <is>
          <t>-18062.6</t>
        </is>
      </c>
      <c r="E3347" t="inlineStr">
        <is>
          <t>DIL_EM-10-G</t>
        </is>
      </c>
      <c r="F3347" t="inlineStr">
        <is>
          <t>#KALK!</t>
        </is>
      </c>
      <c r="G3347" t="inlineStr">
        <is>
          <t>LASTSCHUETZ</t>
        </is>
      </c>
      <c r="H3347" t="inlineStr">
        <is>
          <t>4kW 1S</t>
        </is>
      </c>
      <c r="I3347">
        <v>420</v>
      </c>
      <c r="J3347">
        <f>GS13/180.6</f>
        <v>0</v>
      </c>
      <c r="M3347" t="inlineStr">
        <is>
          <t>-18062.6</t>
        </is>
      </c>
    </row>
    <row r="3348">
      <c r="A3348">
        <v>3347</v>
      </c>
      <c r="B3348">
        <f>GS13</f>
        <v>0</v>
      </c>
      <c r="C3348" t="inlineStr">
        <is>
          <t>+LS3</t>
        </is>
      </c>
      <c r="D3348" t="inlineStr">
        <is>
          <t>-18062.7</t>
        </is>
      </c>
      <c r="E3348" t="inlineStr">
        <is>
          <t>DIL_EM-10-G</t>
        </is>
      </c>
      <c r="F3348" t="inlineStr">
        <is>
          <t>#KALK!</t>
        </is>
      </c>
      <c r="G3348" t="inlineStr">
        <is>
          <t>LASTSCHUETZ</t>
        </is>
      </c>
      <c r="H3348" t="inlineStr">
        <is>
          <t>4kW 1S</t>
        </is>
      </c>
      <c r="I3348">
        <v>420</v>
      </c>
      <c r="J3348">
        <f>GS13/180.6</f>
        <v>0</v>
      </c>
      <c r="M3348" t="inlineStr">
        <is>
          <t>-18062.7</t>
        </is>
      </c>
    </row>
    <row r="3349">
      <c r="A3349">
        <v>3348</v>
      </c>
      <c r="B3349">
        <f>GS06</f>
        <v>0</v>
      </c>
      <c r="C3349" t="inlineStr">
        <is>
          <t>+LS23</t>
        </is>
      </c>
      <c r="D3349" t="inlineStr">
        <is>
          <t>-1808Q1618.1</t>
        </is>
      </c>
      <c r="E3349" t="inlineStr">
        <is>
          <t>DILM-9-10</t>
        </is>
      </c>
      <c r="F3349" t="inlineStr">
        <is>
          <t>#KALK!</t>
        </is>
      </c>
      <c r="G3349" t="inlineStr">
        <is>
          <t>LASTSCHUETZ</t>
        </is>
      </c>
      <c r="H3349" t="inlineStr">
        <is>
          <t>4kW 1S Federzugkl.</t>
        </is>
      </c>
      <c r="I3349">
        <v>5151</v>
      </c>
      <c r="J3349">
        <f>GS06/1808.6</f>
        <v>0</v>
      </c>
      <c r="K3349" t="inlineStr">
        <is>
          <t>DIL MC9</t>
        </is>
      </c>
      <c r="M3349" t="inlineStr">
        <is>
          <t>-1808Q1618.1</t>
        </is>
      </c>
    </row>
    <row r="3350">
      <c r="A3350">
        <v>3349</v>
      </c>
      <c r="B3350">
        <f>GS92</f>
        <v>0</v>
      </c>
      <c r="C3350" t="inlineStr">
        <is>
          <t>+LS02</t>
        </is>
      </c>
      <c r="D3350" t="inlineStr">
        <is>
          <t>-180K163.0</t>
        </is>
      </c>
      <c r="E3350" t="inlineStr">
        <is>
          <t>DILA-40</t>
        </is>
      </c>
      <c r="F3350" t="inlineStr">
        <is>
          <t>#KALK!</t>
        </is>
      </c>
      <c r="G3350" t="inlineStr">
        <is>
          <t>HILFSSCHUETZ</t>
        </is>
      </c>
      <c r="H3350" t="inlineStr">
        <is>
          <t>4S Federzugkl.</t>
        </is>
      </c>
      <c r="I3350">
        <v>328</v>
      </c>
      <c r="J3350">
        <f>GS92/180.7</f>
        <v>0</v>
      </c>
      <c r="M3350" t="inlineStr">
        <is>
          <t>-180K163.0</t>
        </is>
      </c>
    </row>
    <row r="3351">
      <c r="A3351">
        <v>3350</v>
      </c>
      <c r="B3351">
        <f>GS93</f>
        <v>0</v>
      </c>
      <c r="C3351" t="inlineStr">
        <is>
          <t>+LS02</t>
        </is>
      </c>
      <c r="D3351" t="inlineStr">
        <is>
          <t>-180K163.0</t>
        </is>
      </c>
      <c r="E3351" t="inlineStr">
        <is>
          <t>DILA-40</t>
        </is>
      </c>
      <c r="F3351" t="inlineStr">
        <is>
          <t>#KALK!</t>
        </is>
      </c>
      <c r="G3351" t="inlineStr">
        <is>
          <t>HILFSSCHUETZ</t>
        </is>
      </c>
      <c r="H3351" t="inlineStr">
        <is>
          <t>4S Federzugkl.</t>
        </is>
      </c>
      <c r="I3351">
        <v>739</v>
      </c>
      <c r="J3351">
        <f>GS93/180.7</f>
        <v>0</v>
      </c>
      <c r="M3351" t="inlineStr">
        <is>
          <t>-180K163.0</t>
        </is>
      </c>
    </row>
    <row r="3352">
      <c r="A3352">
        <v>3351</v>
      </c>
      <c r="B3352">
        <f>GS34</f>
        <v>0</v>
      </c>
      <c r="C3352" t="inlineStr">
        <is>
          <t>+LS3</t>
        </is>
      </c>
      <c r="D3352" t="inlineStr">
        <is>
          <t>-180K26.5</t>
        </is>
      </c>
      <c r="E3352" t="inlineStr">
        <is>
          <t>DIL_EM-10-G</t>
        </is>
      </c>
      <c r="F3352" t="inlineStr">
        <is>
          <t>#KALK!</t>
        </is>
      </c>
      <c r="G3352" t="inlineStr">
        <is>
          <t>LASTSCHUETZ</t>
        </is>
      </c>
      <c r="H3352" t="inlineStr">
        <is>
          <t>4kW 1S</t>
        </is>
      </c>
      <c r="I3352">
        <v>304</v>
      </c>
      <c r="J3352">
        <f>GS34/180.6</f>
        <v>0</v>
      </c>
      <c r="M3352" t="inlineStr">
        <is>
          <t>-180K26.5</t>
        </is>
      </c>
    </row>
    <row r="3353">
      <c r="A3353">
        <v>3352</v>
      </c>
      <c r="B3353">
        <f>GS02</f>
        <v>0</v>
      </c>
      <c r="C3353" t="inlineStr">
        <is>
          <t>+LS2</t>
        </is>
      </c>
      <c r="D3353" t="inlineStr">
        <is>
          <t>-180K27.2</t>
        </is>
      </c>
      <c r="E3353" t="inlineStr">
        <is>
          <t>DIL_EM-10-G</t>
        </is>
      </c>
      <c r="F3353" t="inlineStr">
        <is>
          <t>#KALK!</t>
        </is>
      </c>
      <c r="G3353" t="inlineStr">
        <is>
          <t>LASTSCHUETZ</t>
        </is>
      </c>
      <c r="H3353" t="inlineStr">
        <is>
          <t>4kW 1S</t>
        </is>
      </c>
      <c r="I3353">
        <v>581</v>
      </c>
      <c r="J3353">
        <f>GS02/180.6</f>
        <v>0</v>
      </c>
      <c r="M3353" t="inlineStr">
        <is>
          <t>-180K27.2</t>
        </is>
      </c>
    </row>
    <row r="3354">
      <c r="A3354">
        <v>3353</v>
      </c>
      <c r="B3354">
        <f>GS02</f>
        <v>0</v>
      </c>
      <c r="C3354" t="inlineStr">
        <is>
          <t>+LS2</t>
        </is>
      </c>
      <c r="D3354" t="inlineStr">
        <is>
          <t>-180K27.3</t>
        </is>
      </c>
      <c r="E3354" t="inlineStr">
        <is>
          <t>DIL_EM-10-G</t>
        </is>
      </c>
      <c r="F3354" t="inlineStr">
        <is>
          <t>#KALK!</t>
        </is>
      </c>
      <c r="G3354" t="inlineStr">
        <is>
          <t>LASTSCHUETZ</t>
        </is>
      </c>
      <c r="H3354" t="inlineStr">
        <is>
          <t>4kW 1S</t>
        </is>
      </c>
      <c r="I3354">
        <v>581</v>
      </c>
      <c r="J3354">
        <f>GS02/180.6</f>
        <v>0</v>
      </c>
      <c r="M3354" t="inlineStr">
        <is>
          <t>-180K27.3</t>
        </is>
      </c>
    </row>
    <row r="3355">
      <c r="A3355">
        <v>3354</v>
      </c>
      <c r="B3355">
        <f>GS32</f>
        <v>0</v>
      </c>
      <c r="C3355" t="inlineStr">
        <is>
          <t>+LS3</t>
        </is>
      </c>
      <c r="D3355" t="inlineStr">
        <is>
          <t>-180K35.1</t>
        </is>
      </c>
      <c r="E3355" t="inlineStr">
        <is>
          <t>DIL_EM-10-G</t>
        </is>
      </c>
      <c r="F3355" t="inlineStr">
        <is>
          <t>#KALK!</t>
        </is>
      </c>
      <c r="G3355" t="inlineStr">
        <is>
          <t>LASTSCHUETZ</t>
        </is>
      </c>
      <c r="H3355" t="inlineStr">
        <is>
          <t>4kW 1S</t>
        </is>
      </c>
      <c r="I3355">
        <v>1120</v>
      </c>
      <c r="J3355">
        <f>GS32/180.6</f>
        <v>0</v>
      </c>
      <c r="M3355" t="inlineStr">
        <is>
          <t>-180K35.1</t>
        </is>
      </c>
    </row>
    <row r="3356">
      <c r="A3356">
        <v>3355</v>
      </c>
      <c r="B3356">
        <f>GS32</f>
        <v>0</v>
      </c>
      <c r="C3356" t="inlineStr">
        <is>
          <t>+LS3</t>
        </is>
      </c>
      <c r="D3356" t="inlineStr">
        <is>
          <t>-180K35.2</t>
        </is>
      </c>
      <c r="E3356" t="inlineStr">
        <is>
          <t>DIL_EM-10-G</t>
        </is>
      </c>
      <c r="F3356" t="inlineStr">
        <is>
          <t>#KALK!</t>
        </is>
      </c>
      <c r="G3356" t="inlineStr">
        <is>
          <t>LASTSCHUETZ</t>
        </is>
      </c>
      <c r="H3356" t="inlineStr">
        <is>
          <t>4kW 1S</t>
        </is>
      </c>
      <c r="I3356">
        <v>1120</v>
      </c>
      <c r="J3356">
        <f>GS32/180.6</f>
        <v>0</v>
      </c>
      <c r="M3356" t="inlineStr">
        <is>
          <t>-180K35.2</t>
        </is>
      </c>
    </row>
    <row r="3357">
      <c r="A3357">
        <v>3356</v>
      </c>
      <c r="B3357">
        <f>GS16</f>
        <v>0</v>
      </c>
      <c r="C3357" t="inlineStr">
        <is>
          <t>+LS3</t>
        </is>
      </c>
      <c r="D3357" t="inlineStr">
        <is>
          <t>-180K39.1</t>
        </is>
      </c>
      <c r="E3357" t="inlineStr">
        <is>
          <t>DIL_EM-10-G</t>
        </is>
      </c>
      <c r="F3357" t="inlineStr">
        <is>
          <t>#KALK!</t>
        </is>
      </c>
      <c r="G3357" t="inlineStr">
        <is>
          <t>LASTSCHUETZ</t>
        </is>
      </c>
      <c r="H3357" t="inlineStr">
        <is>
          <t>4kW 1S</t>
        </is>
      </c>
      <c r="I3357">
        <v>402</v>
      </c>
      <c r="J3357">
        <f>GS16/180.7</f>
        <v>0</v>
      </c>
      <c r="M3357" t="inlineStr">
        <is>
          <t>-180K39.1</t>
        </is>
      </c>
    </row>
    <row r="3358">
      <c r="A3358">
        <v>3357</v>
      </c>
      <c r="B3358">
        <f>GS11</f>
        <v>0</v>
      </c>
      <c r="C3358" t="inlineStr">
        <is>
          <t>+LS4</t>
        </is>
      </c>
      <c r="D3358" t="inlineStr">
        <is>
          <t>-180K41.7</t>
        </is>
      </c>
      <c r="E3358" t="inlineStr">
        <is>
          <t>DIL_EM-10-G</t>
        </is>
      </c>
      <c r="F3358" t="inlineStr">
        <is>
          <t>#KALK!</t>
        </is>
      </c>
      <c r="G3358" t="inlineStr">
        <is>
          <t>LASTSCHUETZ</t>
        </is>
      </c>
      <c r="H3358" t="inlineStr">
        <is>
          <t>4kW 1S</t>
        </is>
      </c>
      <c r="I3358">
        <v>291</v>
      </c>
      <c r="J3358">
        <f>GS11/180.7</f>
        <v>0</v>
      </c>
      <c r="M3358" t="inlineStr">
        <is>
          <t>-180K41.7</t>
        </is>
      </c>
    </row>
    <row r="3359">
      <c r="A3359">
        <v>3358</v>
      </c>
      <c r="B3359">
        <f>GS21</f>
        <v>0</v>
      </c>
      <c r="C3359" t="inlineStr">
        <is>
          <t>+LS4</t>
        </is>
      </c>
      <c r="D3359" t="inlineStr">
        <is>
          <t>-180K41.7</t>
        </is>
      </c>
      <c r="E3359" t="inlineStr">
        <is>
          <t>DIL_EM-10-G</t>
        </is>
      </c>
      <c r="F3359" t="inlineStr">
        <is>
          <t>#KALK!</t>
        </is>
      </c>
      <c r="G3359" t="inlineStr">
        <is>
          <t>LASTSCHUETZ</t>
        </is>
      </c>
      <c r="H3359" t="inlineStr">
        <is>
          <t>4kW 1S</t>
        </is>
      </c>
      <c r="I3359">
        <v>265</v>
      </c>
      <c r="J3359">
        <f>GS21/180.7</f>
        <v>0</v>
      </c>
      <c r="M3359" t="inlineStr">
        <is>
          <t>-180K41.7</t>
        </is>
      </c>
    </row>
    <row r="3360">
      <c r="A3360">
        <v>3359</v>
      </c>
      <c r="B3360">
        <f>GS23</f>
        <v>0</v>
      </c>
      <c r="C3360" t="inlineStr">
        <is>
          <t>+LS3</t>
        </is>
      </c>
      <c r="D3360" t="inlineStr">
        <is>
          <t>-180K62.6</t>
        </is>
      </c>
      <c r="E3360" t="inlineStr">
        <is>
          <t>DIL_EM-10-G</t>
        </is>
      </c>
      <c r="F3360" t="inlineStr">
        <is>
          <t>#KALK!</t>
        </is>
      </c>
      <c r="G3360" t="inlineStr">
        <is>
          <t>LASTSCHUETZ</t>
        </is>
      </c>
      <c r="H3360" t="inlineStr">
        <is>
          <t>4kW 1S</t>
        </is>
      </c>
      <c r="I3360">
        <v>479</v>
      </c>
      <c r="J3360">
        <f>GS23/180.6</f>
        <v>0</v>
      </c>
      <c r="M3360" t="inlineStr">
        <is>
          <t>-180K62.6</t>
        </is>
      </c>
    </row>
    <row r="3361">
      <c r="A3361">
        <v>3360</v>
      </c>
      <c r="B3361">
        <f>GS23</f>
        <v>0</v>
      </c>
      <c r="C3361" t="inlineStr">
        <is>
          <t>+LS3</t>
        </is>
      </c>
      <c r="D3361" t="inlineStr">
        <is>
          <t>-180K62.7</t>
        </is>
      </c>
      <c r="E3361" t="inlineStr">
        <is>
          <t>DIL_EM-10-G</t>
        </is>
      </c>
      <c r="F3361" t="inlineStr">
        <is>
          <t>#KALK!</t>
        </is>
      </c>
      <c r="G3361" t="inlineStr">
        <is>
          <t>LASTSCHUETZ</t>
        </is>
      </c>
      <c r="H3361" t="inlineStr">
        <is>
          <t>4kW 1S</t>
        </is>
      </c>
      <c r="I3361">
        <v>479</v>
      </c>
      <c r="J3361">
        <f>GS23/180.6</f>
        <v>0</v>
      </c>
      <c r="M3361" t="inlineStr">
        <is>
          <t>-180K62.7</t>
        </is>
      </c>
    </row>
    <row r="3362">
      <c r="A3362">
        <v>3361</v>
      </c>
      <c r="B3362">
        <f>GS15</f>
        <v>0</v>
      </c>
      <c r="C3362" t="inlineStr">
        <is>
          <t>+LS3</t>
        </is>
      </c>
      <c r="D3362" t="inlineStr">
        <is>
          <t>-180K96.4</t>
        </is>
      </c>
      <c r="E3362" t="inlineStr">
        <is>
          <t>DILM-9-10</t>
        </is>
      </c>
      <c r="F3362" t="inlineStr">
        <is>
          <t>#KALK!</t>
        </is>
      </c>
      <c r="G3362" t="inlineStr">
        <is>
          <t>LASTSCHUETZ</t>
        </is>
      </c>
      <c r="H3362" t="inlineStr">
        <is>
          <t>4kW 1S Federzugkl.</t>
        </is>
      </c>
      <c r="I3362">
        <v>672</v>
      </c>
      <c r="J3362">
        <f>GS15/180.6</f>
        <v>0</v>
      </c>
      <c r="K3362" t="inlineStr">
        <is>
          <t>DIL MC9</t>
        </is>
      </c>
      <c r="M3362" t="inlineStr">
        <is>
          <t>-180K96.4</t>
        </is>
      </c>
    </row>
    <row r="3363">
      <c r="A3363">
        <v>3362</v>
      </c>
      <c r="B3363">
        <f>GS07</f>
        <v>0</v>
      </c>
      <c r="C3363" t="inlineStr">
        <is>
          <t>+LS02</t>
        </is>
      </c>
      <c r="D3363" t="inlineStr">
        <is>
          <t>-180Q1</t>
        </is>
      </c>
      <c r="E3363" t="inlineStr">
        <is>
          <t>DILMC25-10(RDC24)</t>
        </is>
      </c>
      <c r="F3363" t="inlineStr">
        <is>
          <t>DILA-XHI22</t>
        </is>
      </c>
      <c r="G3363" t="inlineStr">
        <is>
          <t>LASTSCHUETZ</t>
        </is>
      </c>
      <c r="H3363" t="inlineStr">
        <is>
          <t>11kW 1S Federzugkl.</t>
        </is>
      </c>
      <c r="I3363">
        <v>332</v>
      </c>
      <c r="J3363">
        <f>GS07/180.6</f>
        <v>0</v>
      </c>
      <c r="K3363" t="inlineStr">
        <is>
          <t>DIL MC25</t>
        </is>
      </c>
      <c r="M3363" t="inlineStr">
        <is>
          <t>-180Q1</t>
        </is>
      </c>
    </row>
    <row r="3364">
      <c r="A3364">
        <v>3363</v>
      </c>
      <c r="B3364">
        <f>GS07</f>
        <v>0</v>
      </c>
      <c r="C3364" t="inlineStr">
        <is>
          <t>+LS02</t>
        </is>
      </c>
      <c r="D3364" t="inlineStr">
        <is>
          <t>-180Q1</t>
        </is>
      </c>
      <c r="E3364" t="inlineStr">
        <is>
          <t>DILA-XHI22</t>
        </is>
      </c>
      <c r="F3364" t="inlineStr">
        <is>
          <t>DILA-XHI22</t>
        </is>
      </c>
      <c r="G3364" t="inlineStr">
        <is>
          <t>HILFSKONTAKTBLOCK</t>
        </is>
      </c>
      <c r="H3364" t="inlineStr">
        <is>
          <t>2S 2OE Last+Hilfssch. Cage</t>
        </is>
      </c>
      <c r="I3364">
        <v>332</v>
      </c>
      <c r="J3364">
        <f>GS07/180.6</f>
        <v>0</v>
      </c>
      <c r="K3364" t="inlineStr">
        <is>
          <t>DIL MC25</t>
        </is>
      </c>
      <c r="M3364" t="inlineStr">
        <is>
          <t>-180Q1</t>
        </is>
      </c>
    </row>
    <row r="3365">
      <c r="A3365">
        <v>3364</v>
      </c>
      <c r="B3365">
        <f>GS92</f>
        <v>0</v>
      </c>
      <c r="C3365" t="inlineStr">
        <is>
          <t>+LS02</t>
        </is>
      </c>
      <c r="D3365" t="inlineStr">
        <is>
          <t>-180Q1</t>
        </is>
      </c>
      <c r="E3365" t="inlineStr">
        <is>
          <t>DILMC25-10(RDC24)</t>
        </is>
      </c>
      <c r="F3365" t="inlineStr">
        <is>
          <t>DILA-XHI22</t>
        </is>
      </c>
      <c r="G3365" t="inlineStr">
        <is>
          <t>LASTSCHUETZ</t>
        </is>
      </c>
      <c r="H3365" t="inlineStr">
        <is>
          <t>11kW 1S Federzugkl.</t>
        </is>
      </c>
      <c r="I3365">
        <v>328</v>
      </c>
      <c r="J3365">
        <f>GS92/180.4</f>
        <v>0</v>
      </c>
      <c r="K3365" t="inlineStr">
        <is>
          <t>DIL MC25</t>
        </is>
      </c>
      <c r="M3365" t="inlineStr">
        <is>
          <t>-180Q1</t>
        </is>
      </c>
    </row>
    <row r="3366">
      <c r="A3366">
        <v>3365</v>
      </c>
      <c r="B3366">
        <f>GS92</f>
        <v>0</v>
      </c>
      <c r="C3366" t="inlineStr">
        <is>
          <t>+LS02</t>
        </is>
      </c>
      <c r="D3366" t="inlineStr">
        <is>
          <t>-180Q1</t>
        </is>
      </c>
      <c r="E3366" t="inlineStr">
        <is>
          <t>DILA-XHI22</t>
        </is>
      </c>
      <c r="F3366" t="inlineStr">
        <is>
          <t>DILA-XHI22</t>
        </is>
      </c>
      <c r="G3366" t="inlineStr">
        <is>
          <t>HILFSKONTAKTBLOCK</t>
        </is>
      </c>
      <c r="H3366" t="inlineStr">
        <is>
          <t>2S 2OE Last+Hilfssch. Cage</t>
        </is>
      </c>
      <c r="I3366">
        <v>328</v>
      </c>
      <c r="J3366">
        <f>GS92/180.4</f>
        <v>0</v>
      </c>
      <c r="K3366" t="inlineStr">
        <is>
          <t>DIL MC25</t>
        </is>
      </c>
      <c r="M3366" t="inlineStr">
        <is>
          <t>-180Q1</t>
        </is>
      </c>
    </row>
    <row r="3367">
      <c r="A3367">
        <v>3366</v>
      </c>
      <c r="B3367">
        <f>GS93</f>
        <v>0</v>
      </c>
      <c r="C3367" t="inlineStr">
        <is>
          <t>+LS02</t>
        </is>
      </c>
      <c r="D3367" t="inlineStr">
        <is>
          <t>-180Q1</t>
        </is>
      </c>
      <c r="E3367" t="inlineStr">
        <is>
          <t>DILMC25-10(RDC24)</t>
        </is>
      </c>
      <c r="F3367" t="inlineStr">
        <is>
          <t>DILA-XHI22</t>
        </is>
      </c>
      <c r="G3367" t="inlineStr">
        <is>
          <t>LASTSCHUETZ</t>
        </is>
      </c>
      <c r="H3367" t="inlineStr">
        <is>
          <t>11kW 1S Federzugkl.</t>
        </is>
      </c>
      <c r="I3367">
        <v>739</v>
      </c>
      <c r="J3367">
        <f>GS93/180.4</f>
        <v>0</v>
      </c>
      <c r="K3367" t="inlineStr">
        <is>
          <t>DIL MC25</t>
        </is>
      </c>
      <c r="M3367" t="inlineStr">
        <is>
          <t>-180Q1</t>
        </is>
      </c>
    </row>
    <row r="3368">
      <c r="A3368">
        <v>3367</v>
      </c>
      <c r="B3368">
        <f>GS93</f>
        <v>0</v>
      </c>
      <c r="C3368" t="inlineStr">
        <is>
          <t>+LS02</t>
        </is>
      </c>
      <c r="D3368" t="inlineStr">
        <is>
          <t>-180Q1</t>
        </is>
      </c>
      <c r="E3368" t="inlineStr">
        <is>
          <t>DILA-XHI22</t>
        </is>
      </c>
      <c r="F3368" t="inlineStr">
        <is>
          <t>DILA-XHI22</t>
        </is>
      </c>
      <c r="G3368" t="inlineStr">
        <is>
          <t>HILFSKONTAKTBLOCK</t>
        </is>
      </c>
      <c r="H3368" t="inlineStr">
        <is>
          <t>2S 2OE Last+Hilfssch. Cage</t>
        </is>
      </c>
      <c r="I3368">
        <v>739</v>
      </c>
      <c r="J3368">
        <f>GS93/180.4</f>
        <v>0</v>
      </c>
      <c r="K3368" t="inlineStr">
        <is>
          <t>DIL MC25</t>
        </is>
      </c>
      <c r="M3368" t="inlineStr">
        <is>
          <t>-180Q1</t>
        </is>
      </c>
    </row>
    <row r="3369">
      <c r="A3369">
        <v>3368</v>
      </c>
      <c r="B3369">
        <f>GS91</f>
        <v>0</v>
      </c>
      <c r="C3369" t="inlineStr">
        <is>
          <t>+LS02</t>
        </is>
      </c>
      <c r="D3369" t="inlineStr">
        <is>
          <t>-180Q446.5</t>
        </is>
      </c>
      <c r="E3369" t="inlineStr">
        <is>
          <t>DILM-9-10</t>
        </is>
      </c>
      <c r="F3369" t="inlineStr">
        <is>
          <t>#KALK!</t>
        </is>
      </c>
      <c r="G3369" t="inlineStr">
        <is>
          <t>LASTSCHUETZ</t>
        </is>
      </c>
      <c r="H3369" t="inlineStr">
        <is>
          <t>4kW 1S Federzugkl.</t>
        </is>
      </c>
      <c r="I3369">
        <v>328</v>
      </c>
      <c r="J3369">
        <f>GS91/180.5</f>
        <v>0</v>
      </c>
      <c r="M3369" t="inlineStr">
        <is>
          <t>-180Q446.5</t>
        </is>
      </c>
    </row>
    <row r="3370">
      <c r="A3370">
        <v>3369</v>
      </c>
      <c r="B3370">
        <f>GS06</f>
        <v>0</v>
      </c>
      <c r="C3370" t="inlineStr">
        <is>
          <t>+LS23</t>
        </is>
      </c>
      <c r="D3370" t="inlineStr">
        <is>
          <t>-1810Q1618.2</t>
        </is>
      </c>
      <c r="E3370" t="inlineStr">
        <is>
          <t>DILM-9-01</t>
        </is>
      </c>
      <c r="F3370" t="inlineStr">
        <is>
          <t>DILA-XHI22</t>
        </is>
      </c>
      <c r="G3370" t="inlineStr">
        <is>
          <t>LASTSCHUETZ</t>
        </is>
      </c>
      <c r="H3370" t="inlineStr">
        <is>
          <t>4kW 1Oe Federzugkl.</t>
        </is>
      </c>
      <c r="I3370">
        <v>5155</v>
      </c>
      <c r="J3370">
        <f>GS06/1810.6</f>
        <v>0</v>
      </c>
      <c r="M3370" t="inlineStr">
        <is>
          <t>-1810Q1618.2</t>
        </is>
      </c>
    </row>
    <row r="3371">
      <c r="A3371">
        <v>3370</v>
      </c>
      <c r="B3371">
        <f>GS06</f>
        <v>0</v>
      </c>
      <c r="C3371" t="inlineStr">
        <is>
          <t>+LS23</t>
        </is>
      </c>
      <c r="D3371" t="inlineStr">
        <is>
          <t>-1810Q1618.2</t>
        </is>
      </c>
      <c r="E3371" t="inlineStr">
        <is>
          <t>DILA-XHI22</t>
        </is>
      </c>
      <c r="F3371" t="inlineStr">
        <is>
          <t>DILA-XHI22</t>
        </is>
      </c>
      <c r="G3371" t="inlineStr">
        <is>
          <t>HILFSKONTAKTBLOCK</t>
        </is>
      </c>
      <c r="H3371" t="inlineStr">
        <is>
          <t>2S 2OE Last+Hilfssch. Cage</t>
        </is>
      </c>
      <c r="I3371">
        <v>5155</v>
      </c>
      <c r="J3371">
        <f>GS06/1810.6</f>
        <v>0</v>
      </c>
      <c r="M3371" t="inlineStr">
        <is>
          <t>-1810Q1618.2</t>
        </is>
      </c>
    </row>
    <row r="3372">
      <c r="A3372">
        <v>3371</v>
      </c>
      <c r="B3372">
        <f>GS06</f>
        <v>0</v>
      </c>
      <c r="C3372" t="inlineStr">
        <is>
          <t>+LS23</t>
        </is>
      </c>
      <c r="D3372" t="inlineStr">
        <is>
          <t>-1810Q1618.3</t>
        </is>
      </c>
      <c r="E3372" t="inlineStr">
        <is>
          <t>DILM-9-01</t>
        </is>
      </c>
      <c r="F3372" t="inlineStr">
        <is>
          <t>DILA-XHI22</t>
        </is>
      </c>
      <c r="G3372" t="inlineStr">
        <is>
          <t>LASTSCHUETZ</t>
        </is>
      </c>
      <c r="H3372" t="inlineStr">
        <is>
          <t>4kW 1Oe Federzugkl.</t>
        </is>
      </c>
      <c r="I3372">
        <v>5155</v>
      </c>
      <c r="J3372">
        <f>GS06/1810.7</f>
        <v>0</v>
      </c>
      <c r="M3372" t="inlineStr">
        <is>
          <t>-1810Q1618.3</t>
        </is>
      </c>
    </row>
    <row r="3373">
      <c r="A3373">
        <v>3372</v>
      </c>
      <c r="B3373">
        <f>GS06</f>
        <v>0</v>
      </c>
      <c r="C3373" t="inlineStr">
        <is>
          <t>+LS23</t>
        </is>
      </c>
      <c r="D3373" t="inlineStr">
        <is>
          <t>-1810Q1618.3</t>
        </is>
      </c>
      <c r="E3373" t="inlineStr">
        <is>
          <t>DILA-XHI22</t>
        </is>
      </c>
      <c r="F3373" t="inlineStr">
        <is>
          <t>DILA-XHI22</t>
        </is>
      </c>
      <c r="G3373" t="inlineStr">
        <is>
          <t>HILFSKONTAKTBLOCK</t>
        </is>
      </c>
      <c r="H3373" t="inlineStr">
        <is>
          <t>2S 2OE Last+Hilfssch. Cage</t>
        </is>
      </c>
      <c r="I3373">
        <v>5155</v>
      </c>
      <c r="J3373">
        <f>GS06/1810.7</f>
        <v>0</v>
      </c>
      <c r="M3373" t="inlineStr">
        <is>
          <t>-1810Q1618.3</t>
        </is>
      </c>
    </row>
    <row r="3374">
      <c r="A3374">
        <v>3373</v>
      </c>
      <c r="B3374">
        <f>GS06</f>
        <v>0</v>
      </c>
      <c r="C3374" t="inlineStr">
        <is>
          <t>+LS23</t>
        </is>
      </c>
      <c r="D3374" t="inlineStr">
        <is>
          <t>-1811Q1618.4</t>
        </is>
      </c>
      <c r="E3374" t="inlineStr">
        <is>
          <t>DILM-9-01</t>
        </is>
      </c>
      <c r="F3374" t="inlineStr">
        <is>
          <t>DILA-XHI22</t>
        </is>
      </c>
      <c r="G3374" t="inlineStr">
        <is>
          <t>LASTSCHUETZ</t>
        </is>
      </c>
      <c r="H3374" t="inlineStr">
        <is>
          <t>4kW 1Oe Federzugkl.</t>
        </is>
      </c>
      <c r="I3374">
        <v>5157</v>
      </c>
      <c r="J3374">
        <f>GS06/1811.6</f>
        <v>0</v>
      </c>
      <c r="M3374" t="inlineStr">
        <is>
          <t>-1811Q1618.4</t>
        </is>
      </c>
    </row>
    <row r="3375">
      <c r="A3375">
        <v>3374</v>
      </c>
      <c r="B3375">
        <f>GS06</f>
        <v>0</v>
      </c>
      <c r="C3375" t="inlineStr">
        <is>
          <t>+LS23</t>
        </is>
      </c>
      <c r="D3375" t="inlineStr">
        <is>
          <t>-1811Q1618.4</t>
        </is>
      </c>
      <c r="E3375" t="inlineStr">
        <is>
          <t>DILA-XHI22</t>
        </is>
      </c>
      <c r="F3375" t="inlineStr">
        <is>
          <t>DILA-XHI22</t>
        </is>
      </c>
      <c r="G3375" t="inlineStr">
        <is>
          <t>HILFSKONTAKTBLOCK</t>
        </is>
      </c>
      <c r="H3375" t="inlineStr">
        <is>
          <t>2S 2OE Last+Hilfssch. Cage</t>
        </is>
      </c>
      <c r="I3375">
        <v>5157</v>
      </c>
      <c r="J3375">
        <f>GS06/1811.6</f>
        <v>0</v>
      </c>
      <c r="M3375" t="inlineStr">
        <is>
          <t>-1811Q1618.4</t>
        </is>
      </c>
    </row>
    <row r="3376">
      <c r="A3376">
        <v>3375</v>
      </c>
      <c r="B3376">
        <f>GS06</f>
        <v>0</v>
      </c>
      <c r="C3376" t="inlineStr">
        <is>
          <t>+LS23</t>
        </is>
      </c>
      <c r="D3376" t="inlineStr">
        <is>
          <t>-1811Q1618.5</t>
        </is>
      </c>
      <c r="E3376" t="inlineStr">
        <is>
          <t>DILM-9-01</t>
        </is>
      </c>
      <c r="F3376" t="inlineStr">
        <is>
          <t>DILA-XHI22</t>
        </is>
      </c>
      <c r="G3376" t="inlineStr">
        <is>
          <t>LASTSCHUETZ</t>
        </is>
      </c>
      <c r="H3376" t="inlineStr">
        <is>
          <t>4kW 1Oe Federzugkl.</t>
        </is>
      </c>
      <c r="I3376">
        <v>5157</v>
      </c>
      <c r="J3376">
        <f>GS06/1811.7</f>
        <v>0</v>
      </c>
      <c r="M3376" t="inlineStr">
        <is>
          <t>-1811Q1618.5</t>
        </is>
      </c>
    </row>
    <row r="3377">
      <c r="A3377">
        <v>3376</v>
      </c>
      <c r="B3377">
        <f>GS06</f>
        <v>0</v>
      </c>
      <c r="C3377" t="inlineStr">
        <is>
          <t>+LS23</t>
        </is>
      </c>
      <c r="D3377" t="inlineStr">
        <is>
          <t>-1811Q1618.5</t>
        </is>
      </c>
      <c r="E3377" t="inlineStr">
        <is>
          <t>DILA-XHI22</t>
        </is>
      </c>
      <c r="F3377" t="inlineStr">
        <is>
          <t>DILA-XHI22</t>
        </is>
      </c>
      <c r="G3377" t="inlineStr">
        <is>
          <t>HILFSKONTAKTBLOCK</t>
        </is>
      </c>
      <c r="H3377" t="inlineStr">
        <is>
          <t>2S 2OE Last+Hilfssch. Cage</t>
        </is>
      </c>
      <c r="I3377">
        <v>5157</v>
      </c>
      <c r="J3377">
        <f>GS06/1811.7</f>
        <v>0</v>
      </c>
      <c r="M3377" t="inlineStr">
        <is>
          <t>-1811Q1618.5</t>
        </is>
      </c>
    </row>
    <row r="3378">
      <c r="A3378">
        <v>3377</v>
      </c>
      <c r="B3378">
        <f>GS06</f>
        <v>0</v>
      </c>
      <c r="C3378" t="inlineStr">
        <is>
          <t>+LS23</t>
        </is>
      </c>
      <c r="D3378" t="inlineStr">
        <is>
          <t>-1812Q1618.6</t>
        </is>
      </c>
      <c r="E3378" t="inlineStr">
        <is>
          <t>DILM-9-01</t>
        </is>
      </c>
      <c r="F3378" t="inlineStr">
        <is>
          <t>DILA-XHI22</t>
        </is>
      </c>
      <c r="G3378" t="inlineStr">
        <is>
          <t>LASTSCHUETZ</t>
        </is>
      </c>
      <c r="H3378" t="inlineStr">
        <is>
          <t>4kW 1Oe Federzugkl.</t>
        </is>
      </c>
      <c r="I3378">
        <v>5165</v>
      </c>
      <c r="J3378">
        <f>GS06/1812.6</f>
        <v>0</v>
      </c>
      <c r="M3378" t="inlineStr">
        <is>
          <t>-1812Q1618.6</t>
        </is>
      </c>
    </row>
    <row r="3379">
      <c r="A3379">
        <v>3378</v>
      </c>
      <c r="B3379">
        <f>GS06</f>
        <v>0</v>
      </c>
      <c r="C3379" t="inlineStr">
        <is>
          <t>+LS23</t>
        </is>
      </c>
      <c r="D3379" t="inlineStr">
        <is>
          <t>-1812Q1618.6</t>
        </is>
      </c>
      <c r="E3379" t="inlineStr">
        <is>
          <t>DILA-XHI22</t>
        </is>
      </c>
      <c r="F3379" t="inlineStr">
        <is>
          <t>DILA-XHI22</t>
        </is>
      </c>
      <c r="G3379" t="inlineStr">
        <is>
          <t>HILFSKONTAKTBLOCK</t>
        </is>
      </c>
      <c r="H3379" t="inlineStr">
        <is>
          <t>2S 2OE Last+Hilfssch. Cage</t>
        </is>
      </c>
      <c r="I3379">
        <v>5165</v>
      </c>
      <c r="J3379">
        <f>GS06/1812.6</f>
        <v>0</v>
      </c>
      <c r="M3379" t="inlineStr">
        <is>
          <t>-1812Q1618.6</t>
        </is>
      </c>
    </row>
    <row r="3380">
      <c r="A3380">
        <v>3379</v>
      </c>
      <c r="B3380">
        <f>GS06</f>
        <v>0</v>
      </c>
      <c r="C3380" t="inlineStr">
        <is>
          <t>+LS23</t>
        </is>
      </c>
      <c r="D3380" t="inlineStr">
        <is>
          <t>-1812Q1618.7</t>
        </is>
      </c>
      <c r="E3380" t="inlineStr">
        <is>
          <t>DILM-9-01</t>
        </is>
      </c>
      <c r="F3380" t="inlineStr">
        <is>
          <t>DILA-XHI22</t>
        </is>
      </c>
      <c r="G3380" t="inlineStr">
        <is>
          <t>LASTSCHUETZ</t>
        </is>
      </c>
      <c r="H3380" t="inlineStr">
        <is>
          <t>4kW 1Oe Federzugkl.</t>
        </is>
      </c>
      <c r="I3380">
        <v>5165</v>
      </c>
      <c r="J3380">
        <f>GS06/1812.7</f>
        <v>0</v>
      </c>
      <c r="M3380" t="inlineStr">
        <is>
          <t>-1812Q1618.7</t>
        </is>
      </c>
    </row>
    <row r="3381">
      <c r="A3381">
        <v>3380</v>
      </c>
      <c r="B3381">
        <f>GS06</f>
        <v>0</v>
      </c>
      <c r="C3381" t="inlineStr">
        <is>
          <t>+LS23</t>
        </is>
      </c>
      <c r="D3381" t="inlineStr">
        <is>
          <t>-1812Q1618.7</t>
        </is>
      </c>
      <c r="E3381" t="inlineStr">
        <is>
          <t>DILA-XHI22</t>
        </is>
      </c>
      <c r="F3381" t="inlineStr">
        <is>
          <t>DILA-XHI22</t>
        </is>
      </c>
      <c r="G3381" t="inlineStr">
        <is>
          <t>HILFSKONTAKTBLOCK</t>
        </is>
      </c>
      <c r="H3381" t="inlineStr">
        <is>
          <t>2S 2OE Last+Hilfssch. Cage</t>
        </is>
      </c>
      <c r="I3381">
        <v>5165</v>
      </c>
      <c r="J3381">
        <f>GS06/1812.7</f>
        <v>0</v>
      </c>
      <c r="M3381" t="inlineStr">
        <is>
          <t>-1812Q1618.7</t>
        </is>
      </c>
    </row>
    <row r="3382">
      <c r="A3382">
        <v>3381</v>
      </c>
      <c r="B3382">
        <f>GS93</f>
        <v>0</v>
      </c>
      <c r="C3382" t="inlineStr">
        <is>
          <t>+LS19</t>
        </is>
      </c>
      <c r="D3382" t="inlineStr">
        <is>
          <t>-1815K1324.0</t>
        </is>
      </c>
      <c r="E3382" t="inlineStr">
        <is>
          <t>DILA-40</t>
        </is>
      </c>
      <c r="F3382" t="inlineStr">
        <is>
          <t>#KALK!</t>
        </is>
      </c>
      <c r="G3382" t="inlineStr">
        <is>
          <t>HILFSSCHUETZ</t>
        </is>
      </c>
      <c r="H3382" t="inlineStr">
        <is>
          <t>4S Federzugkl.</t>
        </is>
      </c>
      <c r="I3382">
        <v>2351</v>
      </c>
      <c r="J3382">
        <f>GS93/1815.7</f>
        <v>0</v>
      </c>
      <c r="M3382" t="inlineStr">
        <is>
          <t>-1815K1324.0</t>
        </is>
      </c>
    </row>
    <row r="3383">
      <c r="A3383">
        <v>3382</v>
      </c>
      <c r="B3383">
        <f>GS55</f>
        <v>0</v>
      </c>
      <c r="C3383" t="inlineStr">
        <is>
          <t>+LS29</t>
        </is>
      </c>
      <c r="D3383" t="inlineStr">
        <is>
          <t>-1815Q1</t>
        </is>
      </c>
      <c r="E3383" t="inlineStr">
        <is>
          <t>DILA-XHI22</t>
        </is>
      </c>
      <c r="F3383" t="inlineStr">
        <is>
          <t>DILA-XHI22</t>
        </is>
      </c>
      <c r="G3383" t="inlineStr">
        <is>
          <t>HILFSKONTAKTBLOCK</t>
        </is>
      </c>
      <c r="H3383" t="inlineStr">
        <is>
          <t>2S 2OE Last+Hilfssch. Cage</t>
        </is>
      </c>
      <c r="I3383">
        <v>2007</v>
      </c>
      <c r="J3383">
        <f>GS55/1815.6</f>
        <v>0</v>
      </c>
      <c r="K3383" t="inlineStr">
        <is>
          <t>DIL MC25</t>
        </is>
      </c>
      <c r="M3383" t="inlineStr">
        <is>
          <t>-1815Q1</t>
        </is>
      </c>
    </row>
    <row r="3384">
      <c r="A3384">
        <v>3383</v>
      </c>
      <c r="B3384">
        <f>GS55</f>
        <v>0</v>
      </c>
      <c r="C3384" t="inlineStr">
        <is>
          <t>+LS29</t>
        </is>
      </c>
      <c r="D3384" t="inlineStr">
        <is>
          <t>-1815Q1</t>
        </is>
      </c>
      <c r="E3384" t="inlineStr">
        <is>
          <t>DILMC25-10(RDC24)</t>
        </is>
      </c>
      <c r="F3384" t="inlineStr">
        <is>
          <t>DILA-XHI22</t>
        </is>
      </c>
      <c r="G3384" t="inlineStr">
        <is>
          <t>LASTSCHUETZ</t>
        </is>
      </c>
      <c r="H3384" t="inlineStr">
        <is>
          <t>11kW 1S Federzugkl.</t>
        </is>
      </c>
      <c r="I3384">
        <v>2007</v>
      </c>
      <c r="J3384">
        <f>GS55/1815.6</f>
        <v>0</v>
      </c>
      <c r="K3384" t="inlineStr">
        <is>
          <t>DIL MC25</t>
        </is>
      </c>
      <c r="M3384" t="inlineStr">
        <is>
          <t>-1815Q1</t>
        </is>
      </c>
    </row>
    <row r="3385">
      <c r="A3385">
        <v>3384</v>
      </c>
      <c r="B3385">
        <f>GS93</f>
        <v>0</v>
      </c>
      <c r="C3385" t="inlineStr">
        <is>
          <t>+LS19</t>
        </is>
      </c>
      <c r="D3385" t="inlineStr">
        <is>
          <t>-1815Q1</t>
        </is>
      </c>
      <c r="E3385" t="inlineStr">
        <is>
          <t>DILMC65(RDC24)</t>
        </is>
      </c>
      <c r="F3385" t="inlineStr">
        <is>
          <t>DILM150-XHIC22</t>
        </is>
      </c>
      <c r="G3385" t="inlineStr">
        <is>
          <t>LASTSCHUETZ</t>
        </is>
      </c>
      <c r="H3385" t="inlineStr">
        <is>
          <t>30kW Federzugkl.</t>
        </is>
      </c>
      <c r="I3385">
        <v>2351</v>
      </c>
      <c r="J3385">
        <f>GS93/1815.4</f>
        <v>0</v>
      </c>
      <c r="K3385" t="inlineStr">
        <is>
          <t>DIL MC 65</t>
        </is>
      </c>
      <c r="M3385" t="inlineStr">
        <is>
          <t>-1815Q1</t>
        </is>
      </c>
    </row>
    <row r="3386">
      <c r="A3386">
        <v>3385</v>
      </c>
      <c r="B3386">
        <f>GS93</f>
        <v>0</v>
      </c>
      <c r="C3386" t="inlineStr">
        <is>
          <t>+LS19</t>
        </is>
      </c>
      <c r="D3386" t="inlineStr">
        <is>
          <t>-1815Q1</t>
        </is>
      </c>
      <c r="E3386" t="inlineStr">
        <is>
          <t>DILM150-XHIC22</t>
        </is>
      </c>
      <c r="F3386" t="inlineStr">
        <is>
          <t>DILM150-XHIC22</t>
        </is>
      </c>
      <c r="G3386" t="inlineStr">
        <is>
          <t>HILFSKONTAKTBLOCK</t>
        </is>
      </c>
      <c r="H3386" t="inlineStr">
        <is>
          <t>2S 2OE ab DILMC40</t>
        </is>
      </c>
      <c r="I3386">
        <v>2351</v>
      </c>
      <c r="J3386">
        <f>GS93/1815.4</f>
        <v>0</v>
      </c>
      <c r="K3386" t="inlineStr">
        <is>
          <t>DIL MC 65</t>
        </is>
      </c>
      <c r="M3386" t="inlineStr">
        <is>
          <t>-1815Q1</t>
        </is>
      </c>
    </row>
    <row r="3387">
      <c r="A3387">
        <v>3386</v>
      </c>
      <c r="B3387">
        <f>GS13</f>
        <v>0</v>
      </c>
      <c r="C3387" t="inlineStr">
        <is>
          <t>+LS3</t>
        </is>
      </c>
      <c r="D3387" t="inlineStr">
        <is>
          <t>-18163.0</t>
        </is>
      </c>
      <c r="E3387" t="inlineStr">
        <is>
          <t>DIL_EM-10-G</t>
        </is>
      </c>
      <c r="F3387" t="inlineStr">
        <is>
          <t>#KALK!</t>
        </is>
      </c>
      <c r="G3387" t="inlineStr">
        <is>
          <t>LASTSCHUETZ</t>
        </is>
      </c>
      <c r="H3387" t="inlineStr">
        <is>
          <t>4kW 1S</t>
        </is>
      </c>
      <c r="I3387">
        <v>421</v>
      </c>
      <c r="J3387">
        <f>GS13/181.6</f>
        <v>0</v>
      </c>
      <c r="M3387" t="inlineStr">
        <is>
          <t>-18163.0</t>
        </is>
      </c>
    </row>
    <row r="3388">
      <c r="A3388">
        <v>3387</v>
      </c>
      <c r="B3388">
        <f>GS13</f>
        <v>0</v>
      </c>
      <c r="C3388" t="inlineStr">
        <is>
          <t>+LS3</t>
        </is>
      </c>
      <c r="D3388" t="inlineStr">
        <is>
          <t>-18163.1</t>
        </is>
      </c>
      <c r="E3388" t="inlineStr">
        <is>
          <t>DIL_EM-10-G</t>
        </is>
      </c>
      <c r="F3388" t="inlineStr">
        <is>
          <t>#KALK!</t>
        </is>
      </c>
      <c r="G3388" t="inlineStr">
        <is>
          <t>LASTSCHUETZ</t>
        </is>
      </c>
      <c r="H3388" t="inlineStr">
        <is>
          <t>4kW 1S</t>
        </is>
      </c>
      <c r="I3388">
        <v>421</v>
      </c>
      <c r="J3388">
        <f>GS13/181.6</f>
        <v>0</v>
      </c>
      <c r="M3388" t="inlineStr">
        <is>
          <t>-18163.1</t>
        </is>
      </c>
    </row>
    <row r="3389">
      <c r="A3389">
        <v>3388</v>
      </c>
      <c r="B3389">
        <f>GS93</f>
        <v>0</v>
      </c>
      <c r="C3389" t="inlineStr">
        <is>
          <t>+LS19</t>
        </is>
      </c>
      <c r="D3389" t="inlineStr">
        <is>
          <t>-1818K1324.2</t>
        </is>
      </c>
      <c r="E3389" t="inlineStr">
        <is>
          <t>DILA-22</t>
        </is>
      </c>
      <c r="F3389" t="inlineStr">
        <is>
          <t>#KALK!</t>
        </is>
      </c>
      <c r="G3389" t="inlineStr">
        <is>
          <t>HILFSSCHUETZ</t>
        </is>
      </c>
      <c r="H3389" t="inlineStr">
        <is>
          <t>2S 2Oe Federzugkl.</t>
        </is>
      </c>
      <c r="I3389">
        <v>2348</v>
      </c>
      <c r="J3389">
        <f>GS93/1818.5</f>
        <v>0</v>
      </c>
      <c r="M3389" t="inlineStr">
        <is>
          <t>-1818K1324.2</t>
        </is>
      </c>
    </row>
    <row r="3390">
      <c r="A3390">
        <v>3389</v>
      </c>
      <c r="B3390">
        <f>GS93</f>
        <v>0</v>
      </c>
      <c r="C3390" t="inlineStr">
        <is>
          <t>+LS19</t>
        </is>
      </c>
      <c r="D3390" t="inlineStr">
        <is>
          <t>-1818Q1324.4</t>
        </is>
      </c>
      <c r="E3390" t="inlineStr">
        <is>
          <t>DILM-9-10</t>
        </is>
      </c>
      <c r="F3390" t="inlineStr">
        <is>
          <t>#KALK!</t>
        </is>
      </c>
      <c r="G3390" t="inlineStr">
        <is>
          <t>LASTSCHUETZ</t>
        </is>
      </c>
      <c r="H3390" t="inlineStr">
        <is>
          <t>4kW 1S Federzugkl.</t>
        </is>
      </c>
      <c r="I3390">
        <v>2348</v>
      </c>
      <c r="J3390">
        <f>GS93/1818.7</f>
        <v>0</v>
      </c>
      <c r="M3390" t="inlineStr">
        <is>
          <t>-1818Q1324.4</t>
        </is>
      </c>
    </row>
    <row r="3391">
      <c r="A3391">
        <v>3390</v>
      </c>
      <c r="B3391">
        <f>GC22</f>
        <v>0</v>
      </c>
      <c r="C3391" t="inlineStr">
        <is>
          <t>+LS2</t>
        </is>
      </c>
      <c r="D3391" t="inlineStr">
        <is>
          <t>-181K22.3</t>
        </is>
      </c>
      <c r="E3391" t="inlineStr">
        <is>
          <t>DIL_EM-10-G</t>
        </is>
      </c>
      <c r="F3391" t="inlineStr">
        <is>
          <t>#KALK!</t>
        </is>
      </c>
      <c r="G3391" t="inlineStr">
        <is>
          <t>LASTSCHUETZ</t>
        </is>
      </c>
      <c r="H3391" t="inlineStr">
        <is>
          <t>4kW 1S</t>
        </is>
      </c>
      <c r="I3391">
        <v>545</v>
      </c>
      <c r="J3391">
        <f>GC22/181.7</f>
        <v>0</v>
      </c>
      <c r="M3391" t="inlineStr">
        <is>
          <t>-181K22.3</t>
        </is>
      </c>
    </row>
    <row r="3392">
      <c r="A3392">
        <v>3391</v>
      </c>
      <c r="B3392">
        <f>GS12</f>
        <v>0</v>
      </c>
      <c r="C3392" t="inlineStr">
        <is>
          <t>+LS2</t>
        </is>
      </c>
      <c r="D3392" t="inlineStr">
        <is>
          <t>-181K22.3</t>
        </is>
      </c>
      <c r="E3392" t="inlineStr">
        <is>
          <t>DIL_EM-10-G</t>
        </is>
      </c>
      <c r="F3392" t="inlineStr">
        <is>
          <t>#KALK!</t>
        </is>
      </c>
      <c r="G3392" t="inlineStr">
        <is>
          <t>LASTSCHUETZ</t>
        </is>
      </c>
      <c r="H3392" t="inlineStr">
        <is>
          <t>4kW 1S</t>
        </is>
      </c>
      <c r="I3392">
        <v>313</v>
      </c>
      <c r="J3392">
        <f>GS12/181.7</f>
        <v>0</v>
      </c>
      <c r="M3392" t="inlineStr">
        <is>
          <t>-181K22.3</t>
        </is>
      </c>
    </row>
    <row r="3393">
      <c r="A3393">
        <v>3392</v>
      </c>
      <c r="B3393">
        <f>GS34</f>
        <v>0</v>
      </c>
      <c r="C3393" t="inlineStr">
        <is>
          <t>+LS3</t>
        </is>
      </c>
      <c r="D3393" t="inlineStr">
        <is>
          <t>-181K27.3</t>
        </is>
      </c>
      <c r="E3393" t="inlineStr">
        <is>
          <t>DIL_EM-10-G</t>
        </is>
      </c>
      <c r="F3393" t="inlineStr">
        <is>
          <t>#KALK!</t>
        </is>
      </c>
      <c r="G3393" t="inlineStr">
        <is>
          <t>LASTSCHUETZ</t>
        </is>
      </c>
      <c r="H3393" t="inlineStr">
        <is>
          <t>4kW 1S</t>
        </is>
      </c>
      <c r="I3393">
        <v>305</v>
      </c>
      <c r="J3393">
        <f>GS34/181.7</f>
        <v>0</v>
      </c>
      <c r="M3393" t="inlineStr">
        <is>
          <t>-181K27.3</t>
        </is>
      </c>
    </row>
    <row r="3394">
      <c r="A3394">
        <v>3393</v>
      </c>
      <c r="B3394">
        <f>GS02</f>
        <v>0</v>
      </c>
      <c r="C3394" t="inlineStr">
        <is>
          <t>+LS2</t>
        </is>
      </c>
      <c r="D3394" t="inlineStr">
        <is>
          <t>-181K27.4</t>
        </is>
      </c>
      <c r="E3394" t="inlineStr">
        <is>
          <t>DIL_EM-10-G</t>
        </is>
      </c>
      <c r="F3394" t="inlineStr">
        <is>
          <t>#KALK!</t>
        </is>
      </c>
      <c r="G3394" t="inlineStr">
        <is>
          <t>LASTSCHUETZ</t>
        </is>
      </c>
      <c r="H3394" t="inlineStr">
        <is>
          <t>4kW 1S</t>
        </is>
      </c>
      <c r="I3394">
        <v>582</v>
      </c>
      <c r="J3394">
        <f>GS02/181.6</f>
        <v>0</v>
      </c>
      <c r="M3394" t="inlineStr">
        <is>
          <t>-181K27.4</t>
        </is>
      </c>
    </row>
    <row r="3395">
      <c r="A3395">
        <v>3394</v>
      </c>
      <c r="B3395">
        <f>GS02</f>
        <v>0</v>
      </c>
      <c r="C3395" t="inlineStr">
        <is>
          <t>+LS2</t>
        </is>
      </c>
      <c r="D3395" t="inlineStr">
        <is>
          <t>-181K27.5</t>
        </is>
      </c>
      <c r="E3395" t="inlineStr">
        <is>
          <t>DIL_EM-10-G</t>
        </is>
      </c>
      <c r="F3395" t="inlineStr">
        <is>
          <t>#KALK!</t>
        </is>
      </c>
      <c r="G3395" t="inlineStr">
        <is>
          <t>LASTSCHUETZ</t>
        </is>
      </c>
      <c r="H3395" t="inlineStr">
        <is>
          <t>4kW 1S</t>
        </is>
      </c>
      <c r="I3395">
        <v>582</v>
      </c>
      <c r="J3395">
        <f>GS02/181.6</f>
        <v>0</v>
      </c>
      <c r="M3395" t="inlineStr">
        <is>
          <t>-181K27.5</t>
        </is>
      </c>
    </row>
    <row r="3396">
      <c r="A3396">
        <v>3395</v>
      </c>
      <c r="B3396">
        <f>GS32</f>
        <v>0</v>
      </c>
      <c r="C3396" t="inlineStr">
        <is>
          <t>+LS3</t>
        </is>
      </c>
      <c r="D3396" t="inlineStr">
        <is>
          <t>-181K35.3</t>
        </is>
      </c>
      <c r="E3396" t="inlineStr">
        <is>
          <t>DIL_EM-10-G</t>
        </is>
      </c>
      <c r="F3396" t="inlineStr">
        <is>
          <t>#KALK!</t>
        </is>
      </c>
      <c r="G3396" t="inlineStr">
        <is>
          <t>LASTSCHUETZ</t>
        </is>
      </c>
      <c r="H3396" t="inlineStr">
        <is>
          <t>4kW 1S</t>
        </is>
      </c>
      <c r="I3396">
        <v>1119</v>
      </c>
      <c r="J3396">
        <f>GS32/181.6</f>
        <v>0</v>
      </c>
      <c r="M3396" t="inlineStr">
        <is>
          <t>-181K35.3</t>
        </is>
      </c>
    </row>
    <row r="3397">
      <c r="A3397">
        <v>3396</v>
      </c>
      <c r="B3397">
        <f>GS32</f>
        <v>0</v>
      </c>
      <c r="C3397" t="inlineStr">
        <is>
          <t>+LS3</t>
        </is>
      </c>
      <c r="D3397" t="inlineStr">
        <is>
          <t>-181K35.4</t>
        </is>
      </c>
      <c r="E3397" t="inlineStr">
        <is>
          <t>DIL_EM-10-G</t>
        </is>
      </c>
      <c r="F3397" t="inlineStr">
        <is>
          <t>#KALK!</t>
        </is>
      </c>
      <c r="G3397" t="inlineStr">
        <is>
          <t>LASTSCHUETZ</t>
        </is>
      </c>
      <c r="H3397" t="inlineStr">
        <is>
          <t>4kW 1S</t>
        </is>
      </c>
      <c r="I3397">
        <v>1119</v>
      </c>
      <c r="J3397">
        <f>GS32/181.6</f>
        <v>0</v>
      </c>
      <c r="M3397" t="inlineStr">
        <is>
          <t>-181K35.4</t>
        </is>
      </c>
    </row>
    <row r="3398">
      <c r="A3398">
        <v>3397</v>
      </c>
      <c r="B3398">
        <f>GS16</f>
        <v>0</v>
      </c>
      <c r="C3398" t="inlineStr">
        <is>
          <t>+LS3</t>
        </is>
      </c>
      <c r="D3398" t="inlineStr">
        <is>
          <t>-181K38.3</t>
        </is>
      </c>
      <c r="E3398" t="inlineStr">
        <is>
          <t>DIL_EM-10-G</t>
        </is>
      </c>
      <c r="F3398" t="inlineStr">
        <is>
          <t>#KALK!</t>
        </is>
      </c>
      <c r="G3398" t="inlineStr">
        <is>
          <t>LASTSCHUETZ</t>
        </is>
      </c>
      <c r="H3398" t="inlineStr">
        <is>
          <t>4kW 1S</t>
        </is>
      </c>
      <c r="I3398">
        <v>403</v>
      </c>
      <c r="J3398">
        <f>GS16/181.7</f>
        <v>0</v>
      </c>
      <c r="M3398" t="inlineStr">
        <is>
          <t>-181K38.3</t>
        </is>
      </c>
    </row>
    <row r="3399">
      <c r="A3399">
        <v>3398</v>
      </c>
      <c r="B3399">
        <f>GS11</f>
        <v>0</v>
      </c>
      <c r="C3399" t="inlineStr">
        <is>
          <t>+LS4</t>
        </is>
      </c>
      <c r="D3399" t="inlineStr">
        <is>
          <t>-181K42.0</t>
        </is>
      </c>
      <c r="E3399" t="inlineStr">
        <is>
          <t>DIL_EM-10-G</t>
        </is>
      </c>
      <c r="F3399" t="inlineStr">
        <is>
          <t>#KALK!</t>
        </is>
      </c>
      <c r="G3399" t="inlineStr">
        <is>
          <t>LASTSCHUETZ</t>
        </is>
      </c>
      <c r="H3399" t="inlineStr">
        <is>
          <t>4kW 1S</t>
        </is>
      </c>
      <c r="I3399">
        <v>292</v>
      </c>
      <c r="J3399">
        <f>GS11/181.6</f>
        <v>0</v>
      </c>
      <c r="M3399" t="inlineStr">
        <is>
          <t>-181K42.0</t>
        </is>
      </c>
    </row>
    <row r="3400">
      <c r="A3400">
        <v>3399</v>
      </c>
      <c r="B3400">
        <f>GS21</f>
        <v>0</v>
      </c>
      <c r="C3400" t="inlineStr">
        <is>
          <t>+LS4</t>
        </is>
      </c>
      <c r="D3400" t="inlineStr">
        <is>
          <t>-181K42.0</t>
        </is>
      </c>
      <c r="E3400" t="inlineStr">
        <is>
          <t>DIL_EM-10-G</t>
        </is>
      </c>
      <c r="F3400" t="inlineStr">
        <is>
          <t>#KALK!</t>
        </is>
      </c>
      <c r="G3400" t="inlineStr">
        <is>
          <t>LASTSCHUETZ</t>
        </is>
      </c>
      <c r="H3400" t="inlineStr">
        <is>
          <t>4kW 1S</t>
        </is>
      </c>
      <c r="I3400">
        <v>266</v>
      </c>
      <c r="J3400">
        <f>GS21/181.6</f>
        <v>0</v>
      </c>
      <c r="M3400" t="inlineStr">
        <is>
          <t>-181K42.0</t>
        </is>
      </c>
    </row>
    <row r="3401">
      <c r="A3401">
        <v>3400</v>
      </c>
      <c r="B3401">
        <f>GS23</f>
        <v>0</v>
      </c>
      <c r="C3401" t="inlineStr">
        <is>
          <t>+LS3</t>
        </is>
      </c>
      <c r="D3401" t="inlineStr">
        <is>
          <t>-181K63.0</t>
        </is>
      </c>
      <c r="E3401" t="inlineStr">
        <is>
          <t>DIL_EM-10-G</t>
        </is>
      </c>
      <c r="F3401" t="inlineStr">
        <is>
          <t>#KALK!</t>
        </is>
      </c>
      <c r="G3401" t="inlineStr">
        <is>
          <t>LASTSCHUETZ</t>
        </is>
      </c>
      <c r="H3401" t="inlineStr">
        <is>
          <t>4kW 1S</t>
        </is>
      </c>
      <c r="I3401">
        <v>480</v>
      </c>
      <c r="J3401">
        <f>GS23/181.6</f>
        <v>0</v>
      </c>
      <c r="M3401" t="inlineStr">
        <is>
          <t>-181K63.0</t>
        </is>
      </c>
    </row>
    <row r="3402">
      <c r="A3402">
        <v>3401</v>
      </c>
      <c r="B3402">
        <f>GS23</f>
        <v>0</v>
      </c>
      <c r="C3402" t="inlineStr">
        <is>
          <t>+LS3</t>
        </is>
      </c>
      <c r="D3402" t="inlineStr">
        <is>
          <t>-181K63.1</t>
        </is>
      </c>
      <c r="E3402" t="inlineStr">
        <is>
          <t>DIL_EM-10-G</t>
        </is>
      </c>
      <c r="F3402" t="inlineStr">
        <is>
          <t>#KALK!</t>
        </is>
      </c>
      <c r="G3402" t="inlineStr">
        <is>
          <t>LASTSCHUETZ</t>
        </is>
      </c>
      <c r="H3402" t="inlineStr">
        <is>
          <t>4kW 1S</t>
        </is>
      </c>
      <c r="I3402">
        <v>480</v>
      </c>
      <c r="J3402">
        <f>GS23/181.6</f>
        <v>0</v>
      </c>
      <c r="M3402" t="inlineStr">
        <is>
          <t>-181K63.1</t>
        </is>
      </c>
    </row>
    <row r="3403">
      <c r="A3403">
        <v>3402</v>
      </c>
      <c r="B3403">
        <f>GS36</f>
        <v>0</v>
      </c>
      <c r="C3403" t="inlineStr">
        <is>
          <t>+LS03</t>
        </is>
      </c>
      <c r="D3403" t="inlineStr">
        <is>
          <t>-188K1</t>
        </is>
      </c>
      <c r="E3403" t="inlineStr">
        <is>
          <t>DILM-9-01</t>
        </is>
      </c>
      <c r="F3403" t="inlineStr">
        <is>
          <t>#KALK!</t>
        </is>
      </c>
      <c r="G3403" t="inlineStr">
        <is>
          <t>LASTSCHUETZ</t>
        </is>
      </c>
      <c r="H3403" t="inlineStr">
        <is>
          <t>4kW 1Oe Federzugkl.</t>
        </is>
      </c>
      <c r="I3403">
        <v>361</v>
      </c>
      <c r="J3403">
        <f>GS36/188.6</f>
        <v>0</v>
      </c>
      <c r="L3403" t="inlineStr">
        <is>
          <t>Lichtgitter KF3</t>
        </is>
      </c>
      <c r="M3403" t="inlineStr">
        <is>
          <t>Lichtgitter KF3
-188K1</t>
        </is>
      </c>
    </row>
    <row r="3404">
      <c r="A3404">
        <v>3403</v>
      </c>
      <c r="B3404">
        <f>GS92</f>
        <v>0</v>
      </c>
      <c r="C3404" t="inlineStr">
        <is>
          <t>+LS02</t>
        </is>
      </c>
      <c r="D3404" t="inlineStr">
        <is>
          <t>-181Q163.1</t>
        </is>
      </c>
      <c r="E3404" t="inlineStr">
        <is>
          <t>DILM-9-10</t>
        </is>
      </c>
      <c r="F3404" t="inlineStr">
        <is>
          <t>#KALK!</t>
        </is>
      </c>
      <c r="G3404" t="inlineStr">
        <is>
          <t>LASTSCHUETZ</t>
        </is>
      </c>
      <c r="H3404" t="inlineStr">
        <is>
          <t>4kW 1S Federzugkl.</t>
        </is>
      </c>
      <c r="I3404">
        <v>329</v>
      </c>
      <c r="J3404">
        <f>GS92/181.5</f>
        <v>0</v>
      </c>
      <c r="M3404" t="inlineStr">
        <is>
          <t>-181Q163.1</t>
        </is>
      </c>
    </row>
    <row r="3405">
      <c r="A3405">
        <v>3404</v>
      </c>
      <c r="B3405">
        <f>GS93</f>
        <v>0</v>
      </c>
      <c r="C3405" t="inlineStr">
        <is>
          <t>+LS02</t>
        </is>
      </c>
      <c r="D3405" t="inlineStr">
        <is>
          <t>-181Q163.1</t>
        </is>
      </c>
      <c r="E3405" t="inlineStr">
        <is>
          <t>DILM-9-10</t>
        </is>
      </c>
      <c r="F3405" t="inlineStr">
        <is>
          <t>#KALK!</t>
        </is>
      </c>
      <c r="G3405" t="inlineStr">
        <is>
          <t>LASTSCHUETZ</t>
        </is>
      </c>
      <c r="H3405" t="inlineStr">
        <is>
          <t>4kW 1S Federzugkl.</t>
        </is>
      </c>
      <c r="I3405">
        <v>740</v>
      </c>
      <c r="J3405">
        <f>GS93/181.5</f>
        <v>0</v>
      </c>
      <c r="M3405" t="inlineStr">
        <is>
          <t>-181Q163.1</t>
        </is>
      </c>
    </row>
    <row r="3406">
      <c r="A3406">
        <v>3405</v>
      </c>
      <c r="B3406">
        <f>GS91</f>
        <v>0</v>
      </c>
      <c r="C3406" t="inlineStr">
        <is>
          <t>+LS02</t>
        </is>
      </c>
      <c r="D3406" t="inlineStr">
        <is>
          <t>-181Q446.6</t>
        </is>
      </c>
      <c r="E3406" t="inlineStr">
        <is>
          <t>DILM-9-10</t>
        </is>
      </c>
      <c r="F3406" t="inlineStr">
        <is>
          <t>#KALK!</t>
        </is>
      </c>
      <c r="G3406" t="inlineStr">
        <is>
          <t>LASTSCHUETZ</t>
        </is>
      </c>
      <c r="H3406" t="inlineStr">
        <is>
          <t>4kW 1S Federzugkl.</t>
        </is>
      </c>
      <c r="I3406">
        <v>327</v>
      </c>
      <c r="J3406">
        <f>GS91/181.5</f>
        <v>0</v>
      </c>
      <c r="M3406" t="inlineStr">
        <is>
          <t>-181Q446.6</t>
        </is>
      </c>
    </row>
    <row r="3407">
      <c r="A3407">
        <v>3406</v>
      </c>
      <c r="B3407">
        <f>GS16</f>
        <v>0</v>
      </c>
      <c r="C3407" t="inlineStr">
        <is>
          <t>+LS3</t>
        </is>
      </c>
      <c r="D3407" t="inlineStr">
        <is>
          <t>-182.1K41.0</t>
        </is>
      </c>
      <c r="E3407" t="inlineStr">
        <is>
          <t>DILM-9-10</t>
        </is>
      </c>
      <c r="F3407" t="inlineStr">
        <is>
          <t>#KALK!</t>
        </is>
      </c>
      <c r="G3407" t="inlineStr">
        <is>
          <t>LASTSCHUETZ</t>
        </is>
      </c>
      <c r="H3407" t="inlineStr">
        <is>
          <t>4kW 1S Federzugkl.</t>
        </is>
      </c>
      <c r="I3407">
        <v>1680</v>
      </c>
      <c r="J3407">
        <f>GS16/182.1.6</f>
        <v>0</v>
      </c>
      <c r="M3407" t="inlineStr">
        <is>
          <t>-182.1K41.0</t>
        </is>
      </c>
    </row>
    <row r="3408">
      <c r="A3408">
        <v>3407</v>
      </c>
      <c r="B3408">
        <f>GS16</f>
        <v>0</v>
      </c>
      <c r="C3408" t="inlineStr">
        <is>
          <t>+LS3</t>
        </is>
      </c>
      <c r="D3408" t="inlineStr">
        <is>
          <t>-182.1K41.1</t>
        </is>
      </c>
      <c r="E3408" t="inlineStr">
        <is>
          <t>DILM-9-10</t>
        </is>
      </c>
      <c r="F3408" t="inlineStr">
        <is>
          <t>#KALK!</t>
        </is>
      </c>
      <c r="G3408" t="inlineStr">
        <is>
          <t>LASTSCHUETZ</t>
        </is>
      </c>
      <c r="H3408" t="inlineStr">
        <is>
          <t>4kW 1S Federzugkl.</t>
        </is>
      </c>
      <c r="I3408">
        <v>1680</v>
      </c>
      <c r="J3408">
        <f>GS16/182.1.6</f>
        <v>0</v>
      </c>
      <c r="M3408" t="inlineStr">
        <is>
          <t>-182.1K41.1</t>
        </is>
      </c>
    </row>
    <row r="3409">
      <c r="A3409">
        <v>3408</v>
      </c>
      <c r="B3409">
        <f>GS16</f>
        <v>0</v>
      </c>
      <c r="C3409" t="inlineStr">
        <is>
          <t>+LS3</t>
        </is>
      </c>
      <c r="D3409" t="inlineStr">
        <is>
          <t>-182.2K41.2</t>
        </is>
      </c>
      <c r="E3409" t="inlineStr">
        <is>
          <t>DILM-9-10</t>
        </is>
      </c>
      <c r="F3409" t="inlineStr">
        <is>
          <t>#KALK!</t>
        </is>
      </c>
      <c r="G3409" t="inlineStr">
        <is>
          <t>LASTSCHUETZ</t>
        </is>
      </c>
      <c r="H3409" t="inlineStr">
        <is>
          <t>4kW 1S Federzugkl.</t>
        </is>
      </c>
      <c r="I3409">
        <v>1681</v>
      </c>
      <c r="J3409">
        <f>GS16/182.2.6</f>
        <v>0</v>
      </c>
      <c r="M3409" t="inlineStr">
        <is>
          <t>-182.2K41.2</t>
        </is>
      </c>
    </row>
    <row r="3410">
      <c r="A3410">
        <v>3409</v>
      </c>
      <c r="B3410">
        <f>GS16</f>
        <v>0</v>
      </c>
      <c r="C3410" t="inlineStr">
        <is>
          <t>+LS3</t>
        </is>
      </c>
      <c r="D3410" t="inlineStr">
        <is>
          <t>-182.2K41.3</t>
        </is>
      </c>
      <c r="E3410" t="inlineStr">
        <is>
          <t>DILM-9-10</t>
        </is>
      </c>
      <c r="F3410" t="inlineStr">
        <is>
          <t>#KALK!</t>
        </is>
      </c>
      <c r="G3410" t="inlineStr">
        <is>
          <t>LASTSCHUETZ</t>
        </is>
      </c>
      <c r="H3410" t="inlineStr">
        <is>
          <t>4kW 1S Federzugkl.</t>
        </is>
      </c>
      <c r="I3410">
        <v>1681</v>
      </c>
      <c r="J3410">
        <f>GS16/182.2.6</f>
        <v>0</v>
      </c>
      <c r="M3410" t="inlineStr">
        <is>
          <t>-182.2K41.3</t>
        </is>
      </c>
    </row>
    <row r="3411">
      <c r="A3411">
        <v>3410</v>
      </c>
      <c r="B3411">
        <f>GS16</f>
        <v>0</v>
      </c>
      <c r="C3411" t="inlineStr">
        <is>
          <t>+LS3</t>
        </is>
      </c>
      <c r="D3411" t="inlineStr">
        <is>
          <t>-182.3K41.4</t>
        </is>
      </c>
      <c r="E3411" t="inlineStr">
        <is>
          <t>DILM-9-10</t>
        </is>
      </c>
      <c r="F3411" t="inlineStr">
        <is>
          <t>#KALK!</t>
        </is>
      </c>
      <c r="G3411" t="inlineStr">
        <is>
          <t>LASTSCHUETZ</t>
        </is>
      </c>
      <c r="H3411" t="inlineStr">
        <is>
          <t>4kW 1S Federzugkl.</t>
        </is>
      </c>
      <c r="I3411">
        <v>1682</v>
      </c>
      <c r="J3411">
        <f>GS16/182.3.6</f>
        <v>0</v>
      </c>
      <c r="M3411" t="inlineStr">
        <is>
          <t>-182.3K41.4</t>
        </is>
      </c>
    </row>
    <row r="3412">
      <c r="A3412">
        <v>3411</v>
      </c>
      <c r="B3412">
        <f>GS16</f>
        <v>0</v>
      </c>
      <c r="C3412" t="inlineStr">
        <is>
          <t>+LS3</t>
        </is>
      </c>
      <c r="D3412" t="inlineStr">
        <is>
          <t>-182.3K41.5</t>
        </is>
      </c>
      <c r="E3412" t="inlineStr">
        <is>
          <t>DILM-9-10</t>
        </is>
      </c>
      <c r="F3412" t="inlineStr">
        <is>
          <t>#KALK!</t>
        </is>
      </c>
      <c r="G3412" t="inlineStr">
        <is>
          <t>LASTSCHUETZ</t>
        </is>
      </c>
      <c r="H3412" t="inlineStr">
        <is>
          <t>4kW 1S Federzugkl.</t>
        </is>
      </c>
      <c r="I3412">
        <v>1682</v>
      </c>
      <c r="J3412">
        <f>GS16/182.3.6</f>
        <v>0</v>
      </c>
      <c r="M3412" t="inlineStr">
        <is>
          <t>-182.3K41.5</t>
        </is>
      </c>
    </row>
    <row r="3413">
      <c r="A3413">
        <v>3412</v>
      </c>
      <c r="B3413">
        <f>GS16</f>
        <v>0</v>
      </c>
      <c r="C3413" t="inlineStr">
        <is>
          <t>+LS3</t>
        </is>
      </c>
      <c r="D3413" t="inlineStr">
        <is>
          <t>-182.4K41.6</t>
        </is>
      </c>
      <c r="E3413" t="inlineStr">
        <is>
          <t>DILM-9-10</t>
        </is>
      </c>
      <c r="F3413" t="inlineStr">
        <is>
          <t>#KALK!</t>
        </is>
      </c>
      <c r="G3413" t="inlineStr">
        <is>
          <t>LASTSCHUETZ</t>
        </is>
      </c>
      <c r="H3413" t="inlineStr">
        <is>
          <t>4kW 1S Federzugkl.</t>
        </is>
      </c>
      <c r="I3413">
        <v>1683</v>
      </c>
      <c r="J3413">
        <f>GS16/182.4.6</f>
        <v>0</v>
      </c>
      <c r="M3413" t="inlineStr">
        <is>
          <t>-182.4K41.6</t>
        </is>
      </c>
    </row>
    <row r="3414">
      <c r="A3414">
        <v>3413</v>
      </c>
      <c r="B3414">
        <f>GS16</f>
        <v>0</v>
      </c>
      <c r="C3414" t="inlineStr">
        <is>
          <t>+LS3</t>
        </is>
      </c>
      <c r="D3414" t="inlineStr">
        <is>
          <t>-182.4K41.7</t>
        </is>
      </c>
      <c r="E3414" t="inlineStr">
        <is>
          <t>DILM-9-10</t>
        </is>
      </c>
      <c r="F3414" t="inlineStr">
        <is>
          <t>#KALK!</t>
        </is>
      </c>
      <c r="G3414" t="inlineStr">
        <is>
          <t>LASTSCHUETZ</t>
        </is>
      </c>
      <c r="H3414" t="inlineStr">
        <is>
          <t>4kW 1S Federzugkl.</t>
        </is>
      </c>
      <c r="I3414">
        <v>1683</v>
      </c>
      <c r="J3414">
        <f>GS16/182.4.6</f>
        <v>0</v>
      </c>
      <c r="M3414" t="inlineStr">
        <is>
          <t>-182.4K41.7</t>
        </is>
      </c>
    </row>
    <row r="3415">
      <c r="A3415">
        <v>3414</v>
      </c>
      <c r="B3415">
        <f>GS93</f>
        <v>0</v>
      </c>
      <c r="C3415" t="inlineStr">
        <is>
          <t>+LS19</t>
        </is>
      </c>
      <c r="D3415" t="inlineStr">
        <is>
          <t>-1825K1326.4</t>
        </is>
      </c>
      <c r="E3415" t="inlineStr">
        <is>
          <t>DILA-40</t>
        </is>
      </c>
      <c r="F3415" t="inlineStr">
        <is>
          <t>#KALK!</t>
        </is>
      </c>
      <c r="G3415" t="inlineStr">
        <is>
          <t>HILFSSCHUETZ</t>
        </is>
      </c>
      <c r="H3415" t="inlineStr">
        <is>
          <t>4S Federzugkl.</t>
        </is>
      </c>
      <c r="I3415">
        <v>2341</v>
      </c>
      <c r="J3415">
        <f>GS93/1825.7</f>
        <v>0</v>
      </c>
      <c r="M3415" t="inlineStr">
        <is>
          <t>-1825K1326.4</t>
        </is>
      </c>
    </row>
    <row r="3416">
      <c r="A3416">
        <v>3415</v>
      </c>
      <c r="B3416">
        <f>GS93</f>
        <v>0</v>
      </c>
      <c r="C3416" t="inlineStr">
        <is>
          <t>+LS19</t>
        </is>
      </c>
      <c r="D3416" t="inlineStr">
        <is>
          <t>-1825Q1</t>
        </is>
      </c>
      <c r="E3416" t="inlineStr">
        <is>
          <t>DILA-XHI22</t>
        </is>
      </c>
      <c r="F3416" t="inlineStr">
        <is>
          <t>DILA-XHI22</t>
        </is>
      </c>
      <c r="G3416" t="inlineStr">
        <is>
          <t>HILFSKONTAKTBLOCK</t>
        </is>
      </c>
      <c r="H3416" t="inlineStr">
        <is>
          <t>2S 2OE Last+Hilfssch. Cage</t>
        </is>
      </c>
      <c r="I3416">
        <v>2341</v>
      </c>
      <c r="J3416">
        <f>GS93/1825.4</f>
        <v>0</v>
      </c>
      <c r="K3416" t="inlineStr">
        <is>
          <t>DIL MC25</t>
        </is>
      </c>
      <c r="M3416" t="inlineStr">
        <is>
          <t>-1825Q1</t>
        </is>
      </c>
    </row>
    <row r="3417">
      <c r="A3417">
        <v>3416</v>
      </c>
      <c r="B3417">
        <f>GS93</f>
        <v>0</v>
      </c>
      <c r="C3417" t="inlineStr">
        <is>
          <t>+LS19</t>
        </is>
      </c>
      <c r="D3417" t="inlineStr">
        <is>
          <t>-1825Q1</t>
        </is>
      </c>
      <c r="E3417" t="inlineStr">
        <is>
          <t>DILMC25-10(RDC24)</t>
        </is>
      </c>
      <c r="F3417" t="inlineStr">
        <is>
          <t>DILA-XHI22</t>
        </is>
      </c>
      <c r="G3417" t="inlineStr">
        <is>
          <t>LASTSCHUETZ</t>
        </is>
      </c>
      <c r="H3417" t="inlineStr">
        <is>
          <t>11kW 1S Federzugkl.</t>
        </is>
      </c>
      <c r="I3417">
        <v>2341</v>
      </c>
      <c r="J3417">
        <f>GS93/1825.4</f>
        <v>0</v>
      </c>
      <c r="K3417" t="inlineStr">
        <is>
          <t>DIL MC25</t>
        </is>
      </c>
      <c r="M3417" t="inlineStr">
        <is>
          <t>-1825Q1</t>
        </is>
      </c>
    </row>
    <row r="3418">
      <c r="A3418">
        <v>3417</v>
      </c>
      <c r="B3418">
        <f>GS13</f>
        <v>0</v>
      </c>
      <c r="C3418" t="inlineStr">
        <is>
          <t>+LS3</t>
        </is>
      </c>
      <c r="D3418" t="inlineStr">
        <is>
          <t>-18263.2</t>
        </is>
      </c>
      <c r="E3418" t="inlineStr">
        <is>
          <t>DIL_EM-10-G</t>
        </is>
      </c>
      <c r="F3418" t="inlineStr">
        <is>
          <t>#KALK!</t>
        </is>
      </c>
      <c r="G3418" t="inlineStr">
        <is>
          <t>LASTSCHUETZ</t>
        </is>
      </c>
      <c r="H3418" t="inlineStr">
        <is>
          <t>4kW 1S</t>
        </is>
      </c>
      <c r="I3418">
        <v>422</v>
      </c>
      <c r="J3418">
        <f>GS13/182.6</f>
        <v>0</v>
      </c>
      <c r="M3418" t="inlineStr">
        <is>
          <t>-18263.2</t>
        </is>
      </c>
    </row>
    <row r="3419">
      <c r="A3419">
        <v>3418</v>
      </c>
      <c r="B3419">
        <f>GS13</f>
        <v>0</v>
      </c>
      <c r="C3419" t="inlineStr">
        <is>
          <t>+LS3</t>
        </is>
      </c>
      <c r="D3419" t="inlineStr">
        <is>
          <t>-18263.3</t>
        </is>
      </c>
      <c r="E3419" t="inlineStr">
        <is>
          <t>DIL_EM-10-G</t>
        </is>
      </c>
      <c r="F3419" t="inlineStr">
        <is>
          <t>#KALK!</t>
        </is>
      </c>
      <c r="G3419" t="inlineStr">
        <is>
          <t>LASTSCHUETZ</t>
        </is>
      </c>
      <c r="H3419" t="inlineStr">
        <is>
          <t>4kW 1S</t>
        </is>
      </c>
      <c r="I3419">
        <v>422</v>
      </c>
      <c r="J3419">
        <f>GS13/182.6</f>
        <v>0</v>
      </c>
      <c r="M3419" t="inlineStr">
        <is>
          <t>-18263.3</t>
        </is>
      </c>
    </row>
    <row r="3420">
      <c r="A3420">
        <v>3419</v>
      </c>
      <c r="B3420">
        <f>GC22</f>
        <v>0</v>
      </c>
      <c r="C3420" t="inlineStr">
        <is>
          <t>+LS2</t>
        </is>
      </c>
      <c r="D3420" t="inlineStr">
        <is>
          <t>-182K22.4</t>
        </is>
      </c>
      <c r="E3420" t="inlineStr">
        <is>
          <t>DILM-9-01</t>
        </is>
      </c>
      <c r="F3420" t="inlineStr">
        <is>
          <t>#KALK!</t>
        </is>
      </c>
      <c r="G3420" t="inlineStr">
        <is>
          <t>LASTSCHUETZ</t>
        </is>
      </c>
      <c r="H3420" t="inlineStr">
        <is>
          <t>4kW 1Oe Federzugkl.</t>
        </is>
      </c>
      <c r="I3420">
        <v>397</v>
      </c>
      <c r="J3420">
        <f>GC22/182.6</f>
        <v>0</v>
      </c>
      <c r="M3420" t="inlineStr">
        <is>
          <t>-182K22.4</t>
        </is>
      </c>
    </row>
    <row r="3421">
      <c r="A3421">
        <v>3420</v>
      </c>
      <c r="B3421">
        <f>GS12</f>
        <v>0</v>
      </c>
      <c r="C3421" t="inlineStr">
        <is>
          <t>+LS2</t>
        </is>
      </c>
      <c r="D3421" t="inlineStr">
        <is>
          <t>-182K22.4</t>
        </is>
      </c>
      <c r="E3421" t="inlineStr">
        <is>
          <t>DILM-9-01</t>
        </is>
      </c>
      <c r="F3421" t="inlineStr">
        <is>
          <t>#KALK!</t>
        </is>
      </c>
      <c r="G3421" t="inlineStr">
        <is>
          <t>LASTSCHUETZ</t>
        </is>
      </c>
      <c r="H3421" t="inlineStr">
        <is>
          <t>4kW 1Oe Federzugkl.</t>
        </is>
      </c>
      <c r="I3421">
        <v>314</v>
      </c>
      <c r="J3421">
        <f>GS12/182.6</f>
        <v>0</v>
      </c>
      <c r="M3421" t="inlineStr">
        <is>
          <t>-182K22.4</t>
        </is>
      </c>
    </row>
    <row r="3422">
      <c r="A3422">
        <v>3421</v>
      </c>
      <c r="B3422">
        <f>GC22</f>
        <v>0</v>
      </c>
      <c r="C3422" t="inlineStr">
        <is>
          <t>+LS2</t>
        </is>
      </c>
      <c r="D3422" t="inlineStr">
        <is>
          <t>-182K22.5</t>
        </is>
      </c>
      <c r="E3422" t="inlineStr">
        <is>
          <t>DIL_EM-10-G</t>
        </is>
      </c>
      <c r="F3422" t="inlineStr">
        <is>
          <t>#KALK!</t>
        </is>
      </c>
      <c r="G3422" t="inlineStr">
        <is>
          <t>LASTSCHUETZ</t>
        </is>
      </c>
      <c r="H3422" t="inlineStr">
        <is>
          <t>4kW 1S</t>
        </is>
      </c>
      <c r="I3422">
        <v>397</v>
      </c>
      <c r="J3422">
        <f>GC22/182.7</f>
        <v>0</v>
      </c>
      <c r="M3422" t="inlineStr">
        <is>
          <t>-182K22.5</t>
        </is>
      </c>
    </row>
    <row r="3423">
      <c r="A3423">
        <v>3422</v>
      </c>
      <c r="B3423">
        <f>GS12</f>
        <v>0</v>
      </c>
      <c r="C3423" t="inlineStr">
        <is>
          <t>+LS2</t>
        </is>
      </c>
      <c r="D3423" t="inlineStr">
        <is>
          <t>-182K22.5</t>
        </is>
      </c>
      <c r="E3423" t="inlineStr">
        <is>
          <t>DIL_EM-10-G</t>
        </is>
      </c>
      <c r="F3423" t="inlineStr">
        <is>
          <t>#KALK!</t>
        </is>
      </c>
      <c r="G3423" t="inlineStr">
        <is>
          <t>LASTSCHUETZ</t>
        </is>
      </c>
      <c r="H3423" t="inlineStr">
        <is>
          <t>4kW 1S</t>
        </is>
      </c>
      <c r="I3423">
        <v>314</v>
      </c>
      <c r="J3423">
        <f>GS12/182.7</f>
        <v>0</v>
      </c>
      <c r="M3423" t="inlineStr">
        <is>
          <t>-182K22.5</t>
        </is>
      </c>
    </row>
    <row r="3424">
      <c r="A3424">
        <v>3423</v>
      </c>
      <c r="B3424">
        <f>GC22</f>
        <v>0</v>
      </c>
      <c r="C3424" t="inlineStr">
        <is>
          <t>+LS2</t>
        </is>
      </c>
      <c r="D3424" t="inlineStr">
        <is>
          <t>-182K24.6</t>
        </is>
      </c>
      <c r="E3424" t="inlineStr">
        <is>
          <t>DILM-9-01</t>
        </is>
      </c>
      <c r="F3424" t="inlineStr">
        <is>
          <t>#KALK!</t>
        </is>
      </c>
      <c r="G3424" t="inlineStr">
        <is>
          <t>LASTSCHUETZ</t>
        </is>
      </c>
      <c r="H3424" t="inlineStr">
        <is>
          <t>4kW 1Oe Federzugkl.</t>
        </is>
      </c>
      <c r="I3424">
        <v>397</v>
      </c>
      <c r="J3424">
        <f>GC22/182.6</f>
        <v>0</v>
      </c>
      <c r="M3424" t="inlineStr">
        <is>
          <t>-182K24.6</t>
        </is>
      </c>
    </row>
    <row r="3425">
      <c r="A3425">
        <v>3424</v>
      </c>
      <c r="B3425">
        <f>GS12</f>
        <v>0</v>
      </c>
      <c r="C3425" t="inlineStr">
        <is>
          <t>+LS2</t>
        </is>
      </c>
      <c r="D3425" t="inlineStr">
        <is>
          <t>-182K24.6</t>
        </is>
      </c>
      <c r="E3425" t="inlineStr">
        <is>
          <t>DILM-9-01</t>
        </is>
      </c>
      <c r="F3425" t="inlineStr">
        <is>
          <t>#KALK!</t>
        </is>
      </c>
      <c r="G3425" t="inlineStr">
        <is>
          <t>LASTSCHUETZ</t>
        </is>
      </c>
      <c r="H3425" t="inlineStr">
        <is>
          <t>4kW 1Oe Federzugkl.</t>
        </is>
      </c>
      <c r="I3425">
        <v>314</v>
      </c>
      <c r="J3425">
        <f>GS12/182.6</f>
        <v>0</v>
      </c>
      <c r="M3425" t="inlineStr">
        <is>
          <t>-182K24.6</t>
        </is>
      </c>
    </row>
    <row r="3426">
      <c r="A3426">
        <v>3425</v>
      </c>
      <c r="B3426">
        <f>GS34</f>
        <v>0</v>
      </c>
      <c r="C3426" t="inlineStr">
        <is>
          <t>+LS3</t>
        </is>
      </c>
      <c r="D3426" t="inlineStr">
        <is>
          <t>-182K27.7</t>
        </is>
      </c>
      <c r="E3426" t="inlineStr">
        <is>
          <t>DIL_EM-10-G</t>
        </is>
      </c>
      <c r="F3426" t="inlineStr">
        <is>
          <t>#KALK!</t>
        </is>
      </c>
      <c r="G3426" t="inlineStr">
        <is>
          <t>LASTSCHUETZ</t>
        </is>
      </c>
      <c r="H3426" t="inlineStr">
        <is>
          <t>4kW 1S</t>
        </is>
      </c>
      <c r="I3426">
        <v>306</v>
      </c>
      <c r="J3426">
        <f>GS34/182.7</f>
        <v>0</v>
      </c>
      <c r="M3426" t="inlineStr">
        <is>
          <t>-182K27.7</t>
        </is>
      </c>
    </row>
    <row r="3427">
      <c r="A3427">
        <v>3426</v>
      </c>
      <c r="B3427">
        <f>GS02</f>
        <v>0</v>
      </c>
      <c r="C3427" t="inlineStr">
        <is>
          <t>+LS2</t>
        </is>
      </c>
      <c r="D3427" t="inlineStr">
        <is>
          <t>-182K28.3</t>
        </is>
      </c>
      <c r="E3427" t="inlineStr">
        <is>
          <t>DIL_EM-10-G</t>
        </is>
      </c>
      <c r="F3427" t="inlineStr">
        <is>
          <t>#KALK!</t>
        </is>
      </c>
      <c r="G3427" t="inlineStr">
        <is>
          <t>LASTSCHUETZ</t>
        </is>
      </c>
      <c r="H3427" t="inlineStr">
        <is>
          <t>4kW 1S</t>
        </is>
      </c>
      <c r="I3427">
        <v>583</v>
      </c>
      <c r="J3427">
        <f>GS02/182.7</f>
        <v>0</v>
      </c>
      <c r="M3427" t="inlineStr">
        <is>
          <t>-182K28.3</t>
        </is>
      </c>
    </row>
    <row r="3428">
      <c r="A3428">
        <v>3427</v>
      </c>
      <c r="B3428">
        <f>GS32</f>
        <v>0</v>
      </c>
      <c r="C3428" t="inlineStr">
        <is>
          <t>+LS3</t>
        </is>
      </c>
      <c r="D3428" t="inlineStr">
        <is>
          <t>-182K35.5</t>
        </is>
      </c>
      <c r="E3428" t="inlineStr">
        <is>
          <t>DIL_EM-10-G</t>
        </is>
      </c>
      <c r="F3428" t="inlineStr">
        <is>
          <t>#KALK!</t>
        </is>
      </c>
      <c r="G3428" t="inlineStr">
        <is>
          <t>LASTSCHUETZ</t>
        </is>
      </c>
      <c r="H3428" t="inlineStr">
        <is>
          <t>4kW 1S</t>
        </is>
      </c>
      <c r="I3428">
        <v>1118</v>
      </c>
      <c r="J3428">
        <f>GS32/182.6</f>
        <v>0</v>
      </c>
      <c r="M3428" t="inlineStr">
        <is>
          <t>-182K35.5</t>
        </is>
      </c>
    </row>
    <row r="3429">
      <c r="A3429">
        <v>3428</v>
      </c>
      <c r="B3429">
        <f>GS32</f>
        <v>0</v>
      </c>
      <c r="C3429" t="inlineStr">
        <is>
          <t>+LS3</t>
        </is>
      </c>
      <c r="D3429" t="inlineStr">
        <is>
          <t>-182K35.6</t>
        </is>
      </c>
      <c r="E3429" t="inlineStr">
        <is>
          <t>DIL_EM-10-G</t>
        </is>
      </c>
      <c r="F3429" t="inlineStr">
        <is>
          <t>#KALK!</t>
        </is>
      </c>
      <c r="G3429" t="inlineStr">
        <is>
          <t>LASTSCHUETZ</t>
        </is>
      </c>
      <c r="H3429" t="inlineStr">
        <is>
          <t>4kW 1S</t>
        </is>
      </c>
      <c r="I3429">
        <v>1118</v>
      </c>
      <c r="J3429">
        <f>GS32/182.6</f>
        <v>0</v>
      </c>
      <c r="M3429" t="inlineStr">
        <is>
          <t>-182K35.6</t>
        </is>
      </c>
    </row>
    <row r="3430">
      <c r="A3430">
        <v>3429</v>
      </c>
      <c r="B3430">
        <f>GS16</f>
        <v>0</v>
      </c>
      <c r="C3430" t="inlineStr">
        <is>
          <t>+LS3</t>
        </is>
      </c>
      <c r="D3430" t="inlineStr">
        <is>
          <t>-182K39.7</t>
        </is>
      </c>
      <c r="E3430" t="inlineStr">
        <is>
          <t>DIL_EM-10-G</t>
        </is>
      </c>
      <c r="F3430" t="inlineStr">
        <is>
          <t>#KALK!</t>
        </is>
      </c>
      <c r="G3430" t="inlineStr">
        <is>
          <t>LASTSCHUETZ</t>
        </is>
      </c>
      <c r="H3430" t="inlineStr">
        <is>
          <t>4kW 1S</t>
        </is>
      </c>
      <c r="I3430">
        <v>404</v>
      </c>
      <c r="J3430">
        <f>GS16/182.7</f>
        <v>0</v>
      </c>
      <c r="M3430" t="inlineStr">
        <is>
          <t>-182K39.7</t>
        </is>
      </c>
    </row>
    <row r="3431">
      <c r="A3431">
        <v>3430</v>
      </c>
      <c r="B3431">
        <f>GS11</f>
        <v>0</v>
      </c>
      <c r="C3431" t="inlineStr">
        <is>
          <t>+LS4</t>
        </is>
      </c>
      <c r="D3431" t="inlineStr">
        <is>
          <t>-182K42.5</t>
        </is>
      </c>
      <c r="E3431" t="inlineStr">
        <is>
          <t>DIL_EM-10-G</t>
        </is>
      </c>
      <c r="F3431" t="inlineStr">
        <is>
          <t>#KALK!</t>
        </is>
      </c>
      <c r="G3431" t="inlineStr">
        <is>
          <t>LASTSCHUETZ</t>
        </is>
      </c>
      <c r="H3431" t="inlineStr">
        <is>
          <t>4kW 1S</t>
        </is>
      </c>
      <c r="I3431">
        <v>293</v>
      </c>
      <c r="J3431">
        <f>GS11/182.7</f>
        <v>0</v>
      </c>
      <c r="M3431" t="inlineStr">
        <is>
          <t>-182K42.5</t>
        </is>
      </c>
    </row>
    <row r="3432">
      <c r="A3432">
        <v>3431</v>
      </c>
      <c r="B3432">
        <f>GS21</f>
        <v>0</v>
      </c>
      <c r="C3432" t="inlineStr">
        <is>
          <t>+LS4</t>
        </is>
      </c>
      <c r="D3432" t="inlineStr">
        <is>
          <t>-182K42.5</t>
        </is>
      </c>
      <c r="E3432" t="inlineStr">
        <is>
          <t>DIL_EM-10-G</t>
        </is>
      </c>
      <c r="F3432" t="inlineStr">
        <is>
          <t>#KALK!</t>
        </is>
      </c>
      <c r="G3432" t="inlineStr">
        <is>
          <t>LASTSCHUETZ</t>
        </is>
      </c>
      <c r="H3432" t="inlineStr">
        <is>
          <t>4kW 1S</t>
        </is>
      </c>
      <c r="I3432">
        <v>267</v>
      </c>
      <c r="J3432">
        <f>GS21/182.7</f>
        <v>0</v>
      </c>
      <c r="M3432" t="inlineStr">
        <is>
          <t>-182K42.5</t>
        </is>
      </c>
    </row>
    <row r="3433">
      <c r="A3433">
        <v>3432</v>
      </c>
      <c r="B3433">
        <f>GS23</f>
        <v>0</v>
      </c>
      <c r="C3433" t="inlineStr">
        <is>
          <t>+LS3</t>
        </is>
      </c>
      <c r="D3433" t="inlineStr">
        <is>
          <t>-182K63.2</t>
        </is>
      </c>
      <c r="E3433" t="inlineStr">
        <is>
          <t>DIL_EM-10-G</t>
        </is>
      </c>
      <c r="F3433" t="inlineStr">
        <is>
          <t>#KALK!</t>
        </is>
      </c>
      <c r="G3433" t="inlineStr">
        <is>
          <t>LASTSCHUETZ</t>
        </is>
      </c>
      <c r="H3433" t="inlineStr">
        <is>
          <t>4kW 1S</t>
        </is>
      </c>
      <c r="I3433">
        <v>481</v>
      </c>
      <c r="J3433">
        <f>GS23/182.6</f>
        <v>0</v>
      </c>
      <c r="M3433" t="inlineStr">
        <is>
          <t>-182K63.2</t>
        </is>
      </c>
    </row>
    <row r="3434">
      <c r="A3434">
        <v>3433</v>
      </c>
      <c r="B3434">
        <f>GS23</f>
        <v>0</v>
      </c>
      <c r="C3434" t="inlineStr">
        <is>
          <t>+LS3</t>
        </is>
      </c>
      <c r="D3434" t="inlineStr">
        <is>
          <t>-182K63.3</t>
        </is>
      </c>
      <c r="E3434" t="inlineStr">
        <is>
          <t>DIL_EM-10-G</t>
        </is>
      </c>
      <c r="F3434" t="inlineStr">
        <is>
          <t>#KALK!</t>
        </is>
      </c>
      <c r="G3434" t="inlineStr">
        <is>
          <t>LASTSCHUETZ</t>
        </is>
      </c>
      <c r="H3434" t="inlineStr">
        <is>
          <t>4kW 1S</t>
        </is>
      </c>
      <c r="I3434">
        <v>481</v>
      </c>
      <c r="J3434">
        <f>GS23/182.6</f>
        <v>0</v>
      </c>
      <c r="M3434" t="inlineStr">
        <is>
          <t>-182K63.3</t>
        </is>
      </c>
    </row>
    <row r="3435">
      <c r="A3435">
        <v>3434</v>
      </c>
      <c r="B3435">
        <f>GS36</f>
        <v>0</v>
      </c>
      <c r="C3435" t="inlineStr">
        <is>
          <t>+LS03</t>
        </is>
      </c>
      <c r="D3435" t="inlineStr">
        <is>
          <t>-188K2</t>
        </is>
      </c>
      <c r="E3435" t="inlineStr">
        <is>
          <t>DILM-9-01</t>
        </is>
      </c>
      <c r="F3435" t="inlineStr">
        <is>
          <t>#KALK!</t>
        </is>
      </c>
      <c r="G3435" t="inlineStr">
        <is>
          <t>LASTSCHUETZ</t>
        </is>
      </c>
      <c r="H3435" t="inlineStr">
        <is>
          <t>4kW 1Oe Federzugkl.</t>
        </is>
      </c>
      <c r="I3435">
        <v>361</v>
      </c>
      <c r="J3435">
        <f>GS36/188.7</f>
        <v>0</v>
      </c>
      <c r="L3435" t="inlineStr">
        <is>
          <t>Lichtvorhang KF</t>
        </is>
      </c>
      <c r="M3435" t="inlineStr">
        <is>
          <t>Lichtvorhang KF
-188K2</t>
        </is>
      </c>
    </row>
    <row r="3436">
      <c r="A3436">
        <v>3435</v>
      </c>
      <c r="B3436">
        <f>GS37</f>
        <v>0</v>
      </c>
      <c r="C3436" t="inlineStr">
        <is>
          <t>+LS03</t>
        </is>
      </c>
      <c r="D3436" t="inlineStr">
        <is>
          <t>-182Q430.3</t>
        </is>
      </c>
      <c r="E3436" t="inlineStr">
        <is>
          <t>DILMC12-10(24VDC)</t>
        </is>
      </c>
      <c r="F3436" t="inlineStr">
        <is>
          <t>#KALK!</t>
        </is>
      </c>
      <c r="G3436" t="inlineStr">
        <is>
          <t>LASTSCHUETZ</t>
        </is>
      </c>
      <c r="H3436" t="inlineStr">
        <is>
          <t>5,5kW 1S Federzugkl.</t>
        </is>
      </c>
      <c r="I3436">
        <v>324</v>
      </c>
      <c r="J3436">
        <f>GS37/182.5</f>
        <v>0</v>
      </c>
      <c r="K3436" t="inlineStr">
        <is>
          <t>DILMC12</t>
        </is>
      </c>
      <c r="M3436" t="inlineStr">
        <is>
          <t>-182Q430.3</t>
        </is>
      </c>
    </row>
    <row r="3437">
      <c r="A3437">
        <v>3436</v>
      </c>
      <c r="B3437">
        <f>GS91</f>
        <v>0</v>
      </c>
      <c r="C3437" t="inlineStr">
        <is>
          <t>+LS02</t>
        </is>
      </c>
      <c r="D3437" t="inlineStr">
        <is>
          <t>-182Q446.7</t>
        </is>
      </c>
      <c r="E3437" t="inlineStr">
        <is>
          <t>DILM-9-10</t>
        </is>
      </c>
      <c r="F3437" t="inlineStr">
        <is>
          <t>#KALK!</t>
        </is>
      </c>
      <c r="G3437" t="inlineStr">
        <is>
          <t>LASTSCHUETZ</t>
        </is>
      </c>
      <c r="H3437" t="inlineStr">
        <is>
          <t>4kW 1S Federzugkl.</t>
        </is>
      </c>
      <c r="I3437">
        <v>326</v>
      </c>
      <c r="J3437">
        <f>GS91/182.5</f>
        <v>0</v>
      </c>
      <c r="M3437" t="inlineStr">
        <is>
          <t>-182Q446.7</t>
        </is>
      </c>
    </row>
    <row r="3438">
      <c r="A3438">
        <v>3437</v>
      </c>
      <c r="B3438">
        <f>GS93</f>
        <v>0</v>
      </c>
      <c r="C3438" t="inlineStr">
        <is>
          <t>+LS19</t>
        </is>
      </c>
      <c r="D3438" t="inlineStr">
        <is>
          <t>-1835K1327.0</t>
        </is>
      </c>
      <c r="E3438" t="inlineStr">
        <is>
          <t>DILA-40</t>
        </is>
      </c>
      <c r="F3438" t="inlineStr">
        <is>
          <t>#KALK!</t>
        </is>
      </c>
      <c r="G3438" t="inlineStr">
        <is>
          <t>HILFSSCHUETZ</t>
        </is>
      </c>
      <c r="H3438" t="inlineStr">
        <is>
          <t>4S Federzugkl.</t>
        </is>
      </c>
      <c r="I3438">
        <v>2417</v>
      </c>
      <c r="J3438">
        <f>GS93/1835.7</f>
        <v>0</v>
      </c>
      <c r="M3438" t="inlineStr">
        <is>
          <t>-1835K1327.0</t>
        </is>
      </c>
    </row>
    <row r="3439">
      <c r="A3439">
        <v>3438</v>
      </c>
      <c r="B3439">
        <f>GS93</f>
        <v>0</v>
      </c>
      <c r="C3439" t="inlineStr">
        <is>
          <t>+LS19</t>
        </is>
      </c>
      <c r="D3439" t="inlineStr">
        <is>
          <t>-1835Q1</t>
        </is>
      </c>
      <c r="E3439" t="inlineStr">
        <is>
          <t>DILA-XHI22</t>
        </is>
      </c>
      <c r="F3439" t="inlineStr">
        <is>
          <t>DILA-XHI22</t>
        </is>
      </c>
      <c r="G3439" t="inlineStr">
        <is>
          <t>HILFSKONTAKTBLOCK</t>
        </is>
      </c>
      <c r="H3439" t="inlineStr">
        <is>
          <t>2S 2OE Last+Hilfssch. Cage</t>
        </is>
      </c>
      <c r="I3439">
        <v>2417</v>
      </c>
      <c r="J3439">
        <f>GS93/1835.4</f>
        <v>0</v>
      </c>
      <c r="K3439" t="inlineStr">
        <is>
          <t>DIL MC25</t>
        </is>
      </c>
      <c r="M3439" t="inlineStr">
        <is>
          <t>-1835Q1</t>
        </is>
      </c>
    </row>
    <row r="3440">
      <c r="A3440">
        <v>3439</v>
      </c>
      <c r="B3440">
        <f>GS93</f>
        <v>0</v>
      </c>
      <c r="C3440" t="inlineStr">
        <is>
          <t>+LS19</t>
        </is>
      </c>
      <c r="D3440" t="inlineStr">
        <is>
          <t>-1835Q1</t>
        </is>
      </c>
      <c r="E3440" t="inlineStr">
        <is>
          <t>DILMC25-10(RDC24)</t>
        </is>
      </c>
      <c r="F3440" t="inlineStr">
        <is>
          <t>DILA-XHI22</t>
        </is>
      </c>
      <c r="G3440" t="inlineStr">
        <is>
          <t>LASTSCHUETZ</t>
        </is>
      </c>
      <c r="H3440" t="inlineStr">
        <is>
          <t>11kW 1S Federzugkl.</t>
        </is>
      </c>
      <c r="I3440">
        <v>2417</v>
      </c>
      <c r="J3440">
        <f>GS93/1835.4</f>
        <v>0</v>
      </c>
      <c r="K3440" t="inlineStr">
        <is>
          <t>DIL MC25</t>
        </is>
      </c>
      <c r="M3440" t="inlineStr">
        <is>
          <t>-1835Q1</t>
        </is>
      </c>
    </row>
    <row r="3441">
      <c r="A3441">
        <v>3440</v>
      </c>
      <c r="B3441">
        <f>GS13</f>
        <v>0</v>
      </c>
      <c r="C3441" t="inlineStr">
        <is>
          <t>+LS3</t>
        </is>
      </c>
      <c r="D3441" t="inlineStr">
        <is>
          <t>-18363.4</t>
        </is>
      </c>
      <c r="E3441" t="inlineStr">
        <is>
          <t>DIL_EM-10-G</t>
        </is>
      </c>
      <c r="F3441" t="inlineStr">
        <is>
          <t>#KALK!</t>
        </is>
      </c>
      <c r="G3441" t="inlineStr">
        <is>
          <t>LASTSCHUETZ</t>
        </is>
      </c>
      <c r="H3441" t="inlineStr">
        <is>
          <t>4kW 1S</t>
        </is>
      </c>
      <c r="I3441">
        <v>423</v>
      </c>
      <c r="J3441">
        <f>GS13/183.6</f>
        <v>0</v>
      </c>
      <c r="M3441" t="inlineStr">
        <is>
          <t>-18363.4</t>
        </is>
      </c>
    </row>
    <row r="3442">
      <c r="A3442">
        <v>3441</v>
      </c>
      <c r="B3442">
        <f>GS13</f>
        <v>0</v>
      </c>
      <c r="C3442" t="inlineStr">
        <is>
          <t>+LS3</t>
        </is>
      </c>
      <c r="D3442" t="inlineStr">
        <is>
          <t>-18363.5</t>
        </is>
      </c>
      <c r="E3442" t="inlineStr">
        <is>
          <t>DIL_EM-10-G</t>
        </is>
      </c>
      <c r="F3442" t="inlineStr">
        <is>
          <t>#KALK!</t>
        </is>
      </c>
      <c r="G3442" t="inlineStr">
        <is>
          <t>LASTSCHUETZ</t>
        </is>
      </c>
      <c r="H3442" t="inlineStr">
        <is>
          <t>4kW 1S</t>
        </is>
      </c>
      <c r="I3442">
        <v>423</v>
      </c>
      <c r="J3442">
        <f>GS13/183.6</f>
        <v>0</v>
      </c>
      <c r="M3442" t="inlineStr">
        <is>
          <t>-18363.5</t>
        </is>
      </c>
    </row>
    <row r="3443">
      <c r="A3443">
        <v>3442</v>
      </c>
      <c r="B3443">
        <f>GS06</f>
        <v>0</v>
      </c>
      <c r="C3443" t="inlineStr">
        <is>
          <t>+LS23</t>
        </is>
      </c>
      <c r="D3443" t="inlineStr">
        <is>
          <t>-1836K1</t>
        </is>
      </c>
      <c r="E3443" t="inlineStr">
        <is>
          <t>DILM-9-01</t>
        </is>
      </c>
      <c r="F3443" t="inlineStr">
        <is>
          <t>#KALK!</t>
        </is>
      </c>
      <c r="G3443" t="inlineStr">
        <is>
          <t>LASTSCHUETZ</t>
        </is>
      </c>
      <c r="H3443" t="inlineStr">
        <is>
          <t>4kW 1Oe Federzugkl.</t>
        </is>
      </c>
      <c r="I3443">
        <v>4457</v>
      </c>
      <c r="J3443">
        <f>GS06/1836.6</f>
        <v>0</v>
      </c>
      <c r="M3443" t="inlineStr">
        <is>
          <t>-1836K1</t>
        </is>
      </c>
    </row>
    <row r="3444">
      <c r="A3444">
        <v>3443</v>
      </c>
      <c r="B3444">
        <f>GS06</f>
        <v>0</v>
      </c>
      <c r="C3444" t="inlineStr">
        <is>
          <t>+LS23</t>
        </is>
      </c>
      <c r="D3444" t="inlineStr">
        <is>
          <t>-1836K2</t>
        </is>
      </c>
      <c r="E3444" t="inlineStr">
        <is>
          <t>DILM-9-01</t>
        </is>
      </c>
      <c r="F3444" t="inlineStr">
        <is>
          <t>#KALK!</t>
        </is>
      </c>
      <c r="G3444" t="inlineStr">
        <is>
          <t>LASTSCHUETZ</t>
        </is>
      </c>
      <c r="H3444" t="inlineStr">
        <is>
          <t>4kW 1Oe Federzugkl.</t>
        </is>
      </c>
      <c r="I3444">
        <v>4457</v>
      </c>
      <c r="J3444">
        <f>GS06/1836.7</f>
        <v>0</v>
      </c>
      <c r="M3444" t="inlineStr">
        <is>
          <t>-1836K2</t>
        </is>
      </c>
    </row>
    <row r="3445">
      <c r="A3445">
        <v>3444</v>
      </c>
      <c r="B3445">
        <f>GS06</f>
        <v>0</v>
      </c>
      <c r="C3445" t="inlineStr">
        <is>
          <t>+LS23</t>
        </is>
      </c>
      <c r="D3445" t="inlineStr">
        <is>
          <t>-1837K1</t>
        </is>
      </c>
      <c r="E3445" t="inlineStr">
        <is>
          <t>DILM-9-01</t>
        </is>
      </c>
      <c r="F3445" t="inlineStr">
        <is>
          <t>#KALK!</t>
        </is>
      </c>
      <c r="G3445" t="inlineStr">
        <is>
          <t>LASTSCHUETZ</t>
        </is>
      </c>
      <c r="H3445" t="inlineStr">
        <is>
          <t>4kW 1Oe Federzugkl.</t>
        </is>
      </c>
      <c r="I3445">
        <v>4458</v>
      </c>
      <c r="J3445">
        <f>GS06/1837.6</f>
        <v>0</v>
      </c>
      <c r="M3445" t="inlineStr">
        <is>
          <t>-1837K1</t>
        </is>
      </c>
    </row>
    <row r="3446">
      <c r="A3446">
        <v>3445</v>
      </c>
      <c r="B3446">
        <f>GS06</f>
        <v>0</v>
      </c>
      <c r="C3446" t="inlineStr">
        <is>
          <t>+LS23</t>
        </is>
      </c>
      <c r="D3446" t="inlineStr">
        <is>
          <t>-1837K2</t>
        </is>
      </c>
      <c r="E3446" t="inlineStr">
        <is>
          <t>DILM-9-01</t>
        </is>
      </c>
      <c r="F3446" t="inlineStr">
        <is>
          <t>#KALK!</t>
        </is>
      </c>
      <c r="G3446" t="inlineStr">
        <is>
          <t>LASTSCHUETZ</t>
        </is>
      </c>
      <c r="H3446" t="inlineStr">
        <is>
          <t>4kW 1Oe Federzugkl.</t>
        </is>
      </c>
      <c r="I3446">
        <v>4458</v>
      </c>
      <c r="J3446">
        <f>GS06/1837.7</f>
        <v>0</v>
      </c>
      <c r="M3446" t="inlineStr">
        <is>
          <t>-1837K2</t>
        </is>
      </c>
    </row>
    <row r="3447">
      <c r="A3447">
        <v>3446</v>
      </c>
      <c r="B3447">
        <f>GS93</f>
        <v>0</v>
      </c>
      <c r="C3447" t="inlineStr">
        <is>
          <t>+LS19</t>
        </is>
      </c>
      <c r="D3447" t="inlineStr">
        <is>
          <t>-1837Q1327.3</t>
        </is>
      </c>
      <c r="E3447" t="inlineStr">
        <is>
          <t>DILM-9-10</t>
        </is>
      </c>
      <c r="F3447" t="inlineStr">
        <is>
          <t>#KALK!</t>
        </is>
      </c>
      <c r="G3447" t="inlineStr">
        <is>
          <t>LASTSCHUETZ</t>
        </is>
      </c>
      <c r="H3447" t="inlineStr">
        <is>
          <t>4kW 1S Federzugkl.</t>
        </is>
      </c>
      <c r="I3447">
        <v>2415</v>
      </c>
      <c r="J3447">
        <f>GS93/1837.5</f>
        <v>0</v>
      </c>
      <c r="M3447" t="inlineStr">
        <is>
          <t>-1837Q1327.3</t>
        </is>
      </c>
    </row>
    <row r="3448">
      <c r="A3448">
        <v>3447</v>
      </c>
      <c r="B3448">
        <f>GS06</f>
        <v>0</v>
      </c>
      <c r="C3448" t="inlineStr">
        <is>
          <t>+LS23</t>
        </is>
      </c>
      <c r="D3448" t="inlineStr">
        <is>
          <t>-1838K1619.0</t>
        </is>
      </c>
      <c r="E3448" t="inlineStr">
        <is>
          <t>DILA-40</t>
        </is>
      </c>
      <c r="F3448" t="inlineStr">
        <is>
          <t>DILA-XHI22</t>
        </is>
      </c>
      <c r="G3448" t="inlineStr">
        <is>
          <t>HILFSSCHUETZ</t>
        </is>
      </c>
      <c r="H3448" t="inlineStr">
        <is>
          <t>4S Federzugkl.</t>
        </is>
      </c>
      <c r="I3448">
        <v>4459</v>
      </c>
      <c r="J3448">
        <f>GS06/1838.7</f>
        <v>0</v>
      </c>
      <c r="M3448" t="inlineStr">
        <is>
          <t>-1838K1619.0</t>
        </is>
      </c>
    </row>
    <row r="3449">
      <c r="A3449">
        <v>3448</v>
      </c>
      <c r="B3449">
        <f>GS06</f>
        <v>0</v>
      </c>
      <c r="C3449" t="inlineStr">
        <is>
          <t>+LS23</t>
        </is>
      </c>
      <c r="D3449" t="inlineStr">
        <is>
          <t>-1838K1619.0</t>
        </is>
      </c>
      <c r="E3449" t="inlineStr">
        <is>
          <t>DILA-XHI22</t>
        </is>
      </c>
      <c r="F3449" t="inlineStr">
        <is>
          <t>DILA-XHI22</t>
        </is>
      </c>
      <c r="G3449" t="inlineStr">
        <is>
          <t>HILFSKONTAKTBLOCK</t>
        </is>
      </c>
      <c r="H3449" t="inlineStr">
        <is>
          <t>2S 2OE Last+Hilfssch. Cage</t>
        </is>
      </c>
      <c r="I3449">
        <v>4459</v>
      </c>
      <c r="J3449">
        <f>GS06/1838.7</f>
        <v>0</v>
      </c>
      <c r="M3449" t="inlineStr">
        <is>
          <t>-1838K1619.0</t>
        </is>
      </c>
    </row>
    <row r="3450">
      <c r="A3450">
        <v>3449</v>
      </c>
      <c r="B3450">
        <f>GS16</f>
        <v>0</v>
      </c>
      <c r="C3450" t="inlineStr">
        <is>
          <t>+LS3</t>
        </is>
      </c>
      <c r="D3450" t="inlineStr">
        <is>
          <t>-183K1</t>
        </is>
      </c>
      <c r="E3450" t="inlineStr">
        <is>
          <t>DIL_EM-01-G</t>
        </is>
      </c>
      <c r="F3450" t="inlineStr">
        <is>
          <t>#KALK!</t>
        </is>
      </c>
      <c r="G3450" t="inlineStr">
        <is>
          <t>LASTSCHUETZ</t>
        </is>
      </c>
      <c r="H3450" t="inlineStr">
        <is>
          <t>4kW 1OE</t>
        </is>
      </c>
      <c r="I3450">
        <v>405</v>
      </c>
      <c r="J3450">
        <f>GS16/183.7</f>
        <v>0</v>
      </c>
      <c r="M3450" t="inlineStr">
        <is>
          <t>-183K1</t>
        </is>
      </c>
    </row>
    <row r="3451">
      <c r="A3451">
        <v>3450</v>
      </c>
      <c r="B3451">
        <f>GS16</f>
        <v>0</v>
      </c>
      <c r="C3451" t="inlineStr">
        <is>
          <t>+LS3</t>
        </is>
      </c>
      <c r="D3451" t="inlineStr">
        <is>
          <t>-183K2</t>
        </is>
      </c>
      <c r="E3451" t="inlineStr">
        <is>
          <t>DIL_EM-01-G</t>
        </is>
      </c>
      <c r="F3451" t="inlineStr">
        <is>
          <t>#KALK!</t>
        </is>
      </c>
      <c r="G3451" t="inlineStr">
        <is>
          <t>LASTSCHUETZ</t>
        </is>
      </c>
      <c r="H3451" t="inlineStr">
        <is>
          <t>4kW 1OE</t>
        </is>
      </c>
      <c r="I3451">
        <v>405</v>
      </c>
      <c r="J3451">
        <f>GS16/183.7</f>
        <v>0</v>
      </c>
      <c r="M3451" t="inlineStr">
        <is>
          <t>-183K2</t>
        </is>
      </c>
    </row>
    <row r="3452">
      <c r="A3452">
        <v>3451</v>
      </c>
      <c r="B3452">
        <f>GC22</f>
        <v>0</v>
      </c>
      <c r="C3452" t="inlineStr">
        <is>
          <t>+LS2</t>
        </is>
      </c>
      <c r="D3452" t="inlineStr">
        <is>
          <t>-183K23.3</t>
        </is>
      </c>
      <c r="E3452" t="inlineStr">
        <is>
          <t>DIL_EM-10-G</t>
        </is>
      </c>
      <c r="F3452" t="inlineStr">
        <is>
          <t>#KALK!</t>
        </is>
      </c>
      <c r="G3452" t="inlineStr">
        <is>
          <t>LASTSCHUETZ</t>
        </is>
      </c>
      <c r="H3452" t="inlineStr">
        <is>
          <t>4kW 1S</t>
        </is>
      </c>
      <c r="I3452">
        <v>396</v>
      </c>
      <c r="J3452">
        <f>GC22/183.7</f>
        <v>0</v>
      </c>
      <c r="M3452" t="inlineStr">
        <is>
          <t>-183K23.3</t>
        </is>
      </c>
    </row>
    <row r="3453">
      <c r="A3453">
        <v>3452</v>
      </c>
      <c r="B3453">
        <f>GS12</f>
        <v>0</v>
      </c>
      <c r="C3453" t="inlineStr">
        <is>
          <t>+LS2</t>
        </is>
      </c>
      <c r="D3453" t="inlineStr">
        <is>
          <t>-183K23.3</t>
        </is>
      </c>
      <c r="E3453" t="inlineStr">
        <is>
          <t>DIL_EM-10-G</t>
        </is>
      </c>
      <c r="F3453" t="inlineStr">
        <is>
          <t>#KALK!</t>
        </is>
      </c>
      <c r="G3453" t="inlineStr">
        <is>
          <t>LASTSCHUETZ</t>
        </is>
      </c>
      <c r="H3453" t="inlineStr">
        <is>
          <t>4kW 1S</t>
        </is>
      </c>
      <c r="I3453">
        <v>315</v>
      </c>
      <c r="J3453">
        <f>GS12/183.7</f>
        <v>0</v>
      </c>
      <c r="M3453" t="inlineStr">
        <is>
          <t>-183K23.3</t>
        </is>
      </c>
    </row>
    <row r="3454">
      <c r="A3454">
        <v>3453</v>
      </c>
      <c r="B3454">
        <f>GS34</f>
        <v>0</v>
      </c>
      <c r="C3454" t="inlineStr">
        <is>
          <t>+LS3</t>
        </is>
      </c>
      <c r="D3454" t="inlineStr">
        <is>
          <t>-183K28.3</t>
        </is>
      </c>
      <c r="E3454" t="inlineStr">
        <is>
          <t>DIL_EM-10-G</t>
        </is>
      </c>
      <c r="F3454" t="inlineStr">
        <is>
          <t>#KALK!</t>
        </is>
      </c>
      <c r="G3454" t="inlineStr">
        <is>
          <t>LASTSCHUETZ</t>
        </is>
      </c>
      <c r="H3454" t="inlineStr">
        <is>
          <t>4kW 1S</t>
        </is>
      </c>
      <c r="I3454">
        <v>307</v>
      </c>
      <c r="J3454">
        <f>GS34/183.7</f>
        <v>0</v>
      </c>
      <c r="M3454" t="inlineStr">
        <is>
          <t>-183K28.3</t>
        </is>
      </c>
    </row>
    <row r="3455">
      <c r="A3455">
        <v>3454</v>
      </c>
      <c r="B3455">
        <f>GS02</f>
        <v>0</v>
      </c>
      <c r="C3455" t="inlineStr">
        <is>
          <t>+LS2</t>
        </is>
      </c>
      <c r="D3455" t="inlineStr">
        <is>
          <t>-183K28.6</t>
        </is>
      </c>
      <c r="E3455" t="inlineStr">
        <is>
          <t>DIL_EM-10-G</t>
        </is>
      </c>
      <c r="F3455" t="inlineStr">
        <is>
          <t>#KALK!</t>
        </is>
      </c>
      <c r="G3455" t="inlineStr">
        <is>
          <t>LASTSCHUETZ</t>
        </is>
      </c>
      <c r="H3455" t="inlineStr">
        <is>
          <t>4kW 1S</t>
        </is>
      </c>
      <c r="I3455">
        <v>584</v>
      </c>
      <c r="J3455">
        <f>GS02/183.6</f>
        <v>0</v>
      </c>
      <c r="M3455" t="inlineStr">
        <is>
          <t>-183K28.6</t>
        </is>
      </c>
    </row>
    <row r="3456">
      <c r="A3456">
        <v>3455</v>
      </c>
      <c r="B3456">
        <f>GS11</f>
        <v>0</v>
      </c>
      <c r="C3456" t="inlineStr">
        <is>
          <t>+LS4</t>
        </is>
      </c>
      <c r="D3456" t="inlineStr">
        <is>
          <t>-183K43.1</t>
        </is>
      </c>
      <c r="E3456" t="inlineStr">
        <is>
          <t>DIL_EM-10-G</t>
        </is>
      </c>
      <c r="F3456" t="inlineStr">
        <is>
          <t>#KALK!</t>
        </is>
      </c>
      <c r="G3456" t="inlineStr">
        <is>
          <t>LASTSCHUETZ</t>
        </is>
      </c>
      <c r="H3456" t="inlineStr">
        <is>
          <t>4kW 1S</t>
        </is>
      </c>
      <c r="I3456">
        <v>294</v>
      </c>
      <c r="J3456">
        <f>GS11/183.7</f>
        <v>0</v>
      </c>
      <c r="M3456" t="inlineStr">
        <is>
          <t>-183K43.1</t>
        </is>
      </c>
    </row>
    <row r="3457">
      <c r="A3457">
        <v>3456</v>
      </c>
      <c r="B3457">
        <f>GS21</f>
        <v>0</v>
      </c>
      <c r="C3457" t="inlineStr">
        <is>
          <t>+LS4</t>
        </is>
      </c>
      <c r="D3457" t="inlineStr">
        <is>
          <t>-183K43.1</t>
        </is>
      </c>
      <c r="E3457" t="inlineStr">
        <is>
          <t>DIL_EM-10-G</t>
        </is>
      </c>
      <c r="F3457" t="inlineStr">
        <is>
          <t>#KALK!</t>
        </is>
      </c>
      <c r="G3457" t="inlineStr">
        <is>
          <t>LASTSCHUETZ</t>
        </is>
      </c>
      <c r="H3457" t="inlineStr">
        <is>
          <t>4kW 1S</t>
        </is>
      </c>
      <c r="I3457">
        <v>268</v>
      </c>
      <c r="J3457">
        <f>GS21/183.7</f>
        <v>0</v>
      </c>
      <c r="M3457" t="inlineStr">
        <is>
          <t>-183K43.1</t>
        </is>
      </c>
    </row>
    <row r="3458">
      <c r="A3458">
        <v>3457</v>
      </c>
      <c r="B3458">
        <f>GS23</f>
        <v>0</v>
      </c>
      <c r="C3458" t="inlineStr">
        <is>
          <t>+LS3</t>
        </is>
      </c>
      <c r="D3458" t="inlineStr">
        <is>
          <t>-183K63.4</t>
        </is>
      </c>
      <c r="E3458" t="inlineStr">
        <is>
          <t>DIL_EM-10-G</t>
        </is>
      </c>
      <c r="F3458" t="inlineStr">
        <is>
          <t>#KALK!</t>
        </is>
      </c>
      <c r="G3458" t="inlineStr">
        <is>
          <t>LASTSCHUETZ</t>
        </is>
      </c>
      <c r="H3458" t="inlineStr">
        <is>
          <t>4kW 1S</t>
        </is>
      </c>
      <c r="I3458">
        <v>482</v>
      </c>
      <c r="J3458">
        <f>GS23/183.6</f>
        <v>0</v>
      </c>
      <c r="M3458" t="inlineStr">
        <is>
          <t>-183K63.4</t>
        </is>
      </c>
    </row>
    <row r="3459">
      <c r="A3459">
        <v>3458</v>
      </c>
      <c r="B3459">
        <f>GS23</f>
        <v>0</v>
      </c>
      <c r="C3459" t="inlineStr">
        <is>
          <t>+LS3</t>
        </is>
      </c>
      <c r="D3459" t="inlineStr">
        <is>
          <t>-183K63.5</t>
        </is>
      </c>
      <c r="E3459" t="inlineStr">
        <is>
          <t>DIL_EM-10-G</t>
        </is>
      </c>
      <c r="F3459" t="inlineStr">
        <is>
          <t>#KALK!</t>
        </is>
      </c>
      <c r="G3459" t="inlineStr">
        <is>
          <t>LASTSCHUETZ</t>
        </is>
      </c>
      <c r="H3459" t="inlineStr">
        <is>
          <t>4kW 1S</t>
        </is>
      </c>
      <c r="I3459">
        <v>482</v>
      </c>
      <c r="J3459">
        <f>GS23/183.6</f>
        <v>0</v>
      </c>
      <c r="M3459" t="inlineStr">
        <is>
          <t>-183K63.5</t>
        </is>
      </c>
    </row>
    <row r="3460">
      <c r="A3460">
        <v>3459</v>
      </c>
      <c r="B3460">
        <f>GS51</f>
        <v>0</v>
      </c>
      <c r="C3460" t="inlineStr">
        <is>
          <t>+LS02</t>
        </is>
      </c>
      <c r="D3460" t="inlineStr">
        <is>
          <t>-183Q117.3</t>
        </is>
      </c>
      <c r="E3460" t="inlineStr">
        <is>
          <t>DILM-9-10</t>
        </is>
      </c>
      <c r="F3460" t="inlineStr">
        <is>
          <t>#KALK!</t>
        </is>
      </c>
      <c r="G3460" t="inlineStr">
        <is>
          <t>LASTSCHUETZ</t>
        </is>
      </c>
      <c r="H3460" t="inlineStr">
        <is>
          <t>4kW 1S Federzugkl.</t>
        </is>
      </c>
      <c r="I3460">
        <v>371</v>
      </c>
      <c r="J3460">
        <f>GS51/183.6</f>
        <v>0</v>
      </c>
      <c r="K3460" t="inlineStr">
        <is>
          <t>DIL MC9</t>
        </is>
      </c>
      <c r="M3460" t="inlineStr">
        <is>
          <t>-183Q117.3</t>
        </is>
      </c>
    </row>
    <row r="3461">
      <c r="A3461">
        <v>3460</v>
      </c>
      <c r="B3461">
        <f>GS32</f>
        <v>0</v>
      </c>
      <c r="C3461" t="inlineStr">
        <is>
          <t>+LS3</t>
        </is>
      </c>
      <c r="D3461" t="inlineStr">
        <is>
          <t>-184.1K37.2</t>
        </is>
      </c>
      <c r="E3461" t="inlineStr">
        <is>
          <t>DILM-9-01</t>
        </is>
      </c>
      <c r="F3461" t="inlineStr">
        <is>
          <t>#KALK!</t>
        </is>
      </c>
      <c r="G3461" t="inlineStr">
        <is>
          <t>LASTSCHUETZ</t>
        </is>
      </c>
      <c r="H3461" t="inlineStr">
        <is>
          <t>4kW 1Oe Federzugkl.</t>
        </is>
      </c>
      <c r="I3461">
        <v>1068</v>
      </c>
      <c r="J3461">
        <f>GS32/184.1.6</f>
        <v>0</v>
      </c>
      <c r="M3461" t="inlineStr">
        <is>
          <t>-184.1K37.2</t>
        </is>
      </c>
    </row>
    <row r="3462">
      <c r="A3462">
        <v>3461</v>
      </c>
      <c r="B3462">
        <f>GS32</f>
        <v>0</v>
      </c>
      <c r="C3462" t="inlineStr">
        <is>
          <t>+LS3</t>
        </is>
      </c>
      <c r="D3462" t="inlineStr">
        <is>
          <t>-184.1K37.3</t>
        </is>
      </c>
      <c r="E3462" t="inlineStr">
        <is>
          <t>DILM-9-01</t>
        </is>
      </c>
      <c r="F3462" t="inlineStr">
        <is>
          <t>#KALK!</t>
        </is>
      </c>
      <c r="G3462" t="inlineStr">
        <is>
          <t>LASTSCHUETZ</t>
        </is>
      </c>
      <c r="H3462" t="inlineStr">
        <is>
          <t>4kW 1Oe Federzugkl.</t>
        </is>
      </c>
      <c r="I3462">
        <v>1068</v>
      </c>
      <c r="J3462">
        <f>GS32/184.1.7</f>
        <v>0</v>
      </c>
      <c r="M3462" t="inlineStr">
        <is>
          <t>-184.1K37.3</t>
        </is>
      </c>
    </row>
    <row r="3463">
      <c r="A3463">
        <v>3462</v>
      </c>
      <c r="B3463">
        <f>GS93</f>
        <v>0</v>
      </c>
      <c r="C3463" t="inlineStr">
        <is>
          <t>+LS19</t>
        </is>
      </c>
      <c r="D3463" t="inlineStr">
        <is>
          <t>-1845K1328.4</t>
        </is>
      </c>
      <c r="E3463" t="inlineStr">
        <is>
          <t>DILA-40</t>
        </is>
      </c>
      <c r="F3463" t="inlineStr">
        <is>
          <t>#KALK!</t>
        </is>
      </c>
      <c r="G3463" t="inlineStr">
        <is>
          <t>HILFSSCHUETZ</t>
        </is>
      </c>
      <c r="H3463" t="inlineStr">
        <is>
          <t>4S Federzugkl.</t>
        </is>
      </c>
      <c r="I3463">
        <v>2357</v>
      </c>
      <c r="J3463">
        <f>GS93/1845.7</f>
        <v>0</v>
      </c>
      <c r="M3463" t="inlineStr">
        <is>
          <t>-1845K1328.4</t>
        </is>
      </c>
    </row>
    <row r="3464">
      <c r="A3464">
        <v>3463</v>
      </c>
      <c r="B3464">
        <f>GS93</f>
        <v>0</v>
      </c>
      <c r="C3464" t="inlineStr">
        <is>
          <t>+LS19</t>
        </is>
      </c>
      <c r="D3464" t="inlineStr">
        <is>
          <t>-1845Q1</t>
        </is>
      </c>
      <c r="E3464" t="inlineStr">
        <is>
          <t>DILA-XHI22</t>
        </is>
      </c>
      <c r="F3464" t="inlineStr">
        <is>
          <t>DILA-XHI22</t>
        </is>
      </c>
      <c r="G3464" t="inlineStr">
        <is>
          <t>HILFSKONTAKTBLOCK</t>
        </is>
      </c>
      <c r="H3464" t="inlineStr">
        <is>
          <t>2S 2OE Last+Hilfssch. Cage</t>
        </is>
      </c>
      <c r="I3464">
        <v>2357</v>
      </c>
      <c r="J3464">
        <f>GS93/1845.4</f>
        <v>0</v>
      </c>
      <c r="K3464" t="inlineStr">
        <is>
          <t>DIL MC25</t>
        </is>
      </c>
      <c r="M3464" t="inlineStr">
        <is>
          <t>-1845Q1</t>
        </is>
      </c>
    </row>
    <row r="3465">
      <c r="A3465">
        <v>3464</v>
      </c>
      <c r="B3465">
        <f>GS93</f>
        <v>0</v>
      </c>
      <c r="C3465" t="inlineStr">
        <is>
          <t>+LS19</t>
        </is>
      </c>
      <c r="D3465" t="inlineStr">
        <is>
          <t>-1845Q1</t>
        </is>
      </c>
      <c r="E3465" t="inlineStr">
        <is>
          <t>DILMC25-10(RDC24)</t>
        </is>
      </c>
      <c r="F3465" t="inlineStr">
        <is>
          <t>DILA-XHI22</t>
        </is>
      </c>
      <c r="G3465" t="inlineStr">
        <is>
          <t>LASTSCHUETZ</t>
        </is>
      </c>
      <c r="H3465" t="inlineStr">
        <is>
          <t>11kW 1S Federzugkl.</t>
        </is>
      </c>
      <c r="I3465">
        <v>2357</v>
      </c>
      <c r="J3465">
        <f>GS93/1845.4</f>
        <v>0</v>
      </c>
      <c r="K3465" t="inlineStr">
        <is>
          <t>DIL MC25</t>
        </is>
      </c>
      <c r="M3465" t="inlineStr">
        <is>
          <t>-1845Q1</t>
        </is>
      </c>
    </row>
    <row r="3466">
      <c r="A3466">
        <v>3465</v>
      </c>
      <c r="B3466">
        <f>GS13</f>
        <v>0</v>
      </c>
      <c r="C3466" t="inlineStr">
        <is>
          <t>+LS3</t>
        </is>
      </c>
      <c r="D3466" t="inlineStr">
        <is>
          <t>-18465.0</t>
        </is>
      </c>
      <c r="E3466" t="inlineStr">
        <is>
          <t>DIL_EM-10-G</t>
        </is>
      </c>
      <c r="F3466" t="inlineStr">
        <is>
          <t>#KALK!</t>
        </is>
      </c>
      <c r="G3466" t="inlineStr">
        <is>
          <t>LASTSCHUETZ</t>
        </is>
      </c>
      <c r="H3466" t="inlineStr">
        <is>
          <t>4kW 1S</t>
        </is>
      </c>
      <c r="I3466">
        <v>424</v>
      </c>
      <c r="J3466">
        <f>GS13/184.6</f>
        <v>0</v>
      </c>
      <c r="M3466" t="inlineStr">
        <is>
          <t>-18465.0</t>
        </is>
      </c>
    </row>
    <row r="3467">
      <c r="A3467">
        <v>3466</v>
      </c>
      <c r="B3467">
        <f>GS13</f>
        <v>0</v>
      </c>
      <c r="C3467" t="inlineStr">
        <is>
          <t>+LS3</t>
        </is>
      </c>
      <c r="D3467" t="inlineStr">
        <is>
          <t>-18465.1</t>
        </is>
      </c>
      <c r="E3467" t="inlineStr">
        <is>
          <t>DIL_EM-10-G</t>
        </is>
      </c>
      <c r="F3467" t="inlineStr">
        <is>
          <t>#KALK!</t>
        </is>
      </c>
      <c r="G3467" t="inlineStr">
        <is>
          <t>LASTSCHUETZ</t>
        </is>
      </c>
      <c r="H3467" t="inlineStr">
        <is>
          <t>4kW 1S</t>
        </is>
      </c>
      <c r="I3467">
        <v>424</v>
      </c>
      <c r="J3467">
        <f>GS13/184.6</f>
        <v>0</v>
      </c>
      <c r="M3467" t="inlineStr">
        <is>
          <t>-18465.1</t>
        </is>
      </c>
    </row>
    <row r="3468">
      <c r="A3468">
        <v>3467</v>
      </c>
      <c r="B3468">
        <f>GS93</f>
        <v>0</v>
      </c>
      <c r="C3468" t="inlineStr">
        <is>
          <t>+LS19</t>
        </is>
      </c>
      <c r="D3468" t="inlineStr">
        <is>
          <t>-1848Q1328.1</t>
        </is>
      </c>
      <c r="E3468" t="inlineStr">
        <is>
          <t>DILM-9-01</t>
        </is>
      </c>
      <c r="F3468" t="inlineStr">
        <is>
          <t>#KALK!</t>
        </is>
      </c>
      <c r="G3468" t="inlineStr">
        <is>
          <t>LASTSCHUETZ</t>
        </is>
      </c>
      <c r="H3468" t="inlineStr">
        <is>
          <t>4kW 1Oe Federzugkl.</t>
        </is>
      </c>
      <c r="I3468">
        <v>2444</v>
      </c>
      <c r="J3468">
        <f>GS93/1848.6</f>
        <v>0</v>
      </c>
      <c r="M3468" t="inlineStr">
        <is>
          <t>-1848Q1328.1</t>
        </is>
      </c>
    </row>
    <row r="3469">
      <c r="A3469">
        <v>3468</v>
      </c>
      <c r="B3469">
        <f>GC22</f>
        <v>0</v>
      </c>
      <c r="C3469" t="inlineStr">
        <is>
          <t>+LS2</t>
        </is>
      </c>
      <c r="D3469" t="inlineStr">
        <is>
          <t>-184K23.4</t>
        </is>
      </c>
      <c r="E3469" t="inlineStr">
        <is>
          <t>DILM-9-01</t>
        </is>
      </c>
      <c r="F3469" t="inlineStr">
        <is>
          <t>#KALK!</t>
        </is>
      </c>
      <c r="G3469" t="inlineStr">
        <is>
          <t>LASTSCHUETZ</t>
        </is>
      </c>
      <c r="H3469" t="inlineStr">
        <is>
          <t>4kW 1Oe Federzugkl.</t>
        </is>
      </c>
      <c r="I3469">
        <v>2100</v>
      </c>
      <c r="J3469">
        <f>GC22/184.6</f>
        <v>0</v>
      </c>
      <c r="M3469" t="inlineStr">
        <is>
          <t>-184K23.4</t>
        </is>
      </c>
    </row>
    <row r="3470">
      <c r="A3470">
        <v>3469</v>
      </c>
      <c r="B3470">
        <f>GS12</f>
        <v>0</v>
      </c>
      <c r="C3470" t="inlineStr">
        <is>
          <t>+LS2</t>
        </is>
      </c>
      <c r="D3470" t="inlineStr">
        <is>
          <t>-184K23.4</t>
        </is>
      </c>
      <c r="E3470" t="inlineStr">
        <is>
          <t>DILM-9-01</t>
        </is>
      </c>
      <c r="F3470" t="inlineStr">
        <is>
          <t>#KALK!</t>
        </is>
      </c>
      <c r="G3470" t="inlineStr">
        <is>
          <t>LASTSCHUETZ</t>
        </is>
      </c>
      <c r="H3470" t="inlineStr">
        <is>
          <t>4kW 1Oe Federzugkl.</t>
        </is>
      </c>
      <c r="I3470">
        <v>316</v>
      </c>
      <c r="J3470">
        <f>GS12/184.6</f>
        <v>0</v>
      </c>
      <c r="M3470" t="inlineStr">
        <is>
          <t>-184K23.4</t>
        </is>
      </c>
    </row>
    <row r="3471">
      <c r="A3471">
        <v>3470</v>
      </c>
      <c r="B3471">
        <f>GC22</f>
        <v>0</v>
      </c>
      <c r="C3471" t="inlineStr">
        <is>
          <t>+LS2</t>
        </is>
      </c>
      <c r="D3471" t="inlineStr">
        <is>
          <t>-184K23.5</t>
        </is>
      </c>
      <c r="E3471" t="inlineStr">
        <is>
          <t>DIL_EM-10-G</t>
        </is>
      </c>
      <c r="F3471" t="inlineStr">
        <is>
          <t>#KALK!</t>
        </is>
      </c>
      <c r="G3471" t="inlineStr">
        <is>
          <t>LASTSCHUETZ</t>
        </is>
      </c>
      <c r="H3471" t="inlineStr">
        <is>
          <t>4kW 1S</t>
        </is>
      </c>
      <c r="I3471">
        <v>2100</v>
      </c>
      <c r="J3471">
        <f>GC22/184.7</f>
        <v>0</v>
      </c>
      <c r="M3471" t="inlineStr">
        <is>
          <t>-184K23.5</t>
        </is>
      </c>
    </row>
    <row r="3472">
      <c r="A3472">
        <v>3471</v>
      </c>
      <c r="B3472">
        <f>GS12</f>
        <v>0</v>
      </c>
      <c r="C3472" t="inlineStr">
        <is>
          <t>+LS2</t>
        </is>
      </c>
      <c r="D3472" t="inlineStr">
        <is>
          <t>-184K23.5</t>
        </is>
      </c>
      <c r="E3472" t="inlineStr">
        <is>
          <t>DIL_EM-10-G</t>
        </is>
      </c>
      <c r="F3472" t="inlineStr">
        <is>
          <t>#KALK!</t>
        </is>
      </c>
      <c r="G3472" t="inlineStr">
        <is>
          <t>LASTSCHUETZ</t>
        </is>
      </c>
      <c r="H3472" t="inlineStr">
        <is>
          <t>4kW 1S</t>
        </is>
      </c>
      <c r="I3472">
        <v>316</v>
      </c>
      <c r="J3472">
        <f>GS12/184.7</f>
        <v>0</v>
      </c>
      <c r="M3472" t="inlineStr">
        <is>
          <t>-184K23.5</t>
        </is>
      </c>
    </row>
    <row r="3473">
      <c r="A3473">
        <v>3472</v>
      </c>
      <c r="B3473">
        <f>GC22</f>
        <v>0</v>
      </c>
      <c r="C3473" t="inlineStr">
        <is>
          <t>+LS2</t>
        </is>
      </c>
      <c r="D3473" t="inlineStr">
        <is>
          <t>-184K24.7</t>
        </is>
      </c>
      <c r="E3473" t="inlineStr">
        <is>
          <t>DILM-9-01</t>
        </is>
      </c>
      <c r="F3473" t="inlineStr">
        <is>
          <t>#KALK!</t>
        </is>
      </c>
      <c r="G3473" t="inlineStr">
        <is>
          <t>LASTSCHUETZ</t>
        </is>
      </c>
      <c r="H3473" t="inlineStr">
        <is>
          <t>4kW 1Oe Federzugkl.</t>
        </is>
      </c>
      <c r="I3473">
        <v>2100</v>
      </c>
      <c r="J3473">
        <f>GC22/184.6</f>
        <v>0</v>
      </c>
      <c r="M3473" t="inlineStr">
        <is>
          <t>-184K24.7</t>
        </is>
      </c>
    </row>
    <row r="3474">
      <c r="A3474">
        <v>3473</v>
      </c>
      <c r="B3474">
        <f>GS12</f>
        <v>0</v>
      </c>
      <c r="C3474" t="inlineStr">
        <is>
          <t>+LS2</t>
        </is>
      </c>
      <c r="D3474" t="inlineStr">
        <is>
          <t>-184K24.7</t>
        </is>
      </c>
      <c r="E3474" t="inlineStr">
        <is>
          <t>DILM-9-01</t>
        </is>
      </c>
      <c r="F3474" t="inlineStr">
        <is>
          <t>#KALK!</t>
        </is>
      </c>
      <c r="G3474" t="inlineStr">
        <is>
          <t>LASTSCHUETZ</t>
        </is>
      </c>
      <c r="H3474" t="inlineStr">
        <is>
          <t>4kW 1Oe Federzugkl.</t>
        </is>
      </c>
      <c r="I3474">
        <v>316</v>
      </c>
      <c r="J3474">
        <f>GS12/184.6</f>
        <v>0</v>
      </c>
      <c r="M3474" t="inlineStr">
        <is>
          <t>-184K24.7</t>
        </is>
      </c>
    </row>
    <row r="3475">
      <c r="A3475">
        <v>3474</v>
      </c>
      <c r="B3475">
        <f>GS02</f>
        <v>0</v>
      </c>
      <c r="C3475" t="inlineStr">
        <is>
          <t>+LS2</t>
        </is>
      </c>
      <c r="D3475" t="inlineStr">
        <is>
          <t>-184K28.4</t>
        </is>
      </c>
      <c r="E3475" t="inlineStr">
        <is>
          <t>DIL_EM-10-G</t>
        </is>
      </c>
      <c r="F3475" t="inlineStr">
        <is>
          <t>#KALK!</t>
        </is>
      </c>
      <c r="G3475" t="inlineStr">
        <is>
          <t>LASTSCHUETZ</t>
        </is>
      </c>
      <c r="H3475" t="inlineStr">
        <is>
          <t>4kW 1S</t>
        </is>
      </c>
      <c r="I3475">
        <v>585</v>
      </c>
      <c r="J3475">
        <f>GS02/184.6</f>
        <v>0</v>
      </c>
      <c r="M3475" t="inlineStr">
        <is>
          <t>-184K28.4</t>
        </is>
      </c>
    </row>
    <row r="3476">
      <c r="A3476">
        <v>3475</v>
      </c>
      <c r="B3476">
        <f>GS02</f>
        <v>0</v>
      </c>
      <c r="C3476" t="inlineStr">
        <is>
          <t>+LS2</t>
        </is>
      </c>
      <c r="D3476" t="inlineStr">
        <is>
          <t>-184K28.5</t>
        </is>
      </c>
      <c r="E3476" t="inlineStr">
        <is>
          <t>DIL_EM-10-G</t>
        </is>
      </c>
      <c r="F3476" t="inlineStr">
        <is>
          <t>#KALK!</t>
        </is>
      </c>
      <c r="G3476" t="inlineStr">
        <is>
          <t>LASTSCHUETZ</t>
        </is>
      </c>
      <c r="H3476" t="inlineStr">
        <is>
          <t>4kW 1S</t>
        </is>
      </c>
      <c r="I3476">
        <v>585</v>
      </c>
      <c r="J3476">
        <f>GS02/184.6</f>
        <v>0</v>
      </c>
      <c r="M3476" t="inlineStr">
        <is>
          <t>-184K28.5</t>
        </is>
      </c>
    </row>
    <row r="3477">
      <c r="A3477">
        <v>3476</v>
      </c>
      <c r="B3477">
        <f>GS16</f>
        <v>0</v>
      </c>
      <c r="C3477" t="inlineStr">
        <is>
          <t>+LS3</t>
        </is>
      </c>
      <c r="D3477" t="inlineStr">
        <is>
          <t>-184K36.7</t>
        </is>
      </c>
      <c r="E3477" t="inlineStr">
        <is>
          <t>DIL_EM-01-G</t>
        </is>
      </c>
      <c r="F3477" t="inlineStr">
        <is>
          <t>#KALK!</t>
        </is>
      </c>
      <c r="G3477" t="inlineStr">
        <is>
          <t>LASTSCHUETZ</t>
        </is>
      </c>
      <c r="H3477" t="inlineStr">
        <is>
          <t>4kW 1OE</t>
        </is>
      </c>
      <c r="I3477">
        <v>406</v>
      </c>
      <c r="J3477">
        <f>GS16/184.3</f>
        <v>0</v>
      </c>
      <c r="M3477" t="inlineStr">
        <is>
          <t>-184K36.7</t>
        </is>
      </c>
    </row>
    <row r="3478">
      <c r="A3478">
        <v>3477</v>
      </c>
      <c r="B3478">
        <f>GS11</f>
        <v>0</v>
      </c>
      <c r="C3478" t="inlineStr">
        <is>
          <t>+LS4</t>
        </is>
      </c>
      <c r="D3478" t="inlineStr">
        <is>
          <t>-184K43.2</t>
        </is>
      </c>
      <c r="E3478" t="inlineStr">
        <is>
          <t>DIL_EM-10-G</t>
        </is>
      </c>
      <c r="F3478" t="inlineStr">
        <is>
          <t>#KALK!</t>
        </is>
      </c>
      <c r="G3478" t="inlineStr">
        <is>
          <t>LASTSCHUETZ</t>
        </is>
      </c>
      <c r="H3478" t="inlineStr">
        <is>
          <t>4kW 1S</t>
        </is>
      </c>
      <c r="I3478">
        <v>295</v>
      </c>
      <c r="J3478">
        <f>GS11/184.6</f>
        <v>0</v>
      </c>
      <c r="M3478" t="inlineStr">
        <is>
          <t>-184K43.2</t>
        </is>
      </c>
    </row>
    <row r="3479">
      <c r="A3479">
        <v>3478</v>
      </c>
      <c r="B3479">
        <f>GS21</f>
        <v>0</v>
      </c>
      <c r="C3479" t="inlineStr">
        <is>
          <t>+LS4</t>
        </is>
      </c>
      <c r="D3479" t="inlineStr">
        <is>
          <t>-184K43.2</t>
        </is>
      </c>
      <c r="E3479" t="inlineStr">
        <is>
          <t>DIL_EM-10-G</t>
        </is>
      </c>
      <c r="F3479" t="inlineStr">
        <is>
          <t>#KALK!</t>
        </is>
      </c>
      <c r="G3479" t="inlineStr">
        <is>
          <t>LASTSCHUETZ</t>
        </is>
      </c>
      <c r="H3479" t="inlineStr">
        <is>
          <t>4kW 1S</t>
        </is>
      </c>
      <c r="I3479">
        <v>269</v>
      </c>
      <c r="J3479">
        <f>GS21/184.6</f>
        <v>0</v>
      </c>
      <c r="M3479" t="inlineStr">
        <is>
          <t>-184K43.2</t>
        </is>
      </c>
    </row>
    <row r="3480">
      <c r="A3480">
        <v>3479</v>
      </c>
      <c r="B3480">
        <f>GS23</f>
        <v>0</v>
      </c>
      <c r="C3480" t="inlineStr">
        <is>
          <t>+LS3</t>
        </is>
      </c>
      <c r="D3480" t="inlineStr">
        <is>
          <t>-184K65.0</t>
        </is>
      </c>
      <c r="E3480" t="inlineStr">
        <is>
          <t>DIL_EM-10-G</t>
        </is>
      </c>
      <c r="F3480" t="inlineStr">
        <is>
          <t>#KALK!</t>
        </is>
      </c>
      <c r="G3480" t="inlineStr">
        <is>
          <t>LASTSCHUETZ</t>
        </is>
      </c>
      <c r="H3480" t="inlineStr">
        <is>
          <t>4kW 1S</t>
        </is>
      </c>
      <c r="I3480">
        <v>483</v>
      </c>
      <c r="J3480">
        <f>GS23/184.6</f>
        <v>0</v>
      </c>
      <c r="M3480" t="inlineStr">
        <is>
          <t>-184K65.0</t>
        </is>
      </c>
    </row>
    <row r="3481">
      <c r="A3481">
        <v>3480</v>
      </c>
      <c r="B3481">
        <f>GS23</f>
        <v>0</v>
      </c>
      <c r="C3481" t="inlineStr">
        <is>
          <t>+LS3</t>
        </is>
      </c>
      <c r="D3481" t="inlineStr">
        <is>
          <t>-184K65.1</t>
        </is>
      </c>
      <c r="E3481" t="inlineStr">
        <is>
          <t>DIL_EM-10-G</t>
        </is>
      </c>
      <c r="F3481" t="inlineStr">
        <is>
          <t>#KALK!</t>
        </is>
      </c>
      <c r="G3481" t="inlineStr">
        <is>
          <t>LASTSCHUETZ</t>
        </is>
      </c>
      <c r="H3481" t="inlineStr">
        <is>
          <t>4kW 1S</t>
        </is>
      </c>
      <c r="I3481">
        <v>483</v>
      </c>
      <c r="J3481">
        <f>GS23/184.6</f>
        <v>0</v>
      </c>
      <c r="M3481" t="inlineStr">
        <is>
          <t>-184K65.1</t>
        </is>
      </c>
    </row>
    <row r="3482">
      <c r="A3482">
        <v>3481</v>
      </c>
      <c r="B3482">
        <f>GS07</f>
        <v>0</v>
      </c>
      <c r="C3482" t="inlineStr">
        <is>
          <t>+LS02</t>
        </is>
      </c>
      <c r="D3482" t="inlineStr">
        <is>
          <t>-184Q116.5</t>
        </is>
      </c>
      <c r="E3482" t="inlineStr">
        <is>
          <t>DILMC12-10(24VDC)</t>
        </is>
      </c>
      <c r="F3482" t="inlineStr">
        <is>
          <t>#KALK!</t>
        </is>
      </c>
      <c r="G3482" t="inlineStr">
        <is>
          <t>LASTSCHUETZ</t>
        </is>
      </c>
      <c r="H3482" t="inlineStr">
        <is>
          <t>5,5kW 1S Federzugkl.</t>
        </is>
      </c>
      <c r="I3482">
        <v>336</v>
      </c>
      <c r="J3482">
        <f>GS07/184.4</f>
        <v>0</v>
      </c>
      <c r="K3482" t="inlineStr">
        <is>
          <t>DIL MC12</t>
        </is>
      </c>
      <c r="M3482" t="inlineStr">
        <is>
          <t>-184Q116.5</t>
        </is>
      </c>
    </row>
    <row r="3483">
      <c r="A3483">
        <v>3482</v>
      </c>
      <c r="B3483">
        <f>GS13</f>
        <v>0</v>
      </c>
      <c r="C3483" t="inlineStr">
        <is>
          <t>+LS3</t>
        </is>
      </c>
      <c r="D3483" t="inlineStr">
        <is>
          <t>-185.165.6</t>
        </is>
      </c>
      <c r="E3483" t="inlineStr">
        <is>
          <t>DIL_EM-10-G</t>
        </is>
      </c>
      <c r="F3483" t="inlineStr">
        <is>
          <t>#KALK!</t>
        </is>
      </c>
      <c r="G3483" t="inlineStr">
        <is>
          <t>LASTSCHUETZ</t>
        </is>
      </c>
      <c r="H3483" t="inlineStr">
        <is>
          <t>4kW 1S</t>
        </is>
      </c>
      <c r="I3483">
        <v>426</v>
      </c>
      <c r="J3483">
        <f>GS13/185.1.6</f>
        <v>0</v>
      </c>
      <c r="M3483" t="inlineStr">
        <is>
          <t>-185.165.6</t>
        </is>
      </c>
    </row>
    <row r="3484">
      <c r="A3484">
        <v>3483</v>
      </c>
      <c r="B3484">
        <f>GS23</f>
        <v>0</v>
      </c>
      <c r="C3484" t="inlineStr">
        <is>
          <t>+LS3</t>
        </is>
      </c>
      <c r="D3484" t="inlineStr">
        <is>
          <t>-185.1K65.6</t>
        </is>
      </c>
      <c r="E3484" t="inlineStr">
        <is>
          <t>DIL_EM-10-G</t>
        </is>
      </c>
      <c r="F3484" t="inlineStr">
        <is>
          <t>#KALK!</t>
        </is>
      </c>
      <c r="G3484" t="inlineStr">
        <is>
          <t>LASTSCHUETZ</t>
        </is>
      </c>
      <c r="H3484" t="inlineStr">
        <is>
          <t>4kW 1S</t>
        </is>
      </c>
      <c r="I3484">
        <v>485</v>
      </c>
      <c r="J3484">
        <f>GS23/185.1.6</f>
        <v>0</v>
      </c>
      <c r="M3484" t="inlineStr">
        <is>
          <t>-185.1K65.6</t>
        </is>
      </c>
    </row>
    <row r="3485">
      <c r="A3485">
        <v>3484</v>
      </c>
      <c r="B3485">
        <f>GS13</f>
        <v>0</v>
      </c>
      <c r="C3485" t="inlineStr">
        <is>
          <t>+LS3</t>
        </is>
      </c>
      <c r="D3485" t="inlineStr">
        <is>
          <t>-185.264.6</t>
        </is>
      </c>
      <c r="E3485" t="inlineStr">
        <is>
          <t>DIL_EM-10-G</t>
        </is>
      </c>
      <c r="F3485" t="inlineStr">
        <is>
          <t>#KALK!</t>
        </is>
      </c>
      <c r="G3485" t="inlineStr">
        <is>
          <t>LASTSCHUETZ</t>
        </is>
      </c>
      <c r="H3485" t="inlineStr">
        <is>
          <t>4kW 1S</t>
        </is>
      </c>
      <c r="I3485">
        <v>427</v>
      </c>
      <c r="J3485">
        <f>GS13/185.2.6</f>
        <v>0</v>
      </c>
      <c r="M3485" t="inlineStr">
        <is>
          <t>-185.264.6</t>
        </is>
      </c>
    </row>
    <row r="3486">
      <c r="A3486">
        <v>3485</v>
      </c>
      <c r="B3486">
        <f>GS13</f>
        <v>0</v>
      </c>
      <c r="C3486" t="inlineStr">
        <is>
          <t>+LS3</t>
        </is>
      </c>
      <c r="D3486" t="inlineStr">
        <is>
          <t>-185.264.7</t>
        </is>
      </c>
      <c r="E3486" t="inlineStr">
        <is>
          <t>DIL_EM-10-G</t>
        </is>
      </c>
      <c r="F3486" t="inlineStr">
        <is>
          <t>#KALK!</t>
        </is>
      </c>
      <c r="G3486" t="inlineStr">
        <is>
          <t>LASTSCHUETZ</t>
        </is>
      </c>
      <c r="H3486" t="inlineStr">
        <is>
          <t>4kW 1S</t>
        </is>
      </c>
      <c r="I3486">
        <v>427</v>
      </c>
      <c r="J3486">
        <f>GS13/185.2.6</f>
        <v>0</v>
      </c>
      <c r="M3486" t="inlineStr">
        <is>
          <t>-185.264.7</t>
        </is>
      </c>
    </row>
    <row r="3487">
      <c r="A3487">
        <v>3486</v>
      </c>
      <c r="B3487">
        <f>GS23</f>
        <v>0</v>
      </c>
      <c r="C3487" t="inlineStr">
        <is>
          <t>+LS3</t>
        </is>
      </c>
      <c r="D3487" t="inlineStr">
        <is>
          <t>-185.2K64.6</t>
        </is>
      </c>
      <c r="E3487" t="inlineStr">
        <is>
          <t>DIL_EM-10-G</t>
        </is>
      </c>
      <c r="F3487" t="inlineStr">
        <is>
          <t>#KALK!</t>
        </is>
      </c>
      <c r="G3487" t="inlineStr">
        <is>
          <t>LASTSCHUETZ</t>
        </is>
      </c>
      <c r="H3487" t="inlineStr">
        <is>
          <t>4kW 1S</t>
        </is>
      </c>
      <c r="I3487">
        <v>486</v>
      </c>
      <c r="J3487">
        <f>GS23/185.2.6</f>
        <v>0</v>
      </c>
      <c r="M3487" t="inlineStr">
        <is>
          <t>-185.2K64.6</t>
        </is>
      </c>
    </row>
    <row r="3488">
      <c r="A3488">
        <v>3487</v>
      </c>
      <c r="B3488">
        <f>GS23</f>
        <v>0</v>
      </c>
      <c r="C3488" t="inlineStr">
        <is>
          <t>+LS3</t>
        </is>
      </c>
      <c r="D3488" t="inlineStr">
        <is>
          <t>-185.2K64.7</t>
        </is>
      </c>
      <c r="E3488" t="inlineStr">
        <is>
          <t>DIL_EM-10-G</t>
        </is>
      </c>
      <c r="F3488" t="inlineStr">
        <is>
          <t>#KALK!</t>
        </is>
      </c>
      <c r="G3488" t="inlineStr">
        <is>
          <t>LASTSCHUETZ</t>
        </is>
      </c>
      <c r="H3488" t="inlineStr">
        <is>
          <t>4kW 1S</t>
        </is>
      </c>
      <c r="I3488">
        <v>486</v>
      </c>
      <c r="J3488">
        <f>GS23/185.2.6</f>
        <v>0</v>
      </c>
      <c r="M3488" t="inlineStr">
        <is>
          <t>-185.2K64.7</t>
        </is>
      </c>
    </row>
    <row r="3489">
      <c r="A3489">
        <v>3488</v>
      </c>
      <c r="B3489">
        <f>GS93</f>
        <v>0</v>
      </c>
      <c r="C3489" t="inlineStr">
        <is>
          <t>+LS19</t>
        </is>
      </c>
      <c r="D3489" t="inlineStr">
        <is>
          <t>-1850K1328.2</t>
        </is>
      </c>
      <c r="E3489" t="inlineStr">
        <is>
          <t>DILA-22</t>
        </is>
      </c>
      <c r="F3489" t="inlineStr">
        <is>
          <t>#KALK!</t>
        </is>
      </c>
      <c r="G3489" t="inlineStr">
        <is>
          <t>HILFSSCHUETZ</t>
        </is>
      </c>
      <c r="H3489" t="inlineStr">
        <is>
          <t>2S 2Oe Federzugkl.</t>
        </is>
      </c>
      <c r="I3489">
        <v>2446</v>
      </c>
      <c r="J3489">
        <f>GS93/1850.8</f>
        <v>0</v>
      </c>
      <c r="M3489" t="inlineStr">
        <is>
          <t>-1850K1328.2</t>
        </is>
      </c>
    </row>
    <row r="3490">
      <c r="A3490">
        <v>3489</v>
      </c>
      <c r="B3490">
        <f>GS93</f>
        <v>0</v>
      </c>
      <c r="C3490" t="inlineStr">
        <is>
          <t>+LS19</t>
        </is>
      </c>
      <c r="D3490" t="inlineStr">
        <is>
          <t>-1855K1328.2</t>
        </is>
      </c>
      <c r="E3490" t="inlineStr">
        <is>
          <t>DILA-40</t>
        </is>
      </c>
      <c r="F3490" t="inlineStr">
        <is>
          <t>#KALK!</t>
        </is>
      </c>
      <c r="G3490" t="inlineStr">
        <is>
          <t>HILFSSCHUETZ</t>
        </is>
      </c>
      <c r="H3490" t="inlineStr">
        <is>
          <t>4S Federzugkl.</t>
        </is>
      </c>
      <c r="I3490">
        <v>2334</v>
      </c>
      <c r="J3490">
        <f>GS93/1855.7</f>
        <v>0</v>
      </c>
      <c r="M3490" t="inlineStr">
        <is>
          <t>-1855K1328.2</t>
        </is>
      </c>
    </row>
    <row r="3491">
      <c r="A3491">
        <v>3490</v>
      </c>
      <c r="B3491">
        <f>GS06</f>
        <v>0</v>
      </c>
      <c r="C3491" t="inlineStr">
        <is>
          <t>+LS24</t>
        </is>
      </c>
      <c r="D3491" t="inlineStr">
        <is>
          <t>-1855Q1</t>
        </is>
      </c>
      <c r="E3491" t="inlineStr">
        <is>
          <t>DILA-XHI22</t>
        </is>
      </c>
      <c r="F3491" t="inlineStr">
        <is>
          <t>DILA-XHI22</t>
        </is>
      </c>
      <c r="G3491" t="inlineStr">
        <is>
          <t>HILFSKONTAKTBLOCK</t>
        </is>
      </c>
      <c r="H3491" t="inlineStr">
        <is>
          <t>2S 2OE Last+Hilfssch. Cage</t>
        </is>
      </c>
      <c r="I3491">
        <v>4537</v>
      </c>
      <c r="J3491">
        <f>GS06/1855.6</f>
        <v>0</v>
      </c>
      <c r="K3491" t="inlineStr">
        <is>
          <t>DIL MC25</t>
        </is>
      </c>
      <c r="M3491" t="inlineStr">
        <is>
          <t>-1855Q1</t>
        </is>
      </c>
    </row>
    <row r="3492">
      <c r="A3492">
        <v>3491</v>
      </c>
      <c r="B3492">
        <f>GS06</f>
        <v>0</v>
      </c>
      <c r="C3492" t="inlineStr">
        <is>
          <t>+LS24</t>
        </is>
      </c>
      <c r="D3492" t="inlineStr">
        <is>
          <t>-1855Q1</t>
        </is>
      </c>
      <c r="E3492" t="inlineStr">
        <is>
          <t>DILMC25-10(RDC24)</t>
        </is>
      </c>
      <c r="F3492" t="inlineStr">
        <is>
          <t>DILA-XHI22</t>
        </is>
      </c>
      <c r="G3492" t="inlineStr">
        <is>
          <t>LASTSCHUETZ</t>
        </is>
      </c>
      <c r="H3492" t="inlineStr">
        <is>
          <t>11kW 1S Federzugkl.</t>
        </is>
      </c>
      <c r="I3492">
        <v>4537</v>
      </c>
      <c r="J3492">
        <f>GS06/1855.6</f>
        <v>0</v>
      </c>
      <c r="K3492" t="inlineStr">
        <is>
          <t>DIL MC25</t>
        </is>
      </c>
      <c r="M3492" t="inlineStr">
        <is>
          <t>-1855Q1</t>
        </is>
      </c>
    </row>
    <row r="3493">
      <c r="A3493">
        <v>3492</v>
      </c>
      <c r="B3493">
        <f>GS55</f>
        <v>0</v>
      </c>
      <c r="C3493" t="inlineStr">
        <is>
          <t>+LS30</t>
        </is>
      </c>
      <c r="D3493" t="inlineStr">
        <is>
          <t>-1855Q1</t>
        </is>
      </c>
      <c r="E3493" t="inlineStr">
        <is>
          <t>DILA-XHI22</t>
        </is>
      </c>
      <c r="F3493" t="inlineStr">
        <is>
          <t>DILA-XHI22</t>
        </is>
      </c>
      <c r="G3493" t="inlineStr">
        <is>
          <t>HILFSKONTAKTBLOCK</t>
        </is>
      </c>
      <c r="H3493" t="inlineStr">
        <is>
          <t>2S 2OE Last+Hilfssch. Cage</t>
        </is>
      </c>
      <c r="I3493">
        <v>2042</v>
      </c>
      <c r="J3493">
        <f>GS55/1855.6</f>
        <v>0</v>
      </c>
      <c r="K3493" t="inlineStr">
        <is>
          <t>DIL MC25</t>
        </is>
      </c>
      <c r="M3493" t="inlineStr">
        <is>
          <t>-1855Q1</t>
        </is>
      </c>
    </row>
    <row r="3494">
      <c r="A3494">
        <v>3493</v>
      </c>
      <c r="B3494">
        <f>GS55</f>
        <v>0</v>
      </c>
      <c r="C3494" t="inlineStr">
        <is>
          <t>+LS30</t>
        </is>
      </c>
      <c r="D3494" t="inlineStr">
        <is>
          <t>-1855Q1</t>
        </is>
      </c>
      <c r="E3494" t="inlineStr">
        <is>
          <t>DILMC25-10(RDC24)</t>
        </is>
      </c>
      <c r="F3494" t="inlineStr">
        <is>
          <t>DILA-XHI22</t>
        </is>
      </c>
      <c r="G3494" t="inlineStr">
        <is>
          <t>LASTSCHUETZ</t>
        </is>
      </c>
      <c r="H3494" t="inlineStr">
        <is>
          <t>11kW 1S Federzugkl.</t>
        </is>
      </c>
      <c r="I3494">
        <v>2042</v>
      </c>
      <c r="J3494">
        <f>GS55/1855.6</f>
        <v>0</v>
      </c>
      <c r="K3494" t="inlineStr">
        <is>
          <t>DIL MC25</t>
        </is>
      </c>
      <c r="M3494" t="inlineStr">
        <is>
          <t>-1855Q1</t>
        </is>
      </c>
    </row>
    <row r="3495">
      <c r="A3495">
        <v>3494</v>
      </c>
      <c r="B3495">
        <f>GS93</f>
        <v>0</v>
      </c>
      <c r="C3495" t="inlineStr">
        <is>
          <t>+LS19</t>
        </is>
      </c>
      <c r="D3495" t="inlineStr">
        <is>
          <t>-1855Q1</t>
        </is>
      </c>
      <c r="E3495" t="inlineStr">
        <is>
          <t>DILA-XHI22</t>
        </is>
      </c>
      <c r="F3495" t="inlineStr">
        <is>
          <t>DILA-XHI22</t>
        </is>
      </c>
      <c r="G3495" t="inlineStr">
        <is>
          <t>HILFSKONTAKTBLOCK</t>
        </is>
      </c>
      <c r="H3495" t="inlineStr">
        <is>
          <t>2S 2OE Last+Hilfssch. Cage</t>
        </is>
      </c>
      <c r="I3495">
        <v>2334</v>
      </c>
      <c r="J3495">
        <f>GS93/1855.4</f>
        <v>0</v>
      </c>
      <c r="K3495" t="inlineStr">
        <is>
          <t>DIL MC25</t>
        </is>
      </c>
      <c r="M3495" t="inlineStr">
        <is>
          <t>-1855Q1</t>
        </is>
      </c>
    </row>
    <row r="3496">
      <c r="A3496">
        <v>3495</v>
      </c>
      <c r="B3496">
        <f>GS93</f>
        <v>0</v>
      </c>
      <c r="C3496" t="inlineStr">
        <is>
          <t>+LS19</t>
        </is>
      </c>
      <c r="D3496" t="inlineStr">
        <is>
          <t>-1855Q1</t>
        </is>
      </c>
      <c r="E3496" t="inlineStr">
        <is>
          <t>DILMC25-10(RDC24)</t>
        </is>
      </c>
      <c r="F3496" t="inlineStr">
        <is>
          <t>DILA-XHI22</t>
        </is>
      </c>
      <c r="G3496" t="inlineStr">
        <is>
          <t>LASTSCHUETZ</t>
        </is>
      </c>
      <c r="H3496" t="inlineStr">
        <is>
          <t>11kW 1S Federzugkl.</t>
        </is>
      </c>
      <c r="I3496">
        <v>2334</v>
      </c>
      <c r="J3496">
        <f>GS93/1855.4</f>
        <v>0</v>
      </c>
      <c r="K3496" t="inlineStr">
        <is>
          <t>DIL MC25</t>
        </is>
      </c>
      <c r="M3496" t="inlineStr">
        <is>
          <t>-1855Q1</t>
        </is>
      </c>
    </row>
    <row r="3497">
      <c r="A3497">
        <v>3496</v>
      </c>
      <c r="B3497">
        <f>GS06</f>
        <v>0</v>
      </c>
      <c r="C3497" t="inlineStr">
        <is>
          <t>+LS24</t>
        </is>
      </c>
      <c r="D3497" t="inlineStr">
        <is>
          <t>-1855Q3</t>
        </is>
      </c>
      <c r="E3497" t="inlineStr">
        <is>
          <t>DILMC25-10(RDC24)</t>
        </is>
      </c>
      <c r="F3497" t="inlineStr">
        <is>
          <t>DILA-XHI22</t>
        </is>
      </c>
      <c r="G3497" t="inlineStr">
        <is>
          <t>LASTSCHUETZ</t>
        </is>
      </c>
      <c r="H3497" t="inlineStr">
        <is>
          <t>11kW 1S Federzugkl.</t>
        </is>
      </c>
      <c r="I3497">
        <v>4537</v>
      </c>
      <c r="J3497">
        <f>GS06/1855.7</f>
        <v>0</v>
      </c>
      <c r="K3497" t="inlineStr">
        <is>
          <t>DIL MC25</t>
        </is>
      </c>
      <c r="M3497" t="inlineStr">
        <is>
          <t>-1855Q3</t>
        </is>
      </c>
    </row>
    <row r="3498">
      <c r="A3498">
        <v>3497</v>
      </c>
      <c r="B3498">
        <f>GS06</f>
        <v>0</v>
      </c>
      <c r="C3498" t="inlineStr">
        <is>
          <t>+LS24</t>
        </is>
      </c>
      <c r="D3498" t="inlineStr">
        <is>
          <t>-1855Q3</t>
        </is>
      </c>
      <c r="E3498" t="inlineStr">
        <is>
          <t>DILA-XHI22</t>
        </is>
      </c>
      <c r="F3498" t="inlineStr">
        <is>
          <t>DILA-XHI22</t>
        </is>
      </c>
      <c r="G3498" t="inlineStr">
        <is>
          <t>HILFSKONTAKTBLOCK</t>
        </is>
      </c>
      <c r="H3498" t="inlineStr">
        <is>
          <t>2S 2OE Last+Hilfssch. Cage</t>
        </is>
      </c>
      <c r="I3498">
        <v>4537</v>
      </c>
      <c r="J3498">
        <f>GS06/1855.7</f>
        <v>0</v>
      </c>
      <c r="K3498" t="inlineStr">
        <is>
          <t>DIL MC25</t>
        </is>
      </c>
      <c r="M3498" t="inlineStr">
        <is>
          <t>-1855Q3</t>
        </is>
      </c>
    </row>
    <row r="3499">
      <c r="A3499">
        <v>3498</v>
      </c>
      <c r="B3499">
        <f>GS13</f>
        <v>0</v>
      </c>
      <c r="C3499" t="inlineStr">
        <is>
          <t>+LS3</t>
        </is>
      </c>
      <c r="D3499" t="inlineStr">
        <is>
          <t>-18565.5</t>
        </is>
      </c>
      <c r="E3499" t="inlineStr">
        <is>
          <t>DIL_EM-10-G</t>
        </is>
      </c>
      <c r="F3499" t="inlineStr">
        <is>
          <t>#KALK!</t>
        </is>
      </c>
      <c r="G3499" t="inlineStr">
        <is>
          <t>LASTSCHUETZ</t>
        </is>
      </c>
      <c r="H3499" t="inlineStr">
        <is>
          <t>4kW 1S</t>
        </is>
      </c>
      <c r="I3499">
        <v>425</v>
      </c>
      <c r="J3499">
        <f>GS13/185.7</f>
        <v>0</v>
      </c>
      <c r="M3499" t="inlineStr">
        <is>
          <t>-18565.5</t>
        </is>
      </c>
    </row>
    <row r="3500">
      <c r="A3500">
        <v>3499</v>
      </c>
      <c r="B3500">
        <f>GS93</f>
        <v>0</v>
      </c>
      <c r="C3500" t="inlineStr">
        <is>
          <t>+LS19</t>
        </is>
      </c>
      <c r="D3500" t="inlineStr">
        <is>
          <t>-1856Q1328.3</t>
        </is>
      </c>
      <c r="E3500" t="inlineStr">
        <is>
          <t>DILM-9-10</t>
        </is>
      </c>
      <c r="F3500" t="inlineStr">
        <is>
          <t>DILA-XHI22</t>
        </is>
      </c>
      <c r="G3500" t="inlineStr">
        <is>
          <t>LASTSCHUETZ</t>
        </is>
      </c>
      <c r="H3500" t="inlineStr">
        <is>
          <t>4kW 1S Federzugkl.</t>
        </is>
      </c>
      <c r="I3500">
        <v>2451</v>
      </c>
      <c r="J3500">
        <f>GS93/1856.5</f>
        <v>0</v>
      </c>
      <c r="M3500" t="inlineStr">
        <is>
          <t>-1856Q1328.3</t>
        </is>
      </c>
    </row>
    <row r="3501">
      <c r="A3501">
        <v>3500</v>
      </c>
      <c r="B3501">
        <f>GS93</f>
        <v>0</v>
      </c>
      <c r="C3501" t="inlineStr">
        <is>
          <t>+LS19</t>
        </is>
      </c>
      <c r="D3501" t="inlineStr">
        <is>
          <t>-1856Q1328.3</t>
        </is>
      </c>
      <c r="E3501" t="inlineStr">
        <is>
          <t>DILA-XHI22</t>
        </is>
      </c>
      <c r="F3501" t="inlineStr">
        <is>
          <t>DILA-XHI22</t>
        </is>
      </c>
      <c r="G3501" t="inlineStr">
        <is>
          <t>HILFSKONTAKTBLOCK</t>
        </is>
      </c>
      <c r="H3501" t="inlineStr">
        <is>
          <t>2S 2OE Last+Hilfssch. Cage</t>
        </is>
      </c>
      <c r="I3501">
        <v>2451</v>
      </c>
      <c r="J3501">
        <f>GS93/1856.5</f>
        <v>0</v>
      </c>
      <c r="M3501" t="inlineStr">
        <is>
          <t>-1856Q1328.3</t>
        </is>
      </c>
    </row>
    <row r="3502">
      <c r="A3502">
        <v>3501</v>
      </c>
      <c r="B3502">
        <f>GS93</f>
        <v>0</v>
      </c>
      <c r="C3502" t="inlineStr">
        <is>
          <t>+LS19</t>
        </is>
      </c>
      <c r="D3502" t="inlineStr">
        <is>
          <t>-1856Q1328.4</t>
        </is>
      </c>
      <c r="E3502" t="inlineStr">
        <is>
          <t>DILA-XHI22</t>
        </is>
      </c>
      <c r="F3502" t="inlineStr">
        <is>
          <t>DILA-XHI22</t>
        </is>
      </c>
      <c r="G3502" t="inlineStr">
        <is>
          <t>HILFSKONTAKTBLOCK</t>
        </is>
      </c>
      <c r="H3502" t="inlineStr">
        <is>
          <t>2S 2OE Last+Hilfssch. Cage</t>
        </is>
      </c>
      <c r="I3502">
        <v>2451</v>
      </c>
      <c r="J3502">
        <f>GS93/1856.6</f>
        <v>0</v>
      </c>
      <c r="M3502" t="inlineStr">
        <is>
          <t>-1856Q1328.4</t>
        </is>
      </c>
    </row>
    <row r="3503">
      <c r="A3503">
        <v>3502</v>
      </c>
      <c r="B3503">
        <f>GS93</f>
        <v>0</v>
      </c>
      <c r="C3503" t="inlineStr">
        <is>
          <t>+LS19</t>
        </is>
      </c>
      <c r="D3503" t="inlineStr">
        <is>
          <t>-1856Q1328.4</t>
        </is>
      </c>
      <c r="E3503" t="inlineStr">
        <is>
          <t>DILM-9-10</t>
        </is>
      </c>
      <c r="F3503" t="inlineStr">
        <is>
          <t>DILA-XHI22</t>
        </is>
      </c>
      <c r="G3503" t="inlineStr">
        <is>
          <t>LASTSCHUETZ</t>
        </is>
      </c>
      <c r="H3503" t="inlineStr">
        <is>
          <t>4kW 1S Federzugkl.</t>
        </is>
      </c>
      <c r="I3503">
        <v>2451</v>
      </c>
      <c r="J3503">
        <f>GS93/1856.6</f>
        <v>0</v>
      </c>
      <c r="M3503" t="inlineStr">
        <is>
          <t>-1856Q1328.4</t>
        </is>
      </c>
    </row>
    <row r="3504">
      <c r="A3504">
        <v>3503</v>
      </c>
      <c r="B3504">
        <f>GS55</f>
        <v>0</v>
      </c>
      <c r="C3504" t="inlineStr">
        <is>
          <t>+LS30</t>
        </is>
      </c>
      <c r="D3504" t="inlineStr">
        <is>
          <t>-1857Q1045.1</t>
        </is>
      </c>
      <c r="E3504" t="inlineStr">
        <is>
          <t>DILM-9-10</t>
        </is>
      </c>
      <c r="F3504" t="inlineStr">
        <is>
          <t>#KALK!</t>
        </is>
      </c>
      <c r="G3504" t="inlineStr">
        <is>
          <t>LASTSCHUETZ</t>
        </is>
      </c>
      <c r="H3504" t="inlineStr">
        <is>
          <t>4kW 1S Federzugkl.</t>
        </is>
      </c>
      <c r="I3504">
        <v>2044</v>
      </c>
      <c r="J3504">
        <f>GS55/1857.6</f>
        <v>0</v>
      </c>
      <c r="K3504" t="inlineStr">
        <is>
          <t>DIL MC9</t>
        </is>
      </c>
      <c r="M3504" t="inlineStr">
        <is>
          <t>-1857Q1045.1</t>
        </is>
      </c>
    </row>
    <row r="3505">
      <c r="A3505">
        <v>3504</v>
      </c>
      <c r="B3505">
        <f>GS55</f>
        <v>0</v>
      </c>
      <c r="C3505" t="inlineStr">
        <is>
          <t>+LS30</t>
        </is>
      </c>
      <c r="D3505" t="inlineStr">
        <is>
          <t>-1859Q1045.2</t>
        </is>
      </c>
      <c r="E3505" t="inlineStr">
        <is>
          <t>DILM-9-10</t>
        </is>
      </c>
      <c r="F3505" t="inlineStr">
        <is>
          <t>#KALK!</t>
        </is>
      </c>
      <c r="G3505" t="inlineStr">
        <is>
          <t>LASTSCHUETZ</t>
        </is>
      </c>
      <c r="H3505" t="inlineStr">
        <is>
          <t>4kW 1S Federzugkl.</t>
        </is>
      </c>
      <c r="I3505">
        <v>2046</v>
      </c>
      <c r="J3505">
        <f>GS55/1859.6</f>
        <v>0</v>
      </c>
      <c r="K3505" t="inlineStr">
        <is>
          <t>DIL MC9</t>
        </is>
      </c>
      <c r="M3505" t="inlineStr">
        <is>
          <t>-1859Q1045.2</t>
        </is>
      </c>
    </row>
    <row r="3506">
      <c r="A3506">
        <v>3505</v>
      </c>
      <c r="B3506">
        <f>GC03</f>
        <v>0</v>
      </c>
      <c r="C3506" t="inlineStr">
        <is>
          <t>+LS4</t>
        </is>
      </c>
      <c r="D3506" t="inlineStr">
        <is>
          <t>-185K1</t>
        </is>
      </c>
      <c r="E3506" t="inlineStr">
        <is>
          <t>22_DIL-M</t>
        </is>
      </c>
      <c r="F3506" t="inlineStr">
        <is>
          <t>22_DIL-M</t>
        </is>
      </c>
      <c r="G3506" t="inlineStr">
        <is>
          <t>HILFSKONTAKTBLOCK</t>
        </is>
      </c>
      <c r="H3506" t="inlineStr">
        <is>
          <t>2S 2OE Lastschuetz DIL M</t>
        </is>
      </c>
      <c r="I3506">
        <v>3015</v>
      </c>
      <c r="J3506">
        <f>GC03/185.2</f>
        <v>0</v>
      </c>
      <c r="K3506" t="inlineStr">
        <is>
          <t>DIL0AM</t>
        </is>
      </c>
      <c r="M3506" t="inlineStr">
        <is>
          <t>-185K1</t>
        </is>
      </c>
    </row>
    <row r="3507">
      <c r="A3507">
        <v>3506</v>
      </c>
      <c r="B3507">
        <f>GC03</f>
        <v>0</v>
      </c>
      <c r="C3507" t="inlineStr">
        <is>
          <t>+LS4</t>
        </is>
      </c>
      <c r="D3507" t="inlineStr">
        <is>
          <t>-185K1</t>
        </is>
      </c>
      <c r="E3507" t="inlineStr">
        <is>
          <t>DIL_0AM</t>
        </is>
      </c>
      <c r="F3507" t="inlineStr">
        <is>
          <t>22_DIL-M</t>
        </is>
      </c>
      <c r="G3507" t="inlineStr">
        <is>
          <t>LASTSCHUETZ</t>
        </is>
      </c>
      <c r="H3507" t="inlineStr">
        <is>
          <t>11 kW</t>
        </is>
      </c>
      <c r="I3507">
        <v>3015</v>
      </c>
      <c r="J3507">
        <f>GC03/185.2</f>
        <v>0</v>
      </c>
      <c r="K3507" t="inlineStr">
        <is>
          <t>DIL0AM</t>
        </is>
      </c>
      <c r="M3507" t="inlineStr">
        <is>
          <t>-185K1</t>
        </is>
      </c>
    </row>
    <row r="3508">
      <c r="A3508">
        <v>3507</v>
      </c>
      <c r="B3508">
        <f>GS15</f>
        <v>0</v>
      </c>
      <c r="C3508" t="inlineStr">
        <is>
          <t>+LS3</t>
        </is>
      </c>
      <c r="D3508" t="inlineStr">
        <is>
          <t>-185K1</t>
        </is>
      </c>
      <c r="E3508" t="inlineStr">
        <is>
          <t>22_DIL-M</t>
        </is>
      </c>
      <c r="F3508" t="inlineStr">
        <is>
          <t>22_DIL-M</t>
        </is>
      </c>
      <c r="G3508" t="inlineStr">
        <is>
          <t>HILFSKONTAKTBLOCK</t>
        </is>
      </c>
      <c r="H3508" t="inlineStr">
        <is>
          <t>2S 2OE Lastschuetz DIL M</t>
        </is>
      </c>
      <c r="I3508">
        <v>678</v>
      </c>
      <c r="J3508">
        <f>GS15/185.2</f>
        <v>0</v>
      </c>
      <c r="K3508" t="inlineStr">
        <is>
          <t>DIL0AM</t>
        </is>
      </c>
      <c r="M3508" t="inlineStr">
        <is>
          <t>-185K1</t>
        </is>
      </c>
    </row>
    <row r="3509">
      <c r="A3509">
        <v>3508</v>
      </c>
      <c r="B3509">
        <f>GS15</f>
        <v>0</v>
      </c>
      <c r="C3509" t="inlineStr">
        <is>
          <t>+LS3</t>
        </is>
      </c>
      <c r="D3509" t="inlineStr">
        <is>
          <t>-185K1</t>
        </is>
      </c>
      <c r="E3509" t="inlineStr">
        <is>
          <t>DIL_0AM</t>
        </is>
      </c>
      <c r="F3509" t="inlineStr">
        <is>
          <t>22_DIL-M</t>
        </is>
      </c>
      <c r="G3509" t="inlineStr">
        <is>
          <t>LASTSCHUETZ</t>
        </is>
      </c>
      <c r="H3509" t="inlineStr">
        <is>
          <t>11 kW</t>
        </is>
      </c>
      <c r="I3509">
        <v>678</v>
      </c>
      <c r="J3509">
        <f>GS15/185.2</f>
        <v>0</v>
      </c>
      <c r="K3509" t="inlineStr">
        <is>
          <t>DIL0AM</t>
        </is>
      </c>
      <c r="M3509" t="inlineStr">
        <is>
          <t>-185K1</t>
        </is>
      </c>
    </row>
    <row r="3510">
      <c r="A3510">
        <v>3509</v>
      </c>
      <c r="B3510">
        <f>GS24</f>
        <v>0</v>
      </c>
      <c r="C3510" t="inlineStr">
        <is>
          <t>+LS4</t>
        </is>
      </c>
      <c r="D3510" t="inlineStr">
        <is>
          <t>-185K1</t>
        </is>
      </c>
      <c r="E3510" t="inlineStr">
        <is>
          <t>22_DIL-M</t>
        </is>
      </c>
      <c r="F3510" t="inlineStr">
        <is>
          <t>22_DIL-M</t>
        </is>
      </c>
      <c r="G3510" t="inlineStr">
        <is>
          <t>HILFSKONTAKTBLOCK</t>
        </is>
      </c>
      <c r="H3510" t="inlineStr">
        <is>
          <t>2S 2OE Lastschuetz DIL M</t>
        </is>
      </c>
      <c r="I3510">
        <v>894</v>
      </c>
      <c r="J3510">
        <f>GS24/185.2</f>
        <v>0</v>
      </c>
      <c r="K3510" t="inlineStr">
        <is>
          <t>DIL0AM</t>
        </is>
      </c>
      <c r="M3510" t="inlineStr">
        <is>
          <t>-185K1</t>
        </is>
      </c>
    </row>
    <row r="3511">
      <c r="A3511">
        <v>3510</v>
      </c>
      <c r="B3511">
        <f>GS24</f>
        <v>0</v>
      </c>
      <c r="C3511" t="inlineStr">
        <is>
          <t>+LS4</t>
        </is>
      </c>
      <c r="D3511" t="inlineStr">
        <is>
          <t>-185K1</t>
        </is>
      </c>
      <c r="E3511" t="inlineStr">
        <is>
          <t>DIL_0AM</t>
        </is>
      </c>
      <c r="F3511" t="inlineStr">
        <is>
          <t>22_DIL-M</t>
        </is>
      </c>
      <c r="G3511" t="inlineStr">
        <is>
          <t>LASTSCHUETZ</t>
        </is>
      </c>
      <c r="H3511" t="inlineStr">
        <is>
          <t>11 kW</t>
        </is>
      </c>
      <c r="I3511">
        <v>894</v>
      </c>
      <c r="J3511">
        <f>GS24/185.2</f>
        <v>0</v>
      </c>
      <c r="K3511" t="inlineStr">
        <is>
          <t>DIL0AM</t>
        </is>
      </c>
      <c r="M3511" t="inlineStr">
        <is>
          <t>-185K1</t>
        </is>
      </c>
    </row>
    <row r="3512">
      <c r="A3512">
        <v>3511</v>
      </c>
      <c r="B3512">
        <f>GS35</f>
        <v>0</v>
      </c>
      <c r="C3512" t="inlineStr">
        <is>
          <t>+LS03</t>
        </is>
      </c>
      <c r="D3512" t="inlineStr">
        <is>
          <t>-185K116.4</t>
        </is>
      </c>
      <c r="E3512" t="inlineStr">
        <is>
          <t>DILA-40</t>
        </is>
      </c>
      <c r="F3512" t="inlineStr">
        <is>
          <t>#KALK!</t>
        </is>
      </c>
      <c r="G3512" t="inlineStr">
        <is>
          <t>HILFSSCHUETZ</t>
        </is>
      </c>
      <c r="H3512" t="inlineStr">
        <is>
          <t>4S Federzugkl.</t>
        </is>
      </c>
      <c r="I3512">
        <v>343</v>
      </c>
      <c r="J3512">
        <f>GS35/185.7</f>
        <v>0</v>
      </c>
      <c r="M3512" t="inlineStr">
        <is>
          <t>-185K116.4</t>
        </is>
      </c>
    </row>
    <row r="3513">
      <c r="A3513">
        <v>3512</v>
      </c>
      <c r="B3513">
        <f>GS92</f>
        <v>0</v>
      </c>
      <c r="C3513" t="inlineStr">
        <is>
          <t>+LS02</t>
        </is>
      </c>
      <c r="D3513" t="inlineStr">
        <is>
          <t>-185K163.4</t>
        </is>
      </c>
      <c r="E3513" t="inlineStr">
        <is>
          <t>DILA-40</t>
        </is>
      </c>
      <c r="F3513" t="inlineStr">
        <is>
          <t>#KALK!</t>
        </is>
      </c>
      <c r="G3513" t="inlineStr">
        <is>
          <t>HILFSSCHUETZ</t>
        </is>
      </c>
      <c r="H3513" t="inlineStr">
        <is>
          <t>4S Federzugkl.</t>
        </is>
      </c>
      <c r="I3513">
        <v>332</v>
      </c>
      <c r="J3513">
        <f>GS92/185.7</f>
        <v>0</v>
      </c>
      <c r="M3513" t="inlineStr">
        <is>
          <t>-185K163.4</t>
        </is>
      </c>
    </row>
    <row r="3514">
      <c r="A3514">
        <v>3513</v>
      </c>
      <c r="B3514">
        <f>GS94</f>
        <v>0</v>
      </c>
      <c r="C3514" t="inlineStr">
        <is>
          <t>+LS15</t>
        </is>
      </c>
      <c r="D3514" t="inlineStr">
        <is>
          <t>-185K177.7</t>
        </is>
      </c>
      <c r="E3514" t="inlineStr">
        <is>
          <t>DILA-40</t>
        </is>
      </c>
      <c r="F3514" t="inlineStr">
        <is>
          <t>#KALK!</t>
        </is>
      </c>
      <c r="G3514" t="inlineStr">
        <is>
          <t>HILFSSCHUETZ</t>
        </is>
      </c>
      <c r="H3514" t="inlineStr">
        <is>
          <t>4S Federzugkl.</t>
        </is>
      </c>
      <c r="I3514">
        <v>275</v>
      </c>
      <c r="J3514">
        <f>GS94/185.7</f>
        <v>0</v>
      </c>
      <c r="M3514" t="inlineStr">
        <is>
          <t>-185K177.7</t>
        </is>
      </c>
    </row>
    <row r="3515">
      <c r="A3515">
        <v>3514</v>
      </c>
      <c r="B3515">
        <f>GS95</f>
        <v>0</v>
      </c>
      <c r="C3515" t="inlineStr">
        <is>
          <t>+LS15</t>
        </is>
      </c>
      <c r="D3515" t="inlineStr">
        <is>
          <t>-185K177.7</t>
        </is>
      </c>
      <c r="E3515" t="inlineStr">
        <is>
          <t>DILA-40</t>
        </is>
      </c>
      <c r="F3515" t="inlineStr">
        <is>
          <t>#KALK!</t>
        </is>
      </c>
      <c r="G3515" t="inlineStr">
        <is>
          <t>HILFSSCHUETZ</t>
        </is>
      </c>
      <c r="H3515" t="inlineStr">
        <is>
          <t>4S Federzugkl.</t>
        </is>
      </c>
      <c r="I3515">
        <v>275</v>
      </c>
      <c r="J3515">
        <f>GS95/185.7</f>
        <v>0</v>
      </c>
      <c r="M3515" t="inlineStr">
        <is>
          <t>-185K177.7</t>
        </is>
      </c>
    </row>
    <row r="3516">
      <c r="A3516">
        <v>3515</v>
      </c>
      <c r="B3516">
        <f>GS96</f>
        <v>0</v>
      </c>
      <c r="C3516" t="inlineStr">
        <is>
          <t>+LS15</t>
        </is>
      </c>
      <c r="D3516" t="inlineStr">
        <is>
          <t>-185K177.7</t>
        </is>
      </c>
      <c r="E3516" t="inlineStr">
        <is>
          <t>DILA-40</t>
        </is>
      </c>
      <c r="F3516" t="inlineStr">
        <is>
          <t>#KALK!</t>
        </is>
      </c>
      <c r="G3516" t="inlineStr">
        <is>
          <t>HILFSSCHUETZ</t>
        </is>
      </c>
      <c r="H3516" t="inlineStr">
        <is>
          <t>4S Federzugkl.</t>
        </is>
      </c>
      <c r="I3516">
        <v>275</v>
      </c>
      <c r="J3516">
        <f>GS96/185.7</f>
        <v>0</v>
      </c>
      <c r="M3516" t="inlineStr">
        <is>
          <t>-185K177.7</t>
        </is>
      </c>
    </row>
    <row r="3517">
      <c r="A3517">
        <v>3516</v>
      </c>
      <c r="B3517">
        <f>GS97</f>
        <v>0</v>
      </c>
      <c r="C3517" t="inlineStr">
        <is>
          <t>+LS15</t>
        </is>
      </c>
      <c r="D3517" t="inlineStr">
        <is>
          <t>-185K177.7</t>
        </is>
      </c>
      <c r="E3517" t="inlineStr">
        <is>
          <t>DILA-40</t>
        </is>
      </c>
      <c r="F3517" t="inlineStr">
        <is>
          <t>#KALK!</t>
        </is>
      </c>
      <c r="G3517" t="inlineStr">
        <is>
          <t>HILFSSCHUETZ</t>
        </is>
      </c>
      <c r="H3517" t="inlineStr">
        <is>
          <t>4S Federzugkl.</t>
        </is>
      </c>
      <c r="I3517">
        <v>275</v>
      </c>
      <c r="J3517">
        <f>GS97/185.7</f>
        <v>0</v>
      </c>
      <c r="M3517" t="inlineStr">
        <is>
          <t>-185K177.7</t>
        </is>
      </c>
    </row>
    <row r="3518">
      <c r="A3518">
        <v>3517</v>
      </c>
      <c r="B3518">
        <f>GC22</f>
        <v>0</v>
      </c>
      <c r="C3518" t="inlineStr">
        <is>
          <t>+LS2</t>
        </is>
      </c>
      <c r="D3518" t="inlineStr">
        <is>
          <t>-185K24.1</t>
        </is>
      </c>
      <c r="E3518" t="inlineStr">
        <is>
          <t>DIL_EM-10-G</t>
        </is>
      </c>
      <c r="F3518" t="inlineStr">
        <is>
          <t>#KALK!</t>
        </is>
      </c>
      <c r="G3518" t="inlineStr">
        <is>
          <t>LASTSCHUETZ</t>
        </is>
      </c>
      <c r="H3518" t="inlineStr">
        <is>
          <t>4kW 1S</t>
        </is>
      </c>
      <c r="I3518">
        <v>2520</v>
      </c>
      <c r="J3518">
        <f>GC22/185.7</f>
        <v>0</v>
      </c>
      <c r="M3518" t="inlineStr">
        <is>
          <t>-185K24.1</t>
        </is>
      </c>
    </row>
    <row r="3519">
      <c r="A3519">
        <v>3518</v>
      </c>
      <c r="B3519">
        <f>GS12</f>
        <v>0</v>
      </c>
      <c r="C3519" t="inlineStr">
        <is>
          <t>+LS2</t>
        </is>
      </c>
      <c r="D3519" t="inlineStr">
        <is>
          <t>-185K24.1</t>
        </is>
      </c>
      <c r="E3519" t="inlineStr">
        <is>
          <t>DIL_EM-10-G</t>
        </is>
      </c>
      <c r="F3519" t="inlineStr">
        <is>
          <t>#KALK!</t>
        </is>
      </c>
      <c r="G3519" t="inlineStr">
        <is>
          <t>LASTSCHUETZ</t>
        </is>
      </c>
      <c r="H3519" t="inlineStr">
        <is>
          <t>4kW 1S</t>
        </is>
      </c>
      <c r="I3519">
        <v>317</v>
      </c>
      <c r="J3519">
        <f>GS12/185.7</f>
        <v>0</v>
      </c>
      <c r="M3519" t="inlineStr">
        <is>
          <t>-185K24.1</t>
        </is>
      </c>
    </row>
    <row r="3520">
      <c r="A3520">
        <v>3519</v>
      </c>
      <c r="B3520">
        <f>GS33</f>
        <v>0</v>
      </c>
      <c r="C3520" t="inlineStr">
        <is>
          <t>+LS3</t>
        </is>
      </c>
      <c r="D3520" t="inlineStr">
        <is>
          <t>-185K25.0</t>
        </is>
      </c>
      <c r="E3520" t="inlineStr">
        <is>
          <t>22_DIL-E</t>
        </is>
      </c>
      <c r="F3520" t="inlineStr">
        <is>
          <t>22_DIL-E</t>
        </is>
      </c>
      <c r="G3520" t="inlineStr">
        <is>
          <t>HILFSKONTAKTBLOCK</t>
        </is>
      </c>
      <c r="H3520" t="inlineStr">
        <is>
          <t>2S 2OE Last+Hilfsschuetz</t>
        </is>
      </c>
      <c r="I3520">
        <v>619</v>
      </c>
      <c r="J3520">
        <f>GS33/185.2</f>
        <v>0</v>
      </c>
      <c r="M3520" t="inlineStr">
        <is>
          <t>-185K25.0</t>
        </is>
      </c>
    </row>
    <row r="3521">
      <c r="A3521">
        <v>3520</v>
      </c>
      <c r="B3521">
        <f>GS33</f>
        <v>0</v>
      </c>
      <c r="C3521" t="inlineStr">
        <is>
          <t>+LS3</t>
        </is>
      </c>
      <c r="D3521" t="inlineStr">
        <is>
          <t>-185K25.0</t>
        </is>
      </c>
      <c r="E3521" t="inlineStr">
        <is>
          <t>DIL_EM-10-G</t>
        </is>
      </c>
      <c r="F3521" t="inlineStr">
        <is>
          <t>22_DIL-E</t>
        </is>
      </c>
      <c r="G3521" t="inlineStr">
        <is>
          <t>LASTSCHUETZ</t>
        </is>
      </c>
      <c r="H3521" t="inlineStr">
        <is>
          <t>4kW 1S</t>
        </is>
      </c>
      <c r="I3521">
        <v>619</v>
      </c>
      <c r="J3521">
        <f>GS33/185.2</f>
        <v>0</v>
      </c>
      <c r="M3521" t="inlineStr">
        <is>
          <t>-185K25.0</t>
        </is>
      </c>
    </row>
    <row r="3522">
      <c r="A3522">
        <v>3521</v>
      </c>
      <c r="B3522">
        <f>GS33</f>
        <v>0</v>
      </c>
      <c r="C3522" t="inlineStr">
        <is>
          <t>+LS3</t>
        </is>
      </c>
      <c r="D3522" t="inlineStr">
        <is>
          <t>-185K25.1</t>
        </is>
      </c>
      <c r="E3522" t="inlineStr">
        <is>
          <t>22_DIL-E</t>
        </is>
      </c>
      <c r="F3522" t="inlineStr">
        <is>
          <t>22_DIL-E</t>
        </is>
      </c>
      <c r="G3522" t="inlineStr">
        <is>
          <t>HILFSKONTAKTBLOCK</t>
        </is>
      </c>
      <c r="H3522" t="inlineStr">
        <is>
          <t>2S 2OE Last+Hilfsschuetz</t>
        </is>
      </c>
      <c r="I3522">
        <v>619</v>
      </c>
      <c r="J3522">
        <f>GS33/185.2</f>
        <v>0</v>
      </c>
      <c r="M3522" t="inlineStr">
        <is>
          <t>-185K25.1</t>
        </is>
      </c>
    </row>
    <row r="3523">
      <c r="A3523">
        <v>3522</v>
      </c>
      <c r="B3523">
        <f>GS33</f>
        <v>0</v>
      </c>
      <c r="C3523" t="inlineStr">
        <is>
          <t>+LS3</t>
        </is>
      </c>
      <c r="D3523" t="inlineStr">
        <is>
          <t>-185K25.1</t>
        </is>
      </c>
      <c r="E3523" t="inlineStr">
        <is>
          <t>DIL_EM-10-G</t>
        </is>
      </c>
      <c r="F3523" t="inlineStr">
        <is>
          <t>22_DIL-E</t>
        </is>
      </c>
      <c r="G3523" t="inlineStr">
        <is>
          <t>LASTSCHUETZ</t>
        </is>
      </c>
      <c r="H3523" t="inlineStr">
        <is>
          <t>4kW 1S</t>
        </is>
      </c>
      <c r="I3523">
        <v>619</v>
      </c>
      <c r="J3523">
        <f>GS33/185.2</f>
        <v>0</v>
      </c>
      <c r="M3523" t="inlineStr">
        <is>
          <t>-185K25.1</t>
        </is>
      </c>
    </row>
    <row r="3524">
      <c r="A3524">
        <v>3523</v>
      </c>
      <c r="B3524">
        <f>GS11</f>
        <v>0</v>
      </c>
      <c r="C3524" t="inlineStr">
        <is>
          <t>+LS4</t>
        </is>
      </c>
      <c r="D3524" t="inlineStr">
        <is>
          <t>-185K43.7</t>
        </is>
      </c>
      <c r="E3524" t="inlineStr">
        <is>
          <t>DIL_EM-10-G</t>
        </is>
      </c>
      <c r="F3524" t="inlineStr">
        <is>
          <t>#KALK!</t>
        </is>
      </c>
      <c r="G3524" t="inlineStr">
        <is>
          <t>LASTSCHUETZ</t>
        </is>
      </c>
      <c r="H3524" t="inlineStr">
        <is>
          <t>4kW 1S</t>
        </is>
      </c>
      <c r="I3524">
        <v>296</v>
      </c>
      <c r="J3524">
        <f>GS11/185.7</f>
        <v>0</v>
      </c>
      <c r="M3524" t="inlineStr">
        <is>
          <t>-185K43.7</t>
        </is>
      </c>
    </row>
    <row r="3525">
      <c r="A3525">
        <v>3524</v>
      </c>
      <c r="B3525">
        <f>GS21</f>
        <v>0</v>
      </c>
      <c r="C3525" t="inlineStr">
        <is>
          <t>+LS4</t>
        </is>
      </c>
      <c r="D3525" t="inlineStr">
        <is>
          <t>-185K43.7</t>
        </is>
      </c>
      <c r="E3525" t="inlineStr">
        <is>
          <t>DIL_EM-10-G</t>
        </is>
      </c>
      <c r="F3525" t="inlineStr">
        <is>
          <t>#KALK!</t>
        </is>
      </c>
      <c r="G3525" t="inlineStr">
        <is>
          <t>LASTSCHUETZ</t>
        </is>
      </c>
      <c r="H3525" t="inlineStr">
        <is>
          <t>4kW 1S</t>
        </is>
      </c>
      <c r="I3525">
        <v>270</v>
      </c>
      <c r="J3525">
        <f>GS21/185.7</f>
        <v>0</v>
      </c>
      <c r="M3525" t="inlineStr">
        <is>
          <t>-185K43.7</t>
        </is>
      </c>
    </row>
    <row r="3526">
      <c r="A3526">
        <v>3525</v>
      </c>
      <c r="B3526">
        <f>GS90</f>
        <v>0</v>
      </c>
      <c r="C3526" t="inlineStr">
        <is>
          <t>+LS02</t>
        </is>
      </c>
      <c r="D3526" t="inlineStr">
        <is>
          <t>-185K447.0</t>
        </is>
      </c>
      <c r="E3526" t="inlineStr">
        <is>
          <t>DILA-40</t>
        </is>
      </c>
      <c r="F3526" t="inlineStr">
        <is>
          <t>#KALK!</t>
        </is>
      </c>
      <c r="G3526" t="inlineStr">
        <is>
          <t>HILFSSCHUETZ</t>
        </is>
      </c>
      <c r="H3526" t="inlineStr">
        <is>
          <t>4S Federzugkl.</t>
        </is>
      </c>
      <c r="I3526">
        <v>1074</v>
      </c>
      <c r="J3526">
        <f>GS90/185.7</f>
        <v>0</v>
      </c>
      <c r="M3526" t="inlineStr">
        <is>
          <t>-185K447.0</t>
        </is>
      </c>
    </row>
    <row r="3527">
      <c r="A3527">
        <v>3526</v>
      </c>
      <c r="B3527">
        <f>GS23</f>
        <v>0</v>
      </c>
      <c r="C3527" t="inlineStr">
        <is>
          <t>+LS2</t>
        </is>
      </c>
      <c r="D3527" t="inlineStr">
        <is>
          <t>-185K65.5</t>
        </is>
      </c>
      <c r="E3527" t="inlineStr">
        <is>
          <t>DIL_EM-10-G</t>
        </is>
      </c>
      <c r="F3527" t="inlineStr">
        <is>
          <t>#KALK!</t>
        </is>
      </c>
      <c r="G3527" t="inlineStr">
        <is>
          <t>LASTSCHUETZ</t>
        </is>
      </c>
      <c r="H3527" t="inlineStr">
        <is>
          <t>4kW 1S</t>
        </is>
      </c>
      <c r="I3527">
        <v>484</v>
      </c>
      <c r="J3527">
        <f>GS23/185.7</f>
        <v>0</v>
      </c>
      <c r="M3527" t="inlineStr">
        <is>
          <t>-185K65.5</t>
        </is>
      </c>
    </row>
    <row r="3528">
      <c r="A3528">
        <v>3527</v>
      </c>
      <c r="B3528">
        <f>GS33</f>
        <v>0</v>
      </c>
      <c r="C3528" t="inlineStr">
        <is>
          <t>+LS3</t>
        </is>
      </c>
      <c r="D3528" t="inlineStr">
        <is>
          <t>-185KA1</t>
        </is>
      </c>
      <c r="E3528" t="inlineStr">
        <is>
          <t>DIL_ER-31-G</t>
        </is>
      </c>
      <c r="F3528" t="inlineStr">
        <is>
          <t>31_DIL-E</t>
        </is>
      </c>
      <c r="G3528" t="inlineStr">
        <is>
          <t>HILFSSCHUETZ</t>
        </is>
      </c>
      <c r="H3528" t="inlineStr">
        <is>
          <t>3S 1OE</t>
        </is>
      </c>
      <c r="I3528">
        <v>619</v>
      </c>
      <c r="J3528">
        <f>GS33/185.4</f>
        <v>0</v>
      </c>
      <c r="M3528" t="inlineStr">
        <is>
          <t>-185KA1</t>
        </is>
      </c>
    </row>
    <row r="3529">
      <c r="A3529">
        <v>3528</v>
      </c>
      <c r="B3529">
        <f>GS33</f>
        <v>0</v>
      </c>
      <c r="C3529" t="inlineStr">
        <is>
          <t>+LS3</t>
        </is>
      </c>
      <c r="D3529" t="inlineStr">
        <is>
          <t>-185KA1</t>
        </is>
      </c>
      <c r="E3529" t="inlineStr">
        <is>
          <t>31_DIL-E</t>
        </is>
      </c>
      <c r="F3529" t="inlineStr">
        <is>
          <t>31_DIL-E</t>
        </is>
      </c>
      <c r="G3529" t="inlineStr">
        <is>
          <t>HILFSKONTAKTBLOCK</t>
        </is>
      </c>
      <c r="H3529" t="inlineStr">
        <is>
          <t>3S 1OE Last+Hilsschuetz</t>
        </is>
      </c>
      <c r="I3529">
        <v>619</v>
      </c>
      <c r="J3529">
        <f>GS33/185.4</f>
        <v>0</v>
      </c>
      <c r="M3529" t="inlineStr">
        <is>
          <t>-185KA1</t>
        </is>
      </c>
    </row>
    <row r="3530">
      <c r="A3530">
        <v>3529</v>
      </c>
      <c r="B3530">
        <f>GS33</f>
        <v>0</v>
      </c>
      <c r="C3530" t="inlineStr">
        <is>
          <t>+LS3</t>
        </is>
      </c>
      <c r="D3530" t="inlineStr">
        <is>
          <t>-185KA2</t>
        </is>
      </c>
      <c r="E3530" t="inlineStr">
        <is>
          <t>DIL_ER-22-G</t>
        </is>
      </c>
      <c r="F3530" t="inlineStr">
        <is>
          <t>#KALK!</t>
        </is>
      </c>
      <c r="G3530" t="inlineStr">
        <is>
          <t>HILFSSCHUETZ</t>
        </is>
      </c>
      <c r="H3530" t="inlineStr">
        <is>
          <t>2S 2OE</t>
        </is>
      </c>
      <c r="I3530">
        <v>619</v>
      </c>
      <c r="J3530">
        <f>GS33/185.5</f>
        <v>0</v>
      </c>
      <c r="M3530" t="inlineStr">
        <is>
          <t>-185KA2</t>
        </is>
      </c>
    </row>
    <row r="3531">
      <c r="A3531">
        <v>3530</v>
      </c>
      <c r="B3531">
        <f>GS33</f>
        <v>0</v>
      </c>
      <c r="C3531" t="inlineStr">
        <is>
          <t>+LS3</t>
        </is>
      </c>
      <c r="D3531" t="inlineStr">
        <is>
          <t>-185KA3</t>
        </is>
      </c>
      <c r="E3531" t="inlineStr">
        <is>
          <t>DIL_ER-40-G</t>
        </is>
      </c>
      <c r="F3531" t="inlineStr">
        <is>
          <t>#KALK!</t>
        </is>
      </c>
      <c r="G3531" t="inlineStr">
        <is>
          <t>HILFSSCHUETZ</t>
        </is>
      </c>
      <c r="H3531" t="inlineStr">
        <is>
          <t>4S</t>
        </is>
      </c>
      <c r="I3531">
        <v>619</v>
      </c>
      <c r="J3531">
        <f>GS33/185.6</f>
        <v>0</v>
      </c>
      <c r="M3531" t="inlineStr">
        <is>
          <t>-185KA3</t>
        </is>
      </c>
    </row>
    <row r="3532">
      <c r="A3532">
        <v>3531</v>
      </c>
      <c r="B3532">
        <f>GS35</f>
        <v>0</v>
      </c>
      <c r="C3532" t="inlineStr">
        <is>
          <t>+LS03</t>
        </is>
      </c>
      <c r="D3532" t="inlineStr">
        <is>
          <t>-185Q1</t>
        </is>
      </c>
      <c r="E3532" t="inlineStr">
        <is>
          <t>DILA-XHI22</t>
        </is>
      </c>
      <c r="F3532" t="inlineStr">
        <is>
          <t>DILA-XHI22</t>
        </is>
      </c>
      <c r="G3532" t="inlineStr">
        <is>
          <t>HILFSKONTAKTBLOCK</t>
        </is>
      </c>
      <c r="H3532" t="inlineStr">
        <is>
          <t>2S 2OE Last+Hilfssch. Cage</t>
        </is>
      </c>
      <c r="I3532">
        <v>343</v>
      </c>
      <c r="J3532">
        <f>GS35/185.4</f>
        <v>0</v>
      </c>
      <c r="K3532" t="inlineStr">
        <is>
          <t>DIL MC25</t>
        </is>
      </c>
      <c r="M3532" t="inlineStr">
        <is>
          <t>-185Q1</t>
        </is>
      </c>
    </row>
    <row r="3533">
      <c r="A3533">
        <v>3532</v>
      </c>
      <c r="B3533">
        <f>GS35</f>
        <v>0</v>
      </c>
      <c r="C3533" t="inlineStr">
        <is>
          <t>+LS03</t>
        </is>
      </c>
      <c r="D3533" t="inlineStr">
        <is>
          <t>-185Q1</t>
        </is>
      </c>
      <c r="E3533" t="inlineStr">
        <is>
          <t>DILM-25-10</t>
        </is>
      </c>
      <c r="F3533" t="inlineStr">
        <is>
          <t>DILA-XHI22</t>
        </is>
      </c>
      <c r="G3533" t="inlineStr">
        <is>
          <t>LASTSCHUETZ</t>
        </is>
      </c>
      <c r="H3533" t="inlineStr">
        <is>
          <t>11kW 1S Federzugkl.</t>
        </is>
      </c>
      <c r="I3533">
        <v>343</v>
      </c>
      <c r="J3533">
        <f>GS35/185.4</f>
        <v>0</v>
      </c>
      <c r="K3533" t="inlineStr">
        <is>
          <t>DIL MC25</t>
        </is>
      </c>
      <c r="M3533" t="inlineStr">
        <is>
          <t>-185Q1</t>
        </is>
      </c>
    </row>
    <row r="3534">
      <c r="A3534">
        <v>3533</v>
      </c>
      <c r="B3534">
        <f>GS53</f>
        <v>0</v>
      </c>
      <c r="C3534" t="inlineStr">
        <is>
          <t>+LS[p1]</t>
        </is>
      </c>
      <c r="D3534" t="inlineStr">
        <is>
          <t>-185Q1</t>
        </is>
      </c>
      <c r="E3534" t="inlineStr">
        <is>
          <t>DILMC25-10(RDC24)</t>
        </is>
      </c>
      <c r="F3534" t="inlineStr">
        <is>
          <t>DILA-XHI22</t>
        </is>
      </c>
      <c r="G3534" t="inlineStr">
        <is>
          <t>LASTSCHUETZ</t>
        </is>
      </c>
      <c r="H3534" t="inlineStr">
        <is>
          <t>11kW 1S Federzugkl.</t>
        </is>
      </c>
      <c r="I3534">
        <v>167</v>
      </c>
      <c r="J3534">
        <f>GS53/185.6</f>
        <v>0</v>
      </c>
      <c r="K3534" t="inlineStr">
        <is>
          <t>DIL MC25</t>
        </is>
      </c>
      <c r="M3534" t="inlineStr">
        <is>
          <t>-185Q1</t>
        </is>
      </c>
    </row>
    <row r="3535">
      <c r="A3535">
        <v>3534</v>
      </c>
      <c r="B3535">
        <f>GS53</f>
        <v>0</v>
      </c>
      <c r="C3535" t="inlineStr">
        <is>
          <t>+LS[p1]</t>
        </is>
      </c>
      <c r="D3535" t="inlineStr">
        <is>
          <t>-185Q1</t>
        </is>
      </c>
      <c r="E3535" t="inlineStr">
        <is>
          <t>DILA-XHI22</t>
        </is>
      </c>
      <c r="F3535" t="inlineStr">
        <is>
          <t>DILA-XHI22</t>
        </is>
      </c>
      <c r="G3535" t="inlineStr">
        <is>
          <t>HILFSKONTAKTBLOCK</t>
        </is>
      </c>
      <c r="H3535" t="inlineStr">
        <is>
          <t>2S 2OE Last+Hilfssch. Cage</t>
        </is>
      </c>
      <c r="I3535">
        <v>167</v>
      </c>
      <c r="J3535">
        <f>GS53/185.6</f>
        <v>0</v>
      </c>
      <c r="K3535" t="inlineStr">
        <is>
          <t>DIL MC25</t>
        </is>
      </c>
      <c r="M3535" t="inlineStr">
        <is>
          <t>-185Q1</t>
        </is>
      </c>
    </row>
    <row r="3536">
      <c r="A3536">
        <v>3535</v>
      </c>
      <c r="B3536">
        <f>GS55</f>
        <v>0</v>
      </c>
      <c r="C3536" t="inlineStr">
        <is>
          <t>+LS02</t>
        </is>
      </c>
      <c r="D3536" t="inlineStr">
        <is>
          <t>-185Q1</t>
        </is>
      </c>
      <c r="E3536" t="inlineStr">
        <is>
          <t>DILA-XHI22</t>
        </is>
      </c>
      <c r="F3536" t="inlineStr">
        <is>
          <t>DILA-XHI22</t>
        </is>
      </c>
      <c r="G3536" t="inlineStr">
        <is>
          <t>HILFSKONTAKTBLOCK</t>
        </is>
      </c>
      <c r="H3536" t="inlineStr">
        <is>
          <t>2S 2OE Last+Hilfssch. Cage</t>
        </is>
      </c>
      <c r="I3536">
        <v>431</v>
      </c>
      <c r="J3536">
        <f>GS55/185.6</f>
        <v>0</v>
      </c>
      <c r="K3536" t="inlineStr">
        <is>
          <t>DIL MC25</t>
        </is>
      </c>
      <c r="M3536" t="inlineStr">
        <is>
          <t>-185Q1</t>
        </is>
      </c>
    </row>
    <row r="3537">
      <c r="A3537">
        <v>3536</v>
      </c>
      <c r="B3537">
        <f>GS55</f>
        <v>0</v>
      </c>
      <c r="C3537" t="inlineStr">
        <is>
          <t>+LS02</t>
        </is>
      </c>
      <c r="D3537" t="inlineStr">
        <is>
          <t>-185Q1</t>
        </is>
      </c>
      <c r="E3537" t="inlineStr">
        <is>
          <t>DILMC25-10(RDC24)</t>
        </is>
      </c>
      <c r="F3537" t="inlineStr">
        <is>
          <t>DILA-XHI22</t>
        </is>
      </c>
      <c r="G3537" t="inlineStr">
        <is>
          <t>LASTSCHUETZ</t>
        </is>
      </c>
      <c r="H3537" t="inlineStr">
        <is>
          <t>11kW 1S Federzugkl.</t>
        </is>
      </c>
      <c r="I3537">
        <v>431</v>
      </c>
      <c r="J3537">
        <f>GS55/185.6</f>
        <v>0</v>
      </c>
      <c r="K3537" t="inlineStr">
        <is>
          <t>DIL MC25</t>
        </is>
      </c>
      <c r="M3537" t="inlineStr">
        <is>
          <t>-185Q1</t>
        </is>
      </c>
    </row>
    <row r="3538">
      <c r="A3538">
        <v>3537</v>
      </c>
      <c r="B3538">
        <f>GS69</f>
        <v>0</v>
      </c>
      <c r="C3538" t="inlineStr">
        <is>
          <t>+LS03</t>
        </is>
      </c>
      <c r="D3538" t="inlineStr">
        <is>
          <t>-185Q1</t>
        </is>
      </c>
      <c r="E3538" t="inlineStr">
        <is>
          <t>DILM150-XHIC22</t>
        </is>
      </c>
      <c r="F3538" t="inlineStr">
        <is>
          <t>DILM150-XHIC22</t>
        </is>
      </c>
      <c r="G3538" t="inlineStr">
        <is>
          <t>HILFSKONTAKTBLOCK</t>
        </is>
      </c>
      <c r="H3538" t="inlineStr">
        <is>
          <t>2S 2OE ab DILMC40</t>
        </is>
      </c>
      <c r="I3538">
        <v>392</v>
      </c>
      <c r="J3538">
        <f>GS69/185.7</f>
        <v>0</v>
      </c>
      <c r="K3538" t="inlineStr">
        <is>
          <t>DIL MC40</t>
        </is>
      </c>
      <c r="M3538" t="inlineStr">
        <is>
          <t>-185Q1</t>
        </is>
      </c>
    </row>
    <row r="3539">
      <c r="A3539">
        <v>3538</v>
      </c>
      <c r="B3539">
        <f>GS69</f>
        <v>0</v>
      </c>
      <c r="C3539" t="inlineStr">
        <is>
          <t>+LS03</t>
        </is>
      </c>
      <c r="D3539" t="inlineStr">
        <is>
          <t>-185Q1</t>
        </is>
      </c>
      <c r="E3539" t="inlineStr">
        <is>
          <t>DILMC40(RDC24)</t>
        </is>
      </c>
      <c r="F3539" t="inlineStr">
        <is>
          <t>DILM150-XHIC22</t>
        </is>
      </c>
      <c r="G3539" t="inlineStr">
        <is>
          <t>LASTSCHUETZ</t>
        </is>
      </c>
      <c r="H3539" t="inlineStr">
        <is>
          <t>18,5kW Federzugkl.</t>
        </is>
      </c>
      <c r="I3539">
        <v>392</v>
      </c>
      <c r="J3539">
        <f>GS69/185.7</f>
        <v>0</v>
      </c>
      <c r="K3539" t="inlineStr">
        <is>
          <t>DIL MC40</t>
        </is>
      </c>
      <c r="M3539" t="inlineStr">
        <is>
          <t>-185Q1</t>
        </is>
      </c>
    </row>
    <row r="3540">
      <c r="A3540">
        <v>3539</v>
      </c>
      <c r="B3540">
        <f>GS7x</f>
        <v>0</v>
      </c>
      <c r="C3540" t="inlineStr">
        <is>
          <t>+LS[l3]</t>
        </is>
      </c>
      <c r="D3540" t="inlineStr">
        <is>
          <t>-185Q1</t>
        </is>
      </c>
      <c r="E3540" t="inlineStr">
        <is>
          <t>DILM-9-10</t>
        </is>
      </c>
      <c r="F3540" t="inlineStr">
        <is>
          <t>#KALK!</t>
        </is>
      </c>
      <c r="G3540" t="inlineStr">
        <is>
          <t>LASTSCHUETZ</t>
        </is>
      </c>
      <c r="H3540" t="inlineStr">
        <is>
          <t>4kW 1S Federzugkl.</t>
        </is>
      </c>
      <c r="I3540">
        <v>229</v>
      </c>
      <c r="J3540">
        <f>GS7x/185.2</f>
        <v>0</v>
      </c>
      <c r="M3540" t="inlineStr">
        <is>
          <t>-185Q1</t>
        </is>
      </c>
    </row>
    <row r="3541">
      <c r="A3541">
        <v>3540</v>
      </c>
      <c r="B3541">
        <f>GS90</f>
        <v>0</v>
      </c>
      <c r="C3541" t="inlineStr">
        <is>
          <t>+LS02</t>
        </is>
      </c>
      <c r="D3541" t="inlineStr">
        <is>
          <t>-185Q1</t>
        </is>
      </c>
      <c r="E3541" t="inlineStr">
        <is>
          <t>DILA-XHI22</t>
        </is>
      </c>
      <c r="F3541" t="inlineStr">
        <is>
          <t>DILA-XHI22</t>
        </is>
      </c>
      <c r="G3541" t="inlineStr">
        <is>
          <t>HILFSKONTAKTBLOCK</t>
        </is>
      </c>
      <c r="H3541" t="inlineStr">
        <is>
          <t>2S 2OE Last+Hilfssch. Cage</t>
        </is>
      </c>
      <c r="I3541">
        <v>1074</v>
      </c>
      <c r="J3541">
        <f>GS90/185.4</f>
        <v>0</v>
      </c>
      <c r="K3541" t="inlineStr">
        <is>
          <t>DIL MC25</t>
        </is>
      </c>
      <c r="M3541" t="inlineStr">
        <is>
          <t>-185Q1</t>
        </is>
      </c>
    </row>
    <row r="3542">
      <c r="A3542">
        <v>3541</v>
      </c>
      <c r="B3542">
        <f>GS90</f>
        <v>0</v>
      </c>
      <c r="C3542" t="inlineStr">
        <is>
          <t>+LS02</t>
        </is>
      </c>
      <c r="D3542" t="inlineStr">
        <is>
          <t>-185Q1</t>
        </is>
      </c>
      <c r="E3542" t="inlineStr">
        <is>
          <t>DILMC25-10(RDC24)</t>
        </is>
      </c>
      <c r="F3542" t="inlineStr">
        <is>
          <t>DILA-XHI22</t>
        </is>
      </c>
      <c r="G3542" t="inlineStr">
        <is>
          <t>LASTSCHUETZ</t>
        </is>
      </c>
      <c r="H3542" t="inlineStr">
        <is>
          <t>11kW 1S Federzugkl.</t>
        </is>
      </c>
      <c r="I3542">
        <v>1074</v>
      </c>
      <c r="J3542">
        <f>GS90/185.4</f>
        <v>0</v>
      </c>
      <c r="K3542" t="inlineStr">
        <is>
          <t>DIL MC25</t>
        </is>
      </c>
      <c r="M3542" t="inlineStr">
        <is>
          <t>-185Q1</t>
        </is>
      </c>
    </row>
    <row r="3543">
      <c r="A3543">
        <v>3542</v>
      </c>
      <c r="B3543">
        <f>GS92</f>
        <v>0</v>
      </c>
      <c r="C3543" t="inlineStr">
        <is>
          <t>+LS02</t>
        </is>
      </c>
      <c r="D3543" t="inlineStr">
        <is>
          <t>-185Q1</t>
        </is>
      </c>
      <c r="E3543" t="inlineStr">
        <is>
          <t>DILMC25-10(RDC24)</t>
        </is>
      </c>
      <c r="F3543" t="inlineStr">
        <is>
          <t>DILA-XHI22</t>
        </is>
      </c>
      <c r="G3543" t="inlineStr">
        <is>
          <t>LASTSCHUETZ</t>
        </is>
      </c>
      <c r="H3543" t="inlineStr">
        <is>
          <t>11kW 1S Federzugkl.</t>
        </is>
      </c>
      <c r="I3543">
        <v>332</v>
      </c>
      <c r="J3543">
        <f>GS92/185.4</f>
        <v>0</v>
      </c>
      <c r="K3543" t="inlineStr">
        <is>
          <t>DIL MC25</t>
        </is>
      </c>
      <c r="M3543" t="inlineStr">
        <is>
          <t>-185Q1</t>
        </is>
      </c>
    </row>
    <row r="3544">
      <c r="A3544">
        <v>3543</v>
      </c>
      <c r="B3544">
        <f>GS92</f>
        <v>0</v>
      </c>
      <c r="C3544" t="inlineStr">
        <is>
          <t>+LS02</t>
        </is>
      </c>
      <c r="D3544" t="inlineStr">
        <is>
          <t>-185Q1</t>
        </is>
      </c>
      <c r="E3544" t="inlineStr">
        <is>
          <t>DILA-XHI22</t>
        </is>
      </c>
      <c r="F3544" t="inlineStr">
        <is>
          <t>DILA-XHI22</t>
        </is>
      </c>
      <c r="G3544" t="inlineStr">
        <is>
          <t>HILFSKONTAKTBLOCK</t>
        </is>
      </c>
      <c r="H3544" t="inlineStr">
        <is>
          <t>2S 2OE Last+Hilfssch. Cage</t>
        </is>
      </c>
      <c r="I3544">
        <v>332</v>
      </c>
      <c r="J3544">
        <f>GS92/185.4</f>
        <v>0</v>
      </c>
      <c r="K3544" t="inlineStr">
        <is>
          <t>DIL MC25</t>
        </is>
      </c>
      <c r="M3544" t="inlineStr">
        <is>
          <t>-185Q1</t>
        </is>
      </c>
    </row>
    <row r="3545">
      <c r="A3545">
        <v>3544</v>
      </c>
      <c r="B3545">
        <f>GS94</f>
        <v>0</v>
      </c>
      <c r="C3545" t="inlineStr">
        <is>
          <t>+LS15</t>
        </is>
      </c>
      <c r="D3545" t="inlineStr">
        <is>
          <t>-185Q1</t>
        </is>
      </c>
      <c r="E3545" t="inlineStr">
        <is>
          <t>DILMC25-10(RDC24)</t>
        </is>
      </c>
      <c r="F3545" t="inlineStr">
        <is>
          <t>DILA-XHI22</t>
        </is>
      </c>
      <c r="G3545" t="inlineStr">
        <is>
          <t>LASTSCHUETZ</t>
        </is>
      </c>
      <c r="H3545" t="inlineStr">
        <is>
          <t>11kW 1S Federzugkl.</t>
        </is>
      </c>
      <c r="I3545">
        <v>275</v>
      </c>
      <c r="J3545">
        <f>GS94/185.4</f>
        <v>0</v>
      </c>
      <c r="K3545" t="inlineStr">
        <is>
          <t>DIL MC25</t>
        </is>
      </c>
      <c r="M3545" t="inlineStr">
        <is>
          <t>-185Q1</t>
        </is>
      </c>
    </row>
    <row r="3546">
      <c r="A3546">
        <v>3545</v>
      </c>
      <c r="B3546">
        <f>GS94</f>
        <v>0</v>
      </c>
      <c r="C3546" t="inlineStr">
        <is>
          <t>+LS15</t>
        </is>
      </c>
      <c r="D3546" t="inlineStr">
        <is>
          <t>-185Q1</t>
        </is>
      </c>
      <c r="E3546" t="inlineStr">
        <is>
          <t>DILA-XHI22</t>
        </is>
      </c>
      <c r="F3546" t="inlineStr">
        <is>
          <t>DILA-XHI22</t>
        </is>
      </c>
      <c r="G3546" t="inlineStr">
        <is>
          <t>HILFSKONTAKTBLOCK</t>
        </is>
      </c>
      <c r="H3546" t="inlineStr">
        <is>
          <t>2S 2OE Last+Hilfssch. Cage</t>
        </is>
      </c>
      <c r="I3546">
        <v>275</v>
      </c>
      <c r="J3546">
        <f>GS94/185.4</f>
        <v>0</v>
      </c>
      <c r="K3546" t="inlineStr">
        <is>
          <t>DIL MC25</t>
        </is>
      </c>
      <c r="M3546" t="inlineStr">
        <is>
          <t>-185Q1</t>
        </is>
      </c>
    </row>
    <row r="3547">
      <c r="A3547">
        <v>3546</v>
      </c>
      <c r="B3547">
        <f>GS95</f>
        <v>0</v>
      </c>
      <c r="C3547" t="inlineStr">
        <is>
          <t>+LS15</t>
        </is>
      </c>
      <c r="D3547" t="inlineStr">
        <is>
          <t>-185Q1</t>
        </is>
      </c>
      <c r="E3547" t="inlineStr">
        <is>
          <t>DILA-XHI22</t>
        </is>
      </c>
      <c r="F3547" t="inlineStr">
        <is>
          <t>DILA-XHI22</t>
        </is>
      </c>
      <c r="G3547" t="inlineStr">
        <is>
          <t>HILFSKONTAKTBLOCK</t>
        </is>
      </c>
      <c r="H3547" t="inlineStr">
        <is>
          <t>2S 2OE Last+Hilfssch. Cage</t>
        </is>
      </c>
      <c r="I3547">
        <v>275</v>
      </c>
      <c r="J3547">
        <f>GS95/185.4</f>
        <v>0</v>
      </c>
      <c r="K3547" t="inlineStr">
        <is>
          <t>DIL MC25</t>
        </is>
      </c>
      <c r="M3547" t="inlineStr">
        <is>
          <t>-185Q1</t>
        </is>
      </c>
    </row>
    <row r="3548">
      <c r="A3548">
        <v>3547</v>
      </c>
      <c r="B3548">
        <f>GS95</f>
        <v>0</v>
      </c>
      <c r="C3548" t="inlineStr">
        <is>
          <t>+LS15</t>
        </is>
      </c>
      <c r="D3548" t="inlineStr">
        <is>
          <t>-185Q1</t>
        </is>
      </c>
      <c r="E3548" t="inlineStr">
        <is>
          <t>DILMC25-10(RDC24)</t>
        </is>
      </c>
      <c r="F3548" t="inlineStr">
        <is>
          <t>DILA-XHI22</t>
        </is>
      </c>
      <c r="G3548" t="inlineStr">
        <is>
          <t>LASTSCHUETZ</t>
        </is>
      </c>
      <c r="H3548" t="inlineStr">
        <is>
          <t>11kW 1S Federzugkl.</t>
        </is>
      </c>
      <c r="I3548">
        <v>275</v>
      </c>
      <c r="J3548">
        <f>GS95/185.4</f>
        <v>0</v>
      </c>
      <c r="K3548" t="inlineStr">
        <is>
          <t>DIL MC25</t>
        </is>
      </c>
      <c r="M3548" t="inlineStr">
        <is>
          <t>-185Q1</t>
        </is>
      </c>
    </row>
    <row r="3549">
      <c r="A3549">
        <v>3548</v>
      </c>
      <c r="B3549">
        <f>GS96</f>
        <v>0</v>
      </c>
      <c r="C3549" t="inlineStr">
        <is>
          <t>+LS15</t>
        </is>
      </c>
      <c r="D3549" t="inlineStr">
        <is>
          <t>-185Q1</t>
        </is>
      </c>
      <c r="E3549" t="inlineStr">
        <is>
          <t>DILMC25-10(RDC24)</t>
        </is>
      </c>
      <c r="F3549" t="inlineStr">
        <is>
          <t>DILA-XHI22</t>
        </is>
      </c>
      <c r="G3549" t="inlineStr">
        <is>
          <t>LASTSCHUETZ</t>
        </is>
      </c>
      <c r="H3549" t="inlineStr">
        <is>
          <t>11kW 1S Federzugkl.</t>
        </is>
      </c>
      <c r="I3549">
        <v>275</v>
      </c>
      <c r="J3549">
        <f>GS96/185.4</f>
        <v>0</v>
      </c>
      <c r="K3549" t="inlineStr">
        <is>
          <t>DIL MC25</t>
        </is>
      </c>
      <c r="M3549" t="inlineStr">
        <is>
          <t>-185Q1</t>
        </is>
      </c>
    </row>
    <row r="3550">
      <c r="A3550">
        <v>3549</v>
      </c>
      <c r="B3550">
        <f>GS96</f>
        <v>0</v>
      </c>
      <c r="C3550" t="inlineStr">
        <is>
          <t>+LS15</t>
        </is>
      </c>
      <c r="D3550" t="inlineStr">
        <is>
          <t>-185Q1</t>
        </is>
      </c>
      <c r="E3550" t="inlineStr">
        <is>
          <t>DILA-XHI22</t>
        </is>
      </c>
      <c r="F3550" t="inlineStr">
        <is>
          <t>DILA-XHI22</t>
        </is>
      </c>
      <c r="G3550" t="inlineStr">
        <is>
          <t>HILFSKONTAKTBLOCK</t>
        </is>
      </c>
      <c r="H3550" t="inlineStr">
        <is>
          <t>2S 2OE Last+Hilfssch. Cage</t>
        </is>
      </c>
      <c r="I3550">
        <v>275</v>
      </c>
      <c r="J3550">
        <f>GS96/185.4</f>
        <v>0</v>
      </c>
      <c r="K3550" t="inlineStr">
        <is>
          <t>DIL MC25</t>
        </is>
      </c>
      <c r="M3550" t="inlineStr">
        <is>
          <t>-185Q1</t>
        </is>
      </c>
    </row>
    <row r="3551">
      <c r="A3551">
        <v>3550</v>
      </c>
      <c r="B3551">
        <f>GS97</f>
        <v>0</v>
      </c>
      <c r="C3551" t="inlineStr">
        <is>
          <t>+LS15</t>
        </is>
      </c>
      <c r="D3551" t="inlineStr">
        <is>
          <t>-185Q1</t>
        </is>
      </c>
      <c r="E3551" t="inlineStr">
        <is>
          <t>DILMC25-10(RDC24)</t>
        </is>
      </c>
      <c r="F3551" t="inlineStr">
        <is>
          <t>DILA-XHI22</t>
        </is>
      </c>
      <c r="G3551" t="inlineStr">
        <is>
          <t>LASTSCHUETZ</t>
        </is>
      </c>
      <c r="H3551" t="inlineStr">
        <is>
          <t>11kW 1S Federzugkl.</t>
        </is>
      </c>
      <c r="I3551">
        <v>275</v>
      </c>
      <c r="J3551">
        <f>GS97/185.4</f>
        <v>0</v>
      </c>
      <c r="K3551" t="inlineStr">
        <is>
          <t>DIL MC25</t>
        </is>
      </c>
      <c r="M3551" t="inlineStr">
        <is>
          <t>-185Q1</t>
        </is>
      </c>
    </row>
    <row r="3552">
      <c r="A3552">
        <v>3551</v>
      </c>
      <c r="B3552">
        <f>GS97</f>
        <v>0</v>
      </c>
      <c r="C3552" t="inlineStr">
        <is>
          <t>+LS15</t>
        </is>
      </c>
      <c r="D3552" t="inlineStr">
        <is>
          <t>-185Q1</t>
        </is>
      </c>
      <c r="E3552" t="inlineStr">
        <is>
          <t>DILA-XHI22</t>
        </is>
      </c>
      <c r="F3552" t="inlineStr">
        <is>
          <t>DILA-XHI22</t>
        </is>
      </c>
      <c r="G3552" t="inlineStr">
        <is>
          <t>HILFSKONTAKTBLOCK</t>
        </is>
      </c>
      <c r="H3552" t="inlineStr">
        <is>
          <t>2S 2OE Last+Hilfssch. Cage</t>
        </is>
      </c>
      <c r="I3552">
        <v>275</v>
      </c>
      <c r="J3552">
        <f>GS97/185.4</f>
        <v>0</v>
      </c>
      <c r="K3552" t="inlineStr">
        <is>
          <t>DIL MC25</t>
        </is>
      </c>
      <c r="M3552" t="inlineStr">
        <is>
          <t>-185Q1</t>
        </is>
      </c>
    </row>
    <row r="3553">
      <c r="A3553">
        <v>3552</v>
      </c>
      <c r="B3553">
        <f>GS37</f>
        <v>0</v>
      </c>
      <c r="C3553" t="inlineStr">
        <is>
          <t>+LS03</t>
        </is>
      </c>
      <c r="D3553" t="inlineStr">
        <is>
          <t>-185Q430.6</t>
        </is>
      </c>
      <c r="E3553" t="inlineStr">
        <is>
          <t>DILMC12-10(24VDC)</t>
        </is>
      </c>
      <c r="F3553" t="inlineStr">
        <is>
          <t>#KALK!</t>
        </is>
      </c>
      <c r="G3553" t="inlineStr">
        <is>
          <t>LASTSCHUETZ</t>
        </is>
      </c>
      <c r="H3553" t="inlineStr">
        <is>
          <t>5,5kW 1S Federzugkl.</t>
        </is>
      </c>
      <c r="I3553">
        <v>410</v>
      </c>
      <c r="J3553">
        <f>GS37/185.5</f>
        <v>0</v>
      </c>
      <c r="K3553" t="inlineStr">
        <is>
          <t>DILMC12</t>
        </is>
      </c>
      <c r="M3553" t="inlineStr">
        <is>
          <t>-185Q430.6</t>
        </is>
      </c>
    </row>
    <row r="3554">
      <c r="A3554">
        <v>3553</v>
      </c>
      <c r="B3554">
        <f>GS55</f>
        <v>0</v>
      </c>
      <c r="C3554" t="inlineStr">
        <is>
          <t>+LS30</t>
        </is>
      </c>
      <c r="D3554" t="inlineStr">
        <is>
          <t>-1861Q1045.3</t>
        </is>
      </c>
      <c r="E3554" t="inlineStr">
        <is>
          <t>DILM-9-10</t>
        </is>
      </c>
      <c r="F3554" t="inlineStr">
        <is>
          <t>#KALK!</t>
        </is>
      </c>
      <c r="G3554" t="inlineStr">
        <is>
          <t>LASTSCHUETZ</t>
        </is>
      </c>
      <c r="H3554" t="inlineStr">
        <is>
          <t>4kW 1S Federzugkl.</t>
        </is>
      </c>
      <c r="I3554">
        <v>2053</v>
      </c>
      <c r="J3554">
        <f>GS55/1861.6</f>
        <v>0</v>
      </c>
      <c r="K3554" t="inlineStr">
        <is>
          <t>DIL MC9</t>
        </is>
      </c>
      <c r="M3554" t="inlineStr">
        <is>
          <t>-1861Q1045.3</t>
        </is>
      </c>
    </row>
    <row r="3555">
      <c r="A3555">
        <v>3554</v>
      </c>
      <c r="B3555">
        <f>GS55</f>
        <v>0</v>
      </c>
      <c r="C3555" t="inlineStr">
        <is>
          <t>+LS30</t>
        </is>
      </c>
      <c r="D3555" t="inlineStr">
        <is>
          <t>-1863Q1045.4</t>
        </is>
      </c>
      <c r="E3555" t="inlineStr">
        <is>
          <t>DILM-9-10</t>
        </is>
      </c>
      <c r="F3555" t="inlineStr">
        <is>
          <t>#KALK!</t>
        </is>
      </c>
      <c r="G3555" t="inlineStr">
        <is>
          <t>LASTSCHUETZ</t>
        </is>
      </c>
      <c r="H3555" t="inlineStr">
        <is>
          <t>4kW 1S Federzugkl.</t>
        </is>
      </c>
      <c r="I3555">
        <v>2055</v>
      </c>
      <c r="J3555">
        <f>GS55/1863.6</f>
        <v>0</v>
      </c>
      <c r="K3555" t="inlineStr">
        <is>
          <t>DIL MC9</t>
        </is>
      </c>
      <c r="M3555" t="inlineStr">
        <is>
          <t>-1863Q1045.4</t>
        </is>
      </c>
    </row>
    <row r="3556">
      <c r="A3556">
        <v>3555</v>
      </c>
      <c r="B3556">
        <f>GS55</f>
        <v>0</v>
      </c>
      <c r="C3556" t="inlineStr">
        <is>
          <t>+LS30</t>
        </is>
      </c>
      <c r="D3556" t="inlineStr">
        <is>
          <t>-1865Q1045.5</t>
        </is>
      </c>
      <c r="E3556" t="inlineStr">
        <is>
          <t>DILM-9-10</t>
        </is>
      </c>
      <c r="F3556" t="inlineStr">
        <is>
          <t>#KALK!</t>
        </is>
      </c>
      <c r="G3556" t="inlineStr">
        <is>
          <t>LASTSCHUETZ</t>
        </is>
      </c>
      <c r="H3556" t="inlineStr">
        <is>
          <t>4kW 1S Federzugkl.</t>
        </is>
      </c>
      <c r="I3556">
        <v>2057</v>
      </c>
      <c r="J3556">
        <f>GS55/1865.6</f>
        <v>0</v>
      </c>
      <c r="K3556" t="inlineStr">
        <is>
          <t>DIL MC9</t>
        </is>
      </c>
      <c r="M3556" t="inlineStr">
        <is>
          <t>-1865Q1045.5</t>
        </is>
      </c>
    </row>
    <row r="3557">
      <c r="A3557">
        <v>3556</v>
      </c>
      <c r="B3557">
        <f>GS55</f>
        <v>0</v>
      </c>
      <c r="C3557" t="inlineStr">
        <is>
          <t>+LS30</t>
        </is>
      </c>
      <c r="D3557" t="inlineStr">
        <is>
          <t>-1867Q1045.6</t>
        </is>
      </c>
      <c r="E3557" t="inlineStr">
        <is>
          <t>DILM-9-10</t>
        </is>
      </c>
      <c r="F3557" t="inlineStr">
        <is>
          <t>#KALK!</t>
        </is>
      </c>
      <c r="G3557" t="inlineStr">
        <is>
          <t>LASTSCHUETZ</t>
        </is>
      </c>
      <c r="H3557" t="inlineStr">
        <is>
          <t>4kW 1S Federzugkl.</t>
        </is>
      </c>
      <c r="I3557">
        <v>2058</v>
      </c>
      <c r="J3557">
        <f>GS55/1867.6</f>
        <v>0</v>
      </c>
      <c r="K3557" t="inlineStr">
        <is>
          <t>DIL MC9</t>
        </is>
      </c>
      <c r="M3557" t="inlineStr">
        <is>
          <t>-1867Q1045.6</t>
        </is>
      </c>
    </row>
    <row r="3558">
      <c r="A3558">
        <v>3557</v>
      </c>
      <c r="B3558">
        <f>GS25</f>
        <v>0</v>
      </c>
      <c r="C3558" t="inlineStr">
        <is>
          <t>+LS4</t>
        </is>
      </c>
      <c r="D3558" t="inlineStr">
        <is>
          <t>-186K1</t>
        </is>
      </c>
      <c r="E3558" t="inlineStr">
        <is>
          <t>DIL_0AM</t>
        </is>
      </c>
      <c r="F3558" t="inlineStr">
        <is>
          <t>22_DIL-M</t>
        </is>
      </c>
      <c r="G3558" t="inlineStr">
        <is>
          <t>LASTSCHUETZ</t>
        </is>
      </c>
      <c r="H3558" t="inlineStr">
        <is>
          <t>11 kW</t>
        </is>
      </c>
      <c r="I3558">
        <v>307</v>
      </c>
      <c r="J3558">
        <f>GS25/186.2</f>
        <v>0</v>
      </c>
      <c r="K3558" t="inlineStr">
        <is>
          <t>DIL0AM</t>
        </is>
      </c>
      <c r="M3558" t="inlineStr">
        <is>
          <t>-186K1</t>
        </is>
      </c>
    </row>
    <row r="3559">
      <c r="A3559">
        <v>3558</v>
      </c>
      <c r="B3559">
        <f>GS25</f>
        <v>0</v>
      </c>
      <c r="C3559" t="inlineStr">
        <is>
          <t>+LS4</t>
        </is>
      </c>
      <c r="D3559" t="inlineStr">
        <is>
          <t>-186K1</t>
        </is>
      </c>
      <c r="E3559" t="inlineStr">
        <is>
          <t>22_DIL-M</t>
        </is>
      </c>
      <c r="F3559" t="inlineStr">
        <is>
          <t>22_DIL-M</t>
        </is>
      </c>
      <c r="G3559" t="inlineStr">
        <is>
          <t>HILFSKONTAKTBLOCK</t>
        </is>
      </c>
      <c r="H3559" t="inlineStr">
        <is>
          <t>2S 2OE Lastschuetz DIL M</t>
        </is>
      </c>
      <c r="I3559">
        <v>307</v>
      </c>
      <c r="J3559">
        <f>GS25/186.2</f>
        <v>0</v>
      </c>
      <c r="K3559" t="inlineStr">
        <is>
          <t>DIL0AM</t>
        </is>
      </c>
      <c r="M3559" t="inlineStr">
        <is>
          <t>-186K1</t>
        </is>
      </c>
    </row>
    <row r="3560">
      <c r="A3560">
        <v>3559</v>
      </c>
      <c r="B3560">
        <f>GS11</f>
        <v>0</v>
      </c>
      <c r="C3560" t="inlineStr">
        <is>
          <t>+LS4</t>
        </is>
      </c>
      <c r="D3560" t="inlineStr">
        <is>
          <t>-186K44.0</t>
        </is>
      </c>
      <c r="E3560" t="inlineStr">
        <is>
          <t>DIL_EM-10-G</t>
        </is>
      </c>
      <c r="F3560" t="inlineStr">
        <is>
          <t>#KALK!</t>
        </is>
      </c>
      <c r="G3560" t="inlineStr">
        <is>
          <t>LASTSCHUETZ</t>
        </is>
      </c>
      <c r="H3560" t="inlineStr">
        <is>
          <t>4kW 1S</t>
        </is>
      </c>
      <c r="I3560">
        <v>297</v>
      </c>
      <c r="J3560">
        <f>GS11/186.6</f>
        <v>0</v>
      </c>
      <c r="M3560" t="inlineStr">
        <is>
          <t>-186K44.0</t>
        </is>
      </c>
    </row>
    <row r="3561">
      <c r="A3561">
        <v>3560</v>
      </c>
      <c r="B3561">
        <f>GS21</f>
        <v>0</v>
      </c>
      <c r="C3561" t="inlineStr">
        <is>
          <t>+LS4</t>
        </is>
      </c>
      <c r="D3561" t="inlineStr">
        <is>
          <t>-186K44.0</t>
        </is>
      </c>
      <c r="E3561" t="inlineStr">
        <is>
          <t>DIL_EM-10-G</t>
        </is>
      </c>
      <c r="F3561" t="inlineStr">
        <is>
          <t>#KALK!</t>
        </is>
      </c>
      <c r="G3561" t="inlineStr">
        <is>
          <t>LASTSCHUETZ</t>
        </is>
      </c>
      <c r="H3561" t="inlineStr">
        <is>
          <t>4kW 1S</t>
        </is>
      </c>
      <c r="I3561">
        <v>271</v>
      </c>
      <c r="J3561">
        <f>GS21/186.6</f>
        <v>0</v>
      </c>
      <c r="M3561" t="inlineStr">
        <is>
          <t>-186K44.0</t>
        </is>
      </c>
    </row>
    <row r="3562">
      <c r="A3562">
        <v>3561</v>
      </c>
      <c r="B3562">
        <f>GS92</f>
        <v>0</v>
      </c>
      <c r="C3562" t="inlineStr">
        <is>
          <t>+LS02</t>
        </is>
      </c>
      <c r="D3562" t="inlineStr">
        <is>
          <t>-186Q163.5</t>
        </is>
      </c>
      <c r="E3562" t="inlineStr">
        <is>
          <t>DILM-9-10</t>
        </is>
      </c>
      <c r="F3562" t="inlineStr">
        <is>
          <t>#KALK!</t>
        </is>
      </c>
      <c r="G3562" t="inlineStr">
        <is>
          <t>LASTSCHUETZ</t>
        </is>
      </c>
      <c r="H3562" t="inlineStr">
        <is>
          <t>4kW 1S Federzugkl.</t>
        </is>
      </c>
      <c r="I3562">
        <v>333</v>
      </c>
      <c r="J3562">
        <f>GS92/186.5</f>
        <v>0</v>
      </c>
      <c r="M3562" t="inlineStr">
        <is>
          <t>-186Q163.5</t>
        </is>
      </c>
    </row>
    <row r="3563">
      <c r="A3563">
        <v>3562</v>
      </c>
      <c r="B3563">
        <f>GS32</f>
        <v>0</v>
      </c>
      <c r="C3563" t="inlineStr">
        <is>
          <t>+LS3</t>
        </is>
      </c>
      <c r="D3563" t="inlineStr">
        <is>
          <t>-186Q37.5</t>
        </is>
      </c>
      <c r="E3563" t="inlineStr">
        <is>
          <t>DILA-XHI22</t>
        </is>
      </c>
      <c r="F3563" t="inlineStr">
        <is>
          <t>DILA-XHI22</t>
        </is>
      </c>
      <c r="G3563" t="inlineStr">
        <is>
          <t>HILFSKONTAKTBLOCK</t>
        </is>
      </c>
      <c r="H3563" t="inlineStr">
        <is>
          <t>2S 2OE Last+Hilfssch. Cage</t>
        </is>
      </c>
      <c r="I3563">
        <v>1066</v>
      </c>
      <c r="J3563">
        <f>GS32/186.6</f>
        <v>0</v>
      </c>
      <c r="K3563" t="inlineStr">
        <is>
          <t>DIL MC25</t>
        </is>
      </c>
      <c r="M3563" t="inlineStr">
        <is>
          <t>-186Q37.5</t>
        </is>
      </c>
    </row>
    <row r="3564">
      <c r="A3564">
        <v>3563</v>
      </c>
      <c r="B3564">
        <f>GS32</f>
        <v>0</v>
      </c>
      <c r="C3564" t="inlineStr">
        <is>
          <t>+LS3</t>
        </is>
      </c>
      <c r="D3564" t="inlineStr">
        <is>
          <t>-186Q37.5</t>
        </is>
      </c>
      <c r="E3564" t="inlineStr">
        <is>
          <t>DILMC25-10(RDC24)</t>
        </is>
      </c>
      <c r="F3564" t="inlineStr">
        <is>
          <t>DILA-XHI22</t>
        </is>
      </c>
      <c r="G3564" t="inlineStr">
        <is>
          <t>LASTSCHUETZ</t>
        </is>
      </c>
      <c r="H3564" t="inlineStr">
        <is>
          <t>11kW 1S Federzugkl.</t>
        </is>
      </c>
      <c r="I3564">
        <v>1066</v>
      </c>
      <c r="J3564">
        <f>GS32/186.6</f>
        <v>0</v>
      </c>
      <c r="K3564" t="inlineStr">
        <is>
          <t>DIL MC25</t>
        </is>
      </c>
      <c r="M3564" t="inlineStr">
        <is>
          <t>-186Q37.5</t>
        </is>
      </c>
    </row>
    <row r="3565">
      <c r="A3565">
        <v>3564</v>
      </c>
      <c r="B3565">
        <f>GS37</f>
        <v>0</v>
      </c>
      <c r="C3565" t="inlineStr">
        <is>
          <t>+LS03</t>
        </is>
      </c>
      <c r="D3565" t="inlineStr">
        <is>
          <t>-186Q432.4</t>
        </is>
      </c>
      <c r="E3565" t="inlineStr">
        <is>
          <t>DILM-9-10</t>
        </is>
      </c>
      <c r="F3565" t="inlineStr">
        <is>
          <t>DILA-XHI22</t>
        </is>
      </c>
      <c r="G3565" t="inlineStr">
        <is>
          <t>LASTSCHUETZ</t>
        </is>
      </c>
      <c r="H3565" t="inlineStr">
        <is>
          <t>4kW 1S Federzugkl.</t>
        </is>
      </c>
      <c r="I3565">
        <v>408</v>
      </c>
      <c r="J3565">
        <f>GS37/186.5</f>
        <v>0</v>
      </c>
      <c r="M3565" t="inlineStr">
        <is>
          <t>-186Q432.4</t>
        </is>
      </c>
    </row>
    <row r="3566">
      <c r="A3566">
        <v>3565</v>
      </c>
      <c r="B3566">
        <f>GS37</f>
        <v>0</v>
      </c>
      <c r="C3566" t="inlineStr">
        <is>
          <t>+LS03</t>
        </is>
      </c>
      <c r="D3566" t="inlineStr">
        <is>
          <t>-186Q432.4</t>
        </is>
      </c>
      <c r="E3566" t="inlineStr">
        <is>
          <t>DILA-XHI22</t>
        </is>
      </c>
      <c r="F3566" t="inlineStr">
        <is>
          <t>DILA-XHI22</t>
        </is>
      </c>
      <c r="G3566" t="inlineStr">
        <is>
          <t>HILFSKONTAKTBLOCK</t>
        </is>
      </c>
      <c r="H3566" t="inlineStr">
        <is>
          <t>2S 2OE Last+Hilfssch. Cage</t>
        </is>
      </c>
      <c r="I3566">
        <v>408</v>
      </c>
      <c r="J3566">
        <f>GS37/186.5</f>
        <v>0</v>
      </c>
      <c r="M3566" t="inlineStr">
        <is>
          <t>-186Q432.4</t>
        </is>
      </c>
    </row>
    <row r="3567">
      <c r="A3567">
        <v>3566</v>
      </c>
      <c r="B3567">
        <f>GS37</f>
        <v>0</v>
      </c>
      <c r="C3567" t="inlineStr">
        <is>
          <t>+LS03</t>
        </is>
      </c>
      <c r="D3567" t="inlineStr">
        <is>
          <t>-186Q432.5</t>
        </is>
      </c>
      <c r="E3567" t="inlineStr">
        <is>
          <t>DILM-9-10</t>
        </is>
      </c>
      <c r="F3567" t="inlineStr">
        <is>
          <t>DILA-XHI22</t>
        </is>
      </c>
      <c r="G3567" t="inlineStr">
        <is>
          <t>LASTSCHUETZ</t>
        </is>
      </c>
      <c r="H3567" t="inlineStr">
        <is>
          <t>4kW 1S Federzugkl.</t>
        </is>
      </c>
      <c r="I3567">
        <v>408</v>
      </c>
      <c r="J3567">
        <f>GS37/186.6</f>
        <v>0</v>
      </c>
      <c r="M3567" t="inlineStr">
        <is>
          <t>-186Q432.5</t>
        </is>
      </c>
    </row>
    <row r="3568">
      <c r="A3568">
        <v>3567</v>
      </c>
      <c r="B3568">
        <f>GS37</f>
        <v>0</v>
      </c>
      <c r="C3568" t="inlineStr">
        <is>
          <t>+LS03</t>
        </is>
      </c>
      <c r="D3568" t="inlineStr">
        <is>
          <t>-186Q432.5</t>
        </is>
      </c>
      <c r="E3568" t="inlineStr">
        <is>
          <t>DILA-XHI22</t>
        </is>
      </c>
      <c r="F3568" t="inlineStr">
        <is>
          <t>DILA-XHI22</t>
        </is>
      </c>
      <c r="G3568" t="inlineStr">
        <is>
          <t>HILFSKONTAKTBLOCK</t>
        </is>
      </c>
      <c r="H3568" t="inlineStr">
        <is>
          <t>2S 2OE Last+Hilfssch. Cage</t>
        </is>
      </c>
      <c r="I3568">
        <v>408</v>
      </c>
      <c r="J3568">
        <f>GS37/186.6</f>
        <v>0</v>
      </c>
      <c r="M3568" t="inlineStr">
        <is>
          <t>-186Q432.5</t>
        </is>
      </c>
    </row>
    <row r="3569">
      <c r="A3569">
        <v>3568</v>
      </c>
      <c r="B3569">
        <f>GS90</f>
        <v>0</v>
      </c>
      <c r="C3569" t="inlineStr">
        <is>
          <t>+LS02</t>
        </is>
      </c>
      <c r="D3569" t="inlineStr">
        <is>
          <t>-186Q447.1</t>
        </is>
      </c>
      <c r="E3569" t="inlineStr">
        <is>
          <t>DILM-9-10</t>
        </is>
      </c>
      <c r="F3569" t="inlineStr">
        <is>
          <t>#KALK!</t>
        </is>
      </c>
      <c r="G3569" t="inlineStr">
        <is>
          <t>LASTSCHUETZ</t>
        </is>
      </c>
      <c r="H3569" t="inlineStr">
        <is>
          <t>4kW 1S Federzugkl.</t>
        </is>
      </c>
      <c r="I3569">
        <v>1073</v>
      </c>
      <c r="J3569">
        <f>GS90/186.5</f>
        <v>0</v>
      </c>
      <c r="M3569" t="inlineStr">
        <is>
          <t>-186Q447.1</t>
        </is>
      </c>
    </row>
    <row r="3570">
      <c r="A3570">
        <v>3569</v>
      </c>
      <c r="B3570">
        <f>GS06</f>
        <v>0</v>
      </c>
      <c r="C3570" t="inlineStr">
        <is>
          <t>+LS24</t>
        </is>
      </c>
      <c r="D3570" t="inlineStr">
        <is>
          <t>-1870K1</t>
        </is>
      </c>
      <c r="E3570" t="inlineStr">
        <is>
          <t>DILA-XHIC31</t>
        </is>
      </c>
      <c r="F3570" t="inlineStr">
        <is>
          <t>DILA-XHIC31</t>
        </is>
      </c>
      <c r="G3570" t="inlineStr">
        <is>
          <t>HILFSKONTAKTBLOCK</t>
        </is>
      </c>
      <c r="H3570" t="inlineStr">
        <is>
          <t>3S 1OE Last+Hilfssch. Cage</t>
        </is>
      </c>
      <c r="I3570">
        <v>4552</v>
      </c>
      <c r="J3570">
        <f>GS06/1870.3</f>
        <v>0</v>
      </c>
      <c r="M3570" t="inlineStr">
        <is>
          <t>-1870K1</t>
        </is>
      </c>
    </row>
    <row r="3571">
      <c r="A3571">
        <v>3570</v>
      </c>
      <c r="B3571">
        <f>GS06</f>
        <v>0</v>
      </c>
      <c r="C3571" t="inlineStr">
        <is>
          <t>+LS24</t>
        </is>
      </c>
      <c r="D3571" t="inlineStr">
        <is>
          <t>-1870K1</t>
        </is>
      </c>
      <c r="E3571" t="inlineStr">
        <is>
          <t>DILA-40</t>
        </is>
      </c>
      <c r="F3571" t="inlineStr">
        <is>
          <t>DILA-XHIC31</t>
        </is>
      </c>
      <c r="G3571" t="inlineStr">
        <is>
          <t>HILFSSCHUETZ</t>
        </is>
      </c>
      <c r="H3571" t="inlineStr">
        <is>
          <t>4S Federzugkl.</t>
        </is>
      </c>
      <c r="I3571">
        <v>4552</v>
      </c>
      <c r="J3571">
        <f>GS06/1870.3</f>
        <v>0</v>
      </c>
      <c r="M3571" t="inlineStr">
        <is>
          <t>-1870K1</t>
        </is>
      </c>
    </row>
    <row r="3572">
      <c r="A3572">
        <v>3571</v>
      </c>
      <c r="B3572">
        <f>GS06</f>
        <v>0</v>
      </c>
      <c r="C3572" t="inlineStr">
        <is>
          <t>+LS24</t>
        </is>
      </c>
      <c r="D3572" t="inlineStr">
        <is>
          <t>-1870K1625.1</t>
        </is>
      </c>
      <c r="E3572" t="inlineStr">
        <is>
          <t>DILA-31</t>
        </is>
      </c>
      <c r="F3572" t="inlineStr">
        <is>
          <t>#KALK!</t>
        </is>
      </c>
      <c r="G3572" t="inlineStr">
        <is>
          <t>HILFSSCHUETZ</t>
        </is>
      </c>
      <c r="H3572" t="inlineStr">
        <is>
          <t>3S 1Oe Federzugkl.</t>
        </is>
      </c>
      <c r="I3572">
        <v>4552</v>
      </c>
      <c r="J3572">
        <f>GS06/1870.2</f>
        <v>0</v>
      </c>
      <c r="M3572" t="inlineStr">
        <is>
          <t>-1870K1625.1</t>
        </is>
      </c>
    </row>
    <row r="3573">
      <c r="A3573">
        <v>3572</v>
      </c>
      <c r="B3573">
        <f>GS06</f>
        <v>0</v>
      </c>
      <c r="C3573" t="inlineStr">
        <is>
          <t>+LS24</t>
        </is>
      </c>
      <c r="D3573" t="inlineStr">
        <is>
          <t>-1870K2</t>
        </is>
      </c>
      <c r="E3573" t="inlineStr">
        <is>
          <t>DILA-XHIC31</t>
        </is>
      </c>
      <c r="F3573" t="inlineStr">
        <is>
          <t>DILA-XHIC31</t>
        </is>
      </c>
      <c r="G3573" t="inlineStr">
        <is>
          <t>HILFSKONTAKTBLOCK</t>
        </is>
      </c>
      <c r="H3573" t="inlineStr">
        <is>
          <t>3S 1OE Last+Hilfssch. Cage</t>
        </is>
      </c>
      <c r="I3573">
        <v>4552</v>
      </c>
      <c r="J3573">
        <f>GS06/1870.4</f>
        <v>0</v>
      </c>
      <c r="M3573" t="inlineStr">
        <is>
          <t>-1870K2</t>
        </is>
      </c>
    </row>
    <row r="3574">
      <c r="A3574">
        <v>3573</v>
      </c>
      <c r="B3574">
        <f>GS06</f>
        <v>0</v>
      </c>
      <c r="C3574" t="inlineStr">
        <is>
          <t>+LS24</t>
        </is>
      </c>
      <c r="D3574" t="inlineStr">
        <is>
          <t>-1870K2</t>
        </is>
      </c>
      <c r="E3574" t="inlineStr">
        <is>
          <t>DILA-40</t>
        </is>
      </c>
      <c r="F3574" t="inlineStr">
        <is>
          <t>DILA-XHIC31</t>
        </is>
      </c>
      <c r="G3574" t="inlineStr">
        <is>
          <t>HILFSSCHUETZ</t>
        </is>
      </c>
      <c r="H3574" t="inlineStr">
        <is>
          <t>4S Federzugkl.</t>
        </is>
      </c>
      <c r="I3574">
        <v>4552</v>
      </c>
      <c r="J3574">
        <f>GS06/1870.4</f>
        <v>0</v>
      </c>
      <c r="M3574" t="inlineStr">
        <is>
          <t>-1870K2</t>
        </is>
      </c>
    </row>
    <row r="3575">
      <c r="A3575">
        <v>3574</v>
      </c>
      <c r="B3575">
        <f>GS51</f>
        <v>0</v>
      </c>
      <c r="C3575" t="inlineStr">
        <is>
          <t>+1KK26</t>
        </is>
      </c>
      <c r="D3575" t="inlineStr">
        <is>
          <t>-1873Q2</t>
        </is>
      </c>
      <c r="E3575" t="inlineStr">
        <is>
          <t>DILM-9-10</t>
        </is>
      </c>
      <c r="F3575" t="inlineStr">
        <is>
          <t>#KALK!</t>
        </is>
      </c>
      <c r="G3575" t="inlineStr">
        <is>
          <t>LASTSCHUETZ</t>
        </is>
      </c>
      <c r="H3575" t="inlineStr">
        <is>
          <t>4kW 1S Federzugkl.</t>
        </is>
      </c>
      <c r="I3575">
        <v>1666</v>
      </c>
      <c r="J3575">
        <f>GS51/1873.7</f>
        <v>0</v>
      </c>
      <c r="M3575" t="inlineStr">
        <is>
          <t>-1873Q2</t>
        </is>
      </c>
    </row>
    <row r="3576">
      <c r="A3576">
        <v>3575</v>
      </c>
      <c r="B3576">
        <f>GS36</f>
        <v>0</v>
      </c>
      <c r="C3576" t="inlineStr">
        <is>
          <t>+LS03</t>
        </is>
      </c>
      <c r="D3576" t="inlineStr">
        <is>
          <t>-190K175.4</t>
        </is>
      </c>
      <c r="E3576" t="inlineStr">
        <is>
          <t>DILA-40</t>
        </is>
      </c>
      <c r="F3576" t="inlineStr">
        <is>
          <t>#KALK!</t>
        </is>
      </c>
      <c r="G3576" t="inlineStr">
        <is>
          <t>HILFSSCHUETZ</t>
        </is>
      </c>
      <c r="H3576" t="inlineStr">
        <is>
          <t>4S Federzugkl.</t>
        </is>
      </c>
      <c r="I3576">
        <v>363</v>
      </c>
      <c r="J3576">
        <f>GS36/190.7</f>
        <v>0</v>
      </c>
      <c r="M3576" t="inlineStr">
        <is>
          <t>-190K175.4</t>
        </is>
      </c>
    </row>
    <row r="3577">
      <c r="A3577">
        <v>3576</v>
      </c>
      <c r="B3577">
        <f>GS36</f>
        <v>0</v>
      </c>
      <c r="C3577" t="inlineStr">
        <is>
          <t>+LS03</t>
        </is>
      </c>
      <c r="D3577" t="inlineStr">
        <is>
          <t>-195Q176.1</t>
        </is>
      </c>
      <c r="E3577" t="inlineStr">
        <is>
          <t>DILMC12-10(24VDC)</t>
        </is>
      </c>
      <c r="F3577" t="inlineStr">
        <is>
          <t>#KALK!</t>
        </is>
      </c>
      <c r="G3577" t="inlineStr">
        <is>
          <t>LASTSCHUETZ</t>
        </is>
      </c>
      <c r="H3577" t="inlineStr">
        <is>
          <t>5,5kW 1S Federzugkl.</t>
        </is>
      </c>
      <c r="I3577">
        <v>368</v>
      </c>
      <c r="J3577">
        <f>GS36/195.5</f>
        <v>0</v>
      </c>
      <c r="K3577" t="inlineStr">
        <is>
          <t>DIL MC12</t>
        </is>
      </c>
      <c r="L3577" t="inlineStr">
        <is>
          <t>HT_3404</t>
        </is>
      </c>
      <c r="M3577" t="inlineStr">
        <is>
          <t>HT_3404
-195Q176.1</t>
        </is>
      </c>
      <c r="N3577" t="inlineStr">
        <is>
          <t>P</t>
        </is>
      </c>
    </row>
    <row r="3578">
      <c r="A3578">
        <v>3577</v>
      </c>
      <c r="B3578">
        <f>GS33</f>
        <v>0</v>
      </c>
      <c r="C3578" t="inlineStr">
        <is>
          <t>+LS3</t>
        </is>
      </c>
      <c r="D3578" t="inlineStr">
        <is>
          <t>-187K25.7</t>
        </is>
      </c>
      <c r="E3578" t="inlineStr">
        <is>
          <t>DIL_EM-10-G</t>
        </is>
      </c>
      <c r="F3578" t="inlineStr">
        <is>
          <t>#KALK!</t>
        </is>
      </c>
      <c r="G3578" t="inlineStr">
        <is>
          <t>LASTSCHUETZ</t>
        </is>
      </c>
      <c r="H3578" t="inlineStr">
        <is>
          <t>4kW 1S</t>
        </is>
      </c>
      <c r="I3578">
        <v>621</v>
      </c>
      <c r="J3578">
        <f>GS33/187.7</f>
        <v>0</v>
      </c>
      <c r="M3578" t="inlineStr">
        <is>
          <t>-187K25.7</t>
        </is>
      </c>
    </row>
    <row r="3579">
      <c r="A3579">
        <v>3578</v>
      </c>
      <c r="B3579">
        <f>GS11</f>
        <v>0</v>
      </c>
      <c r="C3579" t="inlineStr">
        <is>
          <t>+LS4</t>
        </is>
      </c>
      <c r="D3579" t="inlineStr">
        <is>
          <t>-187K44.5</t>
        </is>
      </c>
      <c r="E3579" t="inlineStr">
        <is>
          <t>DIL_EM-10-G</t>
        </is>
      </c>
      <c r="F3579" t="inlineStr">
        <is>
          <t>#KALK!</t>
        </is>
      </c>
      <c r="G3579" t="inlineStr">
        <is>
          <t>LASTSCHUETZ</t>
        </is>
      </c>
      <c r="H3579" t="inlineStr">
        <is>
          <t>4kW 1S</t>
        </is>
      </c>
      <c r="I3579">
        <v>298</v>
      </c>
      <c r="J3579">
        <f>GS11/187.7</f>
        <v>0</v>
      </c>
      <c r="M3579" t="inlineStr">
        <is>
          <t>-187K44.5</t>
        </is>
      </c>
    </row>
    <row r="3580">
      <c r="A3580">
        <v>3579</v>
      </c>
      <c r="B3580">
        <f>GS21</f>
        <v>0</v>
      </c>
      <c r="C3580" t="inlineStr">
        <is>
          <t>+LS4</t>
        </is>
      </c>
      <c r="D3580" t="inlineStr">
        <is>
          <t>-187K44.5</t>
        </is>
      </c>
      <c r="E3580" t="inlineStr">
        <is>
          <t>DIL_EM-10-G</t>
        </is>
      </c>
      <c r="F3580" t="inlineStr">
        <is>
          <t>#KALK!</t>
        </is>
      </c>
      <c r="G3580" t="inlineStr">
        <is>
          <t>LASTSCHUETZ</t>
        </is>
      </c>
      <c r="H3580" t="inlineStr">
        <is>
          <t>4kW 1S</t>
        </is>
      </c>
      <c r="I3580">
        <v>272</v>
      </c>
      <c r="J3580">
        <f>GS21/187.7</f>
        <v>0</v>
      </c>
      <c r="M3580" t="inlineStr">
        <is>
          <t>-187K44.5</t>
        </is>
      </c>
    </row>
    <row r="3581">
      <c r="A3581">
        <v>3580</v>
      </c>
      <c r="B3581">
        <f>GC03</f>
        <v>0</v>
      </c>
      <c r="C3581" t="inlineStr">
        <is>
          <t>+LS4</t>
        </is>
      </c>
      <c r="D3581" t="inlineStr">
        <is>
          <t>-187K64.3</t>
        </is>
      </c>
      <c r="E3581" t="inlineStr">
        <is>
          <t>DIL_EM-10-G</t>
        </is>
      </c>
      <c r="F3581" t="inlineStr">
        <is>
          <t>#KALK!</t>
        </is>
      </c>
      <c r="G3581" t="inlineStr">
        <is>
          <t>LASTSCHUETZ</t>
        </is>
      </c>
      <c r="H3581" t="inlineStr">
        <is>
          <t>4kW 1S</t>
        </is>
      </c>
      <c r="I3581">
        <v>3013</v>
      </c>
      <c r="J3581">
        <f>GC03/187.7</f>
        <v>0</v>
      </c>
      <c r="M3581" t="inlineStr">
        <is>
          <t>-187K64.3</t>
        </is>
      </c>
    </row>
    <row r="3582">
      <c r="A3582">
        <v>3581</v>
      </c>
      <c r="B3582">
        <f>GS15</f>
        <v>0</v>
      </c>
      <c r="C3582" t="inlineStr">
        <is>
          <t>+LS3</t>
        </is>
      </c>
      <c r="D3582" t="inlineStr">
        <is>
          <t>-187K68.0</t>
        </is>
      </c>
      <c r="E3582" t="inlineStr">
        <is>
          <t>DIL_EM-10-G</t>
        </is>
      </c>
      <c r="F3582" t="inlineStr">
        <is>
          <t>#KALK!</t>
        </is>
      </c>
      <c r="G3582" t="inlineStr">
        <is>
          <t>LASTSCHUETZ</t>
        </is>
      </c>
      <c r="H3582" t="inlineStr">
        <is>
          <t>4kW 1S</t>
        </is>
      </c>
      <c r="I3582">
        <v>680</v>
      </c>
      <c r="J3582">
        <f>GS15/187.6</f>
        <v>0</v>
      </c>
      <c r="M3582" t="inlineStr">
        <is>
          <t>-187K68.0</t>
        </is>
      </c>
    </row>
    <row r="3583">
      <c r="A3583">
        <v>3582</v>
      </c>
      <c r="B3583">
        <f>GS15</f>
        <v>0</v>
      </c>
      <c r="C3583" t="inlineStr">
        <is>
          <t>+LS3</t>
        </is>
      </c>
      <c r="D3583" t="inlineStr">
        <is>
          <t>-187K68.1</t>
        </is>
      </c>
      <c r="E3583" t="inlineStr">
        <is>
          <t>DIL_EM-10-G</t>
        </is>
      </c>
      <c r="F3583" t="inlineStr">
        <is>
          <t>#KALK!</t>
        </is>
      </c>
      <c r="G3583" t="inlineStr">
        <is>
          <t>LASTSCHUETZ</t>
        </is>
      </c>
      <c r="H3583" t="inlineStr">
        <is>
          <t>4kW 1S</t>
        </is>
      </c>
      <c r="I3583">
        <v>680</v>
      </c>
      <c r="J3583">
        <f>GS15/187.6</f>
        <v>0</v>
      </c>
      <c r="M3583" t="inlineStr">
        <is>
          <t>-187K68.1</t>
        </is>
      </c>
    </row>
    <row r="3584">
      <c r="A3584">
        <v>3583</v>
      </c>
      <c r="B3584">
        <f>GS24</f>
        <v>0</v>
      </c>
      <c r="C3584" t="inlineStr">
        <is>
          <t>+LS4</t>
        </is>
      </c>
      <c r="D3584" t="inlineStr">
        <is>
          <t>-187K70.0</t>
        </is>
      </c>
      <c r="E3584" t="inlineStr">
        <is>
          <t>DIL_EM-10-G</t>
        </is>
      </c>
      <c r="F3584" t="inlineStr">
        <is>
          <t>#KALK!</t>
        </is>
      </c>
      <c r="G3584" t="inlineStr">
        <is>
          <t>LASTSCHUETZ</t>
        </is>
      </c>
      <c r="H3584" t="inlineStr">
        <is>
          <t>4kW 1S</t>
        </is>
      </c>
      <c r="I3584">
        <v>892</v>
      </c>
      <c r="J3584">
        <f>GS24/187.6</f>
        <v>0</v>
      </c>
      <c r="M3584" t="inlineStr">
        <is>
          <t>-187K70.0</t>
        </is>
      </c>
    </row>
    <row r="3585">
      <c r="A3585">
        <v>3584</v>
      </c>
      <c r="B3585">
        <f>GS24</f>
        <v>0</v>
      </c>
      <c r="C3585" t="inlineStr">
        <is>
          <t>+LS4</t>
        </is>
      </c>
      <c r="D3585" t="inlineStr">
        <is>
          <t>-187K70.1</t>
        </is>
      </c>
      <c r="E3585" t="inlineStr">
        <is>
          <t>DIL_EM-10-G</t>
        </is>
      </c>
      <c r="F3585" t="inlineStr">
        <is>
          <t>#KALK!</t>
        </is>
      </c>
      <c r="G3585" t="inlineStr">
        <is>
          <t>LASTSCHUETZ</t>
        </is>
      </c>
      <c r="H3585" t="inlineStr">
        <is>
          <t>4kW 1S</t>
        </is>
      </c>
      <c r="I3585">
        <v>892</v>
      </c>
      <c r="J3585">
        <f>GS24/187.6</f>
        <v>0</v>
      </c>
      <c r="M3585" t="inlineStr">
        <is>
          <t>-187K70.1</t>
        </is>
      </c>
    </row>
    <row r="3586">
      <c r="A3586">
        <v>3585</v>
      </c>
      <c r="B3586">
        <f>GS51</f>
        <v>0</v>
      </c>
      <c r="C3586" t="inlineStr">
        <is>
          <t>+LS02</t>
        </is>
      </c>
      <c r="D3586" t="inlineStr">
        <is>
          <t>-187Q117.5</t>
        </is>
      </c>
      <c r="E3586" t="inlineStr">
        <is>
          <t>DILM-9-10</t>
        </is>
      </c>
      <c r="F3586" t="inlineStr">
        <is>
          <t>#KALK!</t>
        </is>
      </c>
      <c r="G3586" t="inlineStr">
        <is>
          <t>LASTSCHUETZ</t>
        </is>
      </c>
      <c r="H3586" t="inlineStr">
        <is>
          <t>4kW 1S Federzugkl.</t>
        </is>
      </c>
      <c r="I3586">
        <v>380</v>
      </c>
      <c r="J3586">
        <f>GS51/187.6</f>
        <v>0</v>
      </c>
      <c r="K3586" t="inlineStr">
        <is>
          <t>DIL MC9</t>
        </is>
      </c>
      <c r="M3586" t="inlineStr">
        <is>
          <t>-187Q117.5</t>
        </is>
      </c>
    </row>
    <row r="3587">
      <c r="A3587">
        <v>3586</v>
      </c>
      <c r="B3587">
        <f>GS90</f>
        <v>0</v>
      </c>
      <c r="C3587" t="inlineStr">
        <is>
          <t>+LS02</t>
        </is>
      </c>
      <c r="D3587" t="inlineStr">
        <is>
          <t>-187Q447.2</t>
        </is>
      </c>
      <c r="E3587" t="inlineStr">
        <is>
          <t>DILM-9-10</t>
        </is>
      </c>
      <c r="F3587" t="inlineStr">
        <is>
          <t>#KALK!</t>
        </is>
      </c>
      <c r="G3587" t="inlineStr">
        <is>
          <t>LASTSCHUETZ</t>
        </is>
      </c>
      <c r="H3587" t="inlineStr">
        <is>
          <t>4kW 1S Federzugkl.</t>
        </is>
      </c>
      <c r="I3587">
        <v>1072</v>
      </c>
      <c r="J3587">
        <f>GS90/187.5</f>
        <v>0</v>
      </c>
      <c r="M3587" t="inlineStr">
        <is>
          <t>-187Q447.2</t>
        </is>
      </c>
    </row>
    <row r="3588">
      <c r="A3588">
        <v>3587</v>
      </c>
      <c r="B3588">
        <f>GS32</f>
        <v>0</v>
      </c>
      <c r="C3588" t="inlineStr">
        <is>
          <t>+LS3</t>
        </is>
      </c>
      <c r="D3588" t="inlineStr">
        <is>
          <t>-188K1</t>
        </is>
      </c>
      <c r="E3588" t="inlineStr">
        <is>
          <t>DILA-XHI22</t>
        </is>
      </c>
      <c r="F3588" t="inlineStr">
        <is>
          <t>DILA-XHI22</t>
        </is>
      </c>
      <c r="G3588" t="inlineStr">
        <is>
          <t>HILFSKONTAKTBLOCK</t>
        </is>
      </c>
      <c r="H3588" t="inlineStr">
        <is>
          <t>2S 2OE Last+Hilfssch. Cage</t>
        </is>
      </c>
      <c r="I3588">
        <v>1064</v>
      </c>
      <c r="J3588">
        <f>GS32/188.5</f>
        <v>0</v>
      </c>
      <c r="M3588" t="inlineStr">
        <is>
          <t>-188K1</t>
        </is>
      </c>
    </row>
    <row r="3589">
      <c r="A3589">
        <v>3588</v>
      </c>
      <c r="B3589">
        <f>GS32</f>
        <v>0</v>
      </c>
      <c r="C3589" t="inlineStr">
        <is>
          <t>+LS3</t>
        </is>
      </c>
      <c r="D3589" t="inlineStr">
        <is>
          <t>-188K1</t>
        </is>
      </c>
      <c r="E3589" t="inlineStr">
        <is>
          <t>DILM-9-10</t>
        </is>
      </c>
      <c r="F3589" t="inlineStr">
        <is>
          <t>DILA-XHI22</t>
        </is>
      </c>
      <c r="G3589" t="inlineStr">
        <is>
          <t>LASTSCHUETZ</t>
        </is>
      </c>
      <c r="H3589" t="inlineStr">
        <is>
          <t>4kW 1S Federzugkl.</t>
        </is>
      </c>
      <c r="I3589">
        <v>1064</v>
      </c>
      <c r="J3589">
        <f>GS32/188.5</f>
        <v>0</v>
      </c>
      <c r="M3589" t="inlineStr">
        <is>
          <t>-188K1</t>
        </is>
      </c>
    </row>
    <row r="3590">
      <c r="A3590">
        <v>3589</v>
      </c>
      <c r="B3590">
        <f>GS36</f>
        <v>0</v>
      </c>
      <c r="C3590" t="inlineStr">
        <is>
          <t>+LS03</t>
        </is>
      </c>
      <c r="D3590" t="inlineStr">
        <is>
          <t>-196Q176.3</t>
        </is>
      </c>
      <c r="E3590" t="inlineStr">
        <is>
          <t>DILM-9-10</t>
        </is>
      </c>
      <c r="F3590" t="inlineStr">
        <is>
          <t>#KALK!</t>
        </is>
      </c>
      <c r="G3590" t="inlineStr">
        <is>
          <t>LASTSCHUETZ</t>
        </is>
      </c>
      <c r="H3590" t="inlineStr">
        <is>
          <t>4kW 1S Federzugkl.</t>
        </is>
      </c>
      <c r="I3590">
        <v>369</v>
      </c>
      <c r="J3590">
        <f>GS36/196.6</f>
        <v>0</v>
      </c>
      <c r="L3590" t="inlineStr">
        <is>
          <t>KF_3405</t>
        </is>
      </c>
      <c r="M3590" t="inlineStr">
        <is>
          <t>KF_3405
-196Q176.3</t>
        </is>
      </c>
      <c r="N3590" t="inlineStr">
        <is>
          <t>P</t>
        </is>
      </c>
    </row>
    <row r="3591">
      <c r="A3591">
        <v>3590</v>
      </c>
      <c r="B3591">
        <f>GS32</f>
        <v>0</v>
      </c>
      <c r="C3591" t="inlineStr">
        <is>
          <t>+LS3</t>
        </is>
      </c>
      <c r="D3591" t="inlineStr">
        <is>
          <t>-188K2</t>
        </is>
      </c>
      <c r="E3591" t="inlineStr">
        <is>
          <t>DILA-XHI22</t>
        </is>
      </c>
      <c r="F3591" t="inlineStr">
        <is>
          <t>DILA-XHI22</t>
        </is>
      </c>
      <c r="G3591" t="inlineStr">
        <is>
          <t>HILFSKONTAKTBLOCK</t>
        </is>
      </c>
      <c r="H3591" t="inlineStr">
        <is>
          <t>2S 2OE Last+Hilfssch. Cage</t>
        </is>
      </c>
      <c r="I3591">
        <v>1064</v>
      </c>
      <c r="J3591">
        <f>GS32/188.6</f>
        <v>0</v>
      </c>
      <c r="M3591" t="inlineStr">
        <is>
          <t>-188K2</t>
        </is>
      </c>
    </row>
    <row r="3592">
      <c r="A3592">
        <v>3591</v>
      </c>
      <c r="B3592">
        <f>GS32</f>
        <v>0</v>
      </c>
      <c r="C3592" t="inlineStr">
        <is>
          <t>+LS3</t>
        </is>
      </c>
      <c r="D3592" t="inlineStr">
        <is>
          <t>-188K2</t>
        </is>
      </c>
      <c r="E3592" t="inlineStr">
        <is>
          <t>DILM-9-10</t>
        </is>
      </c>
      <c r="F3592" t="inlineStr">
        <is>
          <t>DILA-XHI22</t>
        </is>
      </c>
      <c r="G3592" t="inlineStr">
        <is>
          <t>LASTSCHUETZ</t>
        </is>
      </c>
      <c r="H3592" t="inlineStr">
        <is>
          <t>4kW 1S Federzugkl.</t>
        </is>
      </c>
      <c r="I3592">
        <v>1064</v>
      </c>
      <c r="J3592">
        <f>GS32/188.6</f>
        <v>0</v>
      </c>
      <c r="M3592" t="inlineStr">
        <is>
          <t>-188K2</t>
        </is>
      </c>
    </row>
    <row r="3593">
      <c r="A3593">
        <v>3592</v>
      </c>
      <c r="B3593">
        <f>GS36</f>
        <v>0</v>
      </c>
      <c r="C3593" t="inlineStr">
        <is>
          <t>+LS04</t>
        </is>
      </c>
      <c r="D3593" t="inlineStr">
        <is>
          <t>-205K1</t>
        </is>
      </c>
      <c r="E3593" t="inlineStr">
        <is>
          <t>DILA-40</t>
        </is>
      </c>
      <c r="F3593" t="inlineStr">
        <is>
          <t>#KALK!</t>
        </is>
      </c>
      <c r="G3593" t="inlineStr">
        <is>
          <t>HILFSSCHUETZ</t>
        </is>
      </c>
      <c r="H3593" t="inlineStr">
        <is>
          <t>4S Federzugkl.</t>
        </is>
      </c>
      <c r="I3593">
        <v>378</v>
      </c>
      <c r="J3593">
        <f>GS36/205.5</f>
        <v>0</v>
      </c>
      <c r="M3593" t="inlineStr">
        <is>
          <t>-205K1</t>
        </is>
      </c>
    </row>
    <row r="3594">
      <c r="A3594">
        <v>3593</v>
      </c>
      <c r="B3594">
        <f>GS33</f>
        <v>0</v>
      </c>
      <c r="C3594" t="inlineStr">
        <is>
          <t>+LS3</t>
        </is>
      </c>
      <c r="D3594" t="inlineStr">
        <is>
          <t>-188K26.3</t>
        </is>
      </c>
      <c r="E3594" t="inlineStr">
        <is>
          <t>DIL_EM-10-G</t>
        </is>
      </c>
      <c r="F3594" t="inlineStr">
        <is>
          <t>#KALK!</t>
        </is>
      </c>
      <c r="G3594" t="inlineStr">
        <is>
          <t>LASTSCHUETZ</t>
        </is>
      </c>
      <c r="H3594" t="inlineStr">
        <is>
          <t>4kW 1S</t>
        </is>
      </c>
      <c r="I3594">
        <v>622</v>
      </c>
      <c r="J3594">
        <f>GS33/188.7</f>
        <v>0</v>
      </c>
      <c r="M3594" t="inlineStr">
        <is>
          <t>-188K26.3</t>
        </is>
      </c>
    </row>
    <row r="3595">
      <c r="A3595">
        <v>3594</v>
      </c>
      <c r="B3595">
        <f>GS11</f>
        <v>0</v>
      </c>
      <c r="C3595" t="inlineStr">
        <is>
          <t>+LS4</t>
        </is>
      </c>
      <c r="D3595" t="inlineStr">
        <is>
          <t>-188K45.1</t>
        </is>
      </c>
      <c r="E3595" t="inlineStr">
        <is>
          <t>DIL_EM-10-G</t>
        </is>
      </c>
      <c r="F3595" t="inlineStr">
        <is>
          <t>#KALK!</t>
        </is>
      </c>
      <c r="G3595" t="inlineStr">
        <is>
          <t>LASTSCHUETZ</t>
        </is>
      </c>
      <c r="H3595" t="inlineStr">
        <is>
          <t>4kW 1S</t>
        </is>
      </c>
      <c r="I3595">
        <v>299</v>
      </c>
      <c r="J3595">
        <f>GS11/188.7</f>
        <v>0</v>
      </c>
      <c r="M3595" t="inlineStr">
        <is>
          <t>-188K45.1</t>
        </is>
      </c>
    </row>
    <row r="3596">
      <c r="A3596">
        <v>3595</v>
      </c>
      <c r="B3596">
        <f>GS21</f>
        <v>0</v>
      </c>
      <c r="C3596" t="inlineStr">
        <is>
          <t>+LS4</t>
        </is>
      </c>
      <c r="D3596" t="inlineStr">
        <is>
          <t>-188K45.1</t>
        </is>
      </c>
      <c r="E3596" t="inlineStr">
        <is>
          <t>DIL_EM-10-G</t>
        </is>
      </c>
      <c r="F3596" t="inlineStr">
        <is>
          <t>#KALK!</t>
        </is>
      </c>
      <c r="G3596" t="inlineStr">
        <is>
          <t>LASTSCHUETZ</t>
        </is>
      </c>
      <c r="H3596" t="inlineStr">
        <is>
          <t>4kW 1S</t>
        </is>
      </c>
      <c r="I3596">
        <v>273</v>
      </c>
      <c r="J3596">
        <f>GS21/188.7</f>
        <v>0</v>
      </c>
      <c r="M3596" t="inlineStr">
        <is>
          <t>-188K45.1</t>
        </is>
      </c>
    </row>
    <row r="3597">
      <c r="A3597">
        <v>3596</v>
      </c>
      <c r="B3597">
        <f>GC03</f>
        <v>0</v>
      </c>
      <c r="C3597" t="inlineStr">
        <is>
          <t>+LS4</t>
        </is>
      </c>
      <c r="D3597" t="inlineStr">
        <is>
          <t>-188K64.7</t>
        </is>
      </c>
      <c r="E3597" t="inlineStr">
        <is>
          <t>DIL_EM-10-G</t>
        </is>
      </c>
      <c r="F3597" t="inlineStr">
        <is>
          <t>#KALK!</t>
        </is>
      </c>
      <c r="G3597" t="inlineStr">
        <is>
          <t>LASTSCHUETZ</t>
        </is>
      </c>
      <c r="H3597" t="inlineStr">
        <is>
          <t>4kW 1S</t>
        </is>
      </c>
      <c r="I3597">
        <v>3012</v>
      </c>
      <c r="J3597">
        <f>GC03/188.7</f>
        <v>0</v>
      </c>
      <c r="M3597" t="inlineStr">
        <is>
          <t>-188K64.7</t>
        </is>
      </c>
    </row>
    <row r="3598">
      <c r="A3598">
        <v>3597</v>
      </c>
      <c r="B3598">
        <f>GS25</f>
        <v>0</v>
      </c>
      <c r="C3598" t="inlineStr">
        <is>
          <t>+LS4</t>
        </is>
      </c>
      <c r="D3598" t="inlineStr">
        <is>
          <t>-188K68.0</t>
        </is>
      </c>
      <c r="E3598" t="inlineStr">
        <is>
          <t>DIL_EM-10-G</t>
        </is>
      </c>
      <c r="F3598" t="inlineStr">
        <is>
          <t>#KALK!</t>
        </is>
      </c>
      <c r="G3598" t="inlineStr">
        <is>
          <t>LASTSCHUETZ</t>
        </is>
      </c>
      <c r="H3598" t="inlineStr">
        <is>
          <t>4kW 1S</t>
        </is>
      </c>
      <c r="I3598">
        <v>309</v>
      </c>
      <c r="J3598">
        <f>GS25/188.6</f>
        <v>0</v>
      </c>
      <c r="M3598" t="inlineStr">
        <is>
          <t>-188K68.0</t>
        </is>
      </c>
    </row>
    <row r="3599">
      <c r="A3599">
        <v>3598</v>
      </c>
      <c r="B3599">
        <f>GS25</f>
        <v>0</v>
      </c>
      <c r="C3599" t="inlineStr">
        <is>
          <t>+LS4</t>
        </is>
      </c>
      <c r="D3599" t="inlineStr">
        <is>
          <t>-188K68.1</t>
        </is>
      </c>
      <c r="E3599" t="inlineStr">
        <is>
          <t>DIL_EM-10-G</t>
        </is>
      </c>
      <c r="F3599" t="inlineStr">
        <is>
          <t>#KALK!</t>
        </is>
      </c>
      <c r="G3599" t="inlineStr">
        <is>
          <t>LASTSCHUETZ</t>
        </is>
      </c>
      <c r="H3599" t="inlineStr">
        <is>
          <t>4kW 1S</t>
        </is>
      </c>
      <c r="I3599">
        <v>309</v>
      </c>
      <c r="J3599">
        <f>GS25/188.6</f>
        <v>0</v>
      </c>
      <c r="M3599" t="inlineStr">
        <is>
          <t>-188K68.1</t>
        </is>
      </c>
    </row>
    <row r="3600">
      <c r="A3600">
        <v>3599</v>
      </c>
      <c r="B3600">
        <f>GS15</f>
        <v>0</v>
      </c>
      <c r="C3600" t="inlineStr">
        <is>
          <t>+LS3</t>
        </is>
      </c>
      <c r="D3600" t="inlineStr">
        <is>
          <t>-188K68.2</t>
        </is>
      </c>
      <c r="E3600" t="inlineStr">
        <is>
          <t>DIL_EM-10-G</t>
        </is>
      </c>
      <c r="F3600" t="inlineStr">
        <is>
          <t>#KALK!</t>
        </is>
      </c>
      <c r="G3600" t="inlineStr">
        <is>
          <t>LASTSCHUETZ</t>
        </is>
      </c>
      <c r="H3600" t="inlineStr">
        <is>
          <t>4kW 1S</t>
        </is>
      </c>
      <c r="I3600">
        <v>681</v>
      </c>
      <c r="J3600">
        <f>GS15/188.6</f>
        <v>0</v>
      </c>
      <c r="M3600" t="inlineStr">
        <is>
          <t>-188K68.2</t>
        </is>
      </c>
    </row>
    <row r="3601">
      <c r="A3601">
        <v>3600</v>
      </c>
      <c r="B3601">
        <f>GS15</f>
        <v>0</v>
      </c>
      <c r="C3601" t="inlineStr">
        <is>
          <t>+LS3</t>
        </is>
      </c>
      <c r="D3601" t="inlineStr">
        <is>
          <t>-188K68.3</t>
        </is>
      </c>
      <c r="E3601" t="inlineStr">
        <is>
          <t>DIL_EM-10-G</t>
        </is>
      </c>
      <c r="F3601" t="inlineStr">
        <is>
          <t>#KALK!</t>
        </is>
      </c>
      <c r="G3601" t="inlineStr">
        <is>
          <t>LASTSCHUETZ</t>
        </is>
      </c>
      <c r="H3601" t="inlineStr">
        <is>
          <t>4kW 1S</t>
        </is>
      </c>
      <c r="I3601">
        <v>681</v>
      </c>
      <c r="J3601">
        <f>GS15/188.6</f>
        <v>0</v>
      </c>
      <c r="M3601" t="inlineStr">
        <is>
          <t>-188K68.3</t>
        </is>
      </c>
    </row>
    <row r="3602">
      <c r="A3602">
        <v>3601</v>
      </c>
      <c r="B3602">
        <f>GS24</f>
        <v>0</v>
      </c>
      <c r="C3602" t="inlineStr">
        <is>
          <t>+LS4</t>
        </is>
      </c>
      <c r="D3602" t="inlineStr">
        <is>
          <t>-188K70.2</t>
        </is>
      </c>
      <c r="E3602" t="inlineStr">
        <is>
          <t>DIL_EM-10-G</t>
        </is>
      </c>
      <c r="F3602" t="inlineStr">
        <is>
          <t>#KALK!</t>
        </is>
      </c>
      <c r="G3602" t="inlineStr">
        <is>
          <t>LASTSCHUETZ</t>
        </is>
      </c>
      <c r="H3602" t="inlineStr">
        <is>
          <t>4kW 1S</t>
        </is>
      </c>
      <c r="I3602">
        <v>891</v>
      </c>
      <c r="J3602">
        <f>GS24/188.6</f>
        <v>0</v>
      </c>
      <c r="M3602" t="inlineStr">
        <is>
          <t>-188K70.2</t>
        </is>
      </c>
    </row>
    <row r="3603">
      <c r="A3603">
        <v>3602</v>
      </c>
      <c r="B3603">
        <f>GS24</f>
        <v>0</v>
      </c>
      <c r="C3603" t="inlineStr">
        <is>
          <t>+LS4</t>
        </is>
      </c>
      <c r="D3603" t="inlineStr">
        <is>
          <t>-188K70.3</t>
        </is>
      </c>
      <c r="E3603" t="inlineStr">
        <is>
          <t>DIL_EM-10-G</t>
        </is>
      </c>
      <c r="F3603" t="inlineStr">
        <is>
          <t>#KALK!</t>
        </is>
      </c>
      <c r="G3603" t="inlineStr">
        <is>
          <t>LASTSCHUETZ</t>
        </is>
      </c>
      <c r="H3603" t="inlineStr">
        <is>
          <t>4kW 1S</t>
        </is>
      </c>
      <c r="I3603">
        <v>891</v>
      </c>
      <c r="J3603">
        <f>GS24/188.6</f>
        <v>0</v>
      </c>
      <c r="M3603" t="inlineStr">
        <is>
          <t>-188K70.3</t>
        </is>
      </c>
    </row>
    <row r="3604">
      <c r="A3604">
        <v>3603</v>
      </c>
      <c r="B3604">
        <f>GS35</f>
        <v>0</v>
      </c>
      <c r="C3604" t="inlineStr">
        <is>
          <t>+LS03</t>
        </is>
      </c>
      <c r="D3604" t="inlineStr">
        <is>
          <t>-188Q116.7</t>
        </is>
      </c>
      <c r="E3604" t="inlineStr">
        <is>
          <t>DILM-12-10</t>
        </is>
      </c>
      <c r="F3604" t="inlineStr">
        <is>
          <t>#KALK!</t>
        </is>
      </c>
      <c r="G3604" t="inlineStr">
        <is>
          <t>LASTSCHUETZ</t>
        </is>
      </c>
      <c r="H3604" t="inlineStr">
        <is>
          <t>5,5kW 1S Federzugkl.</t>
        </is>
      </c>
      <c r="I3604">
        <v>340</v>
      </c>
      <c r="J3604">
        <f>GS35/188.5</f>
        <v>0</v>
      </c>
      <c r="K3604" t="inlineStr">
        <is>
          <t>DIL MC12</t>
        </is>
      </c>
      <c r="M3604" t="inlineStr">
        <is>
          <t>-188Q116.7</t>
        </is>
      </c>
    </row>
    <row r="3605">
      <c r="A3605">
        <v>3604</v>
      </c>
      <c r="B3605">
        <f>GS90</f>
        <v>0</v>
      </c>
      <c r="C3605" t="inlineStr">
        <is>
          <t>+LS02</t>
        </is>
      </c>
      <c r="D3605" t="inlineStr">
        <is>
          <t>-188Q447.3</t>
        </is>
      </c>
      <c r="E3605" t="inlineStr">
        <is>
          <t>DILM-9-10</t>
        </is>
      </c>
      <c r="F3605" t="inlineStr">
        <is>
          <t>#KALK!</t>
        </is>
      </c>
      <c r="G3605" t="inlineStr">
        <is>
          <t>LASTSCHUETZ</t>
        </is>
      </c>
      <c r="H3605" t="inlineStr">
        <is>
          <t>4kW 1S Federzugkl.</t>
        </is>
      </c>
      <c r="I3605">
        <v>1071</v>
      </c>
      <c r="J3605">
        <f>GS90/188.5</f>
        <v>0</v>
      </c>
      <c r="M3605" t="inlineStr">
        <is>
          <t>-188Q447.3</t>
        </is>
      </c>
    </row>
    <row r="3606">
      <c r="A3606">
        <v>3605</v>
      </c>
      <c r="B3606">
        <f>GS32</f>
        <v>0</v>
      </c>
      <c r="C3606" t="inlineStr">
        <is>
          <t>+LS3</t>
        </is>
      </c>
      <c r="D3606" t="inlineStr">
        <is>
          <t>-189.1K1</t>
        </is>
      </c>
      <c r="E3606" t="inlineStr">
        <is>
          <t>DILA-XHI22</t>
        </is>
      </c>
      <c r="F3606" t="inlineStr">
        <is>
          <t>DILA-XHI22</t>
        </is>
      </c>
      <c r="G3606" t="inlineStr">
        <is>
          <t>HILFSKONTAKTBLOCK</t>
        </is>
      </c>
      <c r="H3606" t="inlineStr">
        <is>
          <t>2S 2OE Last+Hilfssch. Cage</t>
        </is>
      </c>
      <c r="I3606">
        <v>1620</v>
      </c>
      <c r="J3606">
        <f>GS32/189.1.5</f>
        <v>0</v>
      </c>
      <c r="M3606" t="inlineStr">
        <is>
          <t>-189.1K1</t>
        </is>
      </c>
    </row>
    <row r="3607">
      <c r="A3607">
        <v>3606</v>
      </c>
      <c r="B3607">
        <f>GS32</f>
        <v>0</v>
      </c>
      <c r="C3607" t="inlineStr">
        <is>
          <t>+LS3</t>
        </is>
      </c>
      <c r="D3607" t="inlineStr">
        <is>
          <t>-189.1K1</t>
        </is>
      </c>
      <c r="E3607" t="inlineStr">
        <is>
          <t>DILM-9-10</t>
        </is>
      </c>
      <c r="F3607" t="inlineStr">
        <is>
          <t>DILA-XHI22</t>
        </is>
      </c>
      <c r="G3607" t="inlineStr">
        <is>
          <t>LASTSCHUETZ</t>
        </is>
      </c>
      <c r="H3607" t="inlineStr">
        <is>
          <t>4kW 1S Federzugkl.</t>
        </is>
      </c>
      <c r="I3607">
        <v>1620</v>
      </c>
      <c r="J3607">
        <f>GS32/189.1.5</f>
        <v>0</v>
      </c>
      <c r="M3607" t="inlineStr">
        <is>
          <t>-189.1K1</t>
        </is>
      </c>
    </row>
    <row r="3608">
      <c r="A3608">
        <v>3607</v>
      </c>
      <c r="B3608">
        <f>GS32</f>
        <v>0</v>
      </c>
      <c r="C3608" t="inlineStr">
        <is>
          <t>+LS3</t>
        </is>
      </c>
      <c r="D3608" t="inlineStr">
        <is>
          <t>-189.1K2</t>
        </is>
      </c>
      <c r="E3608" t="inlineStr">
        <is>
          <t>DILA-XHI22</t>
        </is>
      </c>
      <c r="F3608" t="inlineStr">
        <is>
          <t>DILA-XHI22</t>
        </is>
      </c>
      <c r="G3608" t="inlineStr">
        <is>
          <t>HILFSKONTAKTBLOCK</t>
        </is>
      </c>
      <c r="H3608" t="inlineStr">
        <is>
          <t>2S 2OE Last+Hilfssch. Cage</t>
        </is>
      </c>
      <c r="I3608">
        <v>1620</v>
      </c>
      <c r="J3608">
        <f>GS32/189.1.6</f>
        <v>0</v>
      </c>
      <c r="M3608" t="inlineStr">
        <is>
          <t>-189.1K2</t>
        </is>
      </c>
    </row>
    <row r="3609">
      <c r="A3609">
        <v>3608</v>
      </c>
      <c r="B3609">
        <f>GS32</f>
        <v>0</v>
      </c>
      <c r="C3609" t="inlineStr">
        <is>
          <t>+LS3</t>
        </is>
      </c>
      <c r="D3609" t="inlineStr">
        <is>
          <t>-189.1K2</t>
        </is>
      </c>
      <c r="E3609" t="inlineStr">
        <is>
          <t>DILM-9-10</t>
        </is>
      </c>
      <c r="F3609" t="inlineStr">
        <is>
          <t>DILA-XHI22</t>
        </is>
      </c>
      <c r="G3609" t="inlineStr">
        <is>
          <t>LASTSCHUETZ</t>
        </is>
      </c>
      <c r="H3609" t="inlineStr">
        <is>
          <t>4kW 1S Federzugkl.</t>
        </is>
      </c>
      <c r="I3609">
        <v>1620</v>
      </c>
      <c r="J3609">
        <f>GS32/189.1.6</f>
        <v>0</v>
      </c>
      <c r="M3609" t="inlineStr">
        <is>
          <t>-189.1K2</t>
        </is>
      </c>
    </row>
    <row r="3610">
      <c r="A3610">
        <v>3609</v>
      </c>
      <c r="B3610">
        <f>GS32</f>
        <v>0</v>
      </c>
      <c r="C3610" t="inlineStr">
        <is>
          <t>+LS3</t>
        </is>
      </c>
      <c r="D3610" t="inlineStr">
        <is>
          <t>-189.2K1</t>
        </is>
      </c>
      <c r="E3610" t="inlineStr">
        <is>
          <t>DILA-40</t>
        </is>
      </c>
      <c r="F3610" t="inlineStr">
        <is>
          <t>#KALK!</t>
        </is>
      </c>
      <c r="G3610" t="inlineStr">
        <is>
          <t>HILFSSCHUETZ</t>
        </is>
      </c>
      <c r="H3610" t="inlineStr">
        <is>
          <t>4S Federzugkl.</t>
        </is>
      </c>
      <c r="I3610">
        <v>1626</v>
      </c>
      <c r="J3610">
        <f>GS32/189.2.2</f>
        <v>0</v>
      </c>
      <c r="M3610" t="inlineStr">
        <is>
          <t>-189.2K1</t>
        </is>
      </c>
    </row>
    <row r="3611">
      <c r="A3611">
        <v>3610</v>
      </c>
      <c r="B3611">
        <f>GS51</f>
        <v>0</v>
      </c>
      <c r="C3611" t="inlineStr">
        <is>
          <t>+1KK28</t>
        </is>
      </c>
      <c r="D3611" t="inlineStr">
        <is>
          <t>-1893Q2</t>
        </is>
      </c>
      <c r="E3611" t="inlineStr">
        <is>
          <t>DILM-9-10</t>
        </is>
      </c>
      <c r="F3611" t="inlineStr">
        <is>
          <t>#KALK!</t>
        </is>
      </c>
      <c r="G3611" t="inlineStr">
        <is>
          <t>LASTSCHUETZ</t>
        </is>
      </c>
      <c r="H3611" t="inlineStr">
        <is>
          <t>4kW 1S Federzugkl.</t>
        </is>
      </c>
      <c r="I3611">
        <v>964</v>
      </c>
      <c r="J3611">
        <f>GS51/1893.7</f>
        <v>0</v>
      </c>
      <c r="M3611" t="inlineStr">
        <is>
          <t>-1893Q2</t>
        </is>
      </c>
    </row>
    <row r="3612">
      <c r="A3612">
        <v>3611</v>
      </c>
      <c r="B3612">
        <f>GS06</f>
        <v>0</v>
      </c>
      <c r="C3612" t="inlineStr">
        <is>
          <t>+LS24</t>
        </is>
      </c>
      <c r="D3612" t="inlineStr">
        <is>
          <t>-1897K1</t>
        </is>
      </c>
      <c r="E3612" t="inlineStr">
        <is>
          <t>DILA-XHIC31</t>
        </is>
      </c>
      <c r="F3612" t="inlineStr">
        <is>
          <t>DILA-XHIC31</t>
        </is>
      </c>
      <c r="G3612" t="inlineStr">
        <is>
          <t>HILFSKONTAKTBLOCK</t>
        </is>
      </c>
      <c r="H3612" t="inlineStr">
        <is>
          <t>3S 1OE Last+Hilfssch. Cage</t>
        </is>
      </c>
      <c r="I3612">
        <v>4524</v>
      </c>
      <c r="J3612">
        <f>GS06/1897.6</f>
        <v>0</v>
      </c>
      <c r="M3612" t="inlineStr">
        <is>
          <t>-1897K1</t>
        </is>
      </c>
    </row>
    <row r="3613">
      <c r="A3613">
        <v>3612</v>
      </c>
      <c r="B3613">
        <f>GS06</f>
        <v>0</v>
      </c>
      <c r="C3613" t="inlineStr">
        <is>
          <t>+LS24</t>
        </is>
      </c>
      <c r="D3613" t="inlineStr">
        <is>
          <t>-1897K1</t>
        </is>
      </c>
      <c r="E3613" t="inlineStr">
        <is>
          <t>DILA-40</t>
        </is>
      </c>
      <c r="F3613" t="inlineStr">
        <is>
          <t>DILA-XHIC31</t>
        </is>
      </c>
      <c r="G3613" t="inlineStr">
        <is>
          <t>HILFSSCHUETZ</t>
        </is>
      </c>
      <c r="H3613" t="inlineStr">
        <is>
          <t>4S Federzugkl.</t>
        </is>
      </c>
      <c r="I3613">
        <v>4524</v>
      </c>
      <c r="J3613">
        <f>GS06/1897.6</f>
        <v>0</v>
      </c>
      <c r="M3613" t="inlineStr">
        <is>
          <t>-1897K1</t>
        </is>
      </c>
    </row>
    <row r="3614">
      <c r="A3614">
        <v>3613</v>
      </c>
      <c r="B3614">
        <f>GS06</f>
        <v>0</v>
      </c>
      <c r="C3614" t="inlineStr">
        <is>
          <t>+LS24</t>
        </is>
      </c>
      <c r="D3614" t="inlineStr">
        <is>
          <t>-1897K2</t>
        </is>
      </c>
      <c r="E3614" t="inlineStr">
        <is>
          <t>DILA-XHIC31</t>
        </is>
      </c>
      <c r="F3614" t="inlineStr">
        <is>
          <t>DILA-XHIC31</t>
        </is>
      </c>
      <c r="G3614" t="inlineStr">
        <is>
          <t>HILFSKONTAKTBLOCK</t>
        </is>
      </c>
      <c r="H3614" t="inlineStr">
        <is>
          <t>3S 1OE Last+Hilfssch. Cage</t>
        </is>
      </c>
      <c r="I3614">
        <v>4524</v>
      </c>
      <c r="J3614">
        <f>GS06/1897.7</f>
        <v>0</v>
      </c>
      <c r="M3614" t="inlineStr">
        <is>
          <t>-1897K2</t>
        </is>
      </c>
    </row>
    <row r="3615">
      <c r="A3615">
        <v>3614</v>
      </c>
      <c r="B3615">
        <f>GS06</f>
        <v>0</v>
      </c>
      <c r="C3615" t="inlineStr">
        <is>
          <t>+LS24</t>
        </is>
      </c>
      <c r="D3615" t="inlineStr">
        <is>
          <t>-1897K2</t>
        </is>
      </c>
      <c r="E3615" t="inlineStr">
        <is>
          <t>DILA-40</t>
        </is>
      </c>
      <c r="F3615" t="inlineStr">
        <is>
          <t>DILA-XHIC31</t>
        </is>
      </c>
      <c r="G3615" t="inlineStr">
        <is>
          <t>HILFSSCHUETZ</t>
        </is>
      </c>
      <c r="H3615" t="inlineStr">
        <is>
          <t>4S Federzugkl.</t>
        </is>
      </c>
      <c r="I3615">
        <v>4524</v>
      </c>
      <c r="J3615">
        <f>GS06/1897.7</f>
        <v>0</v>
      </c>
      <c r="M3615" t="inlineStr">
        <is>
          <t>-1897K2</t>
        </is>
      </c>
    </row>
    <row r="3616">
      <c r="A3616">
        <v>3615</v>
      </c>
      <c r="B3616">
        <f>GS06</f>
        <v>0</v>
      </c>
      <c r="C3616" t="inlineStr">
        <is>
          <t>+LS24</t>
        </is>
      </c>
      <c r="D3616" t="inlineStr">
        <is>
          <t>-1898K1</t>
        </is>
      </c>
      <c r="E3616" t="inlineStr">
        <is>
          <t>DILA-XHIC31</t>
        </is>
      </c>
      <c r="F3616" t="inlineStr">
        <is>
          <t>DILA-XHIC31</t>
        </is>
      </c>
      <c r="G3616" t="inlineStr">
        <is>
          <t>HILFSKONTAKTBLOCK</t>
        </is>
      </c>
      <c r="H3616" t="inlineStr">
        <is>
          <t>3S 1OE Last+Hilfssch. Cage</t>
        </is>
      </c>
      <c r="I3616">
        <v>4523</v>
      </c>
      <c r="J3616">
        <f>GS06/1898.6</f>
        <v>0</v>
      </c>
      <c r="M3616" t="inlineStr">
        <is>
          <t>-1898K1</t>
        </is>
      </c>
    </row>
    <row r="3617">
      <c r="A3617">
        <v>3616</v>
      </c>
      <c r="B3617">
        <f>GS06</f>
        <v>0</v>
      </c>
      <c r="C3617" t="inlineStr">
        <is>
          <t>+LS24</t>
        </is>
      </c>
      <c r="D3617" t="inlineStr">
        <is>
          <t>-1898K1</t>
        </is>
      </c>
      <c r="E3617" t="inlineStr">
        <is>
          <t>DILA-40</t>
        </is>
      </c>
      <c r="F3617" t="inlineStr">
        <is>
          <t>DILA-XHIC31</t>
        </is>
      </c>
      <c r="G3617" t="inlineStr">
        <is>
          <t>HILFSSCHUETZ</t>
        </is>
      </c>
      <c r="H3617" t="inlineStr">
        <is>
          <t>4S Federzugkl.</t>
        </is>
      </c>
      <c r="I3617">
        <v>4523</v>
      </c>
      <c r="J3617">
        <f>GS06/1898.6</f>
        <v>0</v>
      </c>
      <c r="M3617" t="inlineStr">
        <is>
          <t>-1898K1</t>
        </is>
      </c>
    </row>
    <row r="3618">
      <c r="A3618">
        <v>3617</v>
      </c>
      <c r="B3618">
        <f>GS06</f>
        <v>0</v>
      </c>
      <c r="C3618" t="inlineStr">
        <is>
          <t>+LS24</t>
        </is>
      </c>
      <c r="D3618" t="inlineStr">
        <is>
          <t>-1898K2</t>
        </is>
      </c>
      <c r="E3618" t="inlineStr">
        <is>
          <t>DILA-XHIC31</t>
        </is>
      </c>
      <c r="F3618" t="inlineStr">
        <is>
          <t>DILA-XHIC31</t>
        </is>
      </c>
      <c r="G3618" t="inlineStr">
        <is>
          <t>HILFSKONTAKTBLOCK</t>
        </is>
      </c>
      <c r="H3618" t="inlineStr">
        <is>
          <t>3S 1OE Last+Hilfssch. Cage</t>
        </is>
      </c>
      <c r="I3618">
        <v>4523</v>
      </c>
      <c r="J3618">
        <f>GS06/1898.7</f>
        <v>0</v>
      </c>
      <c r="M3618" t="inlineStr">
        <is>
          <t>-1898K2</t>
        </is>
      </c>
    </row>
    <row r="3619">
      <c r="A3619">
        <v>3618</v>
      </c>
      <c r="B3619">
        <f>GS06</f>
        <v>0</v>
      </c>
      <c r="C3619" t="inlineStr">
        <is>
          <t>+LS24</t>
        </is>
      </c>
      <c r="D3619" t="inlineStr">
        <is>
          <t>-1898K2</t>
        </is>
      </c>
      <c r="E3619" t="inlineStr">
        <is>
          <t>DILA-40</t>
        </is>
      </c>
      <c r="F3619" t="inlineStr">
        <is>
          <t>DILA-XHIC31</t>
        </is>
      </c>
      <c r="G3619" t="inlineStr">
        <is>
          <t>HILFSSCHUETZ</t>
        </is>
      </c>
      <c r="H3619" t="inlineStr">
        <is>
          <t>4S Federzugkl.</t>
        </is>
      </c>
      <c r="I3619">
        <v>4523</v>
      </c>
      <c r="J3619">
        <f>GS06/1898.7</f>
        <v>0</v>
      </c>
      <c r="M3619" t="inlineStr">
        <is>
          <t>-1898K2</t>
        </is>
      </c>
    </row>
    <row r="3620">
      <c r="A3620">
        <v>3619</v>
      </c>
      <c r="B3620">
        <f>GS06</f>
        <v>0</v>
      </c>
      <c r="C3620" t="inlineStr">
        <is>
          <t>+LS24</t>
        </is>
      </c>
      <c r="D3620" t="inlineStr">
        <is>
          <t>-1899K1</t>
        </is>
      </c>
      <c r="E3620" t="inlineStr">
        <is>
          <t>DILA-XHIC40</t>
        </is>
      </c>
      <c r="F3620" t="inlineStr">
        <is>
          <t>DILA-XHIC40</t>
        </is>
      </c>
      <c r="G3620" t="inlineStr">
        <is>
          <t>HILFSKONTAKTBLOCK</t>
        </is>
      </c>
      <c r="H3620" t="inlineStr">
        <is>
          <t>4S Last+Hilfssch. Cage</t>
        </is>
      </c>
      <c r="I3620">
        <v>4356</v>
      </c>
      <c r="J3620">
        <f>GS06/1899.6</f>
        <v>0</v>
      </c>
      <c r="M3620" t="inlineStr">
        <is>
          <t>-1899K1</t>
        </is>
      </c>
    </row>
    <row r="3621">
      <c r="A3621">
        <v>3620</v>
      </c>
      <c r="B3621">
        <f>GS06</f>
        <v>0</v>
      </c>
      <c r="C3621" t="inlineStr">
        <is>
          <t>+LS24</t>
        </is>
      </c>
      <c r="D3621" t="inlineStr">
        <is>
          <t>-1899K1</t>
        </is>
      </c>
      <c r="E3621" t="inlineStr">
        <is>
          <t>DILM-9-01</t>
        </is>
      </c>
      <c r="F3621" t="inlineStr">
        <is>
          <t>DILA-XHIC40</t>
        </is>
      </c>
      <c r="G3621" t="inlineStr">
        <is>
          <t>LASTSCHUETZ</t>
        </is>
      </c>
      <c r="H3621" t="inlineStr">
        <is>
          <t>4kW 1Oe Federzugkl.</t>
        </is>
      </c>
      <c r="I3621">
        <v>4356</v>
      </c>
      <c r="J3621">
        <f>GS06/1899.6</f>
        <v>0</v>
      </c>
      <c r="M3621" t="inlineStr">
        <is>
          <t>-1899K1</t>
        </is>
      </c>
    </row>
    <row r="3622">
      <c r="A3622">
        <v>3621</v>
      </c>
      <c r="B3622">
        <f>GS06</f>
        <v>0</v>
      </c>
      <c r="C3622" t="inlineStr">
        <is>
          <t>+LS24</t>
        </is>
      </c>
      <c r="D3622" t="inlineStr">
        <is>
          <t>-1899K2</t>
        </is>
      </c>
      <c r="E3622" t="inlineStr">
        <is>
          <t>DILA-XHIC40</t>
        </is>
      </c>
      <c r="F3622" t="inlineStr">
        <is>
          <t>DILA-XHIC40</t>
        </is>
      </c>
      <c r="G3622" t="inlineStr">
        <is>
          <t>HILFSKONTAKTBLOCK</t>
        </is>
      </c>
      <c r="H3622" t="inlineStr">
        <is>
          <t>4S Last+Hilfssch. Cage</t>
        </is>
      </c>
      <c r="I3622">
        <v>4356</v>
      </c>
      <c r="J3622">
        <f>GS06/1899.7</f>
        <v>0</v>
      </c>
      <c r="M3622" t="inlineStr">
        <is>
          <t>-1899K2</t>
        </is>
      </c>
    </row>
    <row r="3623">
      <c r="A3623">
        <v>3622</v>
      </c>
      <c r="B3623">
        <f>GS06</f>
        <v>0</v>
      </c>
      <c r="C3623" t="inlineStr">
        <is>
          <t>+LS24</t>
        </is>
      </c>
      <c r="D3623" t="inlineStr">
        <is>
          <t>-1899K2</t>
        </is>
      </c>
      <c r="E3623" t="inlineStr">
        <is>
          <t>DILM-9-01</t>
        </is>
      </c>
      <c r="F3623" t="inlineStr">
        <is>
          <t>DILA-XHIC40</t>
        </is>
      </c>
      <c r="G3623" t="inlineStr">
        <is>
          <t>LASTSCHUETZ</t>
        </is>
      </c>
      <c r="H3623" t="inlineStr">
        <is>
          <t>4kW 1Oe Federzugkl.</t>
        </is>
      </c>
      <c r="I3623">
        <v>4356</v>
      </c>
      <c r="J3623">
        <f>GS06/1899.7</f>
        <v>0</v>
      </c>
      <c r="M3623" t="inlineStr">
        <is>
          <t>-1899K2</t>
        </is>
      </c>
    </row>
    <row r="3624">
      <c r="A3624">
        <v>3623</v>
      </c>
      <c r="B3624">
        <f>GS32</f>
        <v>0</v>
      </c>
      <c r="C3624" t="inlineStr">
        <is>
          <t>+LS3</t>
        </is>
      </c>
      <c r="D3624" t="inlineStr">
        <is>
          <t>-189K1</t>
        </is>
      </c>
      <c r="E3624" t="inlineStr">
        <is>
          <t>DILA-XHI22</t>
        </is>
      </c>
      <c r="F3624" t="inlineStr">
        <is>
          <t>DILA-XHI22</t>
        </is>
      </c>
      <c r="G3624" t="inlineStr">
        <is>
          <t>HILFSKONTAKTBLOCK</t>
        </is>
      </c>
      <c r="H3624" t="inlineStr">
        <is>
          <t>2S 2OE Last+Hilfssch. Cage</t>
        </is>
      </c>
      <c r="I3624">
        <v>1063</v>
      </c>
      <c r="J3624">
        <f>GS32/189.5</f>
        <v>0</v>
      </c>
      <c r="M3624" t="inlineStr">
        <is>
          <t>-189K1</t>
        </is>
      </c>
    </row>
    <row r="3625">
      <c r="A3625">
        <v>3624</v>
      </c>
      <c r="B3625">
        <f>GS32</f>
        <v>0</v>
      </c>
      <c r="C3625" t="inlineStr">
        <is>
          <t>+LS3</t>
        </is>
      </c>
      <c r="D3625" t="inlineStr">
        <is>
          <t>-189K1</t>
        </is>
      </c>
      <c r="E3625" t="inlineStr">
        <is>
          <t>DILM-9-10</t>
        </is>
      </c>
      <c r="F3625" t="inlineStr">
        <is>
          <t>DILA-XHI22</t>
        </is>
      </c>
      <c r="G3625" t="inlineStr">
        <is>
          <t>LASTSCHUETZ</t>
        </is>
      </c>
      <c r="H3625" t="inlineStr">
        <is>
          <t>4kW 1S Federzugkl.</t>
        </is>
      </c>
      <c r="I3625">
        <v>1063</v>
      </c>
      <c r="J3625">
        <f>GS32/189.5</f>
        <v>0</v>
      </c>
      <c r="M3625" t="inlineStr">
        <is>
          <t>-189K1</t>
        </is>
      </c>
    </row>
    <row r="3626">
      <c r="A3626">
        <v>3625</v>
      </c>
      <c r="B3626">
        <f>GS32</f>
        <v>0</v>
      </c>
      <c r="C3626" t="inlineStr">
        <is>
          <t>+LS3</t>
        </is>
      </c>
      <c r="D3626" t="inlineStr">
        <is>
          <t>-189K2</t>
        </is>
      </c>
      <c r="E3626" t="inlineStr">
        <is>
          <t>DILA-XHI22</t>
        </is>
      </c>
      <c r="F3626" t="inlineStr">
        <is>
          <t>DILA-XHI22</t>
        </is>
      </c>
      <c r="G3626" t="inlineStr">
        <is>
          <t>HILFSKONTAKTBLOCK</t>
        </is>
      </c>
      <c r="H3626" t="inlineStr">
        <is>
          <t>2S 2OE Last+Hilfssch. Cage</t>
        </is>
      </c>
      <c r="I3626">
        <v>1063</v>
      </c>
      <c r="J3626">
        <f>GS32/189.6</f>
        <v>0</v>
      </c>
      <c r="M3626" t="inlineStr">
        <is>
          <t>-189K2</t>
        </is>
      </c>
    </row>
    <row r="3627">
      <c r="A3627">
        <v>3626</v>
      </c>
      <c r="B3627">
        <f>GS32</f>
        <v>0</v>
      </c>
      <c r="C3627" t="inlineStr">
        <is>
          <t>+LS3</t>
        </is>
      </c>
      <c r="D3627" t="inlineStr">
        <is>
          <t>-189K2</t>
        </is>
      </c>
      <c r="E3627" t="inlineStr">
        <is>
          <t>DILM-9-10</t>
        </is>
      </c>
      <c r="F3627" t="inlineStr">
        <is>
          <t>DILA-XHI22</t>
        </is>
      </c>
      <c r="G3627" t="inlineStr">
        <is>
          <t>LASTSCHUETZ</t>
        </is>
      </c>
      <c r="H3627" t="inlineStr">
        <is>
          <t>4kW 1S Federzugkl.</t>
        </is>
      </c>
      <c r="I3627">
        <v>1063</v>
      </c>
      <c r="J3627">
        <f>GS32/189.6</f>
        <v>0</v>
      </c>
      <c r="M3627" t="inlineStr">
        <is>
          <t>-189K2</t>
        </is>
      </c>
    </row>
    <row r="3628">
      <c r="A3628">
        <v>3627</v>
      </c>
      <c r="B3628">
        <f>GS33</f>
        <v>0</v>
      </c>
      <c r="C3628" t="inlineStr">
        <is>
          <t>+LS3</t>
        </is>
      </c>
      <c r="D3628" t="inlineStr">
        <is>
          <t>-189K26.7</t>
        </is>
      </c>
      <c r="E3628" t="inlineStr">
        <is>
          <t>DIL_EM-10-G</t>
        </is>
      </c>
      <c r="F3628" t="inlineStr">
        <is>
          <t>#KALK!</t>
        </is>
      </c>
      <c r="G3628" t="inlineStr">
        <is>
          <t>LASTSCHUETZ</t>
        </is>
      </c>
      <c r="H3628" t="inlineStr">
        <is>
          <t>4kW 1S</t>
        </is>
      </c>
      <c r="I3628">
        <v>623</v>
      </c>
      <c r="J3628">
        <f>GS33/189.7</f>
        <v>0</v>
      </c>
      <c r="M3628" t="inlineStr">
        <is>
          <t>-189K26.7</t>
        </is>
      </c>
    </row>
    <row r="3629">
      <c r="A3629">
        <v>3628</v>
      </c>
      <c r="B3629">
        <f>GS11</f>
        <v>0</v>
      </c>
      <c r="C3629" t="inlineStr">
        <is>
          <t>+LS4</t>
        </is>
      </c>
      <c r="D3629" t="inlineStr">
        <is>
          <t>-189K45.2</t>
        </is>
      </c>
      <c r="E3629" t="inlineStr">
        <is>
          <t>DIL_EM-01-G</t>
        </is>
      </c>
      <c r="F3629" t="inlineStr">
        <is>
          <t>#KALK!</t>
        </is>
      </c>
      <c r="G3629" t="inlineStr">
        <is>
          <t>LASTSCHUETZ</t>
        </is>
      </c>
      <c r="H3629" t="inlineStr">
        <is>
          <t>4kW 1OE</t>
        </is>
      </c>
      <c r="I3629">
        <v>300</v>
      </c>
      <c r="J3629">
        <f>GS11/189.7</f>
        <v>0</v>
      </c>
      <c r="M3629" t="inlineStr">
        <is>
          <t>-189K45.2</t>
        </is>
      </c>
    </row>
    <row r="3630">
      <c r="A3630">
        <v>3629</v>
      </c>
      <c r="B3630">
        <f>GS11</f>
        <v>0</v>
      </c>
      <c r="C3630" t="inlineStr">
        <is>
          <t>+LS4</t>
        </is>
      </c>
      <c r="D3630" t="inlineStr">
        <is>
          <t>-189K46.1</t>
        </is>
      </c>
      <c r="E3630" t="inlineStr">
        <is>
          <t>DIL_EM-10-G</t>
        </is>
      </c>
      <c r="F3630" t="inlineStr">
        <is>
          <t>#KALK!</t>
        </is>
      </c>
      <c r="G3630" t="inlineStr">
        <is>
          <t>LASTSCHUETZ</t>
        </is>
      </c>
      <c r="H3630" t="inlineStr">
        <is>
          <t>4kW 1S</t>
        </is>
      </c>
      <c r="I3630">
        <v>300</v>
      </c>
      <c r="J3630">
        <f>GS11/189.7</f>
        <v>0</v>
      </c>
      <c r="M3630" t="inlineStr">
        <is>
          <t>-189K46.1</t>
        </is>
      </c>
    </row>
    <row r="3631">
      <c r="A3631">
        <v>3630</v>
      </c>
      <c r="B3631">
        <f>GS11</f>
        <v>0</v>
      </c>
      <c r="C3631" t="inlineStr">
        <is>
          <t>+LS4</t>
        </is>
      </c>
      <c r="D3631" t="inlineStr">
        <is>
          <t>-189K47.1</t>
        </is>
      </c>
      <c r="E3631" t="inlineStr">
        <is>
          <t>DIL_EM-01-G</t>
        </is>
      </c>
      <c r="F3631" t="inlineStr">
        <is>
          <t>#KALK!</t>
        </is>
      </c>
      <c r="G3631" t="inlineStr">
        <is>
          <t>LASTSCHUETZ</t>
        </is>
      </c>
      <c r="H3631" t="inlineStr">
        <is>
          <t>4kW 1OE</t>
        </is>
      </c>
      <c r="I3631">
        <v>300</v>
      </c>
      <c r="J3631">
        <f>GS11/189.6</f>
        <v>0</v>
      </c>
      <c r="M3631" t="inlineStr">
        <is>
          <t>-189K47.1</t>
        </is>
      </c>
    </row>
    <row r="3632">
      <c r="A3632">
        <v>3631</v>
      </c>
      <c r="B3632">
        <f>GC03</f>
        <v>0</v>
      </c>
      <c r="C3632" t="inlineStr">
        <is>
          <t>+LS4</t>
        </is>
      </c>
      <c r="D3632" t="inlineStr">
        <is>
          <t>-189K65.0</t>
        </is>
      </c>
      <c r="E3632" t="inlineStr">
        <is>
          <t>DIL_EM-10-G</t>
        </is>
      </c>
      <c r="F3632" t="inlineStr">
        <is>
          <t>#KALK!</t>
        </is>
      </c>
      <c r="G3632" t="inlineStr">
        <is>
          <t>LASTSCHUETZ</t>
        </is>
      </c>
      <c r="H3632" t="inlineStr">
        <is>
          <t>4kW 1S</t>
        </is>
      </c>
      <c r="I3632">
        <v>3011</v>
      </c>
      <c r="J3632">
        <f>GC03/189.6</f>
        <v>0</v>
      </c>
      <c r="M3632" t="inlineStr">
        <is>
          <t>-189K65.0</t>
        </is>
      </c>
    </row>
    <row r="3633">
      <c r="A3633">
        <v>3632</v>
      </c>
      <c r="B3633">
        <f>GS25</f>
        <v>0</v>
      </c>
      <c r="C3633" t="inlineStr">
        <is>
          <t>+LS4</t>
        </is>
      </c>
      <c r="D3633" t="inlineStr">
        <is>
          <t>-189K68.2</t>
        </is>
      </c>
      <c r="E3633" t="inlineStr">
        <is>
          <t>DIL_EM-10-G</t>
        </is>
      </c>
      <c r="F3633" t="inlineStr">
        <is>
          <t>#KALK!</t>
        </is>
      </c>
      <c r="G3633" t="inlineStr">
        <is>
          <t>LASTSCHUETZ</t>
        </is>
      </c>
      <c r="H3633" t="inlineStr">
        <is>
          <t>4kW 1S</t>
        </is>
      </c>
      <c r="I3633">
        <v>310</v>
      </c>
      <c r="J3633">
        <f>GS25/189.6</f>
        <v>0</v>
      </c>
      <c r="M3633" t="inlineStr">
        <is>
          <t>-189K68.2</t>
        </is>
      </c>
    </row>
    <row r="3634">
      <c r="A3634">
        <v>3633</v>
      </c>
      <c r="B3634">
        <f>GS25</f>
        <v>0</v>
      </c>
      <c r="C3634" t="inlineStr">
        <is>
          <t>+LS4</t>
        </is>
      </c>
      <c r="D3634" t="inlineStr">
        <is>
          <t>-189K68.3</t>
        </is>
      </c>
      <c r="E3634" t="inlineStr">
        <is>
          <t>DIL_EM-10-G</t>
        </is>
      </c>
      <c r="F3634" t="inlineStr">
        <is>
          <t>#KALK!</t>
        </is>
      </c>
      <c r="G3634" t="inlineStr">
        <is>
          <t>LASTSCHUETZ</t>
        </is>
      </c>
      <c r="H3634" t="inlineStr">
        <is>
          <t>4kW 1S</t>
        </is>
      </c>
      <c r="I3634">
        <v>310</v>
      </c>
      <c r="J3634">
        <f>GS25/189.6</f>
        <v>0</v>
      </c>
      <c r="M3634" t="inlineStr">
        <is>
          <t>-189K68.3</t>
        </is>
      </c>
    </row>
    <row r="3635">
      <c r="A3635">
        <v>3634</v>
      </c>
      <c r="B3635">
        <f>GS15</f>
        <v>0</v>
      </c>
      <c r="C3635" t="inlineStr">
        <is>
          <t>+LS3</t>
        </is>
      </c>
      <c r="D3635" t="inlineStr">
        <is>
          <t>-189K68.4</t>
        </is>
      </c>
      <c r="E3635" t="inlineStr">
        <is>
          <t>DIL_EM-10-G</t>
        </is>
      </c>
      <c r="F3635" t="inlineStr">
        <is>
          <t>#KALK!</t>
        </is>
      </c>
      <c r="G3635" t="inlineStr">
        <is>
          <t>LASTSCHUETZ</t>
        </is>
      </c>
      <c r="H3635" t="inlineStr">
        <is>
          <t>4kW 1S</t>
        </is>
      </c>
      <c r="I3635">
        <v>682</v>
      </c>
      <c r="J3635">
        <f>GS15/189.6</f>
        <v>0</v>
      </c>
      <c r="M3635" t="inlineStr">
        <is>
          <t>-189K68.4</t>
        </is>
      </c>
    </row>
    <row r="3636">
      <c r="A3636">
        <v>3635</v>
      </c>
      <c r="B3636">
        <f>GS15</f>
        <v>0</v>
      </c>
      <c r="C3636" t="inlineStr">
        <is>
          <t>+LS3</t>
        </is>
      </c>
      <c r="D3636" t="inlineStr">
        <is>
          <t>-189K68.5</t>
        </is>
      </c>
      <c r="E3636" t="inlineStr">
        <is>
          <t>DIL_EM-10-G</t>
        </is>
      </c>
      <c r="F3636" t="inlineStr">
        <is>
          <t>#KALK!</t>
        </is>
      </c>
      <c r="G3636" t="inlineStr">
        <is>
          <t>LASTSCHUETZ</t>
        </is>
      </c>
      <c r="H3636" t="inlineStr">
        <is>
          <t>4kW 1S</t>
        </is>
      </c>
      <c r="I3636">
        <v>682</v>
      </c>
      <c r="J3636">
        <f>GS15/189.6</f>
        <v>0</v>
      </c>
      <c r="M3636" t="inlineStr">
        <is>
          <t>-189K68.5</t>
        </is>
      </c>
    </row>
    <row r="3637">
      <c r="A3637">
        <v>3636</v>
      </c>
      <c r="B3637">
        <f>GS24</f>
        <v>0</v>
      </c>
      <c r="C3637" t="inlineStr">
        <is>
          <t>+LS4</t>
        </is>
      </c>
      <c r="D3637" t="inlineStr">
        <is>
          <t>-189K70.4</t>
        </is>
      </c>
      <c r="E3637" t="inlineStr">
        <is>
          <t>DIL_EM-10-G</t>
        </is>
      </c>
      <c r="F3637" t="inlineStr">
        <is>
          <t>#KALK!</t>
        </is>
      </c>
      <c r="G3637" t="inlineStr">
        <is>
          <t>LASTSCHUETZ</t>
        </is>
      </c>
      <c r="H3637" t="inlineStr">
        <is>
          <t>4kW 1S</t>
        </is>
      </c>
      <c r="I3637">
        <v>890</v>
      </c>
      <c r="J3637">
        <f>GS24/189.6</f>
        <v>0</v>
      </c>
      <c r="M3637" t="inlineStr">
        <is>
          <t>-189K70.4</t>
        </is>
      </c>
    </row>
    <row r="3638">
      <c r="A3638">
        <v>3637</v>
      </c>
      <c r="B3638">
        <f>GS24</f>
        <v>0</v>
      </c>
      <c r="C3638" t="inlineStr">
        <is>
          <t>+LS4</t>
        </is>
      </c>
      <c r="D3638" t="inlineStr">
        <is>
          <t>-189K70.5</t>
        </is>
      </c>
      <c r="E3638" t="inlineStr">
        <is>
          <t>DIL_EM-10-G</t>
        </is>
      </c>
      <c r="F3638" t="inlineStr">
        <is>
          <t>#KALK!</t>
        </is>
      </c>
      <c r="G3638" t="inlineStr">
        <is>
          <t>LASTSCHUETZ</t>
        </is>
      </c>
      <c r="H3638" t="inlineStr">
        <is>
          <t>4kW 1S</t>
        </is>
      </c>
      <c r="I3638">
        <v>890</v>
      </c>
      <c r="J3638">
        <f>GS24/189.6</f>
        <v>0</v>
      </c>
      <c r="M3638" t="inlineStr">
        <is>
          <t>-189K70.5</t>
        </is>
      </c>
    </row>
    <row r="3639">
      <c r="A3639">
        <v>3638</v>
      </c>
      <c r="B3639">
        <f>GS55</f>
        <v>0</v>
      </c>
      <c r="C3639" t="inlineStr">
        <is>
          <t>+LS02</t>
        </is>
      </c>
      <c r="D3639" t="inlineStr">
        <is>
          <t>-189Q111.2</t>
        </is>
      </c>
      <c r="E3639" t="inlineStr">
        <is>
          <t>DILA-XHI22</t>
        </is>
      </c>
      <c r="F3639" t="inlineStr">
        <is>
          <t>DILA-XHI22</t>
        </is>
      </c>
      <c r="G3639" t="inlineStr">
        <is>
          <t>HILFSKONTAKTBLOCK</t>
        </is>
      </c>
      <c r="H3639" t="inlineStr">
        <is>
          <t>2S 2OE Last+Hilfssch. Cage</t>
        </is>
      </c>
      <c r="I3639">
        <v>427</v>
      </c>
      <c r="J3639">
        <f>GS55/189.6</f>
        <v>0</v>
      </c>
      <c r="M3639" t="inlineStr">
        <is>
          <t>-189Q111.2</t>
        </is>
      </c>
    </row>
    <row r="3640">
      <c r="A3640">
        <v>3639</v>
      </c>
      <c r="B3640">
        <f>GS55</f>
        <v>0</v>
      </c>
      <c r="C3640" t="inlineStr">
        <is>
          <t>+LS02</t>
        </is>
      </c>
      <c r="D3640" t="inlineStr">
        <is>
          <t>-189Q111.2</t>
        </is>
      </c>
      <c r="E3640" t="inlineStr">
        <is>
          <t>DILM-9-01</t>
        </is>
      </c>
      <c r="F3640" t="inlineStr">
        <is>
          <t>DILA-XHI22</t>
        </is>
      </c>
      <c r="G3640" t="inlineStr">
        <is>
          <t>LASTSCHUETZ</t>
        </is>
      </c>
      <c r="H3640" t="inlineStr">
        <is>
          <t>4kW 1Oe Federzugkl.</t>
        </is>
      </c>
      <c r="I3640">
        <v>427</v>
      </c>
      <c r="J3640">
        <f>GS55/189.6</f>
        <v>0</v>
      </c>
      <c r="M3640" t="inlineStr">
        <is>
          <t>-189Q111.2</t>
        </is>
      </c>
    </row>
    <row r="3641">
      <c r="A3641">
        <v>3640</v>
      </c>
      <c r="B3641">
        <f>GS55</f>
        <v>0</v>
      </c>
      <c r="C3641" t="inlineStr">
        <is>
          <t>+LS02</t>
        </is>
      </c>
      <c r="D3641" t="inlineStr">
        <is>
          <t>-189Q111.3</t>
        </is>
      </c>
      <c r="E3641" t="inlineStr">
        <is>
          <t>DILA-XHI22</t>
        </is>
      </c>
      <c r="F3641" t="inlineStr">
        <is>
          <t>DILA-XHI22</t>
        </is>
      </c>
      <c r="G3641" t="inlineStr">
        <is>
          <t>HILFSKONTAKTBLOCK</t>
        </is>
      </c>
      <c r="H3641" t="inlineStr">
        <is>
          <t>2S 2OE Last+Hilfssch. Cage</t>
        </is>
      </c>
      <c r="I3641">
        <v>427</v>
      </c>
      <c r="J3641">
        <f>GS55/189.7</f>
        <v>0</v>
      </c>
      <c r="M3641" t="inlineStr">
        <is>
          <t>-189Q111.3</t>
        </is>
      </c>
    </row>
    <row r="3642">
      <c r="A3642">
        <v>3641</v>
      </c>
      <c r="B3642">
        <f>GS55</f>
        <v>0</v>
      </c>
      <c r="C3642" t="inlineStr">
        <is>
          <t>+LS02</t>
        </is>
      </c>
      <c r="D3642" t="inlineStr">
        <is>
          <t>-189Q111.3</t>
        </is>
      </c>
      <c r="E3642" t="inlineStr">
        <is>
          <t>DILM-9-01</t>
        </is>
      </c>
      <c r="F3642" t="inlineStr">
        <is>
          <t>DILA-XHI22</t>
        </is>
      </c>
      <c r="G3642" t="inlineStr">
        <is>
          <t>LASTSCHUETZ</t>
        </is>
      </c>
      <c r="H3642" t="inlineStr">
        <is>
          <t>4kW 1Oe Federzugkl.</t>
        </is>
      </c>
      <c r="I3642">
        <v>427</v>
      </c>
      <c r="J3642">
        <f>GS55/189.7</f>
        <v>0</v>
      </c>
      <c r="M3642" t="inlineStr">
        <is>
          <t>-189Q111.3</t>
        </is>
      </c>
    </row>
    <row r="3643">
      <c r="A3643">
        <v>3642</v>
      </c>
      <c r="B3643">
        <f>GS94</f>
        <v>0</v>
      </c>
      <c r="C3643" t="inlineStr">
        <is>
          <t>+LS15</t>
        </is>
      </c>
      <c r="D3643" t="inlineStr">
        <is>
          <t>-189Q177.5</t>
        </is>
      </c>
      <c r="E3643" t="inlineStr">
        <is>
          <t>DILM-9-10</t>
        </is>
      </c>
      <c r="F3643" t="inlineStr">
        <is>
          <t>#KALK!</t>
        </is>
      </c>
      <c r="G3643" t="inlineStr">
        <is>
          <t>LASTSCHUETZ</t>
        </is>
      </c>
      <c r="H3643" t="inlineStr">
        <is>
          <t>4kW 1S Federzugkl.</t>
        </is>
      </c>
      <c r="I3643">
        <v>279</v>
      </c>
      <c r="J3643">
        <f>GS94/189.5</f>
        <v>0</v>
      </c>
      <c r="M3643" t="inlineStr">
        <is>
          <t>-189Q177.5</t>
        </is>
      </c>
    </row>
    <row r="3644">
      <c r="A3644">
        <v>3643</v>
      </c>
      <c r="B3644">
        <f>GS95</f>
        <v>0</v>
      </c>
      <c r="C3644" t="inlineStr">
        <is>
          <t>+LS15</t>
        </is>
      </c>
      <c r="D3644" t="inlineStr">
        <is>
          <t>-189Q177.5</t>
        </is>
      </c>
      <c r="E3644" t="inlineStr">
        <is>
          <t>DILM-9-10</t>
        </is>
      </c>
      <c r="F3644" t="inlineStr">
        <is>
          <t>#KALK!</t>
        </is>
      </c>
      <c r="G3644" t="inlineStr">
        <is>
          <t>LASTSCHUETZ</t>
        </is>
      </c>
      <c r="H3644" t="inlineStr">
        <is>
          <t>4kW 1S Federzugkl.</t>
        </is>
      </c>
      <c r="I3644">
        <v>279</v>
      </c>
      <c r="J3644">
        <f>GS95/189.5</f>
        <v>0</v>
      </c>
      <c r="M3644" t="inlineStr">
        <is>
          <t>-189Q177.5</t>
        </is>
      </c>
    </row>
    <row r="3645">
      <c r="A3645">
        <v>3644</v>
      </c>
      <c r="B3645">
        <f>GS96</f>
        <v>0</v>
      </c>
      <c r="C3645" t="inlineStr">
        <is>
          <t>+LS15</t>
        </is>
      </c>
      <c r="D3645" t="inlineStr">
        <is>
          <t>-189Q177.5</t>
        </is>
      </c>
      <c r="E3645" t="inlineStr">
        <is>
          <t>DILM-9-10</t>
        </is>
      </c>
      <c r="F3645" t="inlineStr">
        <is>
          <t>#KALK!</t>
        </is>
      </c>
      <c r="G3645" t="inlineStr">
        <is>
          <t>LASTSCHUETZ</t>
        </is>
      </c>
      <c r="H3645" t="inlineStr">
        <is>
          <t>4kW 1S Federzugkl.</t>
        </is>
      </c>
      <c r="I3645">
        <v>279</v>
      </c>
      <c r="J3645">
        <f>GS96/189.5</f>
        <v>0</v>
      </c>
      <c r="M3645" t="inlineStr">
        <is>
          <t>-189Q177.5</t>
        </is>
      </c>
    </row>
    <row r="3646">
      <c r="A3646">
        <v>3645</v>
      </c>
      <c r="B3646">
        <f>GS97</f>
        <v>0</v>
      </c>
      <c r="C3646" t="inlineStr">
        <is>
          <t>+LS15</t>
        </is>
      </c>
      <c r="D3646" t="inlineStr">
        <is>
          <t>-189Q177.5</t>
        </is>
      </c>
      <c r="E3646" t="inlineStr">
        <is>
          <t>DILM-9-10</t>
        </is>
      </c>
      <c r="F3646" t="inlineStr">
        <is>
          <t>#KALK!</t>
        </is>
      </c>
      <c r="G3646" t="inlineStr">
        <is>
          <t>LASTSCHUETZ</t>
        </is>
      </c>
      <c r="H3646" t="inlineStr">
        <is>
          <t>4kW 1S Federzugkl.</t>
        </is>
      </c>
      <c r="I3646">
        <v>279</v>
      </c>
      <c r="J3646">
        <f>GS97/189.5</f>
        <v>0</v>
      </c>
      <c r="M3646" t="inlineStr">
        <is>
          <t>-189Q177.5</t>
        </is>
      </c>
    </row>
    <row r="3647">
      <c r="A3647">
        <v>3646</v>
      </c>
      <c r="B3647">
        <f>GS90</f>
        <v>0</v>
      </c>
      <c r="C3647" t="inlineStr">
        <is>
          <t>+LS02</t>
        </is>
      </c>
      <c r="D3647" t="inlineStr">
        <is>
          <t>-189Q447.4</t>
        </is>
      </c>
      <c r="E3647" t="inlineStr">
        <is>
          <t>DILM-9-10</t>
        </is>
      </c>
      <c r="F3647" t="inlineStr">
        <is>
          <t>#KALK!</t>
        </is>
      </c>
      <c r="G3647" t="inlineStr">
        <is>
          <t>LASTSCHUETZ</t>
        </is>
      </c>
      <c r="H3647" t="inlineStr">
        <is>
          <t>4kW 1S Federzugkl.</t>
        </is>
      </c>
      <c r="I3647">
        <v>1070</v>
      </c>
      <c r="J3647">
        <f>GS90/189.5</f>
        <v>0</v>
      </c>
      <c r="M3647" t="inlineStr">
        <is>
          <t>-189Q447.4</t>
        </is>
      </c>
    </row>
    <row r="3648">
      <c r="A3648">
        <v>3647</v>
      </c>
      <c r="B3648">
        <f>GS30</f>
        <v>0</v>
      </c>
      <c r="C3648" t="inlineStr">
        <is>
          <t>+LS19</t>
        </is>
      </c>
      <c r="D3648" t="inlineStr">
        <is>
          <t>-18H5.3</t>
        </is>
      </c>
      <c r="E3648" t="inlineStr">
        <is>
          <t>DILA-40</t>
        </is>
      </c>
      <c r="F3648" t="inlineStr">
        <is>
          <t>#KALK!</t>
        </is>
      </c>
      <c r="G3648" t="inlineStr">
        <is>
          <t>HILFSSCHUETZ</t>
        </is>
      </c>
      <c r="H3648" t="inlineStr">
        <is>
          <t>4S Federzugkl.</t>
        </is>
      </c>
      <c r="I3648">
        <v>1934</v>
      </c>
      <c r="J3648">
        <f>GS30/555.7</f>
        <v>0</v>
      </c>
      <c r="M3648" t="inlineStr">
        <is>
          <t>-18H5.3</t>
        </is>
      </c>
    </row>
    <row r="3649">
      <c r="A3649">
        <v>3648</v>
      </c>
      <c r="B3649">
        <f>EPP</f>
        <v>0</v>
      </c>
      <c r="C3649" t="inlineStr">
        <is>
          <t>+LS</t>
        </is>
      </c>
      <c r="D3649" t="inlineStr">
        <is>
          <t>-18K1</t>
        </is>
      </c>
      <c r="E3649" t="inlineStr">
        <is>
          <t>DIL_EM-10-G</t>
        </is>
      </c>
      <c r="F3649" t="inlineStr">
        <is>
          <t>22_DIL-E</t>
        </is>
      </c>
      <c r="G3649" t="inlineStr">
        <is>
          <t>LASTSCHUETZ</t>
        </is>
      </c>
      <c r="H3649" t="inlineStr">
        <is>
          <t>4kW 1S</t>
        </is>
      </c>
      <c r="I3649">
        <v>116</v>
      </c>
      <c r="J3649">
        <f>EPP/18.7</f>
        <v>0</v>
      </c>
      <c r="M3649" t="inlineStr">
        <is>
          <t>-18K1</t>
        </is>
      </c>
    </row>
    <row r="3650">
      <c r="A3650">
        <v>3649</v>
      </c>
      <c r="B3650">
        <f>EPP</f>
        <v>0</v>
      </c>
      <c r="C3650" t="inlineStr">
        <is>
          <t>+LS</t>
        </is>
      </c>
      <c r="D3650" t="inlineStr">
        <is>
          <t>-18K1</t>
        </is>
      </c>
      <c r="E3650" t="inlineStr">
        <is>
          <t>22_DIL-E</t>
        </is>
      </c>
      <c r="F3650" t="inlineStr">
        <is>
          <t>22_DIL-E</t>
        </is>
      </c>
      <c r="G3650" t="inlineStr">
        <is>
          <t>HILFSKONTAKTBLOCK</t>
        </is>
      </c>
      <c r="H3650" t="inlineStr">
        <is>
          <t>2S 2OE Last+Hilfsschuetz</t>
        </is>
      </c>
      <c r="I3650">
        <v>116</v>
      </c>
      <c r="J3650">
        <f>EPP/18.7</f>
        <v>0</v>
      </c>
      <c r="M3650" t="inlineStr">
        <is>
          <t>-18K1</t>
        </is>
      </c>
    </row>
    <row r="3651">
      <c r="A3651">
        <v>3650</v>
      </c>
      <c r="B3651">
        <f>GS08</f>
        <v>0</v>
      </c>
      <c r="C3651" t="inlineStr">
        <is>
          <t>+LS[p1]</t>
        </is>
      </c>
      <c r="D3651" t="inlineStr">
        <is>
          <t>-18Q[a+1].6</t>
        </is>
      </c>
      <c r="E3651" t="inlineStr">
        <is>
          <t>DILM-9-01</t>
        </is>
      </c>
      <c r="F3651" t="inlineStr">
        <is>
          <t>#KALK!</t>
        </is>
      </c>
      <c r="G3651" t="inlineStr">
        <is>
          <t>LASTSCHUETZ</t>
        </is>
      </c>
      <c r="H3651" t="inlineStr">
        <is>
          <t>4kW 1Oe Federzugkl.</t>
        </is>
      </c>
      <c r="I3651">
        <v>187</v>
      </c>
      <c r="J3651">
        <f>GS08/18.6</f>
        <v>0</v>
      </c>
      <c r="M3651" t="inlineStr">
        <is>
          <t>-18Q[a+1].6</t>
        </is>
      </c>
    </row>
    <row r="3652">
      <c r="A3652">
        <v>3651</v>
      </c>
      <c r="B3652">
        <f>GS08</f>
        <v>0</v>
      </c>
      <c r="C3652" t="inlineStr">
        <is>
          <t>+LS[p1]</t>
        </is>
      </c>
      <c r="D3652" t="inlineStr">
        <is>
          <t>-18Q[a+1].7</t>
        </is>
      </c>
      <c r="E3652" t="inlineStr">
        <is>
          <t>DILM-9-01</t>
        </is>
      </c>
      <c r="F3652" t="inlineStr">
        <is>
          <t>#KALK!</t>
        </is>
      </c>
      <c r="G3652" t="inlineStr">
        <is>
          <t>LASTSCHUETZ</t>
        </is>
      </c>
      <c r="H3652" t="inlineStr">
        <is>
          <t>4kW 1Oe Federzugkl.</t>
        </is>
      </c>
      <c r="I3652">
        <v>187</v>
      </c>
      <c r="J3652">
        <f>GS08/18.7</f>
        <v>0</v>
      </c>
      <c r="M3652" t="inlineStr">
        <is>
          <t>-18Q[a+1].7</t>
        </is>
      </c>
    </row>
    <row r="3653">
      <c r="A3653">
        <v>3652</v>
      </c>
      <c r="B3653">
        <f>GS69</f>
        <v>0</v>
      </c>
      <c r="C3653" t="inlineStr">
        <is>
          <t>+LS[I1]</t>
        </is>
      </c>
      <c r="D3653" t="inlineStr">
        <is>
          <t>-18Q[a+12].1</t>
        </is>
      </c>
      <c r="E3653" t="inlineStr">
        <is>
          <t>DILM-9-10</t>
        </is>
      </c>
      <c r="F3653" t="inlineStr">
        <is>
          <t>#KALK!</t>
        </is>
      </c>
      <c r="G3653" t="inlineStr">
        <is>
          <t>LASTSCHUETZ</t>
        </is>
      </c>
      <c r="H3653" t="inlineStr">
        <is>
          <t>4kW 1S Federzugkl.</t>
        </is>
      </c>
      <c r="I3653">
        <v>615</v>
      </c>
      <c r="J3653">
        <f>GS69/18.6</f>
        <v>0</v>
      </c>
      <c r="M3653" t="inlineStr">
        <is>
          <t>-18Q[a+12].1</t>
        </is>
      </c>
    </row>
    <row r="3654">
      <c r="A3654">
        <v>3653</v>
      </c>
      <c r="B3654">
        <f>GS05</f>
        <v>0</v>
      </c>
      <c r="C3654" t="inlineStr">
        <is>
          <t>+LS[p1]</t>
        </is>
      </c>
      <c r="D3654" t="inlineStr">
        <is>
          <t>-18Q1</t>
        </is>
      </c>
      <c r="E3654" t="inlineStr">
        <is>
          <t>DILM-9-10</t>
        </is>
      </c>
      <c r="F3654" t="inlineStr">
        <is>
          <t>#KALK!</t>
        </is>
      </c>
      <c r="G3654" t="inlineStr">
        <is>
          <t>LASTSCHUETZ</t>
        </is>
      </c>
      <c r="H3654" t="inlineStr">
        <is>
          <t>4kW 1S Federzugkl.</t>
        </is>
      </c>
      <c r="I3654">
        <v>237</v>
      </c>
      <c r="J3654">
        <f>GS05/18.5</f>
        <v>0</v>
      </c>
      <c r="M3654" t="inlineStr">
        <is>
          <t>-18Q1</t>
        </is>
      </c>
    </row>
    <row r="3655">
      <c r="A3655">
        <v>3654</v>
      </c>
      <c r="B3655">
        <f>GS06</f>
        <v>0</v>
      </c>
      <c r="C3655" t="inlineStr">
        <is>
          <t>+LS[p1]</t>
        </is>
      </c>
      <c r="D3655" t="inlineStr">
        <is>
          <t>-18Q1</t>
        </is>
      </c>
      <c r="E3655" t="inlineStr">
        <is>
          <t>DILM-9-10</t>
        </is>
      </c>
      <c r="F3655" t="inlineStr">
        <is>
          <t>#KALK!</t>
        </is>
      </c>
      <c r="G3655" t="inlineStr">
        <is>
          <t>LASTSCHUETZ</t>
        </is>
      </c>
      <c r="H3655" t="inlineStr">
        <is>
          <t>4kW 1S Federzugkl.</t>
        </is>
      </c>
      <c r="I3655">
        <v>237</v>
      </c>
      <c r="J3655">
        <f>GS06/18.5</f>
        <v>0</v>
      </c>
      <c r="M3655" t="inlineStr">
        <is>
          <t>-18Q1</t>
        </is>
      </c>
    </row>
    <row r="3656">
      <c r="A3656">
        <v>3655</v>
      </c>
      <c r="B3656">
        <f>GS40</f>
        <v>0</v>
      </c>
      <c r="C3656" t="inlineStr">
        <is>
          <t>+LS[ll]</t>
        </is>
      </c>
      <c r="D3656" t="inlineStr">
        <is>
          <t>-18Q1</t>
        </is>
      </c>
      <c r="E3656" t="inlineStr">
        <is>
          <t>DILA-XHI22</t>
        </is>
      </c>
      <c r="F3656" t="inlineStr">
        <is>
          <t>DILA-XHI22</t>
        </is>
      </c>
      <c r="G3656" t="inlineStr">
        <is>
          <t>HILFSKONTAKTBLOCK</t>
        </is>
      </c>
      <c r="H3656" t="inlineStr">
        <is>
          <t>2S 2OE Last+Hilfssch. Cage</t>
        </is>
      </c>
      <c r="I3656">
        <v>193</v>
      </c>
      <c r="J3656">
        <f>GS40/18.7</f>
        <v>0</v>
      </c>
      <c r="M3656" t="inlineStr">
        <is>
          <t>-18Q1</t>
        </is>
      </c>
    </row>
    <row r="3657">
      <c r="A3657">
        <v>3656</v>
      </c>
      <c r="B3657">
        <f>GS40</f>
        <v>0</v>
      </c>
      <c r="C3657" t="inlineStr">
        <is>
          <t>+LS[ll]</t>
        </is>
      </c>
      <c r="D3657" t="inlineStr">
        <is>
          <t>-18Q1</t>
        </is>
      </c>
      <c r="E3657" t="inlineStr">
        <is>
          <t>DILM-9-10</t>
        </is>
      </c>
      <c r="F3657" t="inlineStr">
        <is>
          <t>DILA-XHI22</t>
        </is>
      </c>
      <c r="G3657" t="inlineStr">
        <is>
          <t>LASTSCHUETZ</t>
        </is>
      </c>
      <c r="H3657" t="inlineStr">
        <is>
          <t>4kW 1S Federzugkl.</t>
        </is>
      </c>
      <c r="I3657">
        <v>193</v>
      </c>
      <c r="J3657">
        <f>GS40/18.7</f>
        <v>0</v>
      </c>
      <c r="M3657" t="inlineStr">
        <is>
          <t>-18Q1</t>
        </is>
      </c>
    </row>
    <row r="3658">
      <c r="A3658">
        <v>3657</v>
      </c>
      <c r="B3658">
        <f>GS44</f>
        <v>0</v>
      </c>
      <c r="C3658" t="inlineStr">
        <is>
          <t>+LS[ll]</t>
        </is>
      </c>
      <c r="D3658" t="inlineStr">
        <is>
          <t>-18Q1</t>
        </is>
      </c>
      <c r="E3658" t="inlineStr">
        <is>
          <t>DILM-9-10</t>
        </is>
      </c>
      <c r="F3658" t="inlineStr">
        <is>
          <t>DILA-XHI22</t>
        </is>
      </c>
      <c r="G3658" t="inlineStr">
        <is>
          <t>LASTSCHUETZ</t>
        </is>
      </c>
      <c r="H3658" t="inlineStr">
        <is>
          <t>4kW 1S Federzugkl.</t>
        </is>
      </c>
      <c r="I3658">
        <v>205</v>
      </c>
      <c r="J3658">
        <f>GS44/18.7</f>
        <v>0</v>
      </c>
      <c r="M3658" t="inlineStr">
        <is>
          <t>-18Q1</t>
        </is>
      </c>
    </row>
    <row r="3659">
      <c r="A3659">
        <v>3658</v>
      </c>
      <c r="B3659">
        <f>GS44</f>
        <v>0</v>
      </c>
      <c r="C3659" t="inlineStr">
        <is>
          <t>+LS[ll]</t>
        </is>
      </c>
      <c r="D3659" t="inlineStr">
        <is>
          <t>-18Q1</t>
        </is>
      </c>
      <c r="E3659" t="inlineStr">
        <is>
          <t>DILA-XHI22</t>
        </is>
      </c>
      <c r="F3659" t="inlineStr">
        <is>
          <t>DILA-XHI22</t>
        </is>
      </c>
      <c r="G3659" t="inlineStr">
        <is>
          <t>HILFSKONTAKTBLOCK</t>
        </is>
      </c>
      <c r="H3659" t="inlineStr">
        <is>
          <t>2S 2OE Last+Hilfssch. Cage</t>
        </is>
      </c>
      <c r="I3659">
        <v>205</v>
      </c>
      <c r="J3659">
        <f>GS44/18.7</f>
        <v>0</v>
      </c>
      <c r="M3659" t="inlineStr">
        <is>
          <t>-18Q1</t>
        </is>
      </c>
    </row>
    <row r="3660">
      <c r="A3660">
        <v>3659</v>
      </c>
      <c r="B3660">
        <f>GS45</f>
        <v>0</v>
      </c>
      <c r="C3660" t="inlineStr">
        <is>
          <t>+LS</t>
        </is>
      </c>
      <c r="D3660" t="inlineStr">
        <is>
          <t>-18Q1</t>
        </is>
      </c>
      <c r="E3660" t="inlineStr">
        <is>
          <t>DILM-9-10</t>
        </is>
      </c>
      <c r="F3660" t="inlineStr">
        <is>
          <t>DILA-XHI22</t>
        </is>
      </c>
      <c r="G3660" t="inlineStr">
        <is>
          <t>LASTSCHUETZ</t>
        </is>
      </c>
      <c r="H3660" t="inlineStr">
        <is>
          <t>4kW 1S Federzugkl.</t>
        </is>
      </c>
      <c r="I3660">
        <v>165</v>
      </c>
      <c r="J3660">
        <f>GS45/18.7</f>
        <v>0</v>
      </c>
      <c r="M3660" t="inlineStr">
        <is>
          <t>-18Q1</t>
        </is>
      </c>
    </row>
    <row r="3661">
      <c r="A3661">
        <v>3660</v>
      </c>
      <c r="B3661">
        <f>GS45</f>
        <v>0</v>
      </c>
      <c r="C3661" t="inlineStr">
        <is>
          <t>+LS</t>
        </is>
      </c>
      <c r="D3661" t="inlineStr">
        <is>
          <t>-18Q1</t>
        </is>
      </c>
      <c r="E3661" t="inlineStr">
        <is>
          <t>DILA-XHI22</t>
        </is>
      </c>
      <c r="F3661" t="inlineStr">
        <is>
          <t>DILA-XHI22</t>
        </is>
      </c>
      <c r="G3661" t="inlineStr">
        <is>
          <t>HILFSKONTAKTBLOCK</t>
        </is>
      </c>
      <c r="H3661" t="inlineStr">
        <is>
          <t>2S 2OE Last+Hilfssch. Cage</t>
        </is>
      </c>
      <c r="I3661">
        <v>165</v>
      </c>
      <c r="J3661">
        <f>GS45/18.7</f>
        <v>0</v>
      </c>
      <c r="M3661" t="inlineStr">
        <is>
          <t>-18Q1</t>
        </is>
      </c>
    </row>
    <row r="3662">
      <c r="A3662">
        <v>3661</v>
      </c>
      <c r="B3662">
        <f>GS4x</f>
        <v>0</v>
      </c>
      <c r="C3662" t="inlineStr">
        <is>
          <t>+LS[ll]</t>
        </is>
      </c>
      <c r="D3662" t="inlineStr">
        <is>
          <t>-18Q1</t>
        </is>
      </c>
      <c r="E3662" t="inlineStr">
        <is>
          <t>DILM-9-10</t>
        </is>
      </c>
      <c r="F3662" t="inlineStr">
        <is>
          <t>DILA-XHI22</t>
        </is>
      </c>
      <c r="G3662" t="inlineStr">
        <is>
          <t>LASTSCHUETZ</t>
        </is>
      </c>
      <c r="H3662" t="inlineStr">
        <is>
          <t>4kW 1S Federzugkl.</t>
        </is>
      </c>
      <c r="I3662">
        <v>194</v>
      </c>
      <c r="J3662">
        <f>GS4x/18.7</f>
        <v>0</v>
      </c>
      <c r="M3662" t="inlineStr">
        <is>
          <t>-18Q1</t>
        </is>
      </c>
    </row>
    <row r="3663">
      <c r="A3663">
        <v>3662</v>
      </c>
      <c r="B3663">
        <f>GS4x</f>
        <v>0</v>
      </c>
      <c r="C3663" t="inlineStr">
        <is>
          <t>+LS[ll]</t>
        </is>
      </c>
      <c r="D3663" t="inlineStr">
        <is>
          <t>-18Q1</t>
        </is>
      </c>
      <c r="E3663" t="inlineStr">
        <is>
          <t>DILA-XHI22</t>
        </is>
      </c>
      <c r="F3663" t="inlineStr">
        <is>
          <t>DILA-XHI22</t>
        </is>
      </c>
      <c r="G3663" t="inlineStr">
        <is>
          <t>HILFSKONTAKTBLOCK</t>
        </is>
      </c>
      <c r="H3663" t="inlineStr">
        <is>
          <t>2S 2OE Last+Hilfssch. Cage</t>
        </is>
      </c>
      <c r="I3663">
        <v>194</v>
      </c>
      <c r="J3663">
        <f>GS4x/18.7</f>
        <v>0</v>
      </c>
      <c r="M3663" t="inlineStr">
        <is>
          <t>-18Q1</t>
        </is>
      </c>
    </row>
    <row r="3664">
      <c r="A3664">
        <v>3663</v>
      </c>
      <c r="B3664">
        <f>GS67</f>
        <v>0</v>
      </c>
      <c r="C3664" t="inlineStr">
        <is>
          <t>+LS</t>
        </is>
      </c>
      <c r="D3664" t="inlineStr">
        <is>
          <t>-18Q2</t>
        </is>
      </c>
      <c r="E3664" t="inlineStr">
        <is>
          <t>DILM-9-10</t>
        </is>
      </c>
      <c r="F3664" t="inlineStr">
        <is>
          <t>DILA-XHI22</t>
        </is>
      </c>
      <c r="G3664" t="inlineStr">
        <is>
          <t>LASTSCHUETZ</t>
        </is>
      </c>
      <c r="H3664" t="inlineStr">
        <is>
          <t>4kW 1S Federzugkl.</t>
        </is>
      </c>
      <c r="I3664">
        <v>162</v>
      </c>
      <c r="J3664">
        <f>GS67/18.6</f>
        <v>0</v>
      </c>
      <c r="M3664" t="inlineStr">
        <is>
          <t>-18Q2</t>
        </is>
      </c>
    </row>
    <row r="3665">
      <c r="A3665">
        <v>3664</v>
      </c>
      <c r="B3665">
        <f>GS67</f>
        <v>0</v>
      </c>
      <c r="C3665" t="inlineStr">
        <is>
          <t>+LS</t>
        </is>
      </c>
      <c r="D3665" t="inlineStr">
        <is>
          <t>-18Q2</t>
        </is>
      </c>
      <c r="E3665" t="inlineStr">
        <is>
          <t>DILA-XHI22</t>
        </is>
      </c>
      <c r="F3665" t="inlineStr">
        <is>
          <t>DILA-XHI22</t>
        </is>
      </c>
      <c r="G3665" t="inlineStr">
        <is>
          <t>HILFSKONTAKTBLOCK</t>
        </is>
      </c>
      <c r="H3665" t="inlineStr">
        <is>
          <t>2S 2OE Last+Hilfssch. Cage</t>
        </is>
      </c>
      <c r="I3665">
        <v>162</v>
      </c>
      <c r="J3665">
        <f>GS67/18.6</f>
        <v>0</v>
      </c>
      <c r="M3665" t="inlineStr">
        <is>
          <t>-18Q2</t>
        </is>
      </c>
    </row>
    <row r="3666">
      <c r="A3666">
        <v>3665</v>
      </c>
      <c r="B3666">
        <f>GS67</f>
        <v>0</v>
      </c>
      <c r="C3666" t="inlineStr">
        <is>
          <t>+LS[ll]</t>
        </is>
      </c>
      <c r="D3666" t="inlineStr">
        <is>
          <t>-18Q2</t>
        </is>
      </c>
      <c r="E3666" t="inlineStr">
        <is>
          <t>DILA-XHI22</t>
        </is>
      </c>
      <c r="F3666" t="inlineStr">
        <is>
          <t>DILA-XHI22</t>
        </is>
      </c>
      <c r="G3666" t="inlineStr">
        <is>
          <t>HILFSKONTAKTBLOCK</t>
        </is>
      </c>
      <c r="H3666" t="inlineStr">
        <is>
          <t>2S 2OE Last+Hilfssch. Cage</t>
        </is>
      </c>
      <c r="I3666">
        <v>162</v>
      </c>
      <c r="J3666">
        <f>GS67/18.6</f>
        <v>0</v>
      </c>
      <c r="M3666" t="inlineStr">
        <is>
          <t>-18Q2</t>
        </is>
      </c>
    </row>
    <row r="3667">
      <c r="A3667">
        <v>3666</v>
      </c>
      <c r="B3667">
        <f>GS67</f>
        <v>0</v>
      </c>
      <c r="C3667" t="inlineStr">
        <is>
          <t>+LS[ll]</t>
        </is>
      </c>
      <c r="D3667" t="inlineStr">
        <is>
          <t>-18Q2</t>
        </is>
      </c>
      <c r="E3667" t="inlineStr">
        <is>
          <t>DILM-9-10</t>
        </is>
      </c>
      <c r="F3667" t="inlineStr">
        <is>
          <t>DILA-XHI22</t>
        </is>
      </c>
      <c r="G3667" t="inlineStr">
        <is>
          <t>LASTSCHUETZ</t>
        </is>
      </c>
      <c r="H3667" t="inlineStr">
        <is>
          <t>4kW 1S Federzugkl.</t>
        </is>
      </c>
      <c r="I3667">
        <v>162</v>
      </c>
      <c r="J3667">
        <f>GS67/18.6</f>
        <v>0</v>
      </c>
      <c r="M3667" t="inlineStr">
        <is>
          <t>-18Q2</t>
        </is>
      </c>
    </row>
    <row r="3668">
      <c r="A3668">
        <v>3667</v>
      </c>
      <c r="B3668">
        <f>GS06</f>
        <v>0</v>
      </c>
      <c r="C3668" t="inlineStr">
        <is>
          <t>+LS24</t>
        </is>
      </c>
      <c r="D3668" t="inlineStr">
        <is>
          <t>-1902K1</t>
        </is>
      </c>
      <c r="E3668" t="inlineStr">
        <is>
          <t>DILA-40</t>
        </is>
      </c>
      <c r="F3668" t="inlineStr">
        <is>
          <t>#KALK!</t>
        </is>
      </c>
      <c r="G3668" t="inlineStr">
        <is>
          <t>HILFSSCHUETZ</t>
        </is>
      </c>
      <c r="H3668" t="inlineStr">
        <is>
          <t>4S Federzugkl.</t>
        </is>
      </c>
      <c r="I3668">
        <v>4286</v>
      </c>
      <c r="J3668">
        <f>GS06/1902.6</f>
        <v>0</v>
      </c>
      <c r="M3668" t="inlineStr">
        <is>
          <t>-1902K1</t>
        </is>
      </c>
    </row>
    <row r="3669">
      <c r="A3669">
        <v>3668</v>
      </c>
      <c r="B3669">
        <f>GS13</f>
        <v>0</v>
      </c>
      <c r="C3669" t="inlineStr">
        <is>
          <t>+LS3</t>
        </is>
      </c>
      <c r="D3669" t="inlineStr">
        <is>
          <t>-190K1</t>
        </is>
      </c>
      <c r="E3669" t="inlineStr">
        <is>
          <t>DIL_0AM</t>
        </is>
      </c>
      <c r="F3669" t="inlineStr">
        <is>
          <t>22_DIL-M</t>
        </is>
      </c>
      <c r="G3669" t="inlineStr">
        <is>
          <t>LASTSCHUETZ</t>
        </is>
      </c>
      <c r="H3669" t="inlineStr">
        <is>
          <t>11 kW</t>
        </is>
      </c>
      <c r="I3669">
        <v>432</v>
      </c>
      <c r="J3669">
        <f>GS13/190.2</f>
        <v>0</v>
      </c>
      <c r="K3669" t="inlineStr">
        <is>
          <t>DIL0AM</t>
        </is>
      </c>
      <c r="M3669" t="inlineStr">
        <is>
          <t>-190K1</t>
        </is>
      </c>
    </row>
    <row r="3670">
      <c r="A3670">
        <v>3669</v>
      </c>
      <c r="B3670">
        <f>GS13</f>
        <v>0</v>
      </c>
      <c r="C3670" t="inlineStr">
        <is>
          <t>+LS3</t>
        </is>
      </c>
      <c r="D3670" t="inlineStr">
        <is>
          <t>-190K1</t>
        </is>
      </c>
      <c r="E3670" t="inlineStr">
        <is>
          <t>22_DIL-M</t>
        </is>
      </c>
      <c r="F3670" t="inlineStr">
        <is>
          <t>22_DIL-M</t>
        </is>
      </c>
      <c r="G3670" t="inlineStr">
        <is>
          <t>HILFSKONTAKTBLOCK</t>
        </is>
      </c>
      <c r="H3670" t="inlineStr">
        <is>
          <t>2S 2OE Lastschuetz DIL M</t>
        </is>
      </c>
      <c r="I3670">
        <v>432</v>
      </c>
      <c r="J3670">
        <f>GS13/190.2</f>
        <v>0</v>
      </c>
      <c r="K3670" t="inlineStr">
        <is>
          <t>DIL0AM</t>
        </is>
      </c>
      <c r="M3670" t="inlineStr">
        <is>
          <t>-190K1</t>
        </is>
      </c>
    </row>
    <row r="3671">
      <c r="A3671">
        <v>3670</v>
      </c>
      <c r="B3671">
        <f>GS14</f>
        <v>0</v>
      </c>
      <c r="C3671" t="inlineStr">
        <is>
          <t>+LS4</t>
        </is>
      </c>
      <c r="D3671" t="inlineStr">
        <is>
          <t>-190K1</t>
        </is>
      </c>
      <c r="E3671" t="inlineStr">
        <is>
          <t>DIL_0AM</t>
        </is>
      </c>
      <c r="F3671" t="inlineStr">
        <is>
          <t>22_DIL-M</t>
        </is>
      </c>
      <c r="G3671" t="inlineStr">
        <is>
          <t>LASTSCHUETZ</t>
        </is>
      </c>
      <c r="H3671" t="inlineStr">
        <is>
          <t>11 kW</t>
        </is>
      </c>
      <c r="I3671">
        <v>316</v>
      </c>
      <c r="J3671">
        <f>GS14/190.2</f>
        <v>0</v>
      </c>
      <c r="K3671" t="inlineStr">
        <is>
          <t>DIL0AM</t>
        </is>
      </c>
      <c r="M3671" t="inlineStr">
        <is>
          <t>-190K1</t>
        </is>
      </c>
    </row>
    <row r="3672">
      <c r="A3672">
        <v>3671</v>
      </c>
      <c r="B3672">
        <f>GS14</f>
        <v>0</v>
      </c>
      <c r="C3672" t="inlineStr">
        <is>
          <t>+LS4</t>
        </is>
      </c>
      <c r="D3672" t="inlineStr">
        <is>
          <t>-190K1</t>
        </is>
      </c>
      <c r="E3672" t="inlineStr">
        <is>
          <t>22_DIL-M</t>
        </is>
      </c>
      <c r="F3672" t="inlineStr">
        <is>
          <t>22_DIL-M</t>
        </is>
      </c>
      <c r="G3672" t="inlineStr">
        <is>
          <t>HILFSKONTAKTBLOCK</t>
        </is>
      </c>
      <c r="H3672" t="inlineStr">
        <is>
          <t>2S 2OE Lastschuetz DIL M</t>
        </is>
      </c>
      <c r="I3672">
        <v>316</v>
      </c>
      <c r="J3672">
        <f>GS14/190.2</f>
        <v>0</v>
      </c>
      <c r="K3672" t="inlineStr">
        <is>
          <t>DIL0AM</t>
        </is>
      </c>
      <c r="M3672" t="inlineStr">
        <is>
          <t>-190K1</t>
        </is>
      </c>
    </row>
    <row r="3673">
      <c r="A3673">
        <v>3672</v>
      </c>
      <c r="B3673">
        <f>GS23</f>
        <v>0</v>
      </c>
      <c r="C3673" t="inlineStr">
        <is>
          <t>+LS3</t>
        </is>
      </c>
      <c r="D3673" t="inlineStr">
        <is>
          <t>-190K1</t>
        </is>
      </c>
      <c r="E3673" t="inlineStr">
        <is>
          <t>22_DIL-M</t>
        </is>
      </c>
      <c r="F3673" t="inlineStr">
        <is>
          <t>22_DIL-M</t>
        </is>
      </c>
      <c r="G3673" t="inlineStr">
        <is>
          <t>HILFSKONTAKTBLOCK</t>
        </is>
      </c>
      <c r="H3673" t="inlineStr">
        <is>
          <t>2S 2OE Lastschuetz DIL M</t>
        </is>
      </c>
      <c r="I3673">
        <v>491</v>
      </c>
      <c r="J3673">
        <f>GS23/190.2</f>
        <v>0</v>
      </c>
      <c r="K3673" t="inlineStr">
        <is>
          <t>DIL0AM</t>
        </is>
      </c>
      <c r="M3673" t="inlineStr">
        <is>
          <t>-190K1</t>
        </is>
      </c>
    </row>
    <row r="3674">
      <c r="A3674">
        <v>3673</v>
      </c>
      <c r="B3674">
        <f>GS23</f>
        <v>0</v>
      </c>
      <c r="C3674" t="inlineStr">
        <is>
          <t>+LS3</t>
        </is>
      </c>
      <c r="D3674" t="inlineStr">
        <is>
          <t>-190K1</t>
        </is>
      </c>
      <c r="E3674" t="inlineStr">
        <is>
          <t>DIL_0AM</t>
        </is>
      </c>
      <c r="F3674" t="inlineStr">
        <is>
          <t>22_DIL-M</t>
        </is>
      </c>
      <c r="G3674" t="inlineStr">
        <is>
          <t>LASTSCHUETZ</t>
        </is>
      </c>
      <c r="H3674" t="inlineStr">
        <is>
          <t>11 kW</t>
        </is>
      </c>
      <c r="I3674">
        <v>491</v>
      </c>
      <c r="J3674">
        <f>GS23/190.2</f>
        <v>0</v>
      </c>
      <c r="K3674" t="inlineStr">
        <is>
          <t>DIL0AM</t>
        </is>
      </c>
      <c r="M3674" t="inlineStr">
        <is>
          <t>-190K1</t>
        </is>
      </c>
    </row>
    <row r="3675">
      <c r="A3675">
        <v>3674</v>
      </c>
      <c r="B3675">
        <f>GS31</f>
        <v>0</v>
      </c>
      <c r="C3675" t="inlineStr">
        <is>
          <t>+LS3</t>
        </is>
      </c>
      <c r="D3675" t="inlineStr">
        <is>
          <t>-190K1</t>
        </is>
      </c>
      <c r="E3675" t="inlineStr">
        <is>
          <t>22_DIL-M</t>
        </is>
      </c>
      <c r="F3675" t="inlineStr">
        <is>
          <t>22_DIL-M</t>
        </is>
      </c>
      <c r="G3675" t="inlineStr">
        <is>
          <t>HILFSKONTAKTBLOCK</t>
        </is>
      </c>
      <c r="H3675" t="inlineStr">
        <is>
          <t>2S 2OE Lastschuetz DIL M</t>
        </is>
      </c>
      <c r="I3675">
        <v>475</v>
      </c>
      <c r="J3675">
        <f>GS31/190.2</f>
        <v>0</v>
      </c>
      <c r="K3675" t="inlineStr">
        <is>
          <t>DIL0AM</t>
        </is>
      </c>
      <c r="M3675" t="inlineStr">
        <is>
          <t>-190K1</t>
        </is>
      </c>
    </row>
    <row r="3676">
      <c r="A3676">
        <v>3675</v>
      </c>
      <c r="B3676">
        <f>GS31</f>
        <v>0</v>
      </c>
      <c r="C3676" t="inlineStr">
        <is>
          <t>+LS3</t>
        </is>
      </c>
      <c r="D3676" t="inlineStr">
        <is>
          <t>-190K1</t>
        </is>
      </c>
      <c r="E3676" t="inlineStr">
        <is>
          <t>DIL_0AM</t>
        </is>
      </c>
      <c r="F3676" t="inlineStr">
        <is>
          <t>22_DIL-M</t>
        </is>
      </c>
      <c r="G3676" t="inlineStr">
        <is>
          <t>LASTSCHUETZ</t>
        </is>
      </c>
      <c r="H3676" t="inlineStr">
        <is>
          <t>11 kW</t>
        </is>
      </c>
      <c r="I3676">
        <v>475</v>
      </c>
      <c r="J3676">
        <f>GS31/190.2</f>
        <v>0</v>
      </c>
      <c r="K3676" t="inlineStr">
        <is>
          <t>DIL0AM</t>
        </is>
      </c>
      <c r="M3676" t="inlineStr">
        <is>
          <t>-190K1</t>
        </is>
      </c>
    </row>
    <row r="3677">
      <c r="A3677">
        <v>3676</v>
      </c>
      <c r="B3677">
        <f>GS34</f>
        <v>0</v>
      </c>
      <c r="C3677" t="inlineStr">
        <is>
          <t>+LS3</t>
        </is>
      </c>
      <c r="D3677" t="inlineStr">
        <is>
          <t>-190K1</t>
        </is>
      </c>
      <c r="E3677" t="inlineStr">
        <is>
          <t>22_DIL-M</t>
        </is>
      </c>
      <c r="F3677" t="inlineStr">
        <is>
          <t>22_DIL-M</t>
        </is>
      </c>
      <c r="G3677" t="inlineStr">
        <is>
          <t>HILFSKONTAKTBLOCK</t>
        </is>
      </c>
      <c r="H3677" t="inlineStr">
        <is>
          <t>2S 2OE Lastschuetz DIL M</t>
        </is>
      </c>
      <c r="I3677">
        <v>314</v>
      </c>
      <c r="J3677">
        <f>GS34/190.2</f>
        <v>0</v>
      </c>
      <c r="K3677" t="inlineStr">
        <is>
          <t>DIL0AM</t>
        </is>
      </c>
      <c r="M3677" t="inlineStr">
        <is>
          <t>-190K1</t>
        </is>
      </c>
    </row>
    <row r="3678">
      <c r="A3678">
        <v>3677</v>
      </c>
      <c r="B3678">
        <f>GS34</f>
        <v>0</v>
      </c>
      <c r="C3678" t="inlineStr">
        <is>
          <t>+LS3</t>
        </is>
      </c>
      <c r="D3678" t="inlineStr">
        <is>
          <t>-190K1</t>
        </is>
      </c>
      <c r="E3678" t="inlineStr">
        <is>
          <t>DIL_0AM</t>
        </is>
      </c>
      <c r="F3678" t="inlineStr">
        <is>
          <t>22_DIL-M</t>
        </is>
      </c>
      <c r="G3678" t="inlineStr">
        <is>
          <t>LASTSCHUETZ</t>
        </is>
      </c>
      <c r="H3678" t="inlineStr">
        <is>
          <t>11 kW</t>
        </is>
      </c>
      <c r="I3678">
        <v>314</v>
      </c>
      <c r="J3678">
        <f>GS34/190.2</f>
        <v>0</v>
      </c>
      <c r="K3678" t="inlineStr">
        <is>
          <t>DIL0AM</t>
        </is>
      </c>
      <c r="M3678" t="inlineStr">
        <is>
          <t>-190K1</t>
        </is>
      </c>
    </row>
    <row r="3679">
      <c r="A3679">
        <v>3678</v>
      </c>
      <c r="B3679">
        <f>GS01</f>
        <v>0</v>
      </c>
      <c r="C3679" t="inlineStr">
        <is>
          <t>+ES2</t>
        </is>
      </c>
      <c r="D3679" t="inlineStr">
        <is>
          <t>-190K102.0</t>
        </is>
      </c>
      <c r="E3679" t="inlineStr">
        <is>
          <t>DIL_ER-40-G</t>
        </is>
      </c>
      <c r="F3679" t="inlineStr">
        <is>
          <t>40_DIL-E</t>
        </is>
      </c>
      <c r="G3679" t="inlineStr">
        <is>
          <t>HILFSSCHUETZ</t>
        </is>
      </c>
      <c r="H3679" t="inlineStr">
        <is>
          <t>4S</t>
        </is>
      </c>
      <c r="I3679">
        <v>353</v>
      </c>
      <c r="J3679">
        <f>GS01/190.6</f>
        <v>0</v>
      </c>
      <c r="M3679" t="inlineStr">
        <is>
          <t>-190K102.0</t>
        </is>
      </c>
    </row>
    <row r="3680">
      <c r="A3680">
        <v>3679</v>
      </c>
      <c r="B3680">
        <f>GS01</f>
        <v>0</v>
      </c>
      <c r="C3680" t="inlineStr">
        <is>
          <t>+ES2</t>
        </is>
      </c>
      <c r="D3680" t="inlineStr">
        <is>
          <t>-190K102.0</t>
        </is>
      </c>
      <c r="E3680" t="inlineStr">
        <is>
          <t>40_DIL-E</t>
        </is>
      </c>
      <c r="F3680" t="inlineStr">
        <is>
          <t>40_DIL-E</t>
        </is>
      </c>
      <c r="G3680" t="inlineStr">
        <is>
          <t>HILFSKONTAKTBLOCK</t>
        </is>
      </c>
      <c r="H3680" t="inlineStr">
        <is>
          <t>4S Last+Hilfsschuetz</t>
        </is>
      </c>
      <c r="I3680">
        <v>353</v>
      </c>
      <c r="J3680">
        <f>GS01/190.6</f>
        <v>0</v>
      </c>
      <c r="M3680" t="inlineStr">
        <is>
          <t>-190K102.0</t>
        </is>
      </c>
    </row>
    <row r="3681">
      <c r="A3681">
        <v>3680</v>
      </c>
      <c r="B3681">
        <f>GS01</f>
        <v>0</v>
      </c>
      <c r="C3681" t="inlineStr">
        <is>
          <t>+ES2</t>
        </is>
      </c>
      <c r="D3681" t="inlineStr">
        <is>
          <t>-190K102.1</t>
        </is>
      </c>
      <c r="E3681" t="inlineStr">
        <is>
          <t>DIL_ER-40-G</t>
        </is>
      </c>
      <c r="F3681" t="inlineStr">
        <is>
          <t>40_DIL-E</t>
        </is>
      </c>
      <c r="G3681" t="inlineStr">
        <is>
          <t>HILFSSCHUETZ</t>
        </is>
      </c>
      <c r="H3681" t="inlineStr">
        <is>
          <t>4S</t>
        </is>
      </c>
      <c r="I3681">
        <v>353</v>
      </c>
      <c r="J3681">
        <f>GS01/190.6</f>
        <v>0</v>
      </c>
      <c r="M3681" t="inlineStr">
        <is>
          <t>-190K102.1</t>
        </is>
      </c>
    </row>
    <row r="3682">
      <c r="A3682">
        <v>3681</v>
      </c>
      <c r="B3682">
        <f>GS01</f>
        <v>0</v>
      </c>
      <c r="C3682" t="inlineStr">
        <is>
          <t>+ES2</t>
        </is>
      </c>
      <c r="D3682" t="inlineStr">
        <is>
          <t>-190K102.1</t>
        </is>
      </c>
      <c r="E3682" t="inlineStr">
        <is>
          <t>40_DIL-E</t>
        </is>
      </c>
      <c r="F3682" t="inlineStr">
        <is>
          <t>40_DIL-E</t>
        </is>
      </c>
      <c r="G3682" t="inlineStr">
        <is>
          <t>HILFSKONTAKTBLOCK</t>
        </is>
      </c>
      <c r="H3682" t="inlineStr">
        <is>
          <t>4S Last+Hilfsschuetz</t>
        </is>
      </c>
      <c r="I3682">
        <v>353</v>
      </c>
      <c r="J3682">
        <f>GS01/190.6</f>
        <v>0</v>
      </c>
      <c r="M3682" t="inlineStr">
        <is>
          <t>-190K102.1</t>
        </is>
      </c>
    </row>
    <row r="3683">
      <c r="A3683">
        <v>3682</v>
      </c>
      <c r="B3683">
        <f>GS46</f>
        <v>0</v>
      </c>
      <c r="C3683" t="inlineStr">
        <is>
          <t>+LS02</t>
        </is>
      </c>
      <c r="D3683" t="inlineStr">
        <is>
          <t>-190K158.0</t>
        </is>
      </c>
      <c r="E3683" t="inlineStr">
        <is>
          <t>DILA-40</t>
        </is>
      </c>
      <c r="F3683" t="inlineStr">
        <is>
          <t>#KALK!</t>
        </is>
      </c>
      <c r="G3683" t="inlineStr">
        <is>
          <t>HILFSSCHUETZ</t>
        </is>
      </c>
      <c r="H3683" t="inlineStr">
        <is>
          <t>4S Federzugkl.</t>
        </is>
      </c>
      <c r="I3683">
        <v>316</v>
      </c>
      <c r="J3683">
        <f>GS46/190.7</f>
        <v>0</v>
      </c>
      <c r="M3683" t="inlineStr">
        <is>
          <t>-190K158.0</t>
        </is>
      </c>
    </row>
    <row r="3684">
      <c r="A3684">
        <v>3683</v>
      </c>
      <c r="B3684">
        <f>GS47</f>
        <v>0</v>
      </c>
      <c r="C3684" t="inlineStr">
        <is>
          <t>+LS02</t>
        </is>
      </c>
      <c r="D3684" t="inlineStr">
        <is>
          <t>-190K158.0</t>
        </is>
      </c>
      <c r="E3684" t="inlineStr">
        <is>
          <t>DILA-40</t>
        </is>
      </c>
      <c r="F3684" t="inlineStr">
        <is>
          <t>#KALK!</t>
        </is>
      </c>
      <c r="G3684" t="inlineStr">
        <is>
          <t>HILFSSCHUETZ</t>
        </is>
      </c>
      <c r="H3684" t="inlineStr">
        <is>
          <t>4S Federzugkl.</t>
        </is>
      </c>
      <c r="I3684">
        <v>316</v>
      </c>
      <c r="J3684">
        <f>GS47/190.7</f>
        <v>0</v>
      </c>
      <c r="M3684" t="inlineStr">
        <is>
          <t>-190K158.0</t>
        </is>
      </c>
    </row>
    <row r="3685">
      <c r="A3685">
        <v>3684</v>
      </c>
      <c r="B3685">
        <f>GS48</f>
        <v>0</v>
      </c>
      <c r="C3685" t="inlineStr">
        <is>
          <t>+LS02</t>
        </is>
      </c>
      <c r="D3685" t="inlineStr">
        <is>
          <t>-190K158.0</t>
        </is>
      </c>
      <c r="E3685" t="inlineStr">
        <is>
          <t>DILA-40</t>
        </is>
      </c>
      <c r="F3685" t="inlineStr">
        <is>
          <t>#KALK!</t>
        </is>
      </c>
      <c r="G3685" t="inlineStr">
        <is>
          <t>HILFSSCHUETZ</t>
        </is>
      </c>
      <c r="H3685" t="inlineStr">
        <is>
          <t>4S Federzugkl.</t>
        </is>
      </c>
      <c r="I3685">
        <v>342</v>
      </c>
      <c r="J3685">
        <f>GS48/190.7</f>
        <v>0</v>
      </c>
      <c r="M3685" t="inlineStr">
        <is>
          <t>-190K158.0</t>
        </is>
      </c>
    </row>
    <row r="3686">
      <c r="A3686">
        <v>3685</v>
      </c>
      <c r="B3686">
        <f>GS92</f>
        <v>0</v>
      </c>
      <c r="C3686" t="inlineStr">
        <is>
          <t>+LS02</t>
        </is>
      </c>
      <c r="D3686" t="inlineStr">
        <is>
          <t>-190K164.4</t>
        </is>
      </c>
      <c r="E3686" t="inlineStr">
        <is>
          <t>DILA-40</t>
        </is>
      </c>
      <c r="F3686" t="inlineStr">
        <is>
          <t>#KALK!</t>
        </is>
      </c>
      <c r="G3686" t="inlineStr">
        <is>
          <t>HILFSSCHUETZ</t>
        </is>
      </c>
      <c r="H3686" t="inlineStr">
        <is>
          <t>4S Federzugkl.</t>
        </is>
      </c>
      <c r="I3686">
        <v>337</v>
      </c>
      <c r="J3686">
        <f>GS92/190.7</f>
        <v>0</v>
      </c>
      <c r="M3686" t="inlineStr">
        <is>
          <t>-190K164.4</t>
        </is>
      </c>
    </row>
    <row r="3687">
      <c r="A3687">
        <v>3686</v>
      </c>
      <c r="B3687">
        <f>GS93</f>
        <v>0</v>
      </c>
      <c r="C3687" t="inlineStr">
        <is>
          <t>+LS02</t>
        </is>
      </c>
      <c r="D3687" t="inlineStr">
        <is>
          <t>-190K165.4</t>
        </is>
      </c>
      <c r="E3687" t="inlineStr">
        <is>
          <t>DILA-40</t>
        </is>
      </c>
      <c r="F3687" t="inlineStr">
        <is>
          <t>#KALK!</t>
        </is>
      </c>
      <c r="G3687" t="inlineStr">
        <is>
          <t>HILFSSCHUETZ</t>
        </is>
      </c>
      <c r="H3687" t="inlineStr">
        <is>
          <t>4S Federzugkl.</t>
        </is>
      </c>
      <c r="I3687">
        <v>749</v>
      </c>
      <c r="J3687">
        <f>GS93/190.7</f>
        <v>0</v>
      </c>
      <c r="M3687" t="inlineStr">
        <is>
          <t>-190K165.4</t>
        </is>
      </c>
    </row>
    <row r="3688">
      <c r="A3688">
        <v>3687</v>
      </c>
      <c r="B3688">
        <f>GS36</f>
        <v>0</v>
      </c>
      <c r="C3688" t="inlineStr">
        <is>
          <t>+LS04</t>
        </is>
      </c>
      <c r="D3688" t="inlineStr">
        <is>
          <t>-205K139.4</t>
        </is>
      </c>
      <c r="E3688" t="inlineStr">
        <is>
          <t>DILA-40</t>
        </is>
      </c>
      <c r="F3688" t="inlineStr">
        <is>
          <t>#KALK!</t>
        </is>
      </c>
      <c r="G3688" t="inlineStr">
        <is>
          <t>HILFSSCHUETZ</t>
        </is>
      </c>
      <c r="H3688" t="inlineStr">
        <is>
          <t>4S Federzugkl.</t>
        </is>
      </c>
      <c r="I3688">
        <v>378</v>
      </c>
      <c r="J3688">
        <f>GS36/205.6</f>
        <v>0</v>
      </c>
      <c r="M3688" t="inlineStr">
        <is>
          <t>-205K139.4</t>
        </is>
      </c>
    </row>
    <row r="3689">
      <c r="A3689">
        <v>3688</v>
      </c>
      <c r="B3689">
        <f>GS33</f>
        <v>0</v>
      </c>
      <c r="C3689" t="inlineStr">
        <is>
          <t>+LS3</t>
        </is>
      </c>
      <c r="D3689" t="inlineStr">
        <is>
          <t>-190K27.3</t>
        </is>
      </c>
      <c r="E3689" t="inlineStr">
        <is>
          <t>DIL_EM-10-G</t>
        </is>
      </c>
      <c r="F3689" t="inlineStr">
        <is>
          <t>#KALK!</t>
        </is>
      </c>
      <c r="G3689" t="inlineStr">
        <is>
          <t>LASTSCHUETZ</t>
        </is>
      </c>
      <c r="H3689" t="inlineStr">
        <is>
          <t>4kW 1S</t>
        </is>
      </c>
      <c r="I3689">
        <v>624</v>
      </c>
      <c r="J3689">
        <f>GS33/190.7</f>
        <v>0</v>
      </c>
      <c r="M3689" t="inlineStr">
        <is>
          <t>-190K27.3</t>
        </is>
      </c>
    </row>
    <row r="3690">
      <c r="A3690">
        <v>3689</v>
      </c>
      <c r="B3690">
        <f>GS37</f>
        <v>0</v>
      </c>
      <c r="C3690" t="inlineStr">
        <is>
          <t>+LS03</t>
        </is>
      </c>
      <c r="D3690" t="inlineStr">
        <is>
          <t>-190K446.4</t>
        </is>
      </c>
      <c r="E3690" t="inlineStr">
        <is>
          <t>DILA-40</t>
        </is>
      </c>
      <c r="F3690" t="inlineStr">
        <is>
          <t>#KALK!</t>
        </is>
      </c>
      <c r="G3690" t="inlineStr">
        <is>
          <t>HILFSSCHUETZ</t>
        </is>
      </c>
      <c r="H3690" t="inlineStr">
        <is>
          <t>4S Federzugkl.</t>
        </is>
      </c>
      <c r="I3690">
        <v>321</v>
      </c>
      <c r="J3690">
        <f>GS37/190.7</f>
        <v>0</v>
      </c>
      <c r="M3690" t="inlineStr">
        <is>
          <t>-190K446.4</t>
        </is>
      </c>
    </row>
    <row r="3691">
      <c r="A3691">
        <v>3690</v>
      </c>
      <c r="B3691">
        <f>GS11</f>
        <v>0</v>
      </c>
      <c r="C3691" t="inlineStr">
        <is>
          <t>+LS4</t>
        </is>
      </c>
      <c r="D3691" t="inlineStr">
        <is>
          <t>-190K45.3</t>
        </is>
      </c>
      <c r="E3691" t="inlineStr">
        <is>
          <t>DIL_EM-01-G</t>
        </is>
      </c>
      <c r="F3691" t="inlineStr">
        <is>
          <t>#KALK!</t>
        </is>
      </c>
      <c r="G3691" t="inlineStr">
        <is>
          <t>LASTSCHUETZ</t>
        </is>
      </c>
      <c r="H3691" t="inlineStr">
        <is>
          <t>4kW 1OE</t>
        </is>
      </c>
      <c r="I3691">
        <v>301</v>
      </c>
      <c r="J3691">
        <f>GS11/190.6</f>
        <v>0</v>
      </c>
      <c r="M3691" t="inlineStr">
        <is>
          <t>-190K45.3</t>
        </is>
      </c>
    </row>
    <row r="3692">
      <c r="A3692">
        <v>3691</v>
      </c>
      <c r="B3692">
        <f>GS11</f>
        <v>0</v>
      </c>
      <c r="C3692" t="inlineStr">
        <is>
          <t>+LS4</t>
        </is>
      </c>
      <c r="D3692" t="inlineStr">
        <is>
          <t>-190K46.2</t>
        </is>
      </c>
      <c r="E3692" t="inlineStr">
        <is>
          <t>DIL_EM-10-G</t>
        </is>
      </c>
      <c r="F3692" t="inlineStr">
        <is>
          <t>#KALK!</t>
        </is>
      </c>
      <c r="G3692" t="inlineStr">
        <is>
          <t>LASTSCHUETZ</t>
        </is>
      </c>
      <c r="H3692" t="inlineStr">
        <is>
          <t>4kW 1S</t>
        </is>
      </c>
      <c r="I3692">
        <v>301</v>
      </c>
      <c r="J3692">
        <f>GS11/190.7</f>
        <v>0</v>
      </c>
      <c r="M3692" t="inlineStr">
        <is>
          <t>-190K46.2</t>
        </is>
      </c>
    </row>
    <row r="3693">
      <c r="A3693">
        <v>3692</v>
      </c>
      <c r="B3693">
        <f>GS11</f>
        <v>0</v>
      </c>
      <c r="C3693" t="inlineStr">
        <is>
          <t>+LS4</t>
        </is>
      </c>
      <c r="D3693" t="inlineStr">
        <is>
          <t>-190K47.2</t>
        </is>
      </c>
      <c r="E3693" t="inlineStr">
        <is>
          <t>DIL_EM-01-G</t>
        </is>
      </c>
      <c r="F3693" t="inlineStr">
        <is>
          <t>#KALK!</t>
        </is>
      </c>
      <c r="G3693" t="inlineStr">
        <is>
          <t>LASTSCHUETZ</t>
        </is>
      </c>
      <c r="H3693" t="inlineStr">
        <is>
          <t>4kW 1OE</t>
        </is>
      </c>
      <c r="I3693">
        <v>301</v>
      </c>
      <c r="J3693">
        <f>GS11/190.5</f>
        <v>0</v>
      </c>
      <c r="M3693" t="inlineStr">
        <is>
          <t>-190K47.2</t>
        </is>
      </c>
    </row>
    <row r="3694">
      <c r="A3694">
        <v>3693</v>
      </c>
      <c r="B3694">
        <f>GC03</f>
        <v>0</v>
      </c>
      <c r="C3694" t="inlineStr">
        <is>
          <t>+LS4</t>
        </is>
      </c>
      <c r="D3694" t="inlineStr">
        <is>
          <t>-190K65.1</t>
        </is>
      </c>
      <c r="E3694" t="inlineStr">
        <is>
          <t>DIL_EM-10-G</t>
        </is>
      </c>
      <c r="F3694" t="inlineStr">
        <is>
          <t>#KALK!</t>
        </is>
      </c>
      <c r="G3694" t="inlineStr">
        <is>
          <t>LASTSCHUETZ</t>
        </is>
      </c>
      <c r="H3694" t="inlineStr">
        <is>
          <t>4kW 1S</t>
        </is>
      </c>
      <c r="I3694">
        <v>3010</v>
      </c>
      <c r="J3694">
        <f>GC03/190.6</f>
        <v>0</v>
      </c>
      <c r="M3694" t="inlineStr">
        <is>
          <t>-190K65.1</t>
        </is>
      </c>
    </row>
    <row r="3695">
      <c r="A3695">
        <v>3694</v>
      </c>
      <c r="B3695">
        <f>GC03</f>
        <v>0</v>
      </c>
      <c r="C3695" t="inlineStr">
        <is>
          <t>+LS4</t>
        </is>
      </c>
      <c r="D3695" t="inlineStr">
        <is>
          <t>-190K65.2</t>
        </is>
      </c>
      <c r="E3695" t="inlineStr">
        <is>
          <t>DIL_EM-10-G</t>
        </is>
      </c>
      <c r="F3695" t="inlineStr">
        <is>
          <t>#KALK!</t>
        </is>
      </c>
      <c r="G3695" t="inlineStr">
        <is>
          <t>LASTSCHUETZ</t>
        </is>
      </c>
      <c r="H3695" t="inlineStr">
        <is>
          <t>4kW 1S</t>
        </is>
      </c>
      <c r="I3695">
        <v>3010</v>
      </c>
      <c r="J3695">
        <f>GC03/190.6</f>
        <v>0</v>
      </c>
      <c r="M3695" t="inlineStr">
        <is>
          <t>-190K65.2</t>
        </is>
      </c>
    </row>
    <row r="3696">
      <c r="A3696">
        <v>3695</v>
      </c>
      <c r="B3696">
        <f>GS25</f>
        <v>0</v>
      </c>
      <c r="C3696" t="inlineStr">
        <is>
          <t>+LS4</t>
        </is>
      </c>
      <c r="D3696" t="inlineStr">
        <is>
          <t>-190K68.4</t>
        </is>
      </c>
      <c r="E3696" t="inlineStr">
        <is>
          <t>DIL_EM-10-G</t>
        </is>
      </c>
      <c r="F3696" t="inlineStr">
        <is>
          <t>#KALK!</t>
        </is>
      </c>
      <c r="G3696" t="inlineStr">
        <is>
          <t>LASTSCHUETZ</t>
        </is>
      </c>
      <c r="H3696" t="inlineStr">
        <is>
          <t>4kW 1S</t>
        </is>
      </c>
      <c r="I3696">
        <v>311</v>
      </c>
      <c r="J3696">
        <f>GS25/190.6</f>
        <v>0</v>
      </c>
      <c r="M3696" t="inlineStr">
        <is>
          <t>-190K68.4</t>
        </is>
      </c>
    </row>
    <row r="3697">
      <c r="A3697">
        <v>3696</v>
      </c>
      <c r="B3697">
        <f>GS25</f>
        <v>0</v>
      </c>
      <c r="C3697" t="inlineStr">
        <is>
          <t>+LS4</t>
        </is>
      </c>
      <c r="D3697" t="inlineStr">
        <is>
          <t>-190K68.5</t>
        </is>
      </c>
      <c r="E3697" t="inlineStr">
        <is>
          <t>DIL_EM-10-G</t>
        </is>
      </c>
      <c r="F3697" t="inlineStr">
        <is>
          <t>#KALK!</t>
        </is>
      </c>
      <c r="G3697" t="inlineStr">
        <is>
          <t>LASTSCHUETZ</t>
        </is>
      </c>
      <c r="H3697" t="inlineStr">
        <is>
          <t>4kW 1S</t>
        </is>
      </c>
      <c r="I3697">
        <v>311</v>
      </c>
      <c r="J3697">
        <f>GS25/190.6</f>
        <v>0</v>
      </c>
      <c r="M3697" t="inlineStr">
        <is>
          <t>-190K68.5</t>
        </is>
      </c>
    </row>
    <row r="3698">
      <c r="A3698">
        <v>3697</v>
      </c>
      <c r="B3698">
        <f>GS15</f>
        <v>0</v>
      </c>
      <c r="C3698" t="inlineStr">
        <is>
          <t>+LS3</t>
        </is>
      </c>
      <c r="D3698" t="inlineStr">
        <is>
          <t>-190K68.6</t>
        </is>
      </c>
      <c r="E3698" t="inlineStr">
        <is>
          <t>DIL_EM-10-G</t>
        </is>
      </c>
      <c r="F3698" t="inlineStr">
        <is>
          <t>#KALK!</t>
        </is>
      </c>
      <c r="G3698" t="inlineStr">
        <is>
          <t>LASTSCHUETZ</t>
        </is>
      </c>
      <c r="H3698" t="inlineStr">
        <is>
          <t>4kW 1S</t>
        </is>
      </c>
      <c r="I3698">
        <v>683</v>
      </c>
      <c r="J3698">
        <f>GS15/190.6</f>
        <v>0</v>
      </c>
      <c r="M3698" t="inlineStr">
        <is>
          <t>-190K68.6</t>
        </is>
      </c>
    </row>
    <row r="3699">
      <c r="A3699">
        <v>3698</v>
      </c>
      <c r="B3699">
        <f>GS15</f>
        <v>0</v>
      </c>
      <c r="C3699" t="inlineStr">
        <is>
          <t>+LS3</t>
        </is>
      </c>
      <c r="D3699" t="inlineStr">
        <is>
          <t>-190K68.7</t>
        </is>
      </c>
      <c r="E3699" t="inlineStr">
        <is>
          <t>DIL_EM-10-G</t>
        </is>
      </c>
      <c r="F3699" t="inlineStr">
        <is>
          <t>#KALK!</t>
        </is>
      </c>
      <c r="G3699" t="inlineStr">
        <is>
          <t>LASTSCHUETZ</t>
        </is>
      </c>
      <c r="H3699" t="inlineStr">
        <is>
          <t>4kW 1S</t>
        </is>
      </c>
      <c r="I3699">
        <v>683</v>
      </c>
      <c r="J3699">
        <f>GS15/190.6</f>
        <v>0</v>
      </c>
      <c r="M3699" t="inlineStr">
        <is>
          <t>-190K68.7</t>
        </is>
      </c>
    </row>
    <row r="3700">
      <c r="A3700">
        <v>3699</v>
      </c>
      <c r="B3700">
        <f>GS36</f>
        <v>0</v>
      </c>
      <c r="C3700" t="inlineStr">
        <is>
          <t>+LS03</t>
        </is>
      </c>
      <c r="D3700" t="inlineStr">
        <is>
          <t>-190Q1</t>
        </is>
      </c>
      <c r="E3700" t="inlineStr">
        <is>
          <t>DILA-XHI22</t>
        </is>
      </c>
      <c r="F3700" t="inlineStr">
        <is>
          <t>DILA-XHI22</t>
        </is>
      </c>
      <c r="G3700" t="inlineStr">
        <is>
          <t>HILFSKONTAKTBLOCK</t>
        </is>
      </c>
      <c r="H3700" t="inlineStr">
        <is>
          <t>2S 2OE Last+Hilfssch. Cage</t>
        </is>
      </c>
      <c r="I3700">
        <v>363</v>
      </c>
      <c r="J3700">
        <f>GS36/190.4</f>
        <v>0</v>
      </c>
      <c r="K3700" t="inlineStr">
        <is>
          <t>DIL MC25</t>
        </is>
      </c>
      <c r="L3700" t="inlineStr">
        <is>
          <t>HVO 34</t>
        </is>
      </c>
      <c r="M3700" t="inlineStr">
        <is>
          <t>HVO 34
-190Q1</t>
        </is>
      </c>
      <c r="N3700" t="inlineStr">
        <is>
          <t>P</t>
        </is>
      </c>
    </row>
    <row r="3701">
      <c r="A3701">
        <v>3700</v>
      </c>
      <c r="B3701">
        <f>GS36</f>
        <v>0</v>
      </c>
      <c r="C3701" t="inlineStr">
        <is>
          <t>+LS03</t>
        </is>
      </c>
      <c r="D3701" t="inlineStr">
        <is>
          <t>-190Q1</t>
        </is>
      </c>
      <c r="E3701" t="inlineStr">
        <is>
          <t>DILMC25-10(RDC24)</t>
        </is>
      </c>
      <c r="F3701" t="inlineStr">
        <is>
          <t>DILA-XHI22</t>
        </is>
      </c>
      <c r="G3701" t="inlineStr">
        <is>
          <t>LASTSCHUETZ</t>
        </is>
      </c>
      <c r="H3701" t="inlineStr">
        <is>
          <t>11kW 1S Federzugkl.</t>
        </is>
      </c>
      <c r="I3701">
        <v>363</v>
      </c>
      <c r="J3701">
        <f>GS36/190.4</f>
        <v>0</v>
      </c>
      <c r="K3701" t="inlineStr">
        <is>
          <t>DIL MC25</t>
        </is>
      </c>
      <c r="L3701" t="inlineStr">
        <is>
          <t>HVO 34</t>
        </is>
      </c>
      <c r="M3701" t="inlineStr">
        <is>
          <t>HVO 34
-190Q1</t>
        </is>
      </c>
      <c r="N3701" t="inlineStr">
        <is>
          <t>P</t>
        </is>
      </c>
    </row>
    <row r="3702">
      <c r="A3702">
        <v>3701</v>
      </c>
      <c r="B3702">
        <f>GS37</f>
        <v>0</v>
      </c>
      <c r="C3702" t="inlineStr">
        <is>
          <t>+LS03</t>
        </is>
      </c>
      <c r="D3702" t="inlineStr">
        <is>
          <t>-190Q1</t>
        </is>
      </c>
      <c r="E3702" t="inlineStr">
        <is>
          <t>DILMC25-10(RDC24)</t>
        </is>
      </c>
      <c r="F3702" t="inlineStr">
        <is>
          <t>DILA-XHI22</t>
        </is>
      </c>
      <c r="G3702" t="inlineStr">
        <is>
          <t>LASTSCHUETZ</t>
        </is>
      </c>
      <c r="H3702" t="inlineStr">
        <is>
          <t>11kW 1S Federzugkl.</t>
        </is>
      </c>
      <c r="I3702">
        <v>321</v>
      </c>
      <c r="J3702">
        <f>GS37/190.3</f>
        <v>0</v>
      </c>
      <c r="K3702" t="inlineStr">
        <is>
          <t>DIL MC25</t>
        </is>
      </c>
      <c r="M3702" t="inlineStr">
        <is>
          <t>-190Q1</t>
        </is>
      </c>
    </row>
    <row r="3703">
      <c r="A3703">
        <v>3702</v>
      </c>
      <c r="B3703">
        <f>GS37</f>
        <v>0</v>
      </c>
      <c r="C3703" t="inlineStr">
        <is>
          <t>+LS03</t>
        </is>
      </c>
      <c r="D3703" t="inlineStr">
        <is>
          <t>-190Q1</t>
        </is>
      </c>
      <c r="E3703" t="inlineStr">
        <is>
          <t>DILA-XHI22</t>
        </is>
      </c>
      <c r="F3703" t="inlineStr">
        <is>
          <t>DILA-XHI22</t>
        </is>
      </c>
      <c r="G3703" t="inlineStr">
        <is>
          <t>HILFSKONTAKTBLOCK</t>
        </is>
      </c>
      <c r="H3703" t="inlineStr">
        <is>
          <t>2S 2OE Last+Hilfssch. Cage</t>
        </is>
      </c>
      <c r="I3703">
        <v>321</v>
      </c>
      <c r="J3703">
        <f>GS37/190.3</f>
        <v>0</v>
      </c>
      <c r="K3703" t="inlineStr">
        <is>
          <t>DIL MC25</t>
        </is>
      </c>
      <c r="M3703" t="inlineStr">
        <is>
          <t>-190Q1</t>
        </is>
      </c>
    </row>
    <row r="3704">
      <c r="A3704">
        <v>3703</v>
      </c>
      <c r="B3704">
        <f>GS46</f>
        <v>0</v>
      </c>
      <c r="C3704" t="inlineStr">
        <is>
          <t>+LS02</t>
        </is>
      </c>
      <c r="D3704" t="inlineStr">
        <is>
          <t>-190Q1</t>
        </is>
      </c>
      <c r="E3704" t="inlineStr">
        <is>
          <t>DILMC25-10(RDC24)</t>
        </is>
      </c>
      <c r="F3704" t="inlineStr">
        <is>
          <t>DILA-XHI22</t>
        </is>
      </c>
      <c r="G3704" t="inlineStr">
        <is>
          <t>LASTSCHUETZ</t>
        </is>
      </c>
      <c r="H3704" t="inlineStr">
        <is>
          <t>11kW 1S Federzugkl.</t>
        </is>
      </c>
      <c r="I3704">
        <v>316</v>
      </c>
      <c r="J3704">
        <f>GS46/190.4</f>
        <v>0</v>
      </c>
      <c r="K3704" t="inlineStr">
        <is>
          <t>DIL MC25</t>
        </is>
      </c>
      <c r="M3704" t="inlineStr">
        <is>
          <t>-190Q1</t>
        </is>
      </c>
    </row>
    <row r="3705">
      <c r="A3705">
        <v>3704</v>
      </c>
      <c r="B3705">
        <f>GS46</f>
        <v>0</v>
      </c>
      <c r="C3705" t="inlineStr">
        <is>
          <t>+LS02</t>
        </is>
      </c>
      <c r="D3705" t="inlineStr">
        <is>
          <t>-190Q1</t>
        </is>
      </c>
      <c r="E3705" t="inlineStr">
        <is>
          <t>DILA-XHI22</t>
        </is>
      </c>
      <c r="F3705" t="inlineStr">
        <is>
          <t>DILA-XHI22</t>
        </is>
      </c>
      <c r="G3705" t="inlineStr">
        <is>
          <t>HILFSKONTAKTBLOCK</t>
        </is>
      </c>
      <c r="H3705" t="inlineStr">
        <is>
          <t>2S 2OE Last+Hilfssch. Cage</t>
        </is>
      </c>
      <c r="I3705">
        <v>316</v>
      </c>
      <c r="J3705">
        <f>GS46/190.4</f>
        <v>0</v>
      </c>
      <c r="K3705" t="inlineStr">
        <is>
          <t>DIL MC25</t>
        </is>
      </c>
      <c r="M3705" t="inlineStr">
        <is>
          <t>-190Q1</t>
        </is>
      </c>
    </row>
    <row r="3706">
      <c r="A3706">
        <v>3705</v>
      </c>
      <c r="B3706">
        <f>GS47</f>
        <v>0</v>
      </c>
      <c r="C3706" t="inlineStr">
        <is>
          <t>+LS02</t>
        </is>
      </c>
      <c r="D3706" t="inlineStr">
        <is>
          <t>-190Q1</t>
        </is>
      </c>
      <c r="E3706" t="inlineStr">
        <is>
          <t>DILMC25-10(RDC24)</t>
        </is>
      </c>
      <c r="F3706" t="inlineStr">
        <is>
          <t>DILA-XHI22</t>
        </is>
      </c>
      <c r="G3706" t="inlineStr">
        <is>
          <t>LASTSCHUETZ</t>
        </is>
      </c>
      <c r="H3706" t="inlineStr">
        <is>
          <t>11kW 1S Federzugkl.</t>
        </is>
      </c>
      <c r="I3706">
        <v>316</v>
      </c>
      <c r="J3706">
        <f>GS47/190.4</f>
        <v>0</v>
      </c>
      <c r="K3706" t="inlineStr">
        <is>
          <t>DIL MC25</t>
        </is>
      </c>
      <c r="M3706" t="inlineStr">
        <is>
          <t>-190Q1</t>
        </is>
      </c>
    </row>
    <row r="3707">
      <c r="A3707">
        <v>3706</v>
      </c>
      <c r="B3707">
        <f>GS47</f>
        <v>0</v>
      </c>
      <c r="C3707" t="inlineStr">
        <is>
          <t>+LS02</t>
        </is>
      </c>
      <c r="D3707" t="inlineStr">
        <is>
          <t>-190Q1</t>
        </is>
      </c>
      <c r="E3707" t="inlineStr">
        <is>
          <t>DILA-XHI22</t>
        </is>
      </c>
      <c r="F3707" t="inlineStr">
        <is>
          <t>DILA-XHI22</t>
        </is>
      </c>
      <c r="G3707" t="inlineStr">
        <is>
          <t>HILFSKONTAKTBLOCK</t>
        </is>
      </c>
      <c r="H3707" t="inlineStr">
        <is>
          <t>2S 2OE Last+Hilfssch. Cage</t>
        </is>
      </c>
      <c r="I3707">
        <v>316</v>
      </c>
      <c r="J3707">
        <f>GS47/190.4</f>
        <v>0</v>
      </c>
      <c r="K3707" t="inlineStr">
        <is>
          <t>DIL MC25</t>
        </is>
      </c>
      <c r="M3707" t="inlineStr">
        <is>
          <t>-190Q1</t>
        </is>
      </c>
    </row>
    <row r="3708">
      <c r="A3708">
        <v>3707</v>
      </c>
      <c r="B3708">
        <f>GS48</f>
        <v>0</v>
      </c>
      <c r="C3708" t="inlineStr">
        <is>
          <t>+LS02</t>
        </is>
      </c>
      <c r="D3708" t="inlineStr">
        <is>
          <t>-190Q1</t>
        </is>
      </c>
      <c r="E3708" t="inlineStr">
        <is>
          <t>DILA-XHI22</t>
        </is>
      </c>
      <c r="F3708" t="inlineStr">
        <is>
          <t>DILA-XHI22</t>
        </is>
      </c>
      <c r="G3708" t="inlineStr">
        <is>
          <t>HILFSKONTAKTBLOCK</t>
        </is>
      </c>
      <c r="H3708" t="inlineStr">
        <is>
          <t>2S 2OE Last+Hilfssch. Cage</t>
        </is>
      </c>
      <c r="I3708">
        <v>342</v>
      </c>
      <c r="J3708">
        <f>GS48/190.4</f>
        <v>0</v>
      </c>
      <c r="K3708" t="inlineStr">
        <is>
          <t>DIL MC25</t>
        </is>
      </c>
      <c r="M3708" t="inlineStr">
        <is>
          <t>-190Q1</t>
        </is>
      </c>
    </row>
    <row r="3709">
      <c r="A3709">
        <v>3708</v>
      </c>
      <c r="B3709">
        <f>GS48</f>
        <v>0</v>
      </c>
      <c r="C3709" t="inlineStr">
        <is>
          <t>+LS02</t>
        </is>
      </c>
      <c r="D3709" t="inlineStr">
        <is>
          <t>-190Q1</t>
        </is>
      </c>
      <c r="E3709" t="inlineStr">
        <is>
          <t>DILMC25-10(RDC24)</t>
        </is>
      </c>
      <c r="F3709" t="inlineStr">
        <is>
          <t>DILA-XHI22</t>
        </is>
      </c>
      <c r="G3709" t="inlineStr">
        <is>
          <t>LASTSCHUETZ</t>
        </is>
      </c>
      <c r="H3709" t="inlineStr">
        <is>
          <t>11kW 1S Federzugkl.</t>
        </is>
      </c>
      <c r="I3709">
        <v>342</v>
      </c>
      <c r="J3709">
        <f>GS48/190.4</f>
        <v>0</v>
      </c>
      <c r="K3709" t="inlineStr">
        <is>
          <t>DIL MC25</t>
        </is>
      </c>
      <c r="M3709" t="inlineStr">
        <is>
          <t>-190Q1</t>
        </is>
      </c>
    </row>
    <row r="3710">
      <c r="A3710">
        <v>3709</v>
      </c>
      <c r="B3710">
        <f>GS92</f>
        <v>0</v>
      </c>
      <c r="C3710" t="inlineStr">
        <is>
          <t>+LS02</t>
        </is>
      </c>
      <c r="D3710" t="inlineStr">
        <is>
          <t>-190Q1</t>
        </is>
      </c>
      <c r="E3710" t="inlineStr">
        <is>
          <t>DILMC25-10(RDC24)</t>
        </is>
      </c>
      <c r="F3710" t="inlineStr">
        <is>
          <t>DILA-XHI22</t>
        </is>
      </c>
      <c r="G3710" t="inlineStr">
        <is>
          <t>LASTSCHUETZ</t>
        </is>
      </c>
      <c r="H3710" t="inlineStr">
        <is>
          <t>11kW 1S Federzugkl.</t>
        </is>
      </c>
      <c r="I3710">
        <v>337</v>
      </c>
      <c r="J3710">
        <f>GS92/190.4</f>
        <v>0</v>
      </c>
      <c r="K3710" t="inlineStr">
        <is>
          <t>DIL MC25</t>
        </is>
      </c>
      <c r="M3710" t="inlineStr">
        <is>
          <t>-190Q1</t>
        </is>
      </c>
    </row>
    <row r="3711">
      <c r="A3711">
        <v>3710</v>
      </c>
      <c r="B3711">
        <f>GS92</f>
        <v>0</v>
      </c>
      <c r="C3711" t="inlineStr">
        <is>
          <t>+LS02</t>
        </is>
      </c>
      <c r="D3711" t="inlineStr">
        <is>
          <t>-190Q1</t>
        </is>
      </c>
      <c r="E3711" t="inlineStr">
        <is>
          <t>DILA-XHI22</t>
        </is>
      </c>
      <c r="F3711" t="inlineStr">
        <is>
          <t>DILA-XHI22</t>
        </is>
      </c>
      <c r="G3711" t="inlineStr">
        <is>
          <t>HILFSKONTAKTBLOCK</t>
        </is>
      </c>
      <c r="H3711" t="inlineStr">
        <is>
          <t>2S 2OE Last+Hilfssch. Cage</t>
        </is>
      </c>
      <c r="I3711">
        <v>337</v>
      </c>
      <c r="J3711">
        <f>GS92/190.4</f>
        <v>0</v>
      </c>
      <c r="K3711" t="inlineStr">
        <is>
          <t>DIL MC25</t>
        </is>
      </c>
      <c r="M3711" t="inlineStr">
        <is>
          <t>-190Q1</t>
        </is>
      </c>
    </row>
    <row r="3712">
      <c r="A3712">
        <v>3711</v>
      </c>
      <c r="B3712">
        <f>GS93</f>
        <v>0</v>
      </c>
      <c r="C3712" t="inlineStr">
        <is>
          <t>+LS02</t>
        </is>
      </c>
      <c r="D3712" t="inlineStr">
        <is>
          <t>-190Q1</t>
        </is>
      </c>
      <c r="E3712" t="inlineStr">
        <is>
          <t>DILMC25-10(RDC24)</t>
        </is>
      </c>
      <c r="F3712" t="inlineStr">
        <is>
          <t>DILA-XHI22</t>
        </is>
      </c>
      <c r="G3712" t="inlineStr">
        <is>
          <t>LASTSCHUETZ</t>
        </is>
      </c>
      <c r="H3712" t="inlineStr">
        <is>
          <t>11kW 1S Federzugkl.</t>
        </is>
      </c>
      <c r="I3712">
        <v>749</v>
      </c>
      <c r="J3712">
        <f>GS93/190.4</f>
        <v>0</v>
      </c>
      <c r="K3712" t="inlineStr">
        <is>
          <t>DIL MC25</t>
        </is>
      </c>
      <c r="M3712" t="inlineStr">
        <is>
          <t>-190Q1</t>
        </is>
      </c>
    </row>
    <row r="3713">
      <c r="A3713">
        <v>3712</v>
      </c>
      <c r="B3713">
        <f>GS93</f>
        <v>0</v>
      </c>
      <c r="C3713" t="inlineStr">
        <is>
          <t>+LS02</t>
        </is>
      </c>
      <c r="D3713" t="inlineStr">
        <is>
          <t>-190Q1</t>
        </is>
      </c>
      <c r="E3713" t="inlineStr">
        <is>
          <t>DILA-XHI22</t>
        </is>
      </c>
      <c r="F3713" t="inlineStr">
        <is>
          <t>DILA-XHI22</t>
        </is>
      </c>
      <c r="G3713" t="inlineStr">
        <is>
          <t>HILFSKONTAKTBLOCK</t>
        </is>
      </c>
      <c r="H3713" t="inlineStr">
        <is>
          <t>2S 2OE Last+Hilfssch. Cage</t>
        </is>
      </c>
      <c r="I3713">
        <v>749</v>
      </c>
      <c r="J3713">
        <f>GS93/190.4</f>
        <v>0</v>
      </c>
      <c r="K3713" t="inlineStr">
        <is>
          <t>DIL MC25</t>
        </is>
      </c>
      <c r="M3713" t="inlineStr">
        <is>
          <t>-190Q1</t>
        </is>
      </c>
    </row>
    <row r="3714">
      <c r="A3714">
        <v>3713</v>
      </c>
      <c r="B3714">
        <f>GS55</f>
        <v>0</v>
      </c>
      <c r="C3714" t="inlineStr">
        <is>
          <t>+LS02</t>
        </is>
      </c>
      <c r="D3714" t="inlineStr">
        <is>
          <t>-190Q111.4</t>
        </is>
      </c>
      <c r="E3714" t="inlineStr">
        <is>
          <t>DILM-9-10</t>
        </is>
      </c>
      <c r="F3714" t="inlineStr">
        <is>
          <t>#KALK!</t>
        </is>
      </c>
      <c r="G3714" t="inlineStr">
        <is>
          <t>LASTSCHUETZ</t>
        </is>
      </c>
      <c r="H3714" t="inlineStr">
        <is>
          <t>4kW 1S Federzugkl.</t>
        </is>
      </c>
      <c r="I3714">
        <v>426</v>
      </c>
      <c r="J3714">
        <f>GS55/190.6</f>
        <v>0</v>
      </c>
      <c r="K3714" t="inlineStr">
        <is>
          <t>DIL MC9</t>
        </is>
      </c>
      <c r="M3714" t="inlineStr">
        <is>
          <t>-190Q111.4</t>
        </is>
      </c>
    </row>
    <row r="3715">
      <c r="A3715">
        <v>3714</v>
      </c>
      <c r="B3715">
        <f>GS90</f>
        <v>0</v>
      </c>
      <c r="C3715" t="inlineStr">
        <is>
          <t>+LS02</t>
        </is>
      </c>
      <c r="D3715" t="inlineStr">
        <is>
          <t>-190Q447.5</t>
        </is>
      </c>
      <c r="E3715" t="inlineStr">
        <is>
          <t>DILM-9-10</t>
        </is>
      </c>
      <c r="F3715" t="inlineStr">
        <is>
          <t>#KALK!</t>
        </is>
      </c>
      <c r="G3715" t="inlineStr">
        <is>
          <t>LASTSCHUETZ</t>
        </is>
      </c>
      <c r="H3715" t="inlineStr">
        <is>
          <t>4kW 1S Federzugkl.</t>
        </is>
      </c>
      <c r="I3715">
        <v>1069</v>
      </c>
      <c r="J3715">
        <f>GS90/190.5</f>
        <v>0</v>
      </c>
      <c r="M3715" t="inlineStr">
        <is>
          <t>-190Q447.5</t>
        </is>
      </c>
    </row>
    <row r="3716">
      <c r="A3716">
        <v>3715</v>
      </c>
      <c r="B3716">
        <f>GS51</f>
        <v>0</v>
      </c>
      <c r="C3716" t="inlineStr">
        <is>
          <t>+1KK38</t>
        </is>
      </c>
      <c r="D3716" t="inlineStr">
        <is>
          <t>-1913Q2</t>
        </is>
      </c>
      <c r="E3716" t="inlineStr">
        <is>
          <t>DILM-9-10</t>
        </is>
      </c>
      <c r="F3716" t="inlineStr">
        <is>
          <t>#KALK!</t>
        </is>
      </c>
      <c r="G3716" t="inlineStr">
        <is>
          <t>LASTSCHUETZ</t>
        </is>
      </c>
      <c r="H3716" t="inlineStr">
        <is>
          <t>4kW 1S Federzugkl.</t>
        </is>
      </c>
      <c r="I3716">
        <v>1669</v>
      </c>
      <c r="J3716">
        <f>GS51/1913.7</f>
        <v>0</v>
      </c>
      <c r="M3716" t="inlineStr">
        <is>
          <t>-1913Q2</t>
        </is>
      </c>
    </row>
    <row r="3717">
      <c r="A3717">
        <v>3716</v>
      </c>
      <c r="B3717">
        <f>GS55</f>
        <v>0</v>
      </c>
      <c r="C3717" t="inlineStr">
        <is>
          <t>+LS31</t>
        </is>
      </c>
      <c r="D3717" t="inlineStr">
        <is>
          <t>-1915Q1</t>
        </is>
      </c>
      <c r="E3717" t="inlineStr">
        <is>
          <t>DILA-XHI22</t>
        </is>
      </c>
      <c r="F3717" t="inlineStr">
        <is>
          <t>DILA-XHI22</t>
        </is>
      </c>
      <c r="G3717" t="inlineStr">
        <is>
          <t>HILFSKONTAKTBLOCK</t>
        </is>
      </c>
      <c r="H3717" t="inlineStr">
        <is>
          <t>2S 2OE Last+Hilfssch. Cage</t>
        </is>
      </c>
      <c r="I3717">
        <v>2101</v>
      </c>
      <c r="J3717">
        <f>GS55/1915.6</f>
        <v>0</v>
      </c>
      <c r="K3717" t="inlineStr">
        <is>
          <t>DIL MC25</t>
        </is>
      </c>
      <c r="M3717" t="inlineStr">
        <is>
          <t>-1915Q1</t>
        </is>
      </c>
    </row>
    <row r="3718">
      <c r="A3718">
        <v>3717</v>
      </c>
      <c r="B3718">
        <f>GS55</f>
        <v>0</v>
      </c>
      <c r="C3718" t="inlineStr">
        <is>
          <t>+LS31</t>
        </is>
      </c>
      <c r="D3718" t="inlineStr">
        <is>
          <t>-1915Q1</t>
        </is>
      </c>
      <c r="E3718" t="inlineStr">
        <is>
          <t>DILMC25-10(RDC24)</t>
        </is>
      </c>
      <c r="F3718" t="inlineStr">
        <is>
          <t>DILA-XHI22</t>
        </is>
      </c>
      <c r="G3718" t="inlineStr">
        <is>
          <t>LASTSCHUETZ</t>
        </is>
      </c>
      <c r="H3718" t="inlineStr">
        <is>
          <t>11kW 1S Federzugkl.</t>
        </is>
      </c>
      <c r="I3718">
        <v>2101</v>
      </c>
      <c r="J3718">
        <f>GS55/1915.6</f>
        <v>0</v>
      </c>
      <c r="K3718" t="inlineStr">
        <is>
          <t>DIL MC25</t>
        </is>
      </c>
      <c r="M3718" t="inlineStr">
        <is>
          <t>-1915Q1</t>
        </is>
      </c>
    </row>
    <row r="3719">
      <c r="A3719">
        <v>3718</v>
      </c>
      <c r="B3719">
        <f>GS55</f>
        <v>0</v>
      </c>
      <c r="C3719" t="inlineStr">
        <is>
          <t>+LS31</t>
        </is>
      </c>
      <c r="D3719" t="inlineStr">
        <is>
          <t>-1917Q1307.1</t>
        </is>
      </c>
      <c r="E3719" t="inlineStr">
        <is>
          <t>DILM-9-10</t>
        </is>
      </c>
      <c r="F3719" t="inlineStr">
        <is>
          <t>#KALK!</t>
        </is>
      </c>
      <c r="G3719" t="inlineStr">
        <is>
          <t>LASTSCHUETZ</t>
        </is>
      </c>
      <c r="H3719" t="inlineStr">
        <is>
          <t>4kW 1S Federzugkl.</t>
        </is>
      </c>
      <c r="I3719">
        <v>2103</v>
      </c>
      <c r="J3719">
        <f>GS55/1917.6</f>
        <v>0</v>
      </c>
      <c r="K3719" t="inlineStr">
        <is>
          <t>DIL MC9</t>
        </is>
      </c>
      <c r="M3719" t="inlineStr">
        <is>
          <t>-1917Q1307.1</t>
        </is>
      </c>
    </row>
    <row r="3720">
      <c r="A3720">
        <v>3719</v>
      </c>
      <c r="B3720">
        <f>GS55</f>
        <v>0</v>
      </c>
      <c r="C3720" t="inlineStr">
        <is>
          <t>+LS31</t>
        </is>
      </c>
      <c r="D3720" t="inlineStr">
        <is>
          <t>-1919Q1307.2</t>
        </is>
      </c>
      <c r="E3720" t="inlineStr">
        <is>
          <t>DILM-9-10</t>
        </is>
      </c>
      <c r="F3720" t="inlineStr">
        <is>
          <t>#KALK!</t>
        </is>
      </c>
      <c r="G3720" t="inlineStr">
        <is>
          <t>LASTSCHUETZ</t>
        </is>
      </c>
      <c r="H3720" t="inlineStr">
        <is>
          <t>4kW 1S Federzugkl.</t>
        </is>
      </c>
      <c r="I3720">
        <v>2105</v>
      </c>
      <c r="J3720">
        <f>GS55/1919.6</f>
        <v>0</v>
      </c>
      <c r="K3720" t="inlineStr">
        <is>
          <t>DIL MC9</t>
        </is>
      </c>
      <c r="M3720" t="inlineStr">
        <is>
          <t>-1919Q1307.2</t>
        </is>
      </c>
    </row>
    <row r="3721">
      <c r="A3721">
        <v>3720</v>
      </c>
      <c r="B3721">
        <f>GC22</f>
        <v>0</v>
      </c>
      <c r="C3721" t="inlineStr">
        <is>
          <t>+LS2</t>
        </is>
      </c>
      <c r="D3721" t="inlineStr">
        <is>
          <t>-191K1</t>
        </is>
      </c>
      <c r="E3721" t="inlineStr">
        <is>
          <t>DIL_0AM</t>
        </is>
      </c>
      <c r="F3721" t="inlineStr">
        <is>
          <t>22_DIL-M</t>
        </is>
      </c>
      <c r="G3721" t="inlineStr">
        <is>
          <t>LASTSCHUETZ</t>
        </is>
      </c>
      <c r="H3721" t="inlineStr">
        <is>
          <t>11 kW</t>
        </is>
      </c>
      <c r="I3721">
        <v>2691</v>
      </c>
      <c r="J3721">
        <f>GC22/191.2</f>
        <v>0</v>
      </c>
      <c r="K3721" t="inlineStr">
        <is>
          <t>DIL0AM</t>
        </is>
      </c>
      <c r="M3721" t="inlineStr">
        <is>
          <t>-191K1</t>
        </is>
      </c>
    </row>
    <row r="3722">
      <c r="A3722">
        <v>3721</v>
      </c>
      <c r="B3722">
        <f>GC22</f>
        <v>0</v>
      </c>
      <c r="C3722" t="inlineStr">
        <is>
          <t>+LS2</t>
        </is>
      </c>
      <c r="D3722" t="inlineStr">
        <is>
          <t>-191K1</t>
        </is>
      </c>
      <c r="E3722" t="inlineStr">
        <is>
          <t>22_DIL-M</t>
        </is>
      </c>
      <c r="F3722" t="inlineStr">
        <is>
          <t>22_DIL-M</t>
        </is>
      </c>
      <c r="G3722" t="inlineStr">
        <is>
          <t>HILFSKONTAKTBLOCK</t>
        </is>
      </c>
      <c r="H3722" t="inlineStr">
        <is>
          <t>2S 2OE Lastschuetz DIL M</t>
        </is>
      </c>
      <c r="I3722">
        <v>2691</v>
      </c>
      <c r="J3722">
        <f>GC22/191.2</f>
        <v>0</v>
      </c>
      <c r="K3722" t="inlineStr">
        <is>
          <t>DIL0AM</t>
        </is>
      </c>
      <c r="M3722" t="inlineStr">
        <is>
          <t>-191K1</t>
        </is>
      </c>
    </row>
    <row r="3723">
      <c r="A3723">
        <v>3722</v>
      </c>
      <c r="B3723">
        <f>GS12</f>
        <v>0</v>
      </c>
      <c r="C3723" t="inlineStr">
        <is>
          <t>+LS2</t>
        </is>
      </c>
      <c r="D3723" t="inlineStr">
        <is>
          <t>-191K1</t>
        </is>
      </c>
      <c r="E3723" t="inlineStr">
        <is>
          <t>22_DIL-M</t>
        </is>
      </c>
      <c r="F3723" t="inlineStr">
        <is>
          <t>22_DIL-M</t>
        </is>
      </c>
      <c r="G3723" t="inlineStr">
        <is>
          <t>HILFSKONTAKTBLOCK</t>
        </is>
      </c>
      <c r="H3723" t="inlineStr">
        <is>
          <t>2S 2OE Lastschuetz DIL M</t>
        </is>
      </c>
      <c r="I3723">
        <v>323</v>
      </c>
      <c r="J3723">
        <f>GS12/191.2</f>
        <v>0</v>
      </c>
      <c r="K3723" t="inlineStr">
        <is>
          <t>DIL0AM</t>
        </is>
      </c>
      <c r="M3723" t="inlineStr">
        <is>
          <t>-191K1</t>
        </is>
      </c>
    </row>
    <row r="3724">
      <c r="A3724">
        <v>3723</v>
      </c>
      <c r="B3724">
        <f>GS12</f>
        <v>0</v>
      </c>
      <c r="C3724" t="inlineStr">
        <is>
          <t>+LS2</t>
        </is>
      </c>
      <c r="D3724" t="inlineStr">
        <is>
          <t>-191K1</t>
        </is>
      </c>
      <c r="E3724" t="inlineStr">
        <is>
          <t>DIL_0AM</t>
        </is>
      </c>
      <c r="F3724" t="inlineStr">
        <is>
          <t>22_DIL-M</t>
        </is>
      </c>
      <c r="G3724" t="inlineStr">
        <is>
          <t>LASTSCHUETZ</t>
        </is>
      </c>
      <c r="H3724" t="inlineStr">
        <is>
          <t>11 kW</t>
        </is>
      </c>
      <c r="I3724">
        <v>323</v>
      </c>
      <c r="J3724">
        <f>GS12/191.2</f>
        <v>0</v>
      </c>
      <c r="K3724" t="inlineStr">
        <is>
          <t>DIL0AM</t>
        </is>
      </c>
      <c r="M3724" t="inlineStr">
        <is>
          <t>-191K1</t>
        </is>
      </c>
    </row>
    <row r="3725">
      <c r="A3725">
        <v>3724</v>
      </c>
      <c r="B3725">
        <f>GS01</f>
        <v>0</v>
      </c>
      <c r="C3725" t="inlineStr">
        <is>
          <t>+ES2</t>
        </is>
      </c>
      <c r="D3725" t="inlineStr">
        <is>
          <t>-191K102.2</t>
        </is>
      </c>
      <c r="E3725" t="inlineStr">
        <is>
          <t>DIL_ER-22-G</t>
        </is>
      </c>
      <c r="F3725" t="inlineStr">
        <is>
          <t>#KALK!</t>
        </is>
      </c>
      <c r="G3725" t="inlineStr">
        <is>
          <t>HILFSSCHUETZ</t>
        </is>
      </c>
      <c r="H3725" t="inlineStr">
        <is>
          <t>2S 2OE</t>
        </is>
      </c>
      <c r="I3725">
        <v>354</v>
      </c>
      <c r="J3725">
        <f>GS01/191.6</f>
        <v>0</v>
      </c>
      <c r="M3725" t="inlineStr">
        <is>
          <t>-191K102.2</t>
        </is>
      </c>
    </row>
    <row r="3726">
      <c r="A3726">
        <v>3725</v>
      </c>
      <c r="B3726">
        <f>GS33</f>
        <v>0</v>
      </c>
      <c r="C3726" t="inlineStr">
        <is>
          <t>+LS3</t>
        </is>
      </c>
      <c r="D3726" t="inlineStr">
        <is>
          <t>-191K27.7</t>
        </is>
      </c>
      <c r="E3726" t="inlineStr">
        <is>
          <t>DIL_EM-10-G</t>
        </is>
      </c>
      <c r="F3726" t="inlineStr">
        <is>
          <t>#KALK!</t>
        </is>
      </c>
      <c r="G3726" t="inlineStr">
        <is>
          <t>LASTSCHUETZ</t>
        </is>
      </c>
      <c r="H3726" t="inlineStr">
        <is>
          <t>4kW 1S</t>
        </is>
      </c>
      <c r="I3726">
        <v>625</v>
      </c>
      <c r="J3726">
        <f>GS33/191.7</f>
        <v>0</v>
      </c>
      <c r="M3726" t="inlineStr">
        <is>
          <t>-191K27.7</t>
        </is>
      </c>
    </row>
    <row r="3727">
      <c r="A3727">
        <v>3726</v>
      </c>
      <c r="B3727">
        <f>GS11</f>
        <v>0</v>
      </c>
      <c r="C3727" t="inlineStr">
        <is>
          <t>+LS4</t>
        </is>
      </c>
      <c r="D3727" t="inlineStr">
        <is>
          <t>-191K45.4</t>
        </is>
      </c>
      <c r="E3727" t="inlineStr">
        <is>
          <t>DIL_EM-10-G</t>
        </is>
      </c>
      <c r="F3727" t="inlineStr">
        <is>
          <t>#KALK!</t>
        </is>
      </c>
      <c r="G3727" t="inlineStr">
        <is>
          <t>LASTSCHUETZ</t>
        </is>
      </c>
      <c r="H3727" t="inlineStr">
        <is>
          <t>4kW 1S</t>
        </is>
      </c>
      <c r="I3727">
        <v>302</v>
      </c>
      <c r="J3727">
        <f>GS11/191.6</f>
        <v>0</v>
      </c>
      <c r="M3727" t="inlineStr">
        <is>
          <t>-191K45.4</t>
        </is>
      </c>
    </row>
    <row r="3728">
      <c r="A3728">
        <v>3727</v>
      </c>
      <c r="B3728">
        <f>GS11</f>
        <v>0</v>
      </c>
      <c r="C3728" t="inlineStr">
        <is>
          <t>+LS4</t>
        </is>
      </c>
      <c r="D3728" t="inlineStr">
        <is>
          <t>-191K45.5</t>
        </is>
      </c>
      <c r="E3728" t="inlineStr">
        <is>
          <t>DIL_EM-10-G</t>
        </is>
      </c>
      <c r="F3728" t="inlineStr">
        <is>
          <t>#KALK!</t>
        </is>
      </c>
      <c r="G3728" t="inlineStr">
        <is>
          <t>LASTSCHUETZ</t>
        </is>
      </c>
      <c r="H3728" t="inlineStr">
        <is>
          <t>4kW 1S</t>
        </is>
      </c>
      <c r="I3728">
        <v>302</v>
      </c>
      <c r="J3728">
        <f>GS11/191.7</f>
        <v>0</v>
      </c>
      <c r="M3728" t="inlineStr">
        <is>
          <t>-191K45.5</t>
        </is>
      </c>
    </row>
    <row r="3729">
      <c r="A3729">
        <v>3728</v>
      </c>
      <c r="B3729">
        <f>GC03</f>
        <v>0</v>
      </c>
      <c r="C3729" t="inlineStr">
        <is>
          <t>+LS4</t>
        </is>
      </c>
      <c r="D3729" t="inlineStr">
        <is>
          <t>-191K65.3</t>
        </is>
      </c>
      <c r="E3729" t="inlineStr">
        <is>
          <t>DIL_EM-10-G</t>
        </is>
      </c>
      <c r="F3729" t="inlineStr">
        <is>
          <t>#KALK!</t>
        </is>
      </c>
      <c r="G3729" t="inlineStr">
        <is>
          <t>LASTSCHUETZ</t>
        </is>
      </c>
      <c r="H3729" t="inlineStr">
        <is>
          <t>4kW 1S</t>
        </is>
      </c>
      <c r="I3729">
        <v>3009</v>
      </c>
      <c r="J3729">
        <f>GC03/191.6</f>
        <v>0</v>
      </c>
      <c r="M3729" t="inlineStr">
        <is>
          <t>-191K65.3</t>
        </is>
      </c>
    </row>
    <row r="3730">
      <c r="A3730">
        <v>3729</v>
      </c>
      <c r="B3730">
        <f>GC03</f>
        <v>0</v>
      </c>
      <c r="C3730" t="inlineStr">
        <is>
          <t>+LS4</t>
        </is>
      </c>
      <c r="D3730" t="inlineStr">
        <is>
          <t>-191K65.4</t>
        </is>
      </c>
      <c r="E3730" t="inlineStr">
        <is>
          <t>DIL_EM-10-G</t>
        </is>
      </c>
      <c r="F3730" t="inlineStr">
        <is>
          <t>#KALK!</t>
        </is>
      </c>
      <c r="G3730" t="inlineStr">
        <is>
          <t>LASTSCHUETZ</t>
        </is>
      </c>
      <c r="H3730" t="inlineStr">
        <is>
          <t>4kW 1S</t>
        </is>
      </c>
      <c r="I3730">
        <v>3009</v>
      </c>
      <c r="J3730">
        <f>GC03/191.6</f>
        <v>0</v>
      </c>
      <c r="M3730" t="inlineStr">
        <is>
          <t>-191K65.4</t>
        </is>
      </c>
    </row>
    <row r="3731">
      <c r="A3731">
        <v>3730</v>
      </c>
      <c r="B3731">
        <f>GS53</f>
        <v>0</v>
      </c>
      <c r="C3731" t="inlineStr">
        <is>
          <t>+LS[p1]</t>
        </is>
      </c>
      <c r="D3731" t="inlineStr">
        <is>
          <t>-191Q[a+4].2</t>
        </is>
      </c>
      <c r="E3731" t="inlineStr">
        <is>
          <t>DILM-9-10</t>
        </is>
      </c>
      <c r="F3731" t="inlineStr">
        <is>
          <t>#KALK!</t>
        </is>
      </c>
      <c r="G3731" t="inlineStr">
        <is>
          <t>LASTSCHUETZ</t>
        </is>
      </c>
      <c r="H3731" t="inlineStr">
        <is>
          <t>4kW 1S Federzugkl.</t>
        </is>
      </c>
      <c r="I3731">
        <v>173</v>
      </c>
      <c r="J3731">
        <f>GS53/191.6</f>
        <v>0</v>
      </c>
      <c r="K3731" t="inlineStr">
        <is>
          <t>DIL MC9</t>
        </is>
      </c>
      <c r="M3731" t="inlineStr">
        <is>
          <t>-191Q[a+4].2</t>
        </is>
      </c>
    </row>
    <row r="3732">
      <c r="A3732">
        <v>3731</v>
      </c>
      <c r="B3732">
        <f>GS55</f>
        <v>0</v>
      </c>
      <c r="C3732" t="inlineStr">
        <is>
          <t>+LS02</t>
        </is>
      </c>
      <c r="D3732" t="inlineStr">
        <is>
          <t>-191Q111.5</t>
        </is>
      </c>
      <c r="E3732" t="inlineStr">
        <is>
          <t>DILA-XHI22</t>
        </is>
      </c>
      <c r="F3732" t="inlineStr">
        <is>
          <t>DILA-XHI22</t>
        </is>
      </c>
      <c r="G3732" t="inlineStr">
        <is>
          <t>HILFSKONTAKTBLOCK</t>
        </is>
      </c>
      <c r="H3732" t="inlineStr">
        <is>
          <t>2S 2OE Last+Hilfssch. Cage</t>
        </is>
      </c>
      <c r="I3732">
        <v>425</v>
      </c>
      <c r="J3732">
        <f>GS55/191.6</f>
        <v>0</v>
      </c>
      <c r="K3732" t="inlineStr">
        <is>
          <t>DIL MC9</t>
        </is>
      </c>
      <c r="M3732" t="inlineStr">
        <is>
          <t>-191Q111.5</t>
        </is>
      </c>
    </row>
    <row r="3733">
      <c r="A3733">
        <v>3732</v>
      </c>
      <c r="B3733">
        <f>GS55</f>
        <v>0</v>
      </c>
      <c r="C3733" t="inlineStr">
        <is>
          <t>+LS02</t>
        </is>
      </c>
      <c r="D3733" t="inlineStr">
        <is>
          <t>-191Q111.5</t>
        </is>
      </c>
      <c r="E3733" t="inlineStr">
        <is>
          <t>DILM-9-10</t>
        </is>
      </c>
      <c r="F3733" t="inlineStr">
        <is>
          <t>DILA-XHI22</t>
        </is>
      </c>
      <c r="G3733" t="inlineStr">
        <is>
          <t>LASTSCHUETZ</t>
        </is>
      </c>
      <c r="H3733" t="inlineStr">
        <is>
          <t>4kW 1S Federzugkl.</t>
        </is>
      </c>
      <c r="I3733">
        <v>425</v>
      </c>
      <c r="J3733">
        <f>GS55/191.6</f>
        <v>0</v>
      </c>
      <c r="K3733" t="inlineStr">
        <is>
          <t>DIL MC9</t>
        </is>
      </c>
      <c r="M3733" t="inlineStr">
        <is>
          <t>-191Q111.5</t>
        </is>
      </c>
    </row>
    <row r="3734">
      <c r="A3734">
        <v>3733</v>
      </c>
      <c r="B3734">
        <f>GS55</f>
        <v>0</v>
      </c>
      <c r="C3734" t="inlineStr">
        <is>
          <t>+LS02</t>
        </is>
      </c>
      <c r="D3734" t="inlineStr">
        <is>
          <t>-191Q111.7</t>
        </is>
      </c>
      <c r="E3734" t="inlineStr">
        <is>
          <t>DILA-XHI22</t>
        </is>
      </c>
      <c r="F3734" t="inlineStr">
        <is>
          <t>DILA-XHI22</t>
        </is>
      </c>
      <c r="G3734" t="inlineStr">
        <is>
          <t>HILFSKONTAKTBLOCK</t>
        </is>
      </c>
      <c r="H3734" t="inlineStr">
        <is>
          <t>2S 2OE Last+Hilfssch. Cage</t>
        </is>
      </c>
      <c r="I3734">
        <v>425</v>
      </c>
      <c r="J3734">
        <f>GS55/191.7</f>
        <v>0</v>
      </c>
      <c r="K3734" t="inlineStr">
        <is>
          <t>DIL MC9</t>
        </is>
      </c>
      <c r="M3734" t="inlineStr">
        <is>
          <t>-191Q111.7</t>
        </is>
      </c>
    </row>
    <row r="3735">
      <c r="A3735">
        <v>3734</v>
      </c>
      <c r="B3735">
        <f>GS55</f>
        <v>0</v>
      </c>
      <c r="C3735" t="inlineStr">
        <is>
          <t>+LS02</t>
        </is>
      </c>
      <c r="D3735" t="inlineStr">
        <is>
          <t>-191Q111.7</t>
        </is>
      </c>
      <c r="E3735" t="inlineStr">
        <is>
          <t>DILM-9-10</t>
        </is>
      </c>
      <c r="F3735" t="inlineStr">
        <is>
          <t>DILA-XHI22</t>
        </is>
      </c>
      <c r="G3735" t="inlineStr">
        <is>
          <t>LASTSCHUETZ</t>
        </is>
      </c>
      <c r="H3735" t="inlineStr">
        <is>
          <t>4kW 1S Federzugkl.</t>
        </is>
      </c>
      <c r="I3735">
        <v>425</v>
      </c>
      <c r="J3735">
        <f>GS55/191.7</f>
        <v>0</v>
      </c>
      <c r="K3735" t="inlineStr">
        <is>
          <t>DIL MC9</t>
        </is>
      </c>
      <c r="M3735" t="inlineStr">
        <is>
          <t>-191Q111.7</t>
        </is>
      </c>
    </row>
    <row r="3736">
      <c r="A3736">
        <v>3735</v>
      </c>
      <c r="B3736">
        <f>GS92</f>
        <v>0</v>
      </c>
      <c r="C3736" t="inlineStr">
        <is>
          <t>+LS02</t>
        </is>
      </c>
      <c r="D3736" t="inlineStr">
        <is>
          <t>-191Q164.5</t>
        </is>
      </c>
      <c r="E3736" t="inlineStr">
        <is>
          <t>DILM-9-10</t>
        </is>
      </c>
      <c r="F3736" t="inlineStr">
        <is>
          <t>#KALK!</t>
        </is>
      </c>
      <c r="G3736" t="inlineStr">
        <is>
          <t>LASTSCHUETZ</t>
        </is>
      </c>
      <c r="H3736" t="inlineStr">
        <is>
          <t>4kW 1S Federzugkl.</t>
        </is>
      </c>
      <c r="I3736">
        <v>339</v>
      </c>
      <c r="J3736">
        <f>GS92/191.5</f>
        <v>0</v>
      </c>
      <c r="M3736" t="inlineStr">
        <is>
          <t>-191Q164.5</t>
        </is>
      </c>
    </row>
    <row r="3737">
      <c r="A3737">
        <v>3736</v>
      </c>
      <c r="B3737">
        <f>GS93</f>
        <v>0</v>
      </c>
      <c r="C3737" t="inlineStr">
        <is>
          <t>+LS02</t>
        </is>
      </c>
      <c r="D3737" t="inlineStr">
        <is>
          <t>-191Q165.5</t>
        </is>
      </c>
      <c r="E3737" t="inlineStr">
        <is>
          <t>DILM-9-10</t>
        </is>
      </c>
      <c r="F3737" t="inlineStr">
        <is>
          <t>#KALK!</t>
        </is>
      </c>
      <c r="G3737" t="inlineStr">
        <is>
          <t>LASTSCHUETZ</t>
        </is>
      </c>
      <c r="H3737" t="inlineStr">
        <is>
          <t>4kW 1S Federzugkl.</t>
        </is>
      </c>
      <c r="I3737">
        <v>750</v>
      </c>
      <c r="J3737">
        <f>GS93/191.5</f>
        <v>0</v>
      </c>
      <c r="M3737" t="inlineStr">
        <is>
          <t>-191Q165.5</t>
        </is>
      </c>
    </row>
    <row r="3738">
      <c r="A3738">
        <v>3737</v>
      </c>
      <c r="B3738">
        <f>GS90</f>
        <v>0</v>
      </c>
      <c r="C3738" t="inlineStr">
        <is>
          <t>+LS02</t>
        </is>
      </c>
      <c r="D3738" t="inlineStr">
        <is>
          <t>-191Q447.6</t>
        </is>
      </c>
      <c r="E3738" t="inlineStr">
        <is>
          <t>DILM-9-10</t>
        </is>
      </c>
      <c r="F3738" t="inlineStr">
        <is>
          <t>#KALK!</t>
        </is>
      </c>
      <c r="G3738" t="inlineStr">
        <is>
          <t>LASTSCHUETZ</t>
        </is>
      </c>
      <c r="H3738" t="inlineStr">
        <is>
          <t>4kW 1S Federzugkl.</t>
        </is>
      </c>
      <c r="I3738">
        <v>1067</v>
      </c>
      <c r="J3738">
        <f>GS90/191.5</f>
        <v>0</v>
      </c>
      <c r="M3738" t="inlineStr">
        <is>
          <t>-191Q447.6</t>
        </is>
      </c>
    </row>
    <row r="3739">
      <c r="A3739">
        <v>3738</v>
      </c>
      <c r="B3739">
        <f>GS55</f>
        <v>0</v>
      </c>
      <c r="C3739" t="inlineStr">
        <is>
          <t>+LS31</t>
        </is>
      </c>
      <c r="D3739" t="inlineStr">
        <is>
          <t>-1921Q1307.3</t>
        </is>
      </c>
      <c r="E3739" t="inlineStr">
        <is>
          <t>DILM-9-10</t>
        </is>
      </c>
      <c r="F3739" t="inlineStr">
        <is>
          <t>#KALK!</t>
        </is>
      </c>
      <c r="G3739" t="inlineStr">
        <is>
          <t>LASTSCHUETZ</t>
        </is>
      </c>
      <c r="H3739" t="inlineStr">
        <is>
          <t>4kW 1S Federzugkl.</t>
        </is>
      </c>
      <c r="I3739">
        <v>2107</v>
      </c>
      <c r="J3739">
        <f>GS55/1921.6</f>
        <v>0</v>
      </c>
      <c r="K3739" t="inlineStr">
        <is>
          <t>DIL MC9</t>
        </is>
      </c>
      <c r="M3739" t="inlineStr">
        <is>
          <t>-1921Q1307.3</t>
        </is>
      </c>
    </row>
    <row r="3740">
      <c r="A3740">
        <v>3739</v>
      </c>
      <c r="B3740">
        <f>GS55</f>
        <v>0</v>
      </c>
      <c r="C3740" t="inlineStr">
        <is>
          <t>+LS31</t>
        </is>
      </c>
      <c r="D3740" t="inlineStr">
        <is>
          <t>-1923Q1307.4</t>
        </is>
      </c>
      <c r="E3740" t="inlineStr">
        <is>
          <t>DILM-9-10</t>
        </is>
      </c>
      <c r="F3740" t="inlineStr">
        <is>
          <t>#KALK!</t>
        </is>
      </c>
      <c r="G3740" t="inlineStr">
        <is>
          <t>LASTSCHUETZ</t>
        </is>
      </c>
      <c r="H3740" t="inlineStr">
        <is>
          <t>4kW 1S Federzugkl.</t>
        </is>
      </c>
      <c r="I3740">
        <v>2109</v>
      </c>
      <c r="J3740">
        <f>GS55/1923.6</f>
        <v>0</v>
      </c>
      <c r="K3740" t="inlineStr">
        <is>
          <t>DIL MC9</t>
        </is>
      </c>
      <c r="M3740" t="inlineStr">
        <is>
          <t>-1923Q1307.4</t>
        </is>
      </c>
    </row>
    <row r="3741">
      <c r="A3741">
        <v>3740</v>
      </c>
      <c r="B3741">
        <f>GS06</f>
        <v>0</v>
      </c>
      <c r="C3741" t="inlineStr">
        <is>
          <t>+LS25</t>
        </is>
      </c>
      <c r="D3741" t="inlineStr">
        <is>
          <t>-1925Q1</t>
        </is>
      </c>
      <c r="E3741" t="inlineStr">
        <is>
          <t>DILMC25-10(RDC24)</t>
        </is>
      </c>
      <c r="F3741" t="inlineStr">
        <is>
          <t>DILA-XHI22</t>
        </is>
      </c>
      <c r="G3741" t="inlineStr">
        <is>
          <t>LASTSCHUETZ</t>
        </is>
      </c>
      <c r="H3741" t="inlineStr">
        <is>
          <t>11kW 1S Federzugkl.</t>
        </is>
      </c>
      <c r="I3741">
        <v>2791</v>
      </c>
      <c r="J3741">
        <f>GS06/1925.6</f>
        <v>0</v>
      </c>
      <c r="K3741" t="inlineStr">
        <is>
          <t>DIL MC25</t>
        </is>
      </c>
      <c r="M3741" t="inlineStr">
        <is>
          <t>-1925Q1</t>
        </is>
      </c>
    </row>
    <row r="3742">
      <c r="A3742">
        <v>3741</v>
      </c>
      <c r="B3742">
        <f>GS06</f>
        <v>0</v>
      </c>
      <c r="C3742" t="inlineStr">
        <is>
          <t>+LS25</t>
        </is>
      </c>
      <c r="D3742" t="inlineStr">
        <is>
          <t>-1925Q1</t>
        </is>
      </c>
      <c r="E3742" t="inlineStr">
        <is>
          <t>DILA-XHI22</t>
        </is>
      </c>
      <c r="F3742" t="inlineStr">
        <is>
          <t>DILA-XHI22</t>
        </is>
      </c>
      <c r="G3742" t="inlineStr">
        <is>
          <t>HILFSKONTAKTBLOCK</t>
        </is>
      </c>
      <c r="H3742" t="inlineStr">
        <is>
          <t>2S 2OE Last+Hilfssch. Cage</t>
        </is>
      </c>
      <c r="I3742">
        <v>2791</v>
      </c>
      <c r="J3742">
        <f>GS06/1925.6</f>
        <v>0</v>
      </c>
      <c r="K3742" t="inlineStr">
        <is>
          <t>DIL MC25</t>
        </is>
      </c>
      <c r="M3742" t="inlineStr">
        <is>
          <t>-1925Q1</t>
        </is>
      </c>
    </row>
    <row r="3743">
      <c r="A3743">
        <v>3742</v>
      </c>
      <c r="B3743">
        <f>GS55</f>
        <v>0</v>
      </c>
      <c r="C3743" t="inlineStr">
        <is>
          <t>+LS31</t>
        </is>
      </c>
      <c r="D3743" t="inlineStr">
        <is>
          <t>-1925Q1307.5</t>
        </is>
      </c>
      <c r="E3743" t="inlineStr">
        <is>
          <t>DILM-9-10</t>
        </is>
      </c>
      <c r="F3743" t="inlineStr">
        <is>
          <t>#KALK!</t>
        </is>
      </c>
      <c r="G3743" t="inlineStr">
        <is>
          <t>LASTSCHUETZ</t>
        </is>
      </c>
      <c r="H3743" t="inlineStr">
        <is>
          <t>4kW 1S Federzugkl.</t>
        </is>
      </c>
      <c r="I3743">
        <v>2111</v>
      </c>
      <c r="J3743">
        <f>GS55/1925.6</f>
        <v>0</v>
      </c>
      <c r="K3743" t="inlineStr">
        <is>
          <t>DIL MC9</t>
        </is>
      </c>
      <c r="M3743" t="inlineStr">
        <is>
          <t>-1925Q1307.5</t>
        </is>
      </c>
    </row>
    <row r="3744">
      <c r="A3744">
        <v>3743</v>
      </c>
      <c r="B3744">
        <f>GS13</f>
        <v>0</v>
      </c>
      <c r="C3744" t="inlineStr">
        <is>
          <t>+LS3</t>
        </is>
      </c>
      <c r="D3744" t="inlineStr">
        <is>
          <t>-19266.5</t>
        </is>
      </c>
      <c r="E3744" t="inlineStr">
        <is>
          <t>DIL_EM-10-G</t>
        </is>
      </c>
      <c r="F3744" t="inlineStr">
        <is>
          <t>#KALK!</t>
        </is>
      </c>
      <c r="G3744" t="inlineStr">
        <is>
          <t>LASTSCHUETZ</t>
        </is>
      </c>
      <c r="H3744" t="inlineStr">
        <is>
          <t>4kW 1S</t>
        </is>
      </c>
      <c r="I3744">
        <v>434</v>
      </c>
      <c r="J3744">
        <f>GS13/192.7</f>
        <v>0</v>
      </c>
      <c r="M3744" t="inlineStr">
        <is>
          <t>-19266.5</t>
        </is>
      </c>
    </row>
    <row r="3745">
      <c r="A3745">
        <v>3744</v>
      </c>
      <c r="B3745">
        <f>GS55</f>
        <v>0</v>
      </c>
      <c r="C3745" t="inlineStr">
        <is>
          <t>+LS31</t>
        </is>
      </c>
      <c r="D3745" t="inlineStr">
        <is>
          <t>-1927Q1307.6</t>
        </is>
      </c>
      <c r="E3745" t="inlineStr">
        <is>
          <t>DILM-9-10</t>
        </is>
      </c>
      <c r="F3745" t="inlineStr">
        <is>
          <t>#KALK!</t>
        </is>
      </c>
      <c r="G3745" t="inlineStr">
        <is>
          <t>LASTSCHUETZ</t>
        </is>
      </c>
      <c r="H3745" t="inlineStr">
        <is>
          <t>4kW 1S Federzugkl.</t>
        </is>
      </c>
      <c r="I3745">
        <v>2113</v>
      </c>
      <c r="J3745">
        <f>GS55/1927.6</f>
        <v>0</v>
      </c>
      <c r="K3745" t="inlineStr">
        <is>
          <t>DIL MC9</t>
        </is>
      </c>
      <c r="M3745" t="inlineStr">
        <is>
          <t>-1927Q1307.6</t>
        </is>
      </c>
    </row>
    <row r="3746">
      <c r="A3746">
        <v>3745</v>
      </c>
      <c r="B3746">
        <f>GS06</f>
        <v>0</v>
      </c>
      <c r="C3746" t="inlineStr">
        <is>
          <t>+LS02</t>
        </is>
      </c>
      <c r="D3746" t="inlineStr">
        <is>
          <t>-192K1</t>
        </is>
      </c>
      <c r="E3746" t="inlineStr">
        <is>
          <t>DILM-9-01</t>
        </is>
      </c>
      <c r="F3746" t="inlineStr">
        <is>
          <t>#KALK!</t>
        </is>
      </c>
      <c r="G3746" t="inlineStr">
        <is>
          <t>LASTSCHUETZ</t>
        </is>
      </c>
      <c r="H3746" t="inlineStr">
        <is>
          <t>4kW 1Oe Federzugkl.</t>
        </is>
      </c>
      <c r="I3746">
        <v>2985</v>
      </c>
      <c r="J3746">
        <f>GS06/192.6</f>
        <v>0</v>
      </c>
      <c r="M3746" t="inlineStr">
        <is>
          <t>-192K1</t>
        </is>
      </c>
    </row>
    <row r="3747">
      <c r="A3747">
        <v>3746</v>
      </c>
      <c r="B3747">
        <f>GS26</f>
        <v>0</v>
      </c>
      <c r="C3747" t="inlineStr">
        <is>
          <t>+LS3</t>
        </is>
      </c>
      <c r="D3747" t="inlineStr">
        <is>
          <t>-192K1</t>
        </is>
      </c>
      <c r="E3747" t="inlineStr">
        <is>
          <t>DILMC25-10230V50HZ</t>
        </is>
      </c>
      <c r="F3747" t="inlineStr">
        <is>
          <t>DILA-XHI22</t>
        </is>
      </c>
      <c r="G3747" t="inlineStr">
        <is>
          <t>LASTSCHUETZ</t>
        </is>
      </c>
      <c r="H3747" t="inlineStr">
        <is>
          <t>11kW 1S Federzugkl.</t>
        </is>
      </c>
      <c r="I3747">
        <v>624</v>
      </c>
      <c r="J3747">
        <f>GS26/192.2</f>
        <v>0</v>
      </c>
      <c r="K3747" t="inlineStr">
        <is>
          <t>DIL MC 25</t>
        </is>
      </c>
      <c r="M3747" t="inlineStr">
        <is>
          <t>-192K1</t>
        </is>
      </c>
    </row>
    <row r="3748">
      <c r="A3748">
        <v>3747</v>
      </c>
      <c r="B3748">
        <f>GS26</f>
        <v>0</v>
      </c>
      <c r="C3748" t="inlineStr">
        <is>
          <t>+LS3</t>
        </is>
      </c>
      <c r="D3748" t="inlineStr">
        <is>
          <t>-192K1</t>
        </is>
      </c>
      <c r="E3748" t="inlineStr">
        <is>
          <t>DILA-XHI22</t>
        </is>
      </c>
      <c r="F3748" t="inlineStr">
        <is>
          <t>DILA-XHI22</t>
        </is>
      </c>
      <c r="G3748" t="inlineStr">
        <is>
          <t>HILFSKONTAKTBLOCK</t>
        </is>
      </c>
      <c r="H3748" t="inlineStr">
        <is>
          <t>2S 2OE Last+Hilfssch. Cage</t>
        </is>
      </c>
      <c r="I3748">
        <v>624</v>
      </c>
      <c r="J3748">
        <f>GS26/192.2</f>
        <v>0</v>
      </c>
      <c r="K3748" t="inlineStr">
        <is>
          <t>DIL MC 25</t>
        </is>
      </c>
      <c r="M3748" t="inlineStr">
        <is>
          <t>-192K1</t>
        </is>
      </c>
    </row>
    <row r="3749">
      <c r="A3749">
        <v>3748</v>
      </c>
      <c r="B3749">
        <f>GS06</f>
        <v>0</v>
      </c>
      <c r="C3749" t="inlineStr">
        <is>
          <t>+LS02</t>
        </is>
      </c>
      <c r="D3749" t="inlineStr">
        <is>
          <t>-192K2</t>
        </is>
      </c>
      <c r="E3749" t="inlineStr">
        <is>
          <t>DILM-9-01</t>
        </is>
      </c>
      <c r="F3749" t="inlineStr">
        <is>
          <t>#KALK!</t>
        </is>
      </c>
      <c r="G3749" t="inlineStr">
        <is>
          <t>LASTSCHUETZ</t>
        </is>
      </c>
      <c r="H3749" t="inlineStr">
        <is>
          <t>4kW 1Oe Federzugkl.</t>
        </is>
      </c>
      <c r="I3749">
        <v>2985</v>
      </c>
      <c r="J3749">
        <f>GS06/192.7</f>
        <v>0</v>
      </c>
      <c r="M3749" t="inlineStr">
        <is>
          <t>-192K2</t>
        </is>
      </c>
    </row>
    <row r="3750">
      <c r="A3750">
        <v>3749</v>
      </c>
      <c r="B3750">
        <f>GS34</f>
        <v>0</v>
      </c>
      <c r="C3750" t="inlineStr">
        <is>
          <t>+LS3</t>
        </is>
      </c>
      <c r="D3750" t="inlineStr">
        <is>
          <t>-192K29.0</t>
        </is>
      </c>
      <c r="E3750" t="inlineStr">
        <is>
          <t>DIL_EM-10-G</t>
        </is>
      </c>
      <c r="F3750" t="inlineStr">
        <is>
          <t>#KALK!</t>
        </is>
      </c>
      <c r="G3750" t="inlineStr">
        <is>
          <t>LASTSCHUETZ</t>
        </is>
      </c>
      <c r="H3750" t="inlineStr">
        <is>
          <t>4kW 1S</t>
        </is>
      </c>
      <c r="I3750">
        <v>316</v>
      </c>
      <c r="J3750">
        <f>GS34/192.6</f>
        <v>0</v>
      </c>
      <c r="M3750" t="inlineStr">
        <is>
          <t>-192K29.0</t>
        </is>
      </c>
    </row>
    <row r="3751">
      <c r="A3751">
        <v>3750</v>
      </c>
      <c r="B3751">
        <f>GS34</f>
        <v>0</v>
      </c>
      <c r="C3751" t="inlineStr">
        <is>
          <t>+LS3</t>
        </is>
      </c>
      <c r="D3751" t="inlineStr">
        <is>
          <t>-192K29.1</t>
        </is>
      </c>
      <c r="E3751" t="inlineStr">
        <is>
          <t>DIL_EM-10-G</t>
        </is>
      </c>
      <c r="F3751" t="inlineStr">
        <is>
          <t>#KALK!</t>
        </is>
      </c>
      <c r="G3751" t="inlineStr">
        <is>
          <t>LASTSCHUETZ</t>
        </is>
      </c>
      <c r="H3751" t="inlineStr">
        <is>
          <t>4kW 1S</t>
        </is>
      </c>
      <c r="I3751">
        <v>316</v>
      </c>
      <c r="J3751">
        <f>GS34/192.6</f>
        <v>0</v>
      </c>
      <c r="M3751" t="inlineStr">
        <is>
          <t>-192K29.1</t>
        </is>
      </c>
    </row>
    <row r="3752">
      <c r="A3752">
        <v>3751</v>
      </c>
      <c r="B3752">
        <f>GS31</f>
        <v>0</v>
      </c>
      <c r="C3752" t="inlineStr">
        <is>
          <t>+LS3</t>
        </is>
      </c>
      <c r="D3752" t="inlineStr">
        <is>
          <t>-192K34.0</t>
        </is>
      </c>
      <c r="E3752" t="inlineStr">
        <is>
          <t>DIL_EM-10-G</t>
        </is>
      </c>
      <c r="F3752" t="inlineStr">
        <is>
          <t>#KALK!</t>
        </is>
      </c>
      <c r="G3752" t="inlineStr">
        <is>
          <t>LASTSCHUETZ</t>
        </is>
      </c>
      <c r="H3752" t="inlineStr">
        <is>
          <t>4kW 1S</t>
        </is>
      </c>
      <c r="I3752">
        <v>477</v>
      </c>
      <c r="J3752">
        <f>GS31/192.6</f>
        <v>0</v>
      </c>
      <c r="M3752" t="inlineStr">
        <is>
          <t>-192K34.0</t>
        </is>
      </c>
    </row>
    <row r="3753">
      <c r="A3753">
        <v>3752</v>
      </c>
      <c r="B3753">
        <f>GS31</f>
        <v>0</v>
      </c>
      <c r="C3753" t="inlineStr">
        <is>
          <t>+LS3</t>
        </is>
      </c>
      <c r="D3753" t="inlineStr">
        <is>
          <t>-192K34.1</t>
        </is>
      </c>
      <c r="E3753" t="inlineStr">
        <is>
          <t>DIL_EM-10-G</t>
        </is>
      </c>
      <c r="F3753" t="inlineStr">
        <is>
          <t>#KALK!</t>
        </is>
      </c>
      <c r="G3753" t="inlineStr">
        <is>
          <t>LASTSCHUETZ</t>
        </is>
      </c>
      <c r="H3753" t="inlineStr">
        <is>
          <t>4kW 1S</t>
        </is>
      </c>
      <c r="I3753">
        <v>477</v>
      </c>
      <c r="J3753">
        <f>GS31/192.6</f>
        <v>0</v>
      </c>
      <c r="M3753" t="inlineStr">
        <is>
          <t>-192K34.1</t>
        </is>
      </c>
    </row>
    <row r="3754">
      <c r="A3754">
        <v>3753</v>
      </c>
      <c r="B3754">
        <f>GS11</f>
        <v>0</v>
      </c>
      <c r="C3754" t="inlineStr">
        <is>
          <t>+LS4</t>
        </is>
      </c>
      <c r="D3754" t="inlineStr">
        <is>
          <t>-192K45.6</t>
        </is>
      </c>
      <c r="E3754" t="inlineStr">
        <is>
          <t>DIL_EM-01-G</t>
        </is>
      </c>
      <c r="F3754" t="inlineStr">
        <is>
          <t>#KALK!</t>
        </is>
      </c>
      <c r="G3754" t="inlineStr">
        <is>
          <t>LASTSCHUETZ</t>
        </is>
      </c>
      <c r="H3754" t="inlineStr">
        <is>
          <t>4kW 1OE</t>
        </is>
      </c>
      <c r="I3754">
        <v>303</v>
      </c>
      <c r="J3754">
        <f>GS11/192.7</f>
        <v>0</v>
      </c>
      <c r="M3754" t="inlineStr">
        <is>
          <t>-192K45.6</t>
        </is>
      </c>
    </row>
    <row r="3755">
      <c r="A3755">
        <v>3754</v>
      </c>
      <c r="B3755">
        <f>GS11</f>
        <v>0</v>
      </c>
      <c r="C3755" t="inlineStr">
        <is>
          <t>+LS4</t>
        </is>
      </c>
      <c r="D3755" t="inlineStr">
        <is>
          <t>-192K46.3</t>
        </is>
      </c>
      <c r="E3755" t="inlineStr">
        <is>
          <t>DIL_EM-10-G</t>
        </is>
      </c>
      <c r="F3755" t="inlineStr">
        <is>
          <t>#KALK!</t>
        </is>
      </c>
      <c r="G3755" t="inlineStr">
        <is>
          <t>LASTSCHUETZ</t>
        </is>
      </c>
      <c r="H3755" t="inlineStr">
        <is>
          <t>4kW 1S</t>
        </is>
      </c>
      <c r="I3755">
        <v>303</v>
      </c>
      <c r="J3755">
        <f>GS11/192.7</f>
        <v>0</v>
      </c>
      <c r="M3755" t="inlineStr">
        <is>
          <t>-192K46.3</t>
        </is>
      </c>
    </row>
    <row r="3756">
      <c r="A3756">
        <v>3755</v>
      </c>
      <c r="B3756">
        <f>GS11</f>
        <v>0</v>
      </c>
      <c r="C3756" t="inlineStr">
        <is>
          <t>+LS4</t>
        </is>
      </c>
      <c r="D3756" t="inlineStr">
        <is>
          <t>-192K47.3</t>
        </is>
      </c>
      <c r="E3756" t="inlineStr">
        <is>
          <t>DIL_EM-01-G</t>
        </is>
      </c>
      <c r="F3756" t="inlineStr">
        <is>
          <t>#KALK!</t>
        </is>
      </c>
      <c r="G3756" t="inlineStr">
        <is>
          <t>LASTSCHUETZ</t>
        </is>
      </c>
      <c r="H3756" t="inlineStr">
        <is>
          <t>4kW 1OE</t>
        </is>
      </c>
      <c r="I3756">
        <v>303</v>
      </c>
      <c r="J3756">
        <f>GS11/192.6</f>
        <v>0</v>
      </c>
      <c r="M3756" t="inlineStr">
        <is>
          <t>-192K47.3</t>
        </is>
      </c>
    </row>
    <row r="3757">
      <c r="A3757">
        <v>3756</v>
      </c>
      <c r="B3757">
        <f>GS23</f>
        <v>0</v>
      </c>
      <c r="C3757" t="inlineStr">
        <is>
          <t>+LS3</t>
        </is>
      </c>
      <c r="D3757" t="inlineStr">
        <is>
          <t>-192K66.5</t>
        </is>
      </c>
      <c r="E3757" t="inlineStr">
        <is>
          <t>DIL_EM-10-G</t>
        </is>
      </c>
      <c r="F3757" t="inlineStr">
        <is>
          <t>#KALK!</t>
        </is>
      </c>
      <c r="G3757" t="inlineStr">
        <is>
          <t>LASTSCHUETZ</t>
        </is>
      </c>
      <c r="H3757" t="inlineStr">
        <is>
          <t>4kW 1S</t>
        </is>
      </c>
      <c r="I3757">
        <v>493</v>
      </c>
      <c r="J3757">
        <f>GS23/192.7</f>
        <v>0</v>
      </c>
      <c r="M3757" t="inlineStr">
        <is>
          <t>-192K66.5</t>
        </is>
      </c>
    </row>
    <row r="3758">
      <c r="A3758">
        <v>3757</v>
      </c>
      <c r="B3758">
        <f>GS14</f>
        <v>0</v>
      </c>
      <c r="C3758" t="inlineStr">
        <is>
          <t>+LS4</t>
        </is>
      </c>
      <c r="D3758" t="inlineStr">
        <is>
          <t>-192K70.0</t>
        </is>
      </c>
      <c r="E3758" t="inlineStr">
        <is>
          <t>DIL_EM-10-G</t>
        </is>
      </c>
      <c r="F3758" t="inlineStr">
        <is>
          <t>#KALK!</t>
        </is>
      </c>
      <c r="G3758" t="inlineStr">
        <is>
          <t>LASTSCHUETZ</t>
        </is>
      </c>
      <c r="H3758" t="inlineStr">
        <is>
          <t>4kW 1S</t>
        </is>
      </c>
      <c r="I3758">
        <v>318</v>
      </c>
      <c r="J3758">
        <f>GS14/192.6</f>
        <v>0</v>
      </c>
      <c r="M3758" t="inlineStr">
        <is>
          <t>-192K70.0</t>
        </is>
      </c>
    </row>
    <row r="3759">
      <c r="A3759">
        <v>3758</v>
      </c>
      <c r="B3759">
        <f>GS14</f>
        <v>0</v>
      </c>
      <c r="C3759" t="inlineStr">
        <is>
          <t>+LS4</t>
        </is>
      </c>
      <c r="D3759" t="inlineStr">
        <is>
          <t>-192K70.1</t>
        </is>
      </c>
      <c r="E3759" t="inlineStr">
        <is>
          <t>DIL_EM-10-G</t>
        </is>
      </c>
      <c r="F3759" t="inlineStr">
        <is>
          <t>#KALK!</t>
        </is>
      </c>
      <c r="G3759" t="inlineStr">
        <is>
          <t>LASTSCHUETZ</t>
        </is>
      </c>
      <c r="H3759" t="inlineStr">
        <is>
          <t>4kW 1S</t>
        </is>
      </c>
      <c r="I3759">
        <v>318</v>
      </c>
      <c r="J3759">
        <f>GS14/192.6</f>
        <v>0</v>
      </c>
      <c r="M3759" t="inlineStr">
        <is>
          <t>-192K70.1</t>
        </is>
      </c>
    </row>
    <row r="3760">
      <c r="A3760">
        <v>3759</v>
      </c>
      <c r="B3760">
        <f>GS35</f>
        <v>0</v>
      </c>
      <c r="C3760" t="inlineStr">
        <is>
          <t>+LS03</t>
        </is>
      </c>
      <c r="D3760" t="inlineStr">
        <is>
          <t>-192Q117.3</t>
        </is>
      </c>
      <c r="E3760" t="inlineStr">
        <is>
          <t>DILM-9-10</t>
        </is>
      </c>
      <c r="F3760" t="inlineStr">
        <is>
          <t>#KALK!</t>
        </is>
      </c>
      <c r="G3760" t="inlineStr">
        <is>
          <t>LASTSCHUETZ</t>
        </is>
      </c>
      <c r="H3760" t="inlineStr">
        <is>
          <t>4kW 1S Federzugkl.</t>
        </is>
      </c>
      <c r="I3760">
        <v>325</v>
      </c>
      <c r="J3760">
        <f>GS35/192.5</f>
        <v>0</v>
      </c>
      <c r="M3760" t="inlineStr">
        <is>
          <t>-192Q117.3</t>
        </is>
      </c>
    </row>
    <row r="3761">
      <c r="A3761">
        <v>3760</v>
      </c>
      <c r="B3761">
        <f>GS55</f>
        <v>0</v>
      </c>
      <c r="C3761" t="inlineStr">
        <is>
          <t>+LS31</t>
        </is>
      </c>
      <c r="D3761" t="inlineStr">
        <is>
          <t>-1931Q1308.2</t>
        </is>
      </c>
      <c r="E3761" t="inlineStr">
        <is>
          <t>DILM-9-10</t>
        </is>
      </c>
      <c r="F3761" t="inlineStr">
        <is>
          <t>#KALK!</t>
        </is>
      </c>
      <c r="G3761" t="inlineStr">
        <is>
          <t>LASTSCHUETZ</t>
        </is>
      </c>
      <c r="H3761" t="inlineStr">
        <is>
          <t>4kW 1S Federzugkl.</t>
        </is>
      </c>
      <c r="I3761">
        <v>2117</v>
      </c>
      <c r="J3761">
        <f>GS55/1931.6</f>
        <v>0</v>
      </c>
      <c r="K3761" t="inlineStr">
        <is>
          <t>DIL MC9</t>
        </is>
      </c>
      <c r="M3761" t="inlineStr">
        <is>
          <t>-1931Q1308.2</t>
        </is>
      </c>
    </row>
    <row r="3762">
      <c r="A3762">
        <v>3761</v>
      </c>
      <c r="B3762">
        <f>GS51</f>
        <v>0</v>
      </c>
      <c r="C3762" t="inlineStr">
        <is>
          <t>+1KK40</t>
        </is>
      </c>
      <c r="D3762" t="inlineStr">
        <is>
          <t>-1933Q2</t>
        </is>
      </c>
      <c r="E3762" t="inlineStr">
        <is>
          <t>DILM-9-10</t>
        </is>
      </c>
      <c r="F3762" t="inlineStr">
        <is>
          <t>#KALK!</t>
        </is>
      </c>
      <c r="G3762" t="inlineStr">
        <is>
          <t>LASTSCHUETZ</t>
        </is>
      </c>
      <c r="H3762" t="inlineStr">
        <is>
          <t>4kW 1S Federzugkl.</t>
        </is>
      </c>
      <c r="I3762">
        <v>1629</v>
      </c>
      <c r="J3762">
        <f>GS51/1933.7</f>
        <v>0</v>
      </c>
      <c r="M3762" t="inlineStr">
        <is>
          <t>-1933Q2</t>
        </is>
      </c>
    </row>
    <row r="3763">
      <c r="A3763">
        <v>3762</v>
      </c>
      <c r="B3763">
        <f>GS06</f>
        <v>0</v>
      </c>
      <c r="C3763" t="inlineStr">
        <is>
          <t>+LS25</t>
        </is>
      </c>
      <c r="D3763" t="inlineStr">
        <is>
          <t>-1935Q1</t>
        </is>
      </c>
      <c r="E3763" t="inlineStr">
        <is>
          <t>DILMC25-10(RDC24)</t>
        </is>
      </c>
      <c r="F3763" t="inlineStr">
        <is>
          <t>DILA-XHI22</t>
        </is>
      </c>
      <c r="G3763" t="inlineStr">
        <is>
          <t>LASTSCHUETZ</t>
        </is>
      </c>
      <c r="H3763" t="inlineStr">
        <is>
          <t>11kW 1S Federzugkl.</t>
        </is>
      </c>
      <c r="I3763">
        <v>4202</v>
      </c>
      <c r="J3763">
        <f>GS06/1935.5</f>
        <v>0</v>
      </c>
      <c r="K3763" t="inlineStr">
        <is>
          <t>DIL MC25</t>
        </is>
      </c>
      <c r="M3763" t="inlineStr">
        <is>
          <t>-1935Q1</t>
        </is>
      </c>
    </row>
    <row r="3764">
      <c r="A3764">
        <v>3763</v>
      </c>
      <c r="B3764">
        <f>GS06</f>
        <v>0</v>
      </c>
      <c r="C3764" t="inlineStr">
        <is>
          <t>+LS25</t>
        </is>
      </c>
      <c r="D3764" t="inlineStr">
        <is>
          <t>-1935Q1</t>
        </is>
      </c>
      <c r="E3764" t="inlineStr">
        <is>
          <t>DILA-XHI22</t>
        </is>
      </c>
      <c r="F3764" t="inlineStr">
        <is>
          <t>DILA-XHI22</t>
        </is>
      </c>
      <c r="G3764" t="inlineStr">
        <is>
          <t>HILFSKONTAKTBLOCK</t>
        </is>
      </c>
      <c r="H3764" t="inlineStr">
        <is>
          <t>2S 2OE Last+Hilfssch. Cage</t>
        </is>
      </c>
      <c r="I3764">
        <v>4202</v>
      </c>
      <c r="J3764">
        <f>GS06/1935.5</f>
        <v>0</v>
      </c>
      <c r="K3764" t="inlineStr">
        <is>
          <t>DIL MC25</t>
        </is>
      </c>
      <c r="M3764" t="inlineStr">
        <is>
          <t>-1935Q1</t>
        </is>
      </c>
    </row>
    <row r="3765">
      <c r="A3765">
        <v>3764</v>
      </c>
      <c r="B3765">
        <f>GS06</f>
        <v>0</v>
      </c>
      <c r="C3765" t="inlineStr">
        <is>
          <t>+LS25</t>
        </is>
      </c>
      <c r="D3765" t="inlineStr">
        <is>
          <t>-1935Q3</t>
        </is>
      </c>
      <c r="E3765" t="inlineStr">
        <is>
          <t>DILMC25-10(RDC24)</t>
        </is>
      </c>
      <c r="F3765" t="inlineStr">
        <is>
          <t>DILA-XHI22</t>
        </is>
      </c>
      <c r="G3765" t="inlineStr">
        <is>
          <t>LASTSCHUETZ</t>
        </is>
      </c>
      <c r="H3765" t="inlineStr">
        <is>
          <t>11kW 1S Federzugkl.</t>
        </is>
      </c>
      <c r="I3765">
        <v>4202</v>
      </c>
      <c r="J3765">
        <f>GS06/1935.7</f>
        <v>0</v>
      </c>
      <c r="K3765" t="inlineStr">
        <is>
          <t>DIL MC25</t>
        </is>
      </c>
      <c r="M3765" t="inlineStr">
        <is>
          <t>-1935Q3</t>
        </is>
      </c>
    </row>
    <row r="3766">
      <c r="A3766">
        <v>3765</v>
      </c>
      <c r="B3766">
        <f>GS06</f>
        <v>0</v>
      </c>
      <c r="C3766" t="inlineStr">
        <is>
          <t>+LS25</t>
        </is>
      </c>
      <c r="D3766" t="inlineStr">
        <is>
          <t>-1935Q3</t>
        </is>
      </c>
      <c r="E3766" t="inlineStr">
        <is>
          <t>DILA-XHI22</t>
        </is>
      </c>
      <c r="F3766" t="inlineStr">
        <is>
          <t>DILA-XHI22</t>
        </is>
      </c>
      <c r="G3766" t="inlineStr">
        <is>
          <t>HILFSKONTAKTBLOCK</t>
        </is>
      </c>
      <c r="H3766" t="inlineStr">
        <is>
          <t>2S 2OE Last+Hilfssch. Cage</t>
        </is>
      </c>
      <c r="I3766">
        <v>4202</v>
      </c>
      <c r="J3766">
        <f>GS06/1935.7</f>
        <v>0</v>
      </c>
      <c r="K3766" t="inlineStr">
        <is>
          <t>DIL MC25</t>
        </is>
      </c>
      <c r="M3766" t="inlineStr">
        <is>
          <t>-1935Q3</t>
        </is>
      </c>
    </row>
    <row r="3767">
      <c r="A3767">
        <v>3766</v>
      </c>
      <c r="B3767">
        <f>GS13</f>
        <v>0</v>
      </c>
      <c r="C3767" t="inlineStr">
        <is>
          <t>+LS3</t>
        </is>
      </c>
      <c r="D3767" t="inlineStr">
        <is>
          <t>-19367.1</t>
        </is>
      </c>
      <c r="E3767" t="inlineStr">
        <is>
          <t>DIL_EM-10-G</t>
        </is>
      </c>
      <c r="F3767" t="inlineStr">
        <is>
          <t>#KALK!</t>
        </is>
      </c>
      <c r="G3767" t="inlineStr">
        <is>
          <t>LASTSCHUETZ</t>
        </is>
      </c>
      <c r="H3767" t="inlineStr">
        <is>
          <t>4kW 1S</t>
        </is>
      </c>
      <c r="I3767">
        <v>435</v>
      </c>
      <c r="J3767">
        <f>GS13/193.7</f>
        <v>0</v>
      </c>
      <c r="M3767" t="inlineStr">
        <is>
          <t>-19367.1</t>
        </is>
      </c>
    </row>
    <row r="3768">
      <c r="A3768">
        <v>3767</v>
      </c>
      <c r="B3768">
        <f>GS06</f>
        <v>0</v>
      </c>
      <c r="C3768" t="inlineStr">
        <is>
          <t>+LS25</t>
        </is>
      </c>
      <c r="D3768" t="inlineStr">
        <is>
          <t>-1939Q1631.5</t>
        </is>
      </c>
      <c r="E3768" t="inlineStr">
        <is>
          <t>DILM-9-01</t>
        </is>
      </c>
      <c r="F3768" t="inlineStr">
        <is>
          <t>DILA-XHI22</t>
        </is>
      </c>
      <c r="G3768" t="inlineStr">
        <is>
          <t>LASTSCHUETZ</t>
        </is>
      </c>
      <c r="H3768" t="inlineStr">
        <is>
          <t>4kW 1Oe Federzugkl.</t>
        </is>
      </c>
      <c r="I3768">
        <v>4206</v>
      </c>
      <c r="J3768">
        <f>GS06/1939.6</f>
        <v>0</v>
      </c>
      <c r="M3768" t="inlineStr">
        <is>
          <t>-1939Q1631.5</t>
        </is>
      </c>
    </row>
    <row r="3769">
      <c r="A3769">
        <v>3768</v>
      </c>
      <c r="B3769">
        <f>GS06</f>
        <v>0</v>
      </c>
      <c r="C3769" t="inlineStr">
        <is>
          <t>+LS25</t>
        </is>
      </c>
      <c r="D3769" t="inlineStr">
        <is>
          <t>-1939Q1631.5</t>
        </is>
      </c>
      <c r="E3769" t="inlineStr">
        <is>
          <t>DILA-XHI22</t>
        </is>
      </c>
      <c r="F3769" t="inlineStr">
        <is>
          <t>DILA-XHI22</t>
        </is>
      </c>
      <c r="G3769" t="inlineStr">
        <is>
          <t>HILFSKONTAKTBLOCK</t>
        </is>
      </c>
      <c r="H3769" t="inlineStr">
        <is>
          <t>2S 2OE Last+Hilfssch. Cage</t>
        </is>
      </c>
      <c r="I3769">
        <v>4206</v>
      </c>
      <c r="J3769">
        <f>GS06/1939.6</f>
        <v>0</v>
      </c>
      <c r="M3769" t="inlineStr">
        <is>
          <t>-1939Q1631.5</t>
        </is>
      </c>
    </row>
    <row r="3770">
      <c r="A3770">
        <v>3769</v>
      </c>
      <c r="B3770">
        <f>GS06</f>
        <v>0</v>
      </c>
      <c r="C3770" t="inlineStr">
        <is>
          <t>+LS25</t>
        </is>
      </c>
      <c r="D3770" t="inlineStr">
        <is>
          <t>-1939Q1631.6</t>
        </is>
      </c>
      <c r="E3770" t="inlineStr">
        <is>
          <t>DILM-9-01</t>
        </is>
      </c>
      <c r="F3770" t="inlineStr">
        <is>
          <t>DILA-XHI22</t>
        </is>
      </c>
      <c r="G3770" t="inlineStr">
        <is>
          <t>LASTSCHUETZ</t>
        </is>
      </c>
      <c r="H3770" t="inlineStr">
        <is>
          <t>4kW 1Oe Federzugkl.</t>
        </is>
      </c>
      <c r="I3770">
        <v>4206</v>
      </c>
      <c r="J3770">
        <f>GS06/1939.7</f>
        <v>0</v>
      </c>
      <c r="M3770" t="inlineStr">
        <is>
          <t>-1939Q1631.6</t>
        </is>
      </c>
    </row>
    <row r="3771">
      <c r="A3771">
        <v>3770</v>
      </c>
      <c r="B3771">
        <f>GS06</f>
        <v>0</v>
      </c>
      <c r="C3771" t="inlineStr">
        <is>
          <t>+LS25</t>
        </is>
      </c>
      <c r="D3771" t="inlineStr">
        <is>
          <t>-1939Q1631.6</t>
        </is>
      </c>
      <c r="E3771" t="inlineStr">
        <is>
          <t>DILA-XHI22</t>
        </is>
      </c>
      <c r="F3771" t="inlineStr">
        <is>
          <t>DILA-XHI22</t>
        </is>
      </c>
      <c r="G3771" t="inlineStr">
        <is>
          <t>HILFSKONTAKTBLOCK</t>
        </is>
      </c>
      <c r="H3771" t="inlineStr">
        <is>
          <t>2S 2OE Last+Hilfssch. Cage</t>
        </is>
      </c>
      <c r="I3771">
        <v>4206</v>
      </c>
      <c r="J3771">
        <f>GS06/1939.7</f>
        <v>0</v>
      </c>
      <c r="M3771" t="inlineStr">
        <is>
          <t>-1939Q1631.6</t>
        </is>
      </c>
    </row>
    <row r="3772">
      <c r="A3772">
        <v>3771</v>
      </c>
      <c r="B3772">
        <f>GS06</f>
        <v>0</v>
      </c>
      <c r="C3772" t="inlineStr">
        <is>
          <t>+LS02</t>
        </is>
      </c>
      <c r="D3772" t="inlineStr">
        <is>
          <t>-193K1</t>
        </is>
      </c>
      <c r="E3772" t="inlineStr">
        <is>
          <t>DILM-9-01</t>
        </is>
      </c>
      <c r="F3772" t="inlineStr">
        <is>
          <t>#KALK!</t>
        </is>
      </c>
      <c r="G3772" t="inlineStr">
        <is>
          <t>LASTSCHUETZ</t>
        </is>
      </c>
      <c r="H3772" t="inlineStr">
        <is>
          <t>4kW 1Oe Federzugkl.</t>
        </is>
      </c>
      <c r="I3772">
        <v>2986</v>
      </c>
      <c r="J3772">
        <f>GS06/193.6</f>
        <v>0</v>
      </c>
      <c r="M3772" t="inlineStr">
        <is>
          <t>-193K1</t>
        </is>
      </c>
    </row>
    <row r="3773">
      <c r="A3773">
        <v>3772</v>
      </c>
      <c r="B3773">
        <f>GS06</f>
        <v>0</v>
      </c>
      <c r="C3773" t="inlineStr">
        <is>
          <t>+LS02</t>
        </is>
      </c>
      <c r="D3773" t="inlineStr">
        <is>
          <t>-193K2</t>
        </is>
      </c>
      <c r="E3773" t="inlineStr">
        <is>
          <t>DILM-9-01</t>
        </is>
      </c>
      <c r="F3773" t="inlineStr">
        <is>
          <t>#KALK!</t>
        </is>
      </c>
      <c r="G3773" t="inlineStr">
        <is>
          <t>LASTSCHUETZ</t>
        </is>
      </c>
      <c r="H3773" t="inlineStr">
        <is>
          <t>4kW 1Oe Federzugkl.</t>
        </is>
      </c>
      <c r="I3773">
        <v>2986</v>
      </c>
      <c r="J3773">
        <f>GS06/193.7</f>
        <v>0</v>
      </c>
      <c r="M3773" t="inlineStr">
        <is>
          <t>-193K2</t>
        </is>
      </c>
    </row>
    <row r="3774">
      <c r="A3774">
        <v>3773</v>
      </c>
      <c r="B3774">
        <f>GC22</f>
        <v>0</v>
      </c>
      <c r="C3774" t="inlineStr">
        <is>
          <t>+LS2</t>
        </is>
      </c>
      <c r="D3774" t="inlineStr">
        <is>
          <t>-193K25.3</t>
        </is>
      </c>
      <c r="E3774" t="inlineStr">
        <is>
          <t>DIL_EM-10-G</t>
        </is>
      </c>
      <c r="F3774" t="inlineStr">
        <is>
          <t>#KALK!</t>
        </is>
      </c>
      <c r="G3774" t="inlineStr">
        <is>
          <t>LASTSCHUETZ</t>
        </is>
      </c>
      <c r="H3774" t="inlineStr">
        <is>
          <t>4kW 1S</t>
        </is>
      </c>
      <c r="I3774">
        <v>2689</v>
      </c>
      <c r="J3774">
        <f>GC22/193.7</f>
        <v>0</v>
      </c>
      <c r="M3774" t="inlineStr">
        <is>
          <t>-193K25.3</t>
        </is>
      </c>
    </row>
    <row r="3775">
      <c r="A3775">
        <v>3774</v>
      </c>
      <c r="B3775">
        <f>GS12</f>
        <v>0</v>
      </c>
      <c r="C3775" t="inlineStr">
        <is>
          <t>+LS2</t>
        </is>
      </c>
      <c r="D3775" t="inlineStr">
        <is>
          <t>-193K25.3</t>
        </is>
      </c>
      <c r="E3775" t="inlineStr">
        <is>
          <t>DIL_EM-10-G</t>
        </is>
      </c>
      <c r="F3775" t="inlineStr">
        <is>
          <t>#KALK!</t>
        </is>
      </c>
      <c r="G3775" t="inlineStr">
        <is>
          <t>LASTSCHUETZ</t>
        </is>
      </c>
      <c r="H3775" t="inlineStr">
        <is>
          <t>4kW 1S</t>
        </is>
      </c>
      <c r="I3775">
        <v>325</v>
      </c>
      <c r="J3775">
        <f>GS12/193.7</f>
        <v>0</v>
      </c>
      <c r="M3775" t="inlineStr">
        <is>
          <t>-193K25.3</t>
        </is>
      </c>
    </row>
    <row r="3776">
      <c r="A3776">
        <v>3775</v>
      </c>
      <c r="B3776">
        <f>GS33</f>
        <v>0</v>
      </c>
      <c r="C3776" t="inlineStr">
        <is>
          <t>+LS3</t>
        </is>
      </c>
      <c r="D3776" t="inlineStr">
        <is>
          <t>-193K28.4</t>
        </is>
      </c>
      <c r="E3776" t="inlineStr">
        <is>
          <t>DIL_EM-10-G</t>
        </is>
      </c>
      <c r="F3776" t="inlineStr">
        <is>
          <t>#KALK!</t>
        </is>
      </c>
      <c r="G3776" t="inlineStr">
        <is>
          <t>LASTSCHUETZ</t>
        </is>
      </c>
      <c r="H3776" t="inlineStr">
        <is>
          <t>4kW 1S</t>
        </is>
      </c>
      <c r="I3776">
        <v>627</v>
      </c>
      <c r="J3776">
        <f>GS33/193.7</f>
        <v>0</v>
      </c>
      <c r="M3776" t="inlineStr">
        <is>
          <t>-193K28.4</t>
        </is>
      </c>
    </row>
    <row r="3777">
      <c r="A3777">
        <v>3776</v>
      </c>
      <c r="B3777">
        <f>GS34</f>
        <v>0</v>
      </c>
      <c r="C3777" t="inlineStr">
        <is>
          <t>+LS3</t>
        </is>
      </c>
      <c r="D3777" t="inlineStr">
        <is>
          <t>-193K29.2</t>
        </is>
      </c>
      <c r="E3777" t="inlineStr">
        <is>
          <t>DIL_EM-10-G</t>
        </is>
      </c>
      <c r="F3777" t="inlineStr">
        <is>
          <t>#KALK!</t>
        </is>
      </c>
      <c r="G3777" t="inlineStr">
        <is>
          <t>LASTSCHUETZ</t>
        </is>
      </c>
      <c r="H3777" t="inlineStr">
        <is>
          <t>4kW 1S</t>
        </is>
      </c>
      <c r="I3777">
        <v>317</v>
      </c>
      <c r="J3777">
        <f>GS34/193.6</f>
        <v>0</v>
      </c>
      <c r="M3777" t="inlineStr">
        <is>
          <t>-193K29.2</t>
        </is>
      </c>
    </row>
    <row r="3778">
      <c r="A3778">
        <v>3777</v>
      </c>
      <c r="B3778">
        <f>GS34</f>
        <v>0</v>
      </c>
      <c r="C3778" t="inlineStr">
        <is>
          <t>+LS3</t>
        </is>
      </c>
      <c r="D3778" t="inlineStr">
        <is>
          <t>-193K29.3</t>
        </is>
      </c>
      <c r="E3778" t="inlineStr">
        <is>
          <t>DIL_EM-10-G</t>
        </is>
      </c>
      <c r="F3778" t="inlineStr">
        <is>
          <t>#KALK!</t>
        </is>
      </c>
      <c r="G3778" t="inlineStr">
        <is>
          <t>LASTSCHUETZ</t>
        </is>
      </c>
      <c r="H3778" t="inlineStr">
        <is>
          <t>4kW 1S</t>
        </is>
      </c>
      <c r="I3778">
        <v>317</v>
      </c>
      <c r="J3778">
        <f>GS34/193.6</f>
        <v>0</v>
      </c>
      <c r="M3778" t="inlineStr">
        <is>
          <t>-193K29.3</t>
        </is>
      </c>
    </row>
    <row r="3779">
      <c r="A3779">
        <v>3778</v>
      </c>
      <c r="B3779">
        <f>GS31</f>
        <v>0</v>
      </c>
      <c r="C3779" t="inlineStr">
        <is>
          <t>+LS3</t>
        </is>
      </c>
      <c r="D3779" t="inlineStr">
        <is>
          <t>-193K34.5</t>
        </is>
      </c>
      <c r="E3779" t="inlineStr">
        <is>
          <t>DIL_EM-10-G</t>
        </is>
      </c>
      <c r="F3779" t="inlineStr">
        <is>
          <t>#KALK!</t>
        </is>
      </c>
      <c r="G3779" t="inlineStr">
        <is>
          <t>LASTSCHUETZ</t>
        </is>
      </c>
      <c r="H3779" t="inlineStr">
        <is>
          <t>4kW 1S</t>
        </is>
      </c>
      <c r="I3779">
        <v>478</v>
      </c>
      <c r="J3779">
        <f>GS31/193.7</f>
        <v>0</v>
      </c>
      <c r="M3779" t="inlineStr">
        <is>
          <t>-193K34.5</t>
        </is>
      </c>
    </row>
    <row r="3780">
      <c r="A3780">
        <v>3779</v>
      </c>
      <c r="B3780">
        <f>GS11</f>
        <v>0</v>
      </c>
      <c r="C3780" t="inlineStr">
        <is>
          <t>+LS4</t>
        </is>
      </c>
      <c r="D3780" t="inlineStr">
        <is>
          <t>-193K46.4</t>
        </is>
      </c>
      <c r="E3780" t="inlineStr">
        <is>
          <t>DIL_ER-22-G</t>
        </is>
      </c>
      <c r="F3780" t="inlineStr">
        <is>
          <t>#KALK!</t>
        </is>
      </c>
      <c r="G3780" t="inlineStr">
        <is>
          <t>HILFSSCHUETZ</t>
        </is>
      </c>
      <c r="H3780" t="inlineStr">
        <is>
          <t>2S 2OE</t>
        </is>
      </c>
      <c r="I3780">
        <v>304</v>
      </c>
      <c r="J3780">
        <f>GS11/193.5</f>
        <v>0</v>
      </c>
      <c r="M3780" t="inlineStr">
        <is>
          <t>-193K46.4</t>
        </is>
      </c>
    </row>
    <row r="3781">
      <c r="A3781">
        <v>3780</v>
      </c>
      <c r="B3781">
        <f>GS23</f>
        <v>0</v>
      </c>
      <c r="C3781" t="inlineStr">
        <is>
          <t>+LS3</t>
        </is>
      </c>
      <c r="D3781" t="inlineStr">
        <is>
          <t>-193K67.1</t>
        </is>
      </c>
      <c r="E3781" t="inlineStr">
        <is>
          <t>DIL_EM-10-G</t>
        </is>
      </c>
      <c r="F3781" t="inlineStr">
        <is>
          <t>#KALK!</t>
        </is>
      </c>
      <c r="G3781" t="inlineStr">
        <is>
          <t>LASTSCHUETZ</t>
        </is>
      </c>
      <c r="H3781" t="inlineStr">
        <is>
          <t>4kW 1S</t>
        </is>
      </c>
      <c r="I3781">
        <v>494</v>
      </c>
      <c r="J3781">
        <f>GS23/193.7</f>
        <v>0</v>
      </c>
      <c r="M3781" t="inlineStr">
        <is>
          <t>-193K67.1</t>
        </is>
      </c>
    </row>
    <row r="3782">
      <c r="A3782">
        <v>3781</v>
      </c>
      <c r="B3782">
        <f>GS14</f>
        <v>0</v>
      </c>
      <c r="C3782" t="inlineStr">
        <is>
          <t>+LS4</t>
        </is>
      </c>
      <c r="D3782" t="inlineStr">
        <is>
          <t>-193K70.2</t>
        </is>
      </c>
      <c r="E3782" t="inlineStr">
        <is>
          <t>DIL_EM-10-G</t>
        </is>
      </c>
      <c r="F3782" t="inlineStr">
        <is>
          <t>#KALK!</t>
        </is>
      </c>
      <c r="G3782" t="inlineStr">
        <is>
          <t>LASTSCHUETZ</t>
        </is>
      </c>
      <c r="H3782" t="inlineStr">
        <is>
          <t>4kW 1S</t>
        </is>
      </c>
      <c r="I3782">
        <v>319</v>
      </c>
      <c r="J3782">
        <f>GS14/193.6</f>
        <v>0</v>
      </c>
      <c r="M3782" t="inlineStr">
        <is>
          <t>-193K70.2</t>
        </is>
      </c>
    </row>
    <row r="3783">
      <c r="A3783">
        <v>3782</v>
      </c>
      <c r="B3783">
        <f>GS14</f>
        <v>0</v>
      </c>
      <c r="C3783" t="inlineStr">
        <is>
          <t>+LS4</t>
        </is>
      </c>
      <c r="D3783" t="inlineStr">
        <is>
          <t>-193K70.3</t>
        </is>
      </c>
      <c r="E3783" t="inlineStr">
        <is>
          <t>DIL_EM-10-G</t>
        </is>
      </c>
      <c r="F3783" t="inlineStr">
        <is>
          <t>#KALK!</t>
        </is>
      </c>
      <c r="G3783" t="inlineStr">
        <is>
          <t>LASTSCHUETZ</t>
        </is>
      </c>
      <c r="H3783" t="inlineStr">
        <is>
          <t>4kW 1S</t>
        </is>
      </c>
      <c r="I3783">
        <v>319</v>
      </c>
      <c r="J3783">
        <f>GS14/193.6</f>
        <v>0</v>
      </c>
      <c r="M3783" t="inlineStr">
        <is>
          <t>-193K70.3</t>
        </is>
      </c>
    </row>
    <row r="3784">
      <c r="A3784">
        <v>3783</v>
      </c>
      <c r="B3784">
        <f>GS35</f>
        <v>0</v>
      </c>
      <c r="C3784" t="inlineStr">
        <is>
          <t>+LS03</t>
        </is>
      </c>
      <c r="D3784" t="inlineStr">
        <is>
          <t>-193Q117.4</t>
        </is>
      </c>
      <c r="E3784" t="inlineStr">
        <is>
          <t>DILM-12-10</t>
        </is>
      </c>
      <c r="F3784" t="inlineStr">
        <is>
          <t>#KALK!</t>
        </is>
      </c>
      <c r="G3784" t="inlineStr">
        <is>
          <t>LASTSCHUETZ</t>
        </is>
      </c>
      <c r="H3784" t="inlineStr">
        <is>
          <t>5,5kW 1S Federzugkl.</t>
        </is>
      </c>
      <c r="I3784">
        <v>349</v>
      </c>
      <c r="J3784">
        <f>GS35/193.5</f>
        <v>0</v>
      </c>
      <c r="K3784" t="inlineStr">
        <is>
          <t>DIL MC12</t>
        </is>
      </c>
      <c r="M3784" t="inlineStr">
        <is>
          <t>-193Q117.4</t>
        </is>
      </c>
    </row>
    <row r="3785">
      <c r="A3785">
        <v>3784</v>
      </c>
      <c r="B3785">
        <f>GS92</f>
        <v>0</v>
      </c>
      <c r="C3785" t="inlineStr">
        <is>
          <t>+LS02</t>
        </is>
      </c>
      <c r="D3785" t="inlineStr">
        <is>
          <t>-193Q164.7</t>
        </is>
      </c>
      <c r="E3785" t="inlineStr">
        <is>
          <t>DILM-9-10</t>
        </is>
      </c>
      <c r="F3785" t="inlineStr">
        <is>
          <t>#KALK!</t>
        </is>
      </c>
      <c r="G3785" t="inlineStr">
        <is>
          <t>LASTSCHUETZ</t>
        </is>
      </c>
      <c r="H3785" t="inlineStr">
        <is>
          <t>4kW 1S Federzugkl.</t>
        </is>
      </c>
      <c r="I3785">
        <v>340</v>
      </c>
      <c r="J3785">
        <f>GS92/193.5</f>
        <v>0</v>
      </c>
      <c r="M3785" t="inlineStr">
        <is>
          <t>-193Q164.7</t>
        </is>
      </c>
    </row>
    <row r="3786">
      <c r="A3786">
        <v>3785</v>
      </c>
      <c r="B3786">
        <f>GS93</f>
        <v>0</v>
      </c>
      <c r="C3786" t="inlineStr">
        <is>
          <t>+LS02</t>
        </is>
      </c>
      <c r="D3786" t="inlineStr">
        <is>
          <t>-193Q165.7</t>
        </is>
      </c>
      <c r="E3786" t="inlineStr">
        <is>
          <t>DILM-9-10</t>
        </is>
      </c>
      <c r="F3786" t="inlineStr">
        <is>
          <t>#KALK!</t>
        </is>
      </c>
      <c r="G3786" t="inlineStr">
        <is>
          <t>LASTSCHUETZ</t>
        </is>
      </c>
      <c r="H3786" t="inlineStr">
        <is>
          <t>4kW 1S Federzugkl.</t>
        </is>
      </c>
      <c r="I3786">
        <v>752</v>
      </c>
      <c r="J3786">
        <f>GS93/193.5</f>
        <v>0</v>
      </c>
      <c r="M3786" t="inlineStr">
        <is>
          <t>-193Q165.7</t>
        </is>
      </c>
    </row>
    <row r="3787">
      <c r="A3787">
        <v>3786</v>
      </c>
      <c r="B3787">
        <f>GS11</f>
        <v>0</v>
      </c>
      <c r="C3787" t="inlineStr">
        <is>
          <t>+LS4</t>
        </is>
      </c>
      <c r="D3787" t="inlineStr">
        <is>
          <t>-194.1K46.5</t>
        </is>
      </c>
      <c r="E3787" t="inlineStr">
        <is>
          <t>DIL_ER-22-G</t>
        </is>
      </c>
      <c r="F3787" t="inlineStr">
        <is>
          <t>#KALK!</t>
        </is>
      </c>
      <c r="G3787" t="inlineStr">
        <is>
          <t>HILFSSCHUETZ</t>
        </is>
      </c>
      <c r="H3787" t="inlineStr">
        <is>
          <t>2S 2OE</t>
        </is>
      </c>
      <c r="I3787">
        <v>1017</v>
      </c>
      <c r="J3787">
        <f>GS11/194.1.5</f>
        <v>0</v>
      </c>
      <c r="M3787" t="inlineStr">
        <is>
          <t>-194.1K46.5</t>
        </is>
      </c>
    </row>
    <row r="3788">
      <c r="A3788">
        <v>3787</v>
      </c>
      <c r="B3788">
        <f>GS06</f>
        <v>0</v>
      </c>
      <c r="C3788" t="inlineStr">
        <is>
          <t>+LS25</t>
        </is>
      </c>
      <c r="D3788" t="inlineStr">
        <is>
          <t>-1940Q1631.7</t>
        </is>
      </c>
      <c r="E3788" t="inlineStr">
        <is>
          <t>DILM-9-01</t>
        </is>
      </c>
      <c r="F3788" t="inlineStr">
        <is>
          <t>DILA-XHI22</t>
        </is>
      </c>
      <c r="G3788" t="inlineStr">
        <is>
          <t>LASTSCHUETZ</t>
        </is>
      </c>
      <c r="H3788" t="inlineStr">
        <is>
          <t>4kW 1Oe Federzugkl.</t>
        </is>
      </c>
      <c r="I3788">
        <v>4207</v>
      </c>
      <c r="J3788">
        <f>GS06/1940.6</f>
        <v>0</v>
      </c>
      <c r="M3788" t="inlineStr">
        <is>
          <t>-1940Q1631.7</t>
        </is>
      </c>
    </row>
    <row r="3789">
      <c r="A3789">
        <v>3788</v>
      </c>
      <c r="B3789">
        <f>GS06</f>
        <v>0</v>
      </c>
      <c r="C3789" t="inlineStr">
        <is>
          <t>+LS25</t>
        </is>
      </c>
      <c r="D3789" t="inlineStr">
        <is>
          <t>-1940Q1631.7</t>
        </is>
      </c>
      <c r="E3789" t="inlineStr">
        <is>
          <t>DILA-XHI22</t>
        </is>
      </c>
      <c r="F3789" t="inlineStr">
        <is>
          <t>DILA-XHI22</t>
        </is>
      </c>
      <c r="G3789" t="inlineStr">
        <is>
          <t>HILFSKONTAKTBLOCK</t>
        </is>
      </c>
      <c r="H3789" t="inlineStr">
        <is>
          <t>2S 2OE Last+Hilfssch. Cage</t>
        </is>
      </c>
      <c r="I3789">
        <v>4207</v>
      </c>
      <c r="J3789">
        <f>GS06/1940.6</f>
        <v>0</v>
      </c>
      <c r="M3789" t="inlineStr">
        <is>
          <t>-1940Q1631.7</t>
        </is>
      </c>
    </row>
    <row r="3790">
      <c r="A3790">
        <v>3789</v>
      </c>
      <c r="B3790">
        <f>GS06</f>
        <v>0</v>
      </c>
      <c r="C3790" t="inlineStr">
        <is>
          <t>+LS25</t>
        </is>
      </c>
      <c r="D3790" t="inlineStr">
        <is>
          <t>-1940Q1632.0</t>
        </is>
      </c>
      <c r="E3790" t="inlineStr">
        <is>
          <t>DILM-9-01</t>
        </is>
      </c>
      <c r="F3790" t="inlineStr">
        <is>
          <t>DILA-XHI22</t>
        </is>
      </c>
      <c r="G3790" t="inlineStr">
        <is>
          <t>LASTSCHUETZ</t>
        </is>
      </c>
      <c r="H3790" t="inlineStr">
        <is>
          <t>4kW 1Oe Federzugkl.</t>
        </is>
      </c>
      <c r="I3790">
        <v>4207</v>
      </c>
      <c r="J3790">
        <f>GS06/1940.7</f>
        <v>0</v>
      </c>
      <c r="M3790" t="inlineStr">
        <is>
          <t>-1940Q1632.0</t>
        </is>
      </c>
    </row>
    <row r="3791">
      <c r="A3791">
        <v>3790</v>
      </c>
      <c r="B3791">
        <f>GS06</f>
        <v>0</v>
      </c>
      <c r="C3791" t="inlineStr">
        <is>
          <t>+LS25</t>
        </is>
      </c>
      <c r="D3791" t="inlineStr">
        <is>
          <t>-1940Q1632.0</t>
        </is>
      </c>
      <c r="E3791" t="inlineStr">
        <is>
          <t>DILA-XHI22</t>
        </is>
      </c>
      <c r="F3791" t="inlineStr">
        <is>
          <t>DILA-XHI22</t>
        </is>
      </c>
      <c r="G3791" t="inlineStr">
        <is>
          <t>HILFSKONTAKTBLOCK</t>
        </is>
      </c>
      <c r="H3791" t="inlineStr">
        <is>
          <t>2S 2OE Last+Hilfssch. Cage</t>
        </is>
      </c>
      <c r="I3791">
        <v>4207</v>
      </c>
      <c r="J3791">
        <f>GS06/1940.7</f>
        <v>0</v>
      </c>
      <c r="M3791" t="inlineStr">
        <is>
          <t>-1940Q1632.0</t>
        </is>
      </c>
    </row>
    <row r="3792">
      <c r="A3792">
        <v>3791</v>
      </c>
      <c r="B3792">
        <f>GS13</f>
        <v>0</v>
      </c>
      <c r="C3792" t="inlineStr">
        <is>
          <t>+LS3</t>
        </is>
      </c>
      <c r="D3792" t="inlineStr">
        <is>
          <t>-19467.5</t>
        </is>
      </c>
      <c r="E3792" t="inlineStr">
        <is>
          <t>DIL_EM-10-G</t>
        </is>
      </c>
      <c r="F3792" t="inlineStr">
        <is>
          <t>#KALK!</t>
        </is>
      </c>
      <c r="G3792" t="inlineStr">
        <is>
          <t>LASTSCHUETZ</t>
        </is>
      </c>
      <c r="H3792" t="inlineStr">
        <is>
          <t>4kW 1S</t>
        </is>
      </c>
      <c r="I3792">
        <v>436</v>
      </c>
      <c r="J3792">
        <f>GS13/194.7</f>
        <v>0</v>
      </c>
      <c r="M3792" t="inlineStr">
        <is>
          <t>-19467.5</t>
        </is>
      </c>
    </row>
    <row r="3793">
      <c r="A3793">
        <v>3792</v>
      </c>
      <c r="B3793">
        <f>GS11</f>
        <v>0</v>
      </c>
      <c r="C3793" t="inlineStr">
        <is>
          <t>+LS4</t>
        </is>
      </c>
      <c r="D3793" t="inlineStr">
        <is>
          <t>-194K1</t>
        </is>
      </c>
      <c r="E3793" t="inlineStr">
        <is>
          <t>DIL_EM-10-G</t>
        </is>
      </c>
      <c r="F3793" t="inlineStr">
        <is>
          <t>22_DIL-E</t>
        </is>
      </c>
      <c r="G3793" t="inlineStr">
        <is>
          <t>LASTSCHUETZ</t>
        </is>
      </c>
      <c r="H3793" t="inlineStr">
        <is>
          <t>4kW 1S</t>
        </is>
      </c>
      <c r="I3793">
        <v>305</v>
      </c>
      <c r="J3793">
        <f>GS11/194.7</f>
        <v>0</v>
      </c>
      <c r="M3793" t="inlineStr">
        <is>
          <t>-194K1</t>
        </is>
      </c>
    </row>
    <row r="3794">
      <c r="A3794">
        <v>3793</v>
      </c>
      <c r="B3794">
        <f>GS11</f>
        <v>0</v>
      </c>
      <c r="C3794" t="inlineStr">
        <is>
          <t>+LS4</t>
        </is>
      </c>
      <c r="D3794" t="inlineStr">
        <is>
          <t>-194K1</t>
        </is>
      </c>
      <c r="E3794" t="inlineStr">
        <is>
          <t>22_DIL-E</t>
        </is>
      </c>
      <c r="F3794" t="inlineStr">
        <is>
          <t>22_DIL-E</t>
        </is>
      </c>
      <c r="G3794" t="inlineStr">
        <is>
          <t>HILFSKONTAKTBLOCK</t>
        </is>
      </c>
      <c r="H3794" t="inlineStr">
        <is>
          <t>2S 2OE Last+Hilfsschuetz</t>
        </is>
      </c>
      <c r="I3794">
        <v>305</v>
      </c>
      <c r="J3794">
        <f>GS11/194.7</f>
        <v>0</v>
      </c>
      <c r="M3794" t="inlineStr">
        <is>
          <t>-194K1</t>
        </is>
      </c>
    </row>
    <row r="3795">
      <c r="A3795">
        <v>3794</v>
      </c>
      <c r="B3795">
        <f>GS7x</f>
        <v>0</v>
      </c>
      <c r="C3795" t="inlineStr">
        <is>
          <t>+LS[l3]</t>
        </is>
      </c>
      <c r="D3795" t="inlineStr">
        <is>
          <t>-194K1</t>
        </is>
      </c>
      <c r="E3795" t="inlineStr">
        <is>
          <t>DILA-40</t>
        </is>
      </c>
      <c r="F3795" t="inlineStr">
        <is>
          <t>#KALK!</t>
        </is>
      </c>
      <c r="G3795" t="inlineStr">
        <is>
          <t>HILFSSCHUETZ</t>
        </is>
      </c>
      <c r="H3795" t="inlineStr">
        <is>
          <t>4S Federzugkl.</t>
        </is>
      </c>
      <c r="I3795">
        <v>238</v>
      </c>
      <c r="J3795">
        <f>GS7x/194.6</f>
        <v>0</v>
      </c>
      <c r="M3795" t="inlineStr">
        <is>
          <t>-194K1</t>
        </is>
      </c>
    </row>
    <row r="3796">
      <c r="A3796">
        <v>3795</v>
      </c>
      <c r="B3796">
        <f>GS06</f>
        <v>0</v>
      </c>
      <c r="C3796" t="inlineStr">
        <is>
          <t>+LS02</t>
        </is>
      </c>
      <c r="D3796" t="inlineStr">
        <is>
          <t>-194K111.3</t>
        </is>
      </c>
      <c r="E3796" t="inlineStr">
        <is>
          <t>DILA-XHI22</t>
        </is>
      </c>
      <c r="F3796" t="inlineStr">
        <is>
          <t>DILA-XHI22</t>
        </is>
      </c>
      <c r="G3796" t="inlineStr">
        <is>
          <t>HILFSKONTAKTBLOCK</t>
        </is>
      </c>
      <c r="H3796" t="inlineStr">
        <is>
          <t>2S 2OE Last+Hilfssch. Cage</t>
        </is>
      </c>
      <c r="I3796">
        <v>2900</v>
      </c>
      <c r="J3796">
        <f>GS06/194.6</f>
        <v>0</v>
      </c>
      <c r="M3796" t="inlineStr">
        <is>
          <t>-194K111.3</t>
        </is>
      </c>
    </row>
    <row r="3797">
      <c r="A3797">
        <v>3796</v>
      </c>
      <c r="B3797">
        <f>GS06</f>
        <v>0</v>
      </c>
      <c r="C3797" t="inlineStr">
        <is>
          <t>+LS02</t>
        </is>
      </c>
      <c r="D3797" t="inlineStr">
        <is>
          <t>-194K111.3</t>
        </is>
      </c>
      <c r="E3797" t="inlineStr">
        <is>
          <t>DIL_ER-40-G</t>
        </is>
      </c>
      <c r="F3797" t="inlineStr">
        <is>
          <t>DILA-XHI22</t>
        </is>
      </c>
      <c r="G3797" t="inlineStr">
        <is>
          <t>HILFSSCHUETZ</t>
        </is>
      </c>
      <c r="H3797" t="inlineStr">
        <is>
          <t>4S</t>
        </is>
      </c>
      <c r="I3797">
        <v>2900</v>
      </c>
      <c r="J3797">
        <f>GS06/194.6</f>
        <v>0</v>
      </c>
      <c r="M3797" t="inlineStr">
        <is>
          <t>-194K111.3</t>
        </is>
      </c>
    </row>
    <row r="3798">
      <c r="A3798">
        <v>3797</v>
      </c>
      <c r="B3798">
        <f>GS11</f>
        <v>0</v>
      </c>
      <c r="C3798" t="inlineStr">
        <is>
          <t>+LS4</t>
        </is>
      </c>
      <c r="D3798" t="inlineStr">
        <is>
          <t>-194K2</t>
        </is>
      </c>
      <c r="E3798" t="inlineStr">
        <is>
          <t>DIL_EM-10-G</t>
        </is>
      </c>
      <c r="F3798" t="inlineStr">
        <is>
          <t>22_DIL-E</t>
        </is>
      </c>
      <c r="G3798" t="inlineStr">
        <is>
          <t>LASTSCHUETZ</t>
        </is>
      </c>
      <c r="H3798" t="inlineStr">
        <is>
          <t>4kW 1S</t>
        </is>
      </c>
      <c r="I3798">
        <v>305</v>
      </c>
      <c r="J3798">
        <f>GS11/194.7</f>
        <v>0</v>
      </c>
      <c r="M3798" t="inlineStr">
        <is>
          <t>-194K2</t>
        </is>
      </c>
    </row>
    <row r="3799">
      <c r="A3799">
        <v>3798</v>
      </c>
      <c r="B3799">
        <f>GS11</f>
        <v>0</v>
      </c>
      <c r="C3799" t="inlineStr">
        <is>
          <t>+LS4</t>
        </is>
      </c>
      <c r="D3799" t="inlineStr">
        <is>
          <t>-194K2</t>
        </is>
      </c>
      <c r="E3799" t="inlineStr">
        <is>
          <t>22_DIL-E</t>
        </is>
      </c>
      <c r="F3799" t="inlineStr">
        <is>
          <t>22_DIL-E</t>
        </is>
      </c>
      <c r="G3799" t="inlineStr">
        <is>
          <t>HILFSKONTAKTBLOCK</t>
        </is>
      </c>
      <c r="H3799" t="inlineStr">
        <is>
          <t>2S 2OE Last+Hilfsschuetz</t>
        </is>
      </c>
      <c r="I3799">
        <v>305</v>
      </c>
      <c r="J3799">
        <f>GS11/194.7</f>
        <v>0</v>
      </c>
      <c r="M3799" t="inlineStr">
        <is>
          <t>-194K2</t>
        </is>
      </c>
    </row>
    <row r="3800">
      <c r="A3800">
        <v>3799</v>
      </c>
      <c r="B3800">
        <f>GC22</f>
        <v>0</v>
      </c>
      <c r="C3800" t="inlineStr">
        <is>
          <t>+LS2</t>
        </is>
      </c>
      <c r="D3800" t="inlineStr">
        <is>
          <t>-194K25.4</t>
        </is>
      </c>
      <c r="E3800" t="inlineStr">
        <is>
          <t>DIL_EM-10-G</t>
        </is>
      </c>
      <c r="F3800" t="inlineStr">
        <is>
          <t>#KALK!</t>
        </is>
      </c>
      <c r="G3800" t="inlineStr">
        <is>
          <t>LASTSCHUETZ</t>
        </is>
      </c>
      <c r="H3800" t="inlineStr">
        <is>
          <t>4kW 1S</t>
        </is>
      </c>
      <c r="I3800">
        <v>2688</v>
      </c>
      <c r="J3800">
        <f>GC22/194.6</f>
        <v>0</v>
      </c>
      <c r="M3800" t="inlineStr">
        <is>
          <t>-194K25.4</t>
        </is>
      </c>
    </row>
    <row r="3801">
      <c r="A3801">
        <v>3800</v>
      </c>
      <c r="B3801">
        <f>GS12</f>
        <v>0</v>
      </c>
      <c r="C3801" t="inlineStr">
        <is>
          <t>+LS2</t>
        </is>
      </c>
      <c r="D3801" t="inlineStr">
        <is>
          <t>-194K25.4</t>
        </is>
      </c>
      <c r="E3801" t="inlineStr">
        <is>
          <t>DIL_EM-10-G</t>
        </is>
      </c>
      <c r="F3801" t="inlineStr">
        <is>
          <t>#KALK!</t>
        </is>
      </c>
      <c r="G3801" t="inlineStr">
        <is>
          <t>LASTSCHUETZ</t>
        </is>
      </c>
      <c r="H3801" t="inlineStr">
        <is>
          <t>4kW 1S</t>
        </is>
      </c>
      <c r="I3801">
        <v>326</v>
      </c>
      <c r="J3801">
        <f>GS12/194.6</f>
        <v>0</v>
      </c>
      <c r="M3801" t="inlineStr">
        <is>
          <t>-194K25.4</t>
        </is>
      </c>
    </row>
    <row r="3802">
      <c r="A3802">
        <v>3801</v>
      </c>
      <c r="B3802">
        <f>GS34</f>
        <v>0</v>
      </c>
      <c r="C3802" t="inlineStr">
        <is>
          <t>+LS3</t>
        </is>
      </c>
      <c r="D3802" t="inlineStr">
        <is>
          <t>-194K29.4</t>
        </is>
      </c>
      <c r="E3802" t="inlineStr">
        <is>
          <t>DIL_EM-10-G</t>
        </is>
      </c>
      <c r="F3802" t="inlineStr">
        <is>
          <t>#KALK!</t>
        </is>
      </c>
      <c r="G3802" t="inlineStr">
        <is>
          <t>LASTSCHUETZ</t>
        </is>
      </c>
      <c r="H3802" t="inlineStr">
        <is>
          <t>4kW 1S</t>
        </is>
      </c>
      <c r="I3802">
        <v>318</v>
      </c>
      <c r="J3802">
        <f>GS34/194.6</f>
        <v>0</v>
      </c>
      <c r="M3802" t="inlineStr">
        <is>
          <t>-194K29.4</t>
        </is>
      </c>
    </row>
    <row r="3803">
      <c r="A3803">
        <v>3802</v>
      </c>
      <c r="B3803">
        <f>GS34</f>
        <v>0</v>
      </c>
      <c r="C3803" t="inlineStr">
        <is>
          <t>+LS3</t>
        </is>
      </c>
      <c r="D3803" t="inlineStr">
        <is>
          <t>-194K29.5</t>
        </is>
      </c>
      <c r="E3803" t="inlineStr">
        <is>
          <t>DIL_EM-10-G</t>
        </is>
      </c>
      <c r="F3803" t="inlineStr">
        <is>
          <t>#KALK!</t>
        </is>
      </c>
      <c r="G3803" t="inlineStr">
        <is>
          <t>LASTSCHUETZ</t>
        </is>
      </c>
      <c r="H3803" t="inlineStr">
        <is>
          <t>4kW 1S</t>
        </is>
      </c>
      <c r="I3803">
        <v>318</v>
      </c>
      <c r="J3803">
        <f>GS34/194.6</f>
        <v>0</v>
      </c>
      <c r="M3803" t="inlineStr">
        <is>
          <t>-194K29.5</t>
        </is>
      </c>
    </row>
    <row r="3804">
      <c r="A3804">
        <v>3803</v>
      </c>
      <c r="B3804">
        <f>GS31</f>
        <v>0</v>
      </c>
      <c r="C3804" t="inlineStr">
        <is>
          <t>+LS3</t>
        </is>
      </c>
      <c r="D3804" t="inlineStr">
        <is>
          <t>-194K35.1</t>
        </is>
      </c>
      <c r="E3804" t="inlineStr">
        <is>
          <t>DIL_EM-10-G</t>
        </is>
      </c>
      <c r="F3804" t="inlineStr">
        <is>
          <t>#KALK!</t>
        </is>
      </c>
      <c r="G3804" t="inlineStr">
        <is>
          <t>LASTSCHUETZ</t>
        </is>
      </c>
      <c r="H3804" t="inlineStr">
        <is>
          <t>4kW 1S</t>
        </is>
      </c>
      <c r="I3804">
        <v>479</v>
      </c>
      <c r="J3804">
        <f>GS31/194.7</f>
        <v>0</v>
      </c>
      <c r="M3804" t="inlineStr">
        <is>
          <t>-194K35.1</t>
        </is>
      </c>
    </row>
    <row r="3805">
      <c r="A3805">
        <v>3804</v>
      </c>
      <c r="B3805">
        <f>GS26</f>
        <v>0</v>
      </c>
      <c r="C3805" t="inlineStr">
        <is>
          <t>+LS3</t>
        </is>
      </c>
      <c r="D3805" t="inlineStr">
        <is>
          <t>-194K3518.3</t>
        </is>
      </c>
      <c r="E3805" t="inlineStr">
        <is>
          <t>DILM-9-10</t>
        </is>
      </c>
      <c r="F3805" t="inlineStr">
        <is>
          <t>#KALK!</t>
        </is>
      </c>
      <c r="G3805" t="inlineStr">
        <is>
          <t>LASTSCHUETZ</t>
        </is>
      </c>
      <c r="H3805" t="inlineStr">
        <is>
          <t>4kW 1S Federzugkl.</t>
        </is>
      </c>
      <c r="I3805">
        <v>622</v>
      </c>
      <c r="J3805">
        <f>GS26/194.8</f>
        <v>0</v>
      </c>
      <c r="M3805" t="inlineStr">
        <is>
          <t>-194K3518.3</t>
        </is>
      </c>
    </row>
    <row r="3806">
      <c r="A3806">
        <v>3805</v>
      </c>
      <c r="B3806">
        <f>GS23</f>
        <v>0</v>
      </c>
      <c r="C3806" t="inlineStr">
        <is>
          <t>+LS3</t>
        </is>
      </c>
      <c r="D3806" t="inlineStr">
        <is>
          <t>-194K67.5</t>
        </is>
      </c>
      <c r="E3806" t="inlineStr">
        <is>
          <t>DIL_EM-10-G</t>
        </is>
      </c>
      <c r="F3806" t="inlineStr">
        <is>
          <t>#KALK!</t>
        </is>
      </c>
      <c r="G3806" t="inlineStr">
        <is>
          <t>LASTSCHUETZ</t>
        </is>
      </c>
      <c r="H3806" t="inlineStr">
        <is>
          <t>4kW 1S</t>
        </is>
      </c>
      <c r="I3806">
        <v>495</v>
      </c>
      <c r="J3806">
        <f>GS23/194.7</f>
        <v>0</v>
      </c>
      <c r="M3806" t="inlineStr">
        <is>
          <t>-194K67.5</t>
        </is>
      </c>
    </row>
    <row r="3807">
      <c r="A3807">
        <v>3806</v>
      </c>
      <c r="B3807">
        <f>GS14</f>
        <v>0</v>
      </c>
      <c r="C3807" t="inlineStr">
        <is>
          <t>+LS4</t>
        </is>
      </c>
      <c r="D3807" t="inlineStr">
        <is>
          <t>-194K70.4</t>
        </is>
      </c>
      <c r="E3807" t="inlineStr">
        <is>
          <t>DIL_EM-10-G</t>
        </is>
      </c>
      <c r="F3807" t="inlineStr">
        <is>
          <t>#KALK!</t>
        </is>
      </c>
      <c r="G3807" t="inlineStr">
        <is>
          <t>LASTSCHUETZ</t>
        </is>
      </c>
      <c r="H3807" t="inlineStr">
        <is>
          <t>4kW 1S</t>
        </is>
      </c>
      <c r="I3807">
        <v>320</v>
      </c>
      <c r="J3807">
        <f>GS14/194.6</f>
        <v>0</v>
      </c>
      <c r="M3807" t="inlineStr">
        <is>
          <t>-194K70.4</t>
        </is>
      </c>
    </row>
    <row r="3808">
      <c r="A3808">
        <v>3807</v>
      </c>
      <c r="B3808">
        <f>GS14</f>
        <v>0</v>
      </c>
      <c r="C3808" t="inlineStr">
        <is>
          <t>+LS4</t>
        </is>
      </c>
      <c r="D3808" t="inlineStr">
        <is>
          <t>-194K70.5</t>
        </is>
      </c>
      <c r="E3808" t="inlineStr">
        <is>
          <t>DIL_EM-10-G</t>
        </is>
      </c>
      <c r="F3808" t="inlineStr">
        <is>
          <t>#KALK!</t>
        </is>
      </c>
      <c r="G3808" t="inlineStr">
        <is>
          <t>LASTSCHUETZ</t>
        </is>
      </c>
      <c r="H3808" t="inlineStr">
        <is>
          <t>4kW 1S</t>
        </is>
      </c>
      <c r="I3808">
        <v>320</v>
      </c>
      <c r="J3808">
        <f>GS14/194.6</f>
        <v>0</v>
      </c>
      <c r="M3808" t="inlineStr">
        <is>
          <t>-194K70.5</t>
        </is>
      </c>
    </row>
    <row r="3809">
      <c r="A3809">
        <v>3808</v>
      </c>
      <c r="B3809">
        <f>GS92</f>
        <v>0</v>
      </c>
      <c r="C3809" t="inlineStr">
        <is>
          <t>+LS02</t>
        </is>
      </c>
      <c r="D3809" t="inlineStr">
        <is>
          <t>-194Q165.0</t>
        </is>
      </c>
      <c r="E3809" t="inlineStr">
        <is>
          <t>DILM-9-10</t>
        </is>
      </c>
      <c r="F3809" t="inlineStr">
        <is>
          <t>#KALK!</t>
        </is>
      </c>
      <c r="G3809" t="inlineStr">
        <is>
          <t>LASTSCHUETZ</t>
        </is>
      </c>
      <c r="H3809" t="inlineStr">
        <is>
          <t>4kW 1S Federzugkl.</t>
        </is>
      </c>
      <c r="I3809">
        <v>327</v>
      </c>
      <c r="J3809">
        <f>GS92/194.5</f>
        <v>0</v>
      </c>
      <c r="M3809" t="inlineStr">
        <is>
          <t>-194Q165.0</t>
        </is>
      </c>
    </row>
    <row r="3810">
      <c r="A3810">
        <v>3809</v>
      </c>
      <c r="B3810">
        <f>GS06</f>
        <v>0</v>
      </c>
      <c r="C3810" t="inlineStr">
        <is>
          <t>+LS25</t>
        </is>
      </c>
      <c r="D3810" t="inlineStr">
        <is>
          <t>-1950Q1</t>
        </is>
      </c>
      <c r="E3810" t="inlineStr">
        <is>
          <t>DILMC25-10(RDC24)</t>
        </is>
      </c>
      <c r="F3810" t="inlineStr">
        <is>
          <t>DILA-XHI22</t>
        </is>
      </c>
      <c r="G3810" t="inlineStr">
        <is>
          <t>LASTSCHUETZ</t>
        </is>
      </c>
      <c r="H3810" t="inlineStr">
        <is>
          <t>11kW 1S Federzugkl.</t>
        </is>
      </c>
      <c r="I3810">
        <v>4217</v>
      </c>
      <c r="J3810">
        <f>GS06/1950.6</f>
        <v>0</v>
      </c>
      <c r="K3810" t="inlineStr">
        <is>
          <t>DIL MC25</t>
        </is>
      </c>
      <c r="M3810" t="inlineStr">
        <is>
          <t>-1950Q1</t>
        </is>
      </c>
    </row>
    <row r="3811">
      <c r="A3811">
        <v>3810</v>
      </c>
      <c r="B3811">
        <f>GS06</f>
        <v>0</v>
      </c>
      <c r="C3811" t="inlineStr">
        <is>
          <t>+LS25</t>
        </is>
      </c>
      <c r="D3811" t="inlineStr">
        <is>
          <t>-1950Q1</t>
        </is>
      </c>
      <c r="E3811" t="inlineStr">
        <is>
          <t>DILA-XHI22</t>
        </is>
      </c>
      <c r="F3811" t="inlineStr">
        <is>
          <t>DILA-XHI22</t>
        </is>
      </c>
      <c r="G3811" t="inlineStr">
        <is>
          <t>HILFSKONTAKTBLOCK</t>
        </is>
      </c>
      <c r="H3811" t="inlineStr">
        <is>
          <t>2S 2OE Last+Hilfssch. Cage</t>
        </is>
      </c>
      <c r="I3811">
        <v>4217</v>
      </c>
      <c r="J3811">
        <f>GS06/1950.6</f>
        <v>0</v>
      </c>
      <c r="K3811" t="inlineStr">
        <is>
          <t>DIL MC25</t>
        </is>
      </c>
      <c r="M3811" t="inlineStr">
        <is>
          <t>-1950Q1</t>
        </is>
      </c>
    </row>
    <row r="3812">
      <c r="A3812">
        <v>3811</v>
      </c>
      <c r="B3812">
        <f>GS13</f>
        <v>0</v>
      </c>
      <c r="C3812" t="inlineStr">
        <is>
          <t>+LS3</t>
        </is>
      </c>
      <c r="D3812" t="inlineStr">
        <is>
          <t>-19568.3</t>
        </is>
      </c>
      <c r="E3812" t="inlineStr">
        <is>
          <t>DIL_EM-10-G</t>
        </is>
      </c>
      <c r="F3812" t="inlineStr">
        <is>
          <t>#KALK!</t>
        </is>
      </c>
      <c r="G3812" t="inlineStr">
        <is>
          <t>LASTSCHUETZ</t>
        </is>
      </c>
      <c r="H3812" t="inlineStr">
        <is>
          <t>4kW 1S</t>
        </is>
      </c>
      <c r="I3812">
        <v>437</v>
      </c>
      <c r="J3812">
        <f>GS13/195.7</f>
        <v>0</v>
      </c>
      <c r="M3812" t="inlineStr">
        <is>
          <t>-19568.3</t>
        </is>
      </c>
    </row>
    <row r="3813">
      <c r="A3813">
        <v>3812</v>
      </c>
      <c r="B3813">
        <f>GS04</f>
        <v>0</v>
      </c>
      <c r="C3813" t="inlineStr">
        <is>
          <t>+LS4</t>
        </is>
      </c>
      <c r="D3813" t="inlineStr">
        <is>
          <t>-195K1</t>
        </is>
      </c>
      <c r="E3813" t="inlineStr">
        <is>
          <t>DIL_0AM</t>
        </is>
      </c>
      <c r="F3813" t="inlineStr">
        <is>
          <t>22_DIL-M</t>
        </is>
      </c>
      <c r="G3813" t="inlineStr">
        <is>
          <t>LASTSCHUETZ</t>
        </is>
      </c>
      <c r="H3813" t="inlineStr">
        <is>
          <t>11 kW</t>
        </is>
      </c>
      <c r="I3813">
        <v>445</v>
      </c>
      <c r="J3813">
        <f>GS04/195.2</f>
        <v>0</v>
      </c>
      <c r="K3813" t="inlineStr">
        <is>
          <t>DIL0AM</t>
        </is>
      </c>
      <c r="M3813" t="inlineStr">
        <is>
          <t>-195K1</t>
        </is>
      </c>
    </row>
    <row r="3814">
      <c r="A3814">
        <v>3813</v>
      </c>
      <c r="B3814">
        <f>GS04</f>
        <v>0</v>
      </c>
      <c r="C3814" t="inlineStr">
        <is>
          <t>+LS4</t>
        </is>
      </c>
      <c r="D3814" t="inlineStr">
        <is>
          <t>-195K1</t>
        </is>
      </c>
      <c r="E3814" t="inlineStr">
        <is>
          <t>22_DIL-M</t>
        </is>
      </c>
      <c r="F3814" t="inlineStr">
        <is>
          <t>22_DIL-M</t>
        </is>
      </c>
      <c r="G3814" t="inlineStr">
        <is>
          <t>HILFSKONTAKTBLOCK</t>
        </is>
      </c>
      <c r="H3814" t="inlineStr">
        <is>
          <t>2S 2OE Lastschuetz DIL M</t>
        </is>
      </c>
      <c r="I3814">
        <v>445</v>
      </c>
      <c r="J3814">
        <f>GS04/195.2</f>
        <v>0</v>
      </c>
      <c r="K3814" t="inlineStr">
        <is>
          <t>DIL0AM</t>
        </is>
      </c>
      <c r="M3814" t="inlineStr">
        <is>
          <t>-195K1</t>
        </is>
      </c>
    </row>
    <row r="3815">
      <c r="A3815">
        <v>3814</v>
      </c>
      <c r="B3815">
        <f>GS16</f>
        <v>0</v>
      </c>
      <c r="C3815" t="inlineStr">
        <is>
          <t>+LS4</t>
        </is>
      </c>
      <c r="D3815" t="inlineStr">
        <is>
          <t>-195K1</t>
        </is>
      </c>
      <c r="E3815" t="inlineStr">
        <is>
          <t>DIL_2AM</t>
        </is>
      </c>
      <c r="F3815" t="inlineStr">
        <is>
          <t>22_DIL-M</t>
        </is>
      </c>
      <c r="G3815" t="inlineStr">
        <is>
          <t>LASTSCHUETZ</t>
        </is>
      </c>
      <c r="H3815" t="inlineStr">
        <is>
          <t>30 kW</t>
        </is>
      </c>
      <c r="I3815">
        <v>419</v>
      </c>
      <c r="J3815">
        <f>GS16/195.2</f>
        <v>0</v>
      </c>
      <c r="K3815" t="inlineStr">
        <is>
          <t>DIL2AM</t>
        </is>
      </c>
      <c r="M3815" t="inlineStr">
        <is>
          <t>-195K1</t>
        </is>
      </c>
    </row>
    <row r="3816">
      <c r="A3816">
        <v>3815</v>
      </c>
      <c r="B3816">
        <f>GS16</f>
        <v>0</v>
      </c>
      <c r="C3816" t="inlineStr">
        <is>
          <t>+LS4</t>
        </is>
      </c>
      <c r="D3816" t="inlineStr">
        <is>
          <t>-195K1</t>
        </is>
      </c>
      <c r="E3816" t="inlineStr">
        <is>
          <t>22_DIL-M</t>
        </is>
      </c>
      <c r="F3816" t="inlineStr">
        <is>
          <t>22_DIL-M</t>
        </is>
      </c>
      <c r="G3816" t="inlineStr">
        <is>
          <t>HILFSKONTAKTBLOCK</t>
        </is>
      </c>
      <c r="H3816" t="inlineStr">
        <is>
          <t>2S 2OE Lastschuetz DIL M</t>
        </is>
      </c>
      <c r="I3816">
        <v>419</v>
      </c>
      <c r="J3816">
        <f>GS16/195.2</f>
        <v>0</v>
      </c>
      <c r="K3816" t="inlineStr">
        <is>
          <t>DIL2AM</t>
        </is>
      </c>
      <c r="M3816" t="inlineStr">
        <is>
          <t>-195K1</t>
        </is>
      </c>
    </row>
    <row r="3817">
      <c r="A3817">
        <v>3816</v>
      </c>
      <c r="B3817">
        <f>GS32</f>
        <v>0</v>
      </c>
      <c r="C3817" t="inlineStr">
        <is>
          <t>+LS4</t>
        </is>
      </c>
      <c r="D3817" t="inlineStr">
        <is>
          <t>-195K1</t>
        </is>
      </c>
      <c r="E3817" t="inlineStr">
        <is>
          <t>22_DIL-M</t>
        </is>
      </c>
      <c r="F3817" t="inlineStr">
        <is>
          <t>22_DIL-M</t>
        </is>
      </c>
      <c r="G3817" t="inlineStr">
        <is>
          <t>HILFSKONTAKTBLOCK</t>
        </is>
      </c>
      <c r="H3817" t="inlineStr">
        <is>
          <t>2S 2OE Lastschuetz DIL M</t>
        </is>
      </c>
      <c r="I3817">
        <v>1057</v>
      </c>
      <c r="J3817">
        <f>GS32/195.2</f>
        <v>0</v>
      </c>
      <c r="K3817" t="inlineStr">
        <is>
          <t>DIL2AM</t>
        </is>
      </c>
      <c r="M3817" t="inlineStr">
        <is>
          <t>-195K1</t>
        </is>
      </c>
    </row>
    <row r="3818">
      <c r="A3818">
        <v>3817</v>
      </c>
      <c r="B3818">
        <f>GS32</f>
        <v>0</v>
      </c>
      <c r="C3818" t="inlineStr">
        <is>
          <t>+LS4</t>
        </is>
      </c>
      <c r="D3818" t="inlineStr">
        <is>
          <t>-195K1</t>
        </is>
      </c>
      <c r="E3818" t="inlineStr">
        <is>
          <t>DIL_2AM</t>
        </is>
      </c>
      <c r="F3818" t="inlineStr">
        <is>
          <t>22_DIL-M</t>
        </is>
      </c>
      <c r="G3818" t="inlineStr">
        <is>
          <t>LASTSCHUETZ</t>
        </is>
      </c>
      <c r="H3818" t="inlineStr">
        <is>
          <t>30 kW</t>
        </is>
      </c>
      <c r="I3818">
        <v>1057</v>
      </c>
      <c r="J3818">
        <f>GS32/195.2</f>
        <v>0</v>
      </c>
      <c r="K3818" t="inlineStr">
        <is>
          <t>DIL2AM</t>
        </is>
      </c>
      <c r="M3818" t="inlineStr">
        <is>
          <t>-195K1</t>
        </is>
      </c>
    </row>
    <row r="3819">
      <c r="A3819">
        <v>3818</v>
      </c>
      <c r="B3819">
        <f>GS62</f>
        <v>0</v>
      </c>
      <c r="C3819" t="inlineStr">
        <is>
          <t>+LS1</t>
        </is>
      </c>
      <c r="D3819" t="inlineStr">
        <is>
          <t>-195K1</t>
        </is>
      </c>
      <c r="E3819" t="inlineStr">
        <is>
          <t>DIL_0AM</t>
        </is>
      </c>
      <c r="F3819" t="inlineStr">
        <is>
          <t>22_DIL-M</t>
        </is>
      </c>
      <c r="G3819" t="inlineStr">
        <is>
          <t>LASTSCHUETZ</t>
        </is>
      </c>
      <c r="H3819" t="inlineStr">
        <is>
          <t>11 kW</t>
        </is>
      </c>
      <c r="I3819">
        <v>165</v>
      </c>
      <c r="J3819">
        <f>GS62/195.2</f>
        <v>0</v>
      </c>
      <c r="K3819" t="inlineStr">
        <is>
          <t>DIL0AM</t>
        </is>
      </c>
      <c r="M3819" t="inlineStr">
        <is>
          <t>-195K1</t>
        </is>
      </c>
    </row>
    <row r="3820">
      <c r="A3820">
        <v>3819</v>
      </c>
      <c r="B3820">
        <f>GS62</f>
        <v>0</v>
      </c>
      <c r="C3820" t="inlineStr">
        <is>
          <t>+LS1</t>
        </is>
      </c>
      <c r="D3820" t="inlineStr">
        <is>
          <t>-195K1</t>
        </is>
      </c>
      <c r="E3820" t="inlineStr">
        <is>
          <t>22_DIL-M</t>
        </is>
      </c>
      <c r="F3820" t="inlineStr">
        <is>
          <t>22_DIL-M</t>
        </is>
      </c>
      <c r="G3820" t="inlineStr">
        <is>
          <t>HILFSKONTAKTBLOCK</t>
        </is>
      </c>
      <c r="H3820" t="inlineStr">
        <is>
          <t>2S 2OE Lastschuetz DIL M</t>
        </is>
      </c>
      <c r="I3820">
        <v>165</v>
      </c>
      <c r="J3820">
        <f>GS62/195.2</f>
        <v>0</v>
      </c>
      <c r="K3820" t="inlineStr">
        <is>
          <t>DIL0AM</t>
        </is>
      </c>
      <c r="M3820" t="inlineStr">
        <is>
          <t>-195K1</t>
        </is>
      </c>
    </row>
    <row r="3821">
      <c r="A3821">
        <v>3820</v>
      </c>
      <c r="B3821">
        <f>GS55</f>
        <v>0</v>
      </c>
      <c r="C3821" t="inlineStr">
        <is>
          <t>+LS02</t>
        </is>
      </c>
      <c r="D3821" t="inlineStr">
        <is>
          <t>-195K111.6</t>
        </is>
      </c>
      <c r="E3821" t="inlineStr">
        <is>
          <t>DILA-31</t>
        </is>
      </c>
      <c r="F3821" t="inlineStr">
        <is>
          <t>#KALK!</t>
        </is>
      </c>
      <c r="G3821" t="inlineStr">
        <is>
          <t>HILFSSCHUETZ</t>
        </is>
      </c>
      <c r="H3821" t="inlineStr">
        <is>
          <t>3S 1Oe Federzugkl.</t>
        </is>
      </c>
      <c r="I3821">
        <v>420</v>
      </c>
      <c r="J3821">
        <f>GS55/195.6</f>
        <v>0</v>
      </c>
      <c r="M3821" t="inlineStr">
        <is>
          <t>-195K111.6</t>
        </is>
      </c>
    </row>
    <row r="3822">
      <c r="A3822">
        <v>3821</v>
      </c>
      <c r="B3822">
        <f>GS20</f>
        <v>0</v>
      </c>
      <c r="C3822" t="inlineStr">
        <is>
          <t>+LS03</t>
        </is>
      </c>
      <c r="D3822" t="inlineStr">
        <is>
          <t>-195K118.4</t>
        </is>
      </c>
      <c r="E3822" t="inlineStr">
        <is>
          <t>DILA-40</t>
        </is>
      </c>
      <c r="F3822" t="inlineStr">
        <is>
          <t>#KALK!</t>
        </is>
      </c>
      <c r="G3822" t="inlineStr">
        <is>
          <t>HILFSSCHUETZ</t>
        </is>
      </c>
      <c r="H3822" t="inlineStr">
        <is>
          <t>4S Federzugkl.</t>
        </is>
      </c>
      <c r="I3822">
        <v>1538</v>
      </c>
      <c r="J3822">
        <f>GS20/195.7</f>
        <v>0</v>
      </c>
      <c r="M3822" t="inlineStr">
        <is>
          <t>-195K118.4</t>
        </is>
      </c>
    </row>
    <row r="3823">
      <c r="A3823">
        <v>3822</v>
      </c>
      <c r="B3823">
        <f>GS04</f>
        <v>0</v>
      </c>
      <c r="C3823" t="inlineStr">
        <is>
          <t>+LS4</t>
        </is>
      </c>
      <c r="D3823" t="inlineStr">
        <is>
          <t>-195K2</t>
        </is>
      </c>
      <c r="E3823" t="inlineStr">
        <is>
          <t>DIL_0AM</t>
        </is>
      </c>
      <c r="F3823" t="inlineStr">
        <is>
          <t>22_DIL-M</t>
        </is>
      </c>
      <c r="G3823" t="inlineStr">
        <is>
          <t>LASTSCHUETZ</t>
        </is>
      </c>
      <c r="H3823" t="inlineStr">
        <is>
          <t>11 kW</t>
        </is>
      </c>
      <c r="I3823">
        <v>445</v>
      </c>
      <c r="J3823">
        <f>GS04/195.3</f>
        <v>0</v>
      </c>
      <c r="K3823" t="inlineStr">
        <is>
          <t>DIL0AM</t>
        </is>
      </c>
      <c r="M3823" t="inlineStr">
        <is>
          <t>-195K2</t>
        </is>
      </c>
    </row>
    <row r="3824">
      <c r="A3824">
        <v>3823</v>
      </c>
      <c r="B3824">
        <f>GS04</f>
        <v>0</v>
      </c>
      <c r="C3824" t="inlineStr">
        <is>
          <t>+LS4</t>
        </is>
      </c>
      <c r="D3824" t="inlineStr">
        <is>
          <t>-195K2</t>
        </is>
      </c>
      <c r="E3824" t="inlineStr">
        <is>
          <t>22_DIL-M</t>
        </is>
      </c>
      <c r="F3824" t="inlineStr">
        <is>
          <t>22_DIL-M</t>
        </is>
      </c>
      <c r="G3824" t="inlineStr">
        <is>
          <t>HILFSKONTAKTBLOCK</t>
        </is>
      </c>
      <c r="H3824" t="inlineStr">
        <is>
          <t>2S 2OE Lastschuetz DIL M</t>
        </is>
      </c>
      <c r="I3824">
        <v>445</v>
      </c>
      <c r="J3824">
        <f>GS04/195.3</f>
        <v>0</v>
      </c>
      <c r="K3824" t="inlineStr">
        <is>
          <t>DIL0AM</t>
        </is>
      </c>
      <c r="M3824" t="inlineStr">
        <is>
          <t>-195K2</t>
        </is>
      </c>
    </row>
    <row r="3825">
      <c r="A3825">
        <v>3824</v>
      </c>
      <c r="B3825">
        <f>GS16</f>
        <v>0</v>
      </c>
      <c r="C3825" t="inlineStr">
        <is>
          <t>+LS4</t>
        </is>
      </c>
      <c r="D3825" t="inlineStr">
        <is>
          <t>-195K2</t>
        </is>
      </c>
      <c r="E3825" t="inlineStr">
        <is>
          <t>22_DIL-M</t>
        </is>
      </c>
      <c r="F3825" t="inlineStr">
        <is>
          <t>22_DIL-M</t>
        </is>
      </c>
      <c r="G3825" t="inlineStr">
        <is>
          <t>HILFSKONTAKTBLOCK</t>
        </is>
      </c>
      <c r="H3825" t="inlineStr">
        <is>
          <t>2S 2OE Lastschuetz DIL M</t>
        </is>
      </c>
      <c r="I3825">
        <v>419</v>
      </c>
      <c r="J3825">
        <f>GS16/195.3</f>
        <v>0</v>
      </c>
      <c r="K3825" t="inlineStr">
        <is>
          <t>DIL0AM</t>
        </is>
      </c>
      <c r="M3825" t="inlineStr">
        <is>
          <t>-195K2</t>
        </is>
      </c>
    </row>
    <row r="3826">
      <c r="A3826">
        <v>3825</v>
      </c>
      <c r="B3826">
        <f>GS16</f>
        <v>0</v>
      </c>
      <c r="C3826" t="inlineStr">
        <is>
          <t>+LS4</t>
        </is>
      </c>
      <c r="D3826" t="inlineStr">
        <is>
          <t>-195K2</t>
        </is>
      </c>
      <c r="E3826" t="inlineStr">
        <is>
          <t>DIL_0AM</t>
        </is>
      </c>
      <c r="F3826" t="inlineStr">
        <is>
          <t>22_DIL-M</t>
        </is>
      </c>
      <c r="G3826" t="inlineStr">
        <is>
          <t>LASTSCHUETZ</t>
        </is>
      </c>
      <c r="H3826" t="inlineStr">
        <is>
          <t>11 kW</t>
        </is>
      </c>
      <c r="I3826">
        <v>419</v>
      </c>
      <c r="J3826">
        <f>GS16/195.3</f>
        <v>0</v>
      </c>
      <c r="K3826" t="inlineStr">
        <is>
          <t>DIL0AM</t>
        </is>
      </c>
      <c r="M3826" t="inlineStr">
        <is>
          <t>-195K2</t>
        </is>
      </c>
    </row>
    <row r="3827">
      <c r="A3827">
        <v>3826</v>
      </c>
      <c r="B3827">
        <f>GS32</f>
        <v>0</v>
      </c>
      <c r="C3827" t="inlineStr">
        <is>
          <t>+LS4</t>
        </is>
      </c>
      <c r="D3827" t="inlineStr">
        <is>
          <t>-195K2</t>
        </is>
      </c>
      <c r="E3827" t="inlineStr">
        <is>
          <t>22_DIL-M</t>
        </is>
      </c>
      <c r="F3827" t="inlineStr">
        <is>
          <t>22_DIL-M</t>
        </is>
      </c>
      <c r="G3827" t="inlineStr">
        <is>
          <t>HILFSKONTAKTBLOCK</t>
        </is>
      </c>
      <c r="H3827" t="inlineStr">
        <is>
          <t>2S 2OE Lastschuetz DIL M</t>
        </is>
      </c>
      <c r="I3827">
        <v>1057</v>
      </c>
      <c r="J3827">
        <f>GS32/195.3</f>
        <v>0</v>
      </c>
      <c r="K3827" t="inlineStr">
        <is>
          <t>DIL0AM</t>
        </is>
      </c>
      <c r="M3827" t="inlineStr">
        <is>
          <t>-195K2</t>
        </is>
      </c>
    </row>
    <row r="3828">
      <c r="A3828">
        <v>3827</v>
      </c>
      <c r="B3828">
        <f>GS32</f>
        <v>0</v>
      </c>
      <c r="C3828" t="inlineStr">
        <is>
          <t>+LS4</t>
        </is>
      </c>
      <c r="D3828" t="inlineStr">
        <is>
          <t>-195K2</t>
        </is>
      </c>
      <c r="E3828" t="inlineStr">
        <is>
          <t>DIL_0AM</t>
        </is>
      </c>
      <c r="F3828" t="inlineStr">
        <is>
          <t>22_DIL-M</t>
        </is>
      </c>
      <c r="G3828" t="inlineStr">
        <is>
          <t>LASTSCHUETZ</t>
        </is>
      </c>
      <c r="H3828" t="inlineStr">
        <is>
          <t>11 kW</t>
        </is>
      </c>
      <c r="I3828">
        <v>1057</v>
      </c>
      <c r="J3828">
        <f>GS32/195.3</f>
        <v>0</v>
      </c>
      <c r="K3828" t="inlineStr">
        <is>
          <t>DIL0AM</t>
        </is>
      </c>
      <c r="M3828" t="inlineStr">
        <is>
          <t>-195K2</t>
        </is>
      </c>
    </row>
    <row r="3829">
      <c r="A3829">
        <v>3828</v>
      </c>
      <c r="B3829">
        <f>GC22</f>
        <v>0</v>
      </c>
      <c r="C3829" t="inlineStr">
        <is>
          <t>+LS2</t>
        </is>
      </c>
      <c r="D3829" t="inlineStr">
        <is>
          <t>-195K26.1</t>
        </is>
      </c>
      <c r="E3829" t="inlineStr">
        <is>
          <t>DIL_EM-10-G</t>
        </is>
      </c>
      <c r="F3829" t="inlineStr">
        <is>
          <t>#KALK!</t>
        </is>
      </c>
      <c r="G3829" t="inlineStr">
        <is>
          <t>LASTSCHUETZ</t>
        </is>
      </c>
      <c r="H3829" t="inlineStr">
        <is>
          <t>4kW 1S</t>
        </is>
      </c>
      <c r="I3829">
        <v>2687</v>
      </c>
      <c r="J3829">
        <f>GC22/195.7</f>
        <v>0</v>
      </c>
      <c r="M3829" t="inlineStr">
        <is>
          <t>-195K26.1</t>
        </is>
      </c>
    </row>
    <row r="3830">
      <c r="A3830">
        <v>3829</v>
      </c>
      <c r="B3830">
        <f>GS12</f>
        <v>0</v>
      </c>
      <c r="C3830" t="inlineStr">
        <is>
          <t>+LS2</t>
        </is>
      </c>
      <c r="D3830" t="inlineStr">
        <is>
          <t>-195K26.1</t>
        </is>
      </c>
      <c r="E3830" t="inlineStr">
        <is>
          <t>DIL_EM-10-G</t>
        </is>
      </c>
      <c r="F3830" t="inlineStr">
        <is>
          <t>#KALK!</t>
        </is>
      </c>
      <c r="G3830" t="inlineStr">
        <is>
          <t>LASTSCHUETZ</t>
        </is>
      </c>
      <c r="H3830" t="inlineStr">
        <is>
          <t>4kW 1S</t>
        </is>
      </c>
      <c r="I3830">
        <v>327</v>
      </c>
      <c r="J3830">
        <f>GS12/195.7</f>
        <v>0</v>
      </c>
      <c r="M3830" t="inlineStr">
        <is>
          <t>-195K26.1</t>
        </is>
      </c>
    </row>
    <row r="3831">
      <c r="A3831">
        <v>3830</v>
      </c>
      <c r="B3831">
        <f>GS34</f>
        <v>0</v>
      </c>
      <c r="C3831" t="inlineStr">
        <is>
          <t>+LS3</t>
        </is>
      </c>
      <c r="D3831" t="inlineStr">
        <is>
          <t>-195K29.6</t>
        </is>
      </c>
      <c r="E3831" t="inlineStr">
        <is>
          <t>DIL_EM-10-G</t>
        </is>
      </c>
      <c r="F3831" t="inlineStr">
        <is>
          <t>#KALK!</t>
        </is>
      </c>
      <c r="G3831" t="inlineStr">
        <is>
          <t>LASTSCHUETZ</t>
        </is>
      </c>
      <c r="H3831" t="inlineStr">
        <is>
          <t>4kW 1S</t>
        </is>
      </c>
      <c r="I3831">
        <v>319</v>
      </c>
      <c r="J3831">
        <f>GS34/195.6</f>
        <v>0</v>
      </c>
      <c r="M3831" t="inlineStr">
        <is>
          <t>-195K29.6</t>
        </is>
      </c>
    </row>
    <row r="3832">
      <c r="A3832">
        <v>3831</v>
      </c>
      <c r="B3832">
        <f>GS34</f>
        <v>0</v>
      </c>
      <c r="C3832" t="inlineStr">
        <is>
          <t>+LS3</t>
        </is>
      </c>
      <c r="D3832" t="inlineStr">
        <is>
          <t>-195K29.7</t>
        </is>
      </c>
      <c r="E3832" t="inlineStr">
        <is>
          <t>DIL_EM-10-G</t>
        </is>
      </c>
      <c r="F3832" t="inlineStr">
        <is>
          <t>#KALK!</t>
        </is>
      </c>
      <c r="G3832" t="inlineStr">
        <is>
          <t>LASTSCHUETZ</t>
        </is>
      </c>
      <c r="H3832" t="inlineStr">
        <is>
          <t>4kW 1S</t>
        </is>
      </c>
      <c r="I3832">
        <v>319</v>
      </c>
      <c r="J3832">
        <f>GS34/195.6</f>
        <v>0</v>
      </c>
      <c r="M3832" t="inlineStr">
        <is>
          <t>-195K29.7</t>
        </is>
      </c>
    </row>
    <row r="3833">
      <c r="A3833">
        <v>3832</v>
      </c>
      <c r="B3833">
        <f>GS31</f>
        <v>0</v>
      </c>
      <c r="C3833" t="inlineStr">
        <is>
          <t>+LS3</t>
        </is>
      </c>
      <c r="D3833" t="inlineStr">
        <is>
          <t>-195K35.2</t>
        </is>
      </c>
      <c r="E3833" t="inlineStr">
        <is>
          <t>DIL_EM-10-G</t>
        </is>
      </c>
      <c r="F3833" t="inlineStr">
        <is>
          <t>#KALK!</t>
        </is>
      </c>
      <c r="G3833" t="inlineStr">
        <is>
          <t>LASTSCHUETZ</t>
        </is>
      </c>
      <c r="H3833" t="inlineStr">
        <is>
          <t>4kW 1S</t>
        </is>
      </c>
      <c r="I3833">
        <v>480</v>
      </c>
      <c r="J3833">
        <f>GS31/195.6</f>
        <v>0</v>
      </c>
      <c r="M3833" t="inlineStr">
        <is>
          <t>-195K35.2</t>
        </is>
      </c>
    </row>
    <row r="3834">
      <c r="A3834">
        <v>3833</v>
      </c>
      <c r="B3834">
        <f>GS26</f>
        <v>0</v>
      </c>
      <c r="C3834" t="inlineStr">
        <is>
          <t>+LS3</t>
        </is>
      </c>
      <c r="D3834" t="inlineStr">
        <is>
          <t>-195K3518.4</t>
        </is>
      </c>
      <c r="E3834" t="inlineStr">
        <is>
          <t>DILM-9-01</t>
        </is>
      </c>
      <c r="F3834" t="inlineStr">
        <is>
          <t>#KALK!</t>
        </is>
      </c>
      <c r="G3834" t="inlineStr">
        <is>
          <t>LASTSCHUETZ</t>
        </is>
      </c>
      <c r="H3834" t="inlineStr">
        <is>
          <t>4kW 1Oe Federzugkl.</t>
        </is>
      </c>
      <c r="I3834">
        <v>621</v>
      </c>
      <c r="J3834">
        <f>GS26/195.6</f>
        <v>0</v>
      </c>
      <c r="M3834" t="inlineStr">
        <is>
          <t>-195K3518.4</t>
        </is>
      </c>
    </row>
    <row r="3835">
      <c r="A3835">
        <v>3834</v>
      </c>
      <c r="B3835">
        <f>GS26</f>
        <v>0</v>
      </c>
      <c r="C3835" t="inlineStr">
        <is>
          <t>+LS3</t>
        </is>
      </c>
      <c r="D3835" t="inlineStr">
        <is>
          <t>-195K3518.5</t>
        </is>
      </c>
      <c r="E3835" t="inlineStr">
        <is>
          <t>DILM-9-10</t>
        </is>
      </c>
      <c r="F3835" t="inlineStr">
        <is>
          <t>#KALK!</t>
        </is>
      </c>
      <c r="G3835" t="inlineStr">
        <is>
          <t>LASTSCHUETZ</t>
        </is>
      </c>
      <c r="H3835" t="inlineStr">
        <is>
          <t>4kW 1S Federzugkl.</t>
        </is>
      </c>
      <c r="I3835">
        <v>621</v>
      </c>
      <c r="J3835">
        <f>GS26/195.7</f>
        <v>0</v>
      </c>
      <c r="M3835" t="inlineStr">
        <is>
          <t>-195K3518.5</t>
        </is>
      </c>
    </row>
    <row r="3836">
      <c r="A3836">
        <v>3835</v>
      </c>
      <c r="B3836">
        <f>GS26</f>
        <v>0</v>
      </c>
      <c r="C3836" t="inlineStr">
        <is>
          <t>+LS3</t>
        </is>
      </c>
      <c r="D3836" t="inlineStr">
        <is>
          <t>-195K3520.6</t>
        </is>
      </c>
      <c r="E3836" t="inlineStr">
        <is>
          <t>DILM-9-01</t>
        </is>
      </c>
      <c r="F3836" t="inlineStr">
        <is>
          <t>#KALK!</t>
        </is>
      </c>
      <c r="G3836" t="inlineStr">
        <is>
          <t>LASTSCHUETZ</t>
        </is>
      </c>
      <c r="H3836" t="inlineStr">
        <is>
          <t>4kW 1Oe Federzugkl.</t>
        </is>
      </c>
      <c r="I3836">
        <v>621</v>
      </c>
      <c r="J3836">
        <f>GS26/195.6</f>
        <v>0</v>
      </c>
      <c r="M3836" t="inlineStr">
        <is>
          <t>-195K3520.6</t>
        </is>
      </c>
    </row>
    <row r="3837">
      <c r="A3837">
        <v>3836</v>
      </c>
      <c r="B3837">
        <f>GS91</f>
        <v>0</v>
      </c>
      <c r="C3837" t="inlineStr">
        <is>
          <t>+LS02</t>
        </is>
      </c>
      <c r="D3837" t="inlineStr">
        <is>
          <t>-195K448.4</t>
        </is>
      </c>
      <c r="E3837" t="inlineStr">
        <is>
          <t>DILA-40</t>
        </is>
      </c>
      <c r="F3837" t="inlineStr">
        <is>
          <t>#KALK!</t>
        </is>
      </c>
      <c r="G3837" t="inlineStr">
        <is>
          <t>HILFSSCHUETZ</t>
        </is>
      </c>
      <c r="H3837" t="inlineStr">
        <is>
          <t>4S Federzugkl.</t>
        </is>
      </c>
      <c r="I3837">
        <v>303</v>
      </c>
      <c r="J3837">
        <f>GS91/195.7</f>
        <v>0</v>
      </c>
      <c r="M3837" t="inlineStr">
        <is>
          <t>-195K448.4</t>
        </is>
      </c>
    </row>
    <row r="3838">
      <c r="A3838">
        <v>3837</v>
      </c>
      <c r="B3838">
        <f>GS23</f>
        <v>0</v>
      </c>
      <c r="C3838" t="inlineStr">
        <is>
          <t>+LS3</t>
        </is>
      </c>
      <c r="D3838" t="inlineStr">
        <is>
          <t>-195K68.3</t>
        </is>
      </c>
      <c r="E3838" t="inlineStr">
        <is>
          <t>DIL_EM-10-G</t>
        </is>
      </c>
      <c r="F3838" t="inlineStr">
        <is>
          <t>#KALK!</t>
        </is>
      </c>
      <c r="G3838" t="inlineStr">
        <is>
          <t>LASTSCHUETZ</t>
        </is>
      </c>
      <c r="H3838" t="inlineStr">
        <is>
          <t>4kW 1S</t>
        </is>
      </c>
      <c r="I3838">
        <v>496</v>
      </c>
      <c r="J3838">
        <f>GS23/195.7</f>
        <v>0</v>
      </c>
      <c r="M3838" t="inlineStr">
        <is>
          <t>-195K68.3</t>
        </is>
      </c>
    </row>
    <row r="3839">
      <c r="A3839">
        <v>3838</v>
      </c>
      <c r="B3839">
        <f>GS14</f>
        <v>0</v>
      </c>
      <c r="C3839" t="inlineStr">
        <is>
          <t>+LS4</t>
        </is>
      </c>
      <c r="D3839" t="inlineStr">
        <is>
          <t>-195K71.1</t>
        </is>
      </c>
      <c r="E3839" t="inlineStr">
        <is>
          <t>DIL_EM-10-G</t>
        </is>
      </c>
      <c r="F3839" t="inlineStr">
        <is>
          <t>#KALK!</t>
        </is>
      </c>
      <c r="G3839" t="inlineStr">
        <is>
          <t>LASTSCHUETZ</t>
        </is>
      </c>
      <c r="H3839" t="inlineStr">
        <is>
          <t>4kW 1S</t>
        </is>
      </c>
      <c r="I3839">
        <v>321</v>
      </c>
      <c r="J3839">
        <f>GS14/195.7</f>
        <v>0</v>
      </c>
      <c r="M3839" t="inlineStr">
        <is>
          <t>-195K71.1</t>
        </is>
      </c>
    </row>
    <row r="3840">
      <c r="A3840">
        <v>3839</v>
      </c>
      <c r="B3840">
        <f>GS38</f>
        <v>0</v>
      </c>
      <c r="C3840" t="inlineStr">
        <is>
          <t>+LS03</t>
        </is>
      </c>
      <c r="D3840" t="inlineStr">
        <is>
          <t>-195K722.0</t>
        </is>
      </c>
      <c r="E3840" t="inlineStr">
        <is>
          <t>DILA-40</t>
        </is>
      </c>
      <c r="F3840" t="inlineStr">
        <is>
          <t>#KALK!</t>
        </is>
      </c>
      <c r="G3840" t="inlineStr">
        <is>
          <t>HILFSSCHUETZ</t>
        </is>
      </c>
      <c r="H3840" t="inlineStr">
        <is>
          <t>4S Federzugkl.</t>
        </is>
      </c>
      <c r="I3840">
        <v>327</v>
      </c>
      <c r="J3840">
        <f>GS38/195.7</f>
        <v>0</v>
      </c>
      <c r="M3840" t="inlineStr">
        <is>
          <t>-195K722.0</t>
        </is>
      </c>
    </row>
    <row r="3841">
      <c r="A3841">
        <v>3840</v>
      </c>
      <c r="B3841">
        <f>GS39</f>
        <v>0</v>
      </c>
      <c r="C3841" t="inlineStr">
        <is>
          <t>+LS03</t>
        </is>
      </c>
      <c r="D3841" t="inlineStr">
        <is>
          <t>-195K722.0</t>
        </is>
      </c>
      <c r="E3841" t="inlineStr">
        <is>
          <t>DILA-40</t>
        </is>
      </c>
      <c r="F3841" t="inlineStr">
        <is>
          <t>#KALK!</t>
        </is>
      </c>
      <c r="G3841" t="inlineStr">
        <is>
          <t>HILFSSCHUETZ</t>
        </is>
      </c>
      <c r="H3841" t="inlineStr">
        <is>
          <t>4S Federzugkl.</t>
        </is>
      </c>
      <c r="I3841">
        <v>390</v>
      </c>
      <c r="J3841">
        <f>GS39/195.7</f>
        <v>0</v>
      </c>
      <c r="M3841" t="inlineStr">
        <is>
          <t>-195K722.0</t>
        </is>
      </c>
    </row>
    <row r="3842">
      <c r="A3842">
        <v>3841</v>
      </c>
      <c r="B3842">
        <f>GS20</f>
        <v>0</v>
      </c>
      <c r="C3842" t="inlineStr">
        <is>
          <t>+LS03</t>
        </is>
      </c>
      <c r="D3842" t="inlineStr">
        <is>
          <t>-195Q1</t>
        </is>
      </c>
      <c r="E3842" t="inlineStr">
        <is>
          <t>DILA-XHI22</t>
        </is>
      </c>
      <c r="F3842" t="inlineStr">
        <is>
          <t>DILA-XHI22</t>
        </is>
      </c>
      <c r="G3842" t="inlineStr">
        <is>
          <t>HILFSKONTAKTBLOCK</t>
        </is>
      </c>
      <c r="H3842" t="inlineStr">
        <is>
          <t>2S 2OE Last+Hilfssch. Cage</t>
        </is>
      </c>
      <c r="I3842">
        <v>1538</v>
      </c>
      <c r="J3842">
        <f>GS20/195.4</f>
        <v>0</v>
      </c>
      <c r="K3842" t="inlineStr">
        <is>
          <t>DIL MC25</t>
        </is>
      </c>
      <c r="M3842" t="inlineStr">
        <is>
          <t>-195Q1</t>
        </is>
      </c>
    </row>
    <row r="3843">
      <c r="A3843">
        <v>3842</v>
      </c>
      <c r="B3843">
        <f>GS20</f>
        <v>0</v>
      </c>
      <c r="C3843" t="inlineStr">
        <is>
          <t>+LS03</t>
        </is>
      </c>
      <c r="D3843" t="inlineStr">
        <is>
          <t>-195Q1</t>
        </is>
      </c>
      <c r="E3843" t="inlineStr">
        <is>
          <t>DILMC25-10(RDC24)</t>
        </is>
      </c>
      <c r="F3843" t="inlineStr">
        <is>
          <t>DILA-XHI22</t>
        </is>
      </c>
      <c r="G3843" t="inlineStr">
        <is>
          <t>LASTSCHUETZ</t>
        </is>
      </c>
      <c r="H3843" t="inlineStr">
        <is>
          <t>11kW 1S Federzugkl.</t>
        </is>
      </c>
      <c r="I3843">
        <v>1538</v>
      </c>
      <c r="J3843">
        <f>GS20/195.4</f>
        <v>0</v>
      </c>
      <c r="K3843" t="inlineStr">
        <is>
          <t>DIL MC25</t>
        </is>
      </c>
      <c r="M3843" t="inlineStr">
        <is>
          <t>-195Q1</t>
        </is>
      </c>
    </row>
    <row r="3844">
      <c r="A3844">
        <v>3843</v>
      </c>
      <c r="B3844">
        <f>GS38</f>
        <v>0</v>
      </c>
      <c r="C3844" t="inlineStr">
        <is>
          <t>+LS03</t>
        </is>
      </c>
      <c r="D3844" t="inlineStr">
        <is>
          <t>-195Q1</t>
        </is>
      </c>
      <c r="E3844" t="inlineStr">
        <is>
          <t>DILA-XHI22</t>
        </is>
      </c>
      <c r="F3844" t="inlineStr">
        <is>
          <t>DILA-XHI22</t>
        </is>
      </c>
      <c r="G3844" t="inlineStr">
        <is>
          <t>HILFSKONTAKTBLOCK</t>
        </is>
      </c>
      <c r="H3844" t="inlineStr">
        <is>
          <t>2S 2OE Last+Hilfssch. Cage</t>
        </is>
      </c>
      <c r="I3844">
        <v>327</v>
      </c>
      <c r="J3844">
        <f>GS38/195.4</f>
        <v>0</v>
      </c>
      <c r="K3844" t="inlineStr">
        <is>
          <t>DIL MC25</t>
        </is>
      </c>
      <c r="M3844" t="inlineStr">
        <is>
          <t>-195Q1</t>
        </is>
      </c>
    </row>
    <row r="3845">
      <c r="A3845">
        <v>3844</v>
      </c>
      <c r="B3845">
        <f>GS38</f>
        <v>0</v>
      </c>
      <c r="C3845" t="inlineStr">
        <is>
          <t>+LS03</t>
        </is>
      </c>
      <c r="D3845" t="inlineStr">
        <is>
          <t>-195Q1</t>
        </is>
      </c>
      <c r="E3845" t="inlineStr">
        <is>
          <t>DILMC25-10(RDC24)</t>
        </is>
      </c>
      <c r="F3845" t="inlineStr">
        <is>
          <t>DILA-XHI22</t>
        </is>
      </c>
      <c r="G3845" t="inlineStr">
        <is>
          <t>LASTSCHUETZ</t>
        </is>
      </c>
      <c r="H3845" t="inlineStr">
        <is>
          <t>11kW 1S Federzugkl.</t>
        </is>
      </c>
      <c r="I3845">
        <v>327</v>
      </c>
      <c r="J3845">
        <f>GS38/195.4</f>
        <v>0</v>
      </c>
      <c r="K3845" t="inlineStr">
        <is>
          <t>DIL MC25</t>
        </is>
      </c>
      <c r="M3845" t="inlineStr">
        <is>
          <t>-195Q1</t>
        </is>
      </c>
    </row>
    <row r="3846">
      <c r="A3846">
        <v>3845</v>
      </c>
      <c r="B3846">
        <f>GS39</f>
        <v>0</v>
      </c>
      <c r="C3846" t="inlineStr">
        <is>
          <t>+LS03</t>
        </is>
      </c>
      <c r="D3846" t="inlineStr">
        <is>
          <t>-195Q1</t>
        </is>
      </c>
      <c r="E3846" t="inlineStr">
        <is>
          <t>DILMC25-10(RDC24)</t>
        </is>
      </c>
      <c r="F3846" t="inlineStr">
        <is>
          <t>DILA-XHI22</t>
        </is>
      </c>
      <c r="G3846" t="inlineStr">
        <is>
          <t>LASTSCHUETZ</t>
        </is>
      </c>
      <c r="H3846" t="inlineStr">
        <is>
          <t>11kW 1S Federzugkl.</t>
        </is>
      </c>
      <c r="I3846">
        <v>390</v>
      </c>
      <c r="J3846">
        <f>GS39/195.4</f>
        <v>0</v>
      </c>
      <c r="K3846" t="inlineStr">
        <is>
          <t>DIL MC25</t>
        </is>
      </c>
      <c r="M3846" t="inlineStr">
        <is>
          <t>-195Q1</t>
        </is>
      </c>
    </row>
    <row r="3847">
      <c r="A3847">
        <v>3846</v>
      </c>
      <c r="B3847">
        <f>GS39</f>
        <v>0</v>
      </c>
      <c r="C3847" t="inlineStr">
        <is>
          <t>+LS03</t>
        </is>
      </c>
      <c r="D3847" t="inlineStr">
        <is>
          <t>-195Q1</t>
        </is>
      </c>
      <c r="E3847" t="inlineStr">
        <is>
          <t>DILA-XHI22</t>
        </is>
      </c>
      <c r="F3847" t="inlineStr">
        <is>
          <t>DILA-XHI22</t>
        </is>
      </c>
      <c r="G3847" t="inlineStr">
        <is>
          <t>HILFSKONTAKTBLOCK</t>
        </is>
      </c>
      <c r="H3847" t="inlineStr">
        <is>
          <t>2S 2OE Last+Hilfssch. Cage</t>
        </is>
      </c>
      <c r="I3847">
        <v>390</v>
      </c>
      <c r="J3847">
        <f>GS39/195.4</f>
        <v>0</v>
      </c>
      <c r="K3847" t="inlineStr">
        <is>
          <t>DIL MC25</t>
        </is>
      </c>
      <c r="M3847" t="inlineStr">
        <is>
          <t>-195Q1</t>
        </is>
      </c>
    </row>
    <row r="3848">
      <c r="A3848">
        <v>3847</v>
      </c>
      <c r="B3848">
        <f>GS51</f>
        <v>0</v>
      </c>
      <c r="C3848" t="inlineStr">
        <is>
          <t>+LS02</t>
        </is>
      </c>
      <c r="D3848" t="inlineStr">
        <is>
          <t>-195Q1</t>
        </is>
      </c>
      <c r="E3848" t="inlineStr">
        <is>
          <t>DILA-XHI22</t>
        </is>
      </c>
      <c r="F3848" t="inlineStr">
        <is>
          <t>DILA-XHI22</t>
        </is>
      </c>
      <c r="G3848" t="inlineStr">
        <is>
          <t>HILFSKONTAKTBLOCK</t>
        </is>
      </c>
      <c r="H3848" t="inlineStr">
        <is>
          <t>2S 2OE Last+Hilfssch. Cage</t>
        </is>
      </c>
      <c r="I3848">
        <v>387</v>
      </c>
      <c r="J3848">
        <f>GS51/195.6</f>
        <v>0</v>
      </c>
      <c r="K3848" t="inlineStr">
        <is>
          <t>DIL MC25</t>
        </is>
      </c>
      <c r="M3848" t="inlineStr">
        <is>
          <t>-195Q1</t>
        </is>
      </c>
    </row>
    <row r="3849">
      <c r="A3849">
        <v>3848</v>
      </c>
      <c r="B3849">
        <f>GS51</f>
        <v>0</v>
      </c>
      <c r="C3849" t="inlineStr">
        <is>
          <t>+LS02</t>
        </is>
      </c>
      <c r="D3849" t="inlineStr">
        <is>
          <t>-195Q1</t>
        </is>
      </c>
      <c r="E3849" t="inlineStr">
        <is>
          <t>DILMC25-10(RDC24)</t>
        </is>
      </c>
      <c r="F3849" t="inlineStr">
        <is>
          <t>DILA-XHI22</t>
        </is>
      </c>
      <c r="G3849" t="inlineStr">
        <is>
          <t>LASTSCHUETZ</t>
        </is>
      </c>
      <c r="H3849" t="inlineStr">
        <is>
          <t>11kW 1S Federzugkl.</t>
        </is>
      </c>
      <c r="I3849">
        <v>387</v>
      </c>
      <c r="J3849">
        <f>GS51/195.6</f>
        <v>0</v>
      </c>
      <c r="K3849" t="inlineStr">
        <is>
          <t>DIL MC25</t>
        </is>
      </c>
      <c r="M3849" t="inlineStr">
        <is>
          <t>-195Q1</t>
        </is>
      </c>
    </row>
    <row r="3850">
      <c r="A3850">
        <v>3849</v>
      </c>
      <c r="B3850">
        <f>GS91</f>
        <v>0</v>
      </c>
      <c r="C3850" t="inlineStr">
        <is>
          <t>+LS02</t>
        </is>
      </c>
      <c r="D3850" t="inlineStr">
        <is>
          <t>-195Q1</t>
        </is>
      </c>
      <c r="E3850" t="inlineStr">
        <is>
          <t>DILA-XHI22</t>
        </is>
      </c>
      <c r="F3850" t="inlineStr">
        <is>
          <t>DILA-XHI22</t>
        </is>
      </c>
      <c r="G3850" t="inlineStr">
        <is>
          <t>HILFSKONTAKTBLOCK</t>
        </is>
      </c>
      <c r="H3850" t="inlineStr">
        <is>
          <t>2S 2OE Last+Hilfssch. Cage</t>
        </is>
      </c>
      <c r="I3850">
        <v>303</v>
      </c>
      <c r="J3850">
        <f>GS91/195.4</f>
        <v>0</v>
      </c>
      <c r="K3850" t="inlineStr">
        <is>
          <t>DIL MC25</t>
        </is>
      </c>
      <c r="M3850" t="inlineStr">
        <is>
          <t>-195Q1</t>
        </is>
      </c>
    </row>
    <row r="3851">
      <c r="A3851">
        <v>3850</v>
      </c>
      <c r="B3851">
        <f>GS91</f>
        <v>0</v>
      </c>
      <c r="C3851" t="inlineStr">
        <is>
          <t>+LS02</t>
        </is>
      </c>
      <c r="D3851" t="inlineStr">
        <is>
          <t>-195Q1</t>
        </is>
      </c>
      <c r="E3851" t="inlineStr">
        <is>
          <t>DILMC25-10(RDC24)</t>
        </is>
      </c>
      <c r="F3851" t="inlineStr">
        <is>
          <t>DILA-XHI22</t>
        </is>
      </c>
      <c r="G3851" t="inlineStr">
        <is>
          <t>LASTSCHUETZ</t>
        </is>
      </c>
      <c r="H3851" t="inlineStr">
        <is>
          <t>11kW 1S Federzugkl.</t>
        </is>
      </c>
      <c r="I3851">
        <v>303</v>
      </c>
      <c r="J3851">
        <f>GS91/195.4</f>
        <v>0</v>
      </c>
      <c r="K3851" t="inlineStr">
        <is>
          <t>DIL MC25</t>
        </is>
      </c>
      <c r="M3851" t="inlineStr">
        <is>
          <t>-195Q1</t>
        </is>
      </c>
    </row>
    <row r="3852">
      <c r="A3852">
        <v>3851</v>
      </c>
      <c r="B3852">
        <f>GS93</f>
        <v>0</v>
      </c>
      <c r="C3852" t="inlineStr">
        <is>
          <t>+LS02</t>
        </is>
      </c>
      <c r="D3852" t="inlineStr">
        <is>
          <t>-195Q166.1</t>
        </is>
      </c>
      <c r="E3852" t="inlineStr">
        <is>
          <t>DILM-9-10</t>
        </is>
      </c>
      <c r="F3852" t="inlineStr">
        <is>
          <t>#KALK!</t>
        </is>
      </c>
      <c r="G3852" t="inlineStr">
        <is>
          <t>LASTSCHUETZ</t>
        </is>
      </c>
      <c r="H3852" t="inlineStr">
        <is>
          <t>4kW 1S Federzugkl.</t>
        </is>
      </c>
      <c r="I3852">
        <v>754</v>
      </c>
      <c r="J3852">
        <f>GS93/195.5</f>
        <v>0</v>
      </c>
      <c r="M3852" t="inlineStr">
        <is>
          <t>-195Q166.1</t>
        </is>
      </c>
    </row>
    <row r="3853">
      <c r="A3853">
        <v>3852</v>
      </c>
      <c r="B3853">
        <f>GS36</f>
        <v>0</v>
      </c>
      <c r="C3853" t="inlineStr">
        <is>
          <t>+LS04</t>
        </is>
      </c>
      <c r="D3853" t="inlineStr">
        <is>
          <t>-207Q139.7</t>
        </is>
      </c>
      <c r="E3853" t="inlineStr">
        <is>
          <t>DILM-9-10</t>
        </is>
      </c>
      <c r="F3853" t="inlineStr">
        <is>
          <t>#KALK!</t>
        </is>
      </c>
      <c r="G3853" t="inlineStr">
        <is>
          <t>LASTSCHUETZ</t>
        </is>
      </c>
      <c r="H3853" t="inlineStr">
        <is>
          <t>4kW 1S Federzugkl.</t>
        </is>
      </c>
      <c r="I3853">
        <v>380</v>
      </c>
      <c r="J3853">
        <f>GS36/207.6</f>
        <v>0</v>
      </c>
      <c r="L3853" t="inlineStr">
        <is>
          <t>KF_2302</t>
        </is>
      </c>
      <c r="M3853" t="inlineStr">
        <is>
          <t>KF_2302
-207Q139.7</t>
        </is>
      </c>
      <c r="N3853" t="inlineStr">
        <is>
          <t>P</t>
        </is>
      </c>
    </row>
    <row r="3854">
      <c r="A3854">
        <v>3853</v>
      </c>
      <c r="B3854">
        <f>GS37</f>
        <v>0</v>
      </c>
      <c r="C3854" t="inlineStr">
        <is>
          <t>+LS03</t>
        </is>
      </c>
      <c r="D3854" t="inlineStr">
        <is>
          <t>-195Q447.1</t>
        </is>
      </c>
      <c r="E3854" t="inlineStr">
        <is>
          <t>DILMC12-10(24VDC)</t>
        </is>
      </c>
      <c r="F3854" t="inlineStr">
        <is>
          <t>#KALK!</t>
        </is>
      </c>
      <c r="G3854" t="inlineStr">
        <is>
          <t>LASTSCHUETZ</t>
        </is>
      </c>
      <c r="H3854" t="inlineStr">
        <is>
          <t>5,5kW 1S Federzugkl.</t>
        </is>
      </c>
      <c r="I3854">
        <v>316</v>
      </c>
      <c r="J3854">
        <f>GS37/195.5</f>
        <v>0</v>
      </c>
      <c r="K3854" t="inlineStr">
        <is>
          <t>DILMC12</t>
        </is>
      </c>
      <c r="M3854" t="inlineStr">
        <is>
          <t>-195Q447.1</t>
        </is>
      </c>
    </row>
    <row r="3855">
      <c r="A3855">
        <v>3854</v>
      </c>
      <c r="B3855">
        <f>GS13</f>
        <v>0</v>
      </c>
      <c r="C3855" t="inlineStr">
        <is>
          <t>+LS3</t>
        </is>
      </c>
      <c r="D3855" t="inlineStr">
        <is>
          <t>-19669.1</t>
        </is>
      </c>
      <c r="E3855" t="inlineStr">
        <is>
          <t>DIL_EM-10-G</t>
        </is>
      </c>
      <c r="F3855" t="inlineStr">
        <is>
          <t>#KALK!</t>
        </is>
      </c>
      <c r="G3855" t="inlineStr">
        <is>
          <t>LASTSCHUETZ</t>
        </is>
      </c>
      <c r="H3855" t="inlineStr">
        <is>
          <t>4kW 1S</t>
        </is>
      </c>
      <c r="I3855">
        <v>438</v>
      </c>
      <c r="J3855">
        <f>GS13/196.7</f>
        <v>0</v>
      </c>
      <c r="M3855" t="inlineStr">
        <is>
          <t>-19669.1</t>
        </is>
      </c>
    </row>
    <row r="3856">
      <c r="A3856">
        <v>3855</v>
      </c>
      <c r="B3856">
        <f>GS02</f>
        <v>0</v>
      </c>
      <c r="C3856" t="inlineStr">
        <is>
          <t>+LS3</t>
        </is>
      </c>
      <c r="D3856" t="inlineStr">
        <is>
          <t>-196K1</t>
        </is>
      </c>
      <c r="E3856" t="inlineStr">
        <is>
          <t>22_DIL-M</t>
        </is>
      </c>
      <c r="F3856" t="inlineStr">
        <is>
          <t>22_DIL-M</t>
        </is>
      </c>
      <c r="G3856" t="inlineStr">
        <is>
          <t>HILFSKONTAKTBLOCK</t>
        </is>
      </c>
      <c r="H3856" t="inlineStr">
        <is>
          <t>2S 2OE Lastschuetz DIL M</t>
        </is>
      </c>
      <c r="I3856">
        <v>599</v>
      </c>
      <c r="J3856">
        <f>GS02/196.2</f>
        <v>0</v>
      </c>
      <c r="K3856" t="inlineStr">
        <is>
          <t>DIL0AM</t>
        </is>
      </c>
      <c r="M3856" t="inlineStr">
        <is>
          <t>-196K1</t>
        </is>
      </c>
    </row>
    <row r="3857">
      <c r="A3857">
        <v>3856</v>
      </c>
      <c r="B3857">
        <f>GS02</f>
        <v>0</v>
      </c>
      <c r="C3857" t="inlineStr">
        <is>
          <t>+LS3</t>
        </is>
      </c>
      <c r="D3857" t="inlineStr">
        <is>
          <t>-196K1</t>
        </is>
      </c>
      <c r="E3857" t="inlineStr">
        <is>
          <t>DIL_0AM</t>
        </is>
      </c>
      <c r="F3857" t="inlineStr">
        <is>
          <t>22_DIL-M</t>
        </is>
      </c>
      <c r="G3857" t="inlineStr">
        <is>
          <t>LASTSCHUETZ</t>
        </is>
      </c>
      <c r="H3857" t="inlineStr">
        <is>
          <t>11 kW</t>
        </is>
      </c>
      <c r="I3857">
        <v>599</v>
      </c>
      <c r="J3857">
        <f>GS02/196.2</f>
        <v>0</v>
      </c>
      <c r="K3857" t="inlineStr">
        <is>
          <t>DIL0AM</t>
        </is>
      </c>
      <c r="M3857" t="inlineStr">
        <is>
          <t>-196K1</t>
        </is>
      </c>
    </row>
    <row r="3858">
      <c r="A3858">
        <v>3857</v>
      </c>
      <c r="B3858">
        <f>GS24</f>
        <v>0</v>
      </c>
      <c r="C3858" t="inlineStr">
        <is>
          <t>+LS4</t>
        </is>
      </c>
      <c r="D3858" t="inlineStr">
        <is>
          <t>-196K1</t>
        </is>
      </c>
      <c r="E3858" t="inlineStr">
        <is>
          <t>22_DIL-M</t>
        </is>
      </c>
      <c r="F3858" t="inlineStr">
        <is>
          <t>22_DIL-M</t>
        </is>
      </c>
      <c r="G3858" t="inlineStr">
        <is>
          <t>HILFSKONTAKTBLOCK</t>
        </is>
      </c>
      <c r="H3858" t="inlineStr">
        <is>
          <t>2S 2OE Lastschuetz DIL M</t>
        </is>
      </c>
      <c r="I3858">
        <v>883</v>
      </c>
      <c r="J3858">
        <f>GS24/196.2</f>
        <v>0</v>
      </c>
      <c r="K3858" t="inlineStr">
        <is>
          <t>DIL0AM</t>
        </is>
      </c>
      <c r="M3858" t="inlineStr">
        <is>
          <t>-196K1</t>
        </is>
      </c>
    </row>
    <row r="3859">
      <c r="A3859">
        <v>3858</v>
      </c>
      <c r="B3859">
        <f>GS24</f>
        <v>0</v>
      </c>
      <c r="C3859" t="inlineStr">
        <is>
          <t>+LS4</t>
        </is>
      </c>
      <c r="D3859" t="inlineStr">
        <is>
          <t>-196K1</t>
        </is>
      </c>
      <c r="E3859" t="inlineStr">
        <is>
          <t>DIL_0AM</t>
        </is>
      </c>
      <c r="F3859" t="inlineStr">
        <is>
          <t>22_DIL-M</t>
        </is>
      </c>
      <c r="G3859" t="inlineStr">
        <is>
          <t>LASTSCHUETZ</t>
        </is>
      </c>
      <c r="H3859" t="inlineStr">
        <is>
          <t>11 kW</t>
        </is>
      </c>
      <c r="I3859">
        <v>883</v>
      </c>
      <c r="J3859">
        <f>GS24/196.2</f>
        <v>0</v>
      </c>
      <c r="K3859" t="inlineStr">
        <is>
          <t>DIL0AM</t>
        </is>
      </c>
      <c r="M3859" t="inlineStr">
        <is>
          <t>-196K1</t>
        </is>
      </c>
    </row>
    <row r="3860">
      <c r="A3860">
        <v>3859</v>
      </c>
      <c r="B3860">
        <f>GC22</f>
        <v>0</v>
      </c>
      <c r="C3860" t="inlineStr">
        <is>
          <t>+LS2</t>
        </is>
      </c>
      <c r="D3860" t="inlineStr">
        <is>
          <t>-196K26.5</t>
        </is>
      </c>
      <c r="E3860" t="inlineStr">
        <is>
          <t>DIL_EM-10-G</t>
        </is>
      </c>
      <c r="F3860" t="inlineStr">
        <is>
          <t>#KALK!</t>
        </is>
      </c>
      <c r="G3860" t="inlineStr">
        <is>
          <t>LASTSCHUETZ</t>
        </is>
      </c>
      <c r="H3860" t="inlineStr">
        <is>
          <t>4kW 1S</t>
        </is>
      </c>
      <c r="I3860">
        <v>2686</v>
      </c>
      <c r="J3860">
        <f>GC22/196.7</f>
        <v>0</v>
      </c>
      <c r="M3860" t="inlineStr">
        <is>
          <t>-196K26.5</t>
        </is>
      </c>
    </row>
    <row r="3861">
      <c r="A3861">
        <v>3860</v>
      </c>
      <c r="B3861">
        <f>GS12</f>
        <v>0</v>
      </c>
      <c r="C3861" t="inlineStr">
        <is>
          <t>+LS2</t>
        </is>
      </c>
      <c r="D3861" t="inlineStr">
        <is>
          <t>-196K26.5</t>
        </is>
      </c>
      <c r="E3861" t="inlineStr">
        <is>
          <t>DIL_EM-10-G</t>
        </is>
      </c>
      <c r="F3861" t="inlineStr">
        <is>
          <t>#KALK!</t>
        </is>
      </c>
      <c r="G3861" t="inlineStr">
        <is>
          <t>LASTSCHUETZ</t>
        </is>
      </c>
      <c r="H3861" t="inlineStr">
        <is>
          <t>4kW 1S</t>
        </is>
      </c>
      <c r="I3861">
        <v>328</v>
      </c>
      <c r="J3861">
        <f>GS12/196.7</f>
        <v>0</v>
      </c>
      <c r="M3861" t="inlineStr">
        <is>
          <t>-196K26.5</t>
        </is>
      </c>
    </row>
    <row r="3862">
      <c r="A3862">
        <v>3861</v>
      </c>
      <c r="B3862">
        <f>GS31</f>
        <v>0</v>
      </c>
      <c r="C3862" t="inlineStr">
        <is>
          <t>+LS3</t>
        </is>
      </c>
      <c r="D3862" t="inlineStr">
        <is>
          <t>-196K35.6</t>
        </is>
      </c>
      <c r="E3862" t="inlineStr">
        <is>
          <t>DIL_EM-10-G</t>
        </is>
      </c>
      <c r="F3862" t="inlineStr">
        <is>
          <t>#KALK!</t>
        </is>
      </c>
      <c r="G3862" t="inlineStr">
        <is>
          <t>LASTSCHUETZ</t>
        </is>
      </c>
      <c r="H3862" t="inlineStr">
        <is>
          <t>4kW 1S</t>
        </is>
      </c>
      <c r="I3862">
        <v>481</v>
      </c>
      <c r="J3862">
        <f>GS31/196.7</f>
        <v>0</v>
      </c>
      <c r="M3862" t="inlineStr">
        <is>
          <t>-196K35.6</t>
        </is>
      </c>
    </row>
    <row r="3863">
      <c r="A3863">
        <v>3862</v>
      </c>
      <c r="B3863">
        <f>GS26</f>
        <v>0</v>
      </c>
      <c r="C3863" t="inlineStr">
        <is>
          <t>+LS3</t>
        </is>
      </c>
      <c r="D3863" t="inlineStr">
        <is>
          <t>-196K3519.3</t>
        </is>
      </c>
      <c r="E3863" t="inlineStr">
        <is>
          <t>DILM-9-10</t>
        </is>
      </c>
      <c r="F3863" t="inlineStr">
        <is>
          <t>#KALK!</t>
        </is>
      </c>
      <c r="G3863" t="inlineStr">
        <is>
          <t>LASTSCHUETZ</t>
        </is>
      </c>
      <c r="H3863" t="inlineStr">
        <is>
          <t>4kW 1S Federzugkl.</t>
        </is>
      </c>
      <c r="I3863">
        <v>620</v>
      </c>
      <c r="J3863">
        <f>GS26/196.8</f>
        <v>0</v>
      </c>
      <c r="M3863" t="inlineStr">
        <is>
          <t>-196K3519.3</t>
        </is>
      </c>
    </row>
    <row r="3864">
      <c r="A3864">
        <v>3863</v>
      </c>
      <c r="B3864">
        <f>GS23</f>
        <v>0</v>
      </c>
      <c r="C3864" t="inlineStr">
        <is>
          <t>+LS3</t>
        </is>
      </c>
      <c r="D3864" t="inlineStr">
        <is>
          <t>-196K69.1</t>
        </is>
      </c>
      <c r="E3864" t="inlineStr">
        <is>
          <t>DIL_EM-10-G</t>
        </is>
      </c>
      <c r="F3864" t="inlineStr">
        <is>
          <t>#KALK!</t>
        </is>
      </c>
      <c r="G3864" t="inlineStr">
        <is>
          <t>LASTSCHUETZ</t>
        </is>
      </c>
      <c r="H3864" t="inlineStr">
        <is>
          <t>4kW 1S</t>
        </is>
      </c>
      <c r="I3864">
        <v>497</v>
      </c>
      <c r="J3864">
        <f>GS23/196.7</f>
        <v>0</v>
      </c>
      <c r="M3864" t="inlineStr">
        <is>
          <t>-196K69.1</t>
        </is>
      </c>
    </row>
    <row r="3865">
      <c r="A3865">
        <v>3864</v>
      </c>
      <c r="B3865">
        <f>GS14</f>
        <v>0</v>
      </c>
      <c r="C3865" t="inlineStr">
        <is>
          <t>+LS4</t>
        </is>
      </c>
      <c r="D3865" t="inlineStr">
        <is>
          <t>-196K71.2</t>
        </is>
      </c>
      <c r="E3865" t="inlineStr">
        <is>
          <t>DIL_EM-10-G</t>
        </is>
      </c>
      <c r="F3865" t="inlineStr">
        <is>
          <t>#KALK!</t>
        </is>
      </c>
      <c r="G3865" t="inlineStr">
        <is>
          <t>LASTSCHUETZ</t>
        </is>
      </c>
      <c r="H3865" t="inlineStr">
        <is>
          <t>4kW 1S</t>
        </is>
      </c>
      <c r="I3865">
        <v>322</v>
      </c>
      <c r="J3865">
        <f>GS14/196.6</f>
        <v>0</v>
      </c>
      <c r="M3865" t="inlineStr">
        <is>
          <t>-196K71.2</t>
        </is>
      </c>
    </row>
    <row r="3866">
      <c r="A3866">
        <v>3865</v>
      </c>
      <c r="B3866">
        <f>GS93</f>
        <v>0</v>
      </c>
      <c r="C3866" t="inlineStr">
        <is>
          <t>+LS02</t>
        </is>
      </c>
      <c r="D3866" t="inlineStr">
        <is>
          <t>-196Q166.2</t>
        </is>
      </c>
      <c r="E3866" t="inlineStr">
        <is>
          <t>DILM-9-10</t>
        </is>
      </c>
      <c r="F3866" t="inlineStr">
        <is>
          <t>#KALK!</t>
        </is>
      </c>
      <c r="G3866" t="inlineStr">
        <is>
          <t>LASTSCHUETZ</t>
        </is>
      </c>
      <c r="H3866" t="inlineStr">
        <is>
          <t>4kW 1S Federzugkl.</t>
        </is>
      </c>
      <c r="I3866">
        <v>755</v>
      </c>
      <c r="J3866">
        <f>GS93/196.5</f>
        <v>0</v>
      </c>
      <c r="M3866" t="inlineStr">
        <is>
          <t>-196Q166.2</t>
        </is>
      </c>
    </row>
    <row r="3867">
      <c r="A3867">
        <v>3866</v>
      </c>
      <c r="B3867">
        <f>GS36</f>
        <v>0</v>
      </c>
      <c r="C3867" t="inlineStr">
        <is>
          <t>+LS04</t>
        </is>
      </c>
      <c r="D3867" t="inlineStr">
        <is>
          <t>-208Q140.1</t>
        </is>
      </c>
      <c r="E3867" t="inlineStr">
        <is>
          <t>DILM-9-10</t>
        </is>
      </c>
      <c r="F3867" t="inlineStr">
        <is>
          <t>#KALK!</t>
        </is>
      </c>
      <c r="G3867" t="inlineStr">
        <is>
          <t>LASTSCHUETZ</t>
        </is>
      </c>
      <c r="H3867" t="inlineStr">
        <is>
          <t>4kW 1S Federzugkl.</t>
        </is>
      </c>
      <c r="I3867">
        <v>381</v>
      </c>
      <c r="J3867">
        <f>GS36/208.6</f>
        <v>0</v>
      </c>
      <c r="L3867" t="inlineStr">
        <is>
          <t>KF_2303</t>
        </is>
      </c>
      <c r="M3867" t="inlineStr">
        <is>
          <t>KF_2303
-208Q140.1</t>
        </is>
      </c>
      <c r="N3867" t="inlineStr">
        <is>
          <t>P</t>
        </is>
      </c>
    </row>
    <row r="3868">
      <c r="A3868">
        <v>3867</v>
      </c>
      <c r="B3868">
        <f>GS55</f>
        <v>0</v>
      </c>
      <c r="C3868" t="inlineStr">
        <is>
          <t>+LS32</t>
        </is>
      </c>
      <c r="D3868" t="inlineStr">
        <is>
          <t>-1975K1</t>
        </is>
      </c>
      <c r="E3868" t="inlineStr">
        <is>
          <t>DILA-22</t>
        </is>
      </c>
      <c r="F3868" t="inlineStr">
        <is>
          <t>#KALK!</t>
        </is>
      </c>
      <c r="G3868" t="inlineStr">
        <is>
          <t>HILFSSCHUETZ</t>
        </is>
      </c>
      <c r="H3868" t="inlineStr">
        <is>
          <t>2S 2Oe Federzugkl.</t>
        </is>
      </c>
      <c r="I3868">
        <v>2157</v>
      </c>
      <c r="J3868">
        <f>GS55/1975.7</f>
        <v>0</v>
      </c>
      <c r="M3868" t="inlineStr">
        <is>
          <t>-1975K1</t>
        </is>
      </c>
    </row>
    <row r="3869">
      <c r="A3869">
        <v>3868</v>
      </c>
      <c r="B3869">
        <f>GS55</f>
        <v>0</v>
      </c>
      <c r="C3869" t="inlineStr">
        <is>
          <t>+LS32</t>
        </is>
      </c>
      <c r="D3869" t="inlineStr">
        <is>
          <t>-1975Q1</t>
        </is>
      </c>
      <c r="E3869" t="inlineStr">
        <is>
          <t>DILM150-XHIC22</t>
        </is>
      </c>
      <c r="F3869" t="inlineStr">
        <is>
          <t>DILM150-XHIC22</t>
        </is>
      </c>
      <c r="G3869" t="inlineStr">
        <is>
          <t>HILFSKONTAKTBLOCK</t>
        </is>
      </c>
      <c r="H3869" t="inlineStr">
        <is>
          <t>2S 2OE ab DILMC40</t>
        </is>
      </c>
      <c r="I3869">
        <v>2157</v>
      </c>
      <c r="J3869">
        <f>GS55/1975.6</f>
        <v>0</v>
      </c>
      <c r="K3869" t="inlineStr">
        <is>
          <t>DIL MC40</t>
        </is>
      </c>
      <c r="M3869" t="inlineStr">
        <is>
          <t>-1975Q1</t>
        </is>
      </c>
    </row>
    <row r="3870">
      <c r="A3870">
        <v>3869</v>
      </c>
      <c r="B3870">
        <f>GS55</f>
        <v>0</v>
      </c>
      <c r="C3870" t="inlineStr">
        <is>
          <t>+LS32</t>
        </is>
      </c>
      <c r="D3870" t="inlineStr">
        <is>
          <t>-1975Q1</t>
        </is>
      </c>
      <c r="E3870" t="inlineStr">
        <is>
          <t>DILMC40(RDC24)</t>
        </is>
      </c>
      <c r="F3870" t="inlineStr">
        <is>
          <t>DILM150-XHIC22</t>
        </is>
      </c>
      <c r="G3870" t="inlineStr">
        <is>
          <t>LASTSCHUETZ</t>
        </is>
      </c>
      <c r="H3870" t="inlineStr">
        <is>
          <t>18,5kW Federzugkl.</t>
        </is>
      </c>
      <c r="I3870">
        <v>2157</v>
      </c>
      <c r="J3870">
        <f>GS55/1975.6</f>
        <v>0</v>
      </c>
      <c r="K3870" t="inlineStr">
        <is>
          <t>DIL MC40</t>
        </is>
      </c>
      <c r="M3870" t="inlineStr">
        <is>
          <t>-1975Q1</t>
        </is>
      </c>
    </row>
    <row r="3871">
      <c r="A3871">
        <v>3870</v>
      </c>
      <c r="B3871">
        <f>GS13</f>
        <v>0</v>
      </c>
      <c r="C3871" t="inlineStr">
        <is>
          <t>+LS3</t>
        </is>
      </c>
      <c r="D3871" t="inlineStr">
        <is>
          <t>-19769.5</t>
        </is>
      </c>
      <c r="E3871" t="inlineStr">
        <is>
          <t>DIL_EM-10-G</t>
        </is>
      </c>
      <c r="F3871" t="inlineStr">
        <is>
          <t>#KALK!</t>
        </is>
      </c>
      <c r="G3871" t="inlineStr">
        <is>
          <t>LASTSCHUETZ</t>
        </is>
      </c>
      <c r="H3871" t="inlineStr">
        <is>
          <t>4kW 1S</t>
        </is>
      </c>
      <c r="I3871">
        <v>439</v>
      </c>
      <c r="J3871">
        <f>GS13/197.7</f>
        <v>0</v>
      </c>
      <c r="M3871" t="inlineStr">
        <is>
          <t>-19769.5</t>
        </is>
      </c>
    </row>
    <row r="3872">
      <c r="A3872">
        <v>3871</v>
      </c>
      <c r="B3872">
        <f>GS55</f>
        <v>0</v>
      </c>
      <c r="C3872" t="inlineStr">
        <is>
          <t>+LS32</t>
        </is>
      </c>
      <c r="D3872" t="inlineStr">
        <is>
          <t>-1977Q1051.1</t>
        </is>
      </c>
      <c r="E3872" t="inlineStr">
        <is>
          <t>DILM-9-10</t>
        </is>
      </c>
      <c r="F3872" t="inlineStr">
        <is>
          <t>#KALK!</t>
        </is>
      </c>
      <c r="G3872" t="inlineStr">
        <is>
          <t>LASTSCHUETZ</t>
        </is>
      </c>
      <c r="H3872" t="inlineStr">
        <is>
          <t>4kW 1S Federzugkl.</t>
        </is>
      </c>
      <c r="I3872">
        <v>2158</v>
      </c>
      <c r="J3872">
        <f>GS55/1977.5</f>
        <v>0</v>
      </c>
      <c r="M3872" t="inlineStr">
        <is>
          <t>-1977Q1051.1</t>
        </is>
      </c>
    </row>
    <row r="3873">
      <c r="A3873">
        <v>3872</v>
      </c>
      <c r="B3873">
        <f>GS55</f>
        <v>0</v>
      </c>
      <c r="C3873" t="inlineStr">
        <is>
          <t>+LS32</t>
        </is>
      </c>
      <c r="D3873" t="inlineStr">
        <is>
          <t>-1979Q1050.3</t>
        </is>
      </c>
      <c r="E3873" t="inlineStr">
        <is>
          <t>DILM-9-10</t>
        </is>
      </c>
      <c r="F3873" t="inlineStr">
        <is>
          <t>#KALK!</t>
        </is>
      </c>
      <c r="G3873" t="inlineStr">
        <is>
          <t>LASTSCHUETZ</t>
        </is>
      </c>
      <c r="H3873" t="inlineStr">
        <is>
          <t>4kW 1S Federzugkl.</t>
        </is>
      </c>
      <c r="I3873">
        <v>2160</v>
      </c>
      <c r="J3873">
        <f>GS55/1979.4</f>
        <v>0</v>
      </c>
      <c r="M3873" t="inlineStr">
        <is>
          <t>-1979Q1050.3</t>
        </is>
      </c>
    </row>
    <row r="3874">
      <c r="A3874">
        <v>3873</v>
      </c>
      <c r="B3874">
        <f>GS25</f>
        <v>0</v>
      </c>
      <c r="C3874" t="inlineStr">
        <is>
          <t>+LS4</t>
        </is>
      </c>
      <c r="D3874" t="inlineStr">
        <is>
          <t>-197K1</t>
        </is>
      </c>
      <c r="E3874" t="inlineStr">
        <is>
          <t>DIL_0AM</t>
        </is>
      </c>
      <c r="F3874" t="inlineStr">
        <is>
          <t>22_DIL-M</t>
        </is>
      </c>
      <c r="G3874" t="inlineStr">
        <is>
          <t>LASTSCHUETZ</t>
        </is>
      </c>
      <c r="H3874" t="inlineStr">
        <is>
          <t>11 kW</t>
        </is>
      </c>
      <c r="I3874">
        <v>318</v>
      </c>
      <c r="J3874">
        <f>GS25/197.2</f>
        <v>0</v>
      </c>
      <c r="K3874" t="inlineStr">
        <is>
          <t>DIL0AM</t>
        </is>
      </c>
      <c r="M3874" t="inlineStr">
        <is>
          <t>-197K1</t>
        </is>
      </c>
    </row>
    <row r="3875">
      <c r="A3875">
        <v>3874</v>
      </c>
      <c r="B3875">
        <f>GS25</f>
        <v>0</v>
      </c>
      <c r="C3875" t="inlineStr">
        <is>
          <t>+LS4</t>
        </is>
      </c>
      <c r="D3875" t="inlineStr">
        <is>
          <t>-197K1</t>
        </is>
      </c>
      <c r="E3875" t="inlineStr">
        <is>
          <t>22_DIL-M</t>
        </is>
      </c>
      <c r="F3875" t="inlineStr">
        <is>
          <t>22_DIL-M</t>
        </is>
      </c>
      <c r="G3875" t="inlineStr">
        <is>
          <t>HILFSKONTAKTBLOCK</t>
        </is>
      </c>
      <c r="H3875" t="inlineStr">
        <is>
          <t>2S 2OE Lastschuetz DIL M</t>
        </is>
      </c>
      <c r="I3875">
        <v>318</v>
      </c>
      <c r="J3875">
        <f>GS25/197.2</f>
        <v>0</v>
      </c>
      <c r="K3875" t="inlineStr">
        <is>
          <t>DIL0AM</t>
        </is>
      </c>
      <c r="M3875" t="inlineStr">
        <is>
          <t>-197K1</t>
        </is>
      </c>
    </row>
    <row r="3876">
      <c r="A3876">
        <v>3875</v>
      </c>
      <c r="B3876">
        <f>GS02</f>
        <v>0</v>
      </c>
      <c r="C3876" t="inlineStr">
        <is>
          <t>+LS3</t>
        </is>
      </c>
      <c r="D3876" t="inlineStr">
        <is>
          <t>-197K30.5</t>
        </is>
      </c>
      <c r="E3876" t="inlineStr">
        <is>
          <t>DIL_EM-10-G</t>
        </is>
      </c>
      <c r="F3876" t="inlineStr">
        <is>
          <t>#KALK!</t>
        </is>
      </c>
      <c r="G3876" t="inlineStr">
        <is>
          <t>LASTSCHUETZ</t>
        </is>
      </c>
      <c r="H3876" t="inlineStr">
        <is>
          <t>4kW 1S</t>
        </is>
      </c>
      <c r="I3876">
        <v>600</v>
      </c>
      <c r="J3876">
        <f>GS02/197.7</f>
        <v>0</v>
      </c>
      <c r="M3876" t="inlineStr">
        <is>
          <t>-197K30.5</t>
        </is>
      </c>
    </row>
    <row r="3877">
      <c r="A3877">
        <v>3876</v>
      </c>
      <c r="B3877">
        <f>GS31</f>
        <v>0</v>
      </c>
      <c r="C3877" t="inlineStr">
        <is>
          <t>+LS3</t>
        </is>
      </c>
      <c r="D3877" t="inlineStr">
        <is>
          <t>-197K35.7</t>
        </is>
      </c>
      <c r="E3877" t="inlineStr">
        <is>
          <t>DIL_EM-10-G</t>
        </is>
      </c>
      <c r="F3877" t="inlineStr">
        <is>
          <t>#KALK!</t>
        </is>
      </c>
      <c r="G3877" t="inlineStr">
        <is>
          <t>LASTSCHUETZ</t>
        </is>
      </c>
      <c r="H3877" t="inlineStr">
        <is>
          <t>4kW 1S</t>
        </is>
      </c>
      <c r="I3877">
        <v>482</v>
      </c>
      <c r="J3877">
        <f>GS31/197.6</f>
        <v>0</v>
      </c>
      <c r="M3877" t="inlineStr">
        <is>
          <t>-197K35.7</t>
        </is>
      </c>
    </row>
    <row r="3878">
      <c r="A3878">
        <v>3877</v>
      </c>
      <c r="B3878">
        <f>GS26</f>
        <v>0</v>
      </c>
      <c r="C3878" t="inlineStr">
        <is>
          <t>+LS3</t>
        </is>
      </c>
      <c r="D3878" t="inlineStr">
        <is>
          <t>-197K3519.4</t>
        </is>
      </c>
      <c r="E3878" t="inlineStr">
        <is>
          <t>DILM-9-01</t>
        </is>
      </c>
      <c r="F3878" t="inlineStr">
        <is>
          <t>#KALK!</t>
        </is>
      </c>
      <c r="G3878" t="inlineStr">
        <is>
          <t>LASTSCHUETZ</t>
        </is>
      </c>
      <c r="H3878" t="inlineStr">
        <is>
          <t>4kW 1Oe Federzugkl.</t>
        </is>
      </c>
      <c r="I3878">
        <v>619</v>
      </c>
      <c r="J3878">
        <f>GS26/197.6</f>
        <v>0</v>
      </c>
      <c r="M3878" t="inlineStr">
        <is>
          <t>-197K3519.4</t>
        </is>
      </c>
    </row>
    <row r="3879">
      <c r="A3879">
        <v>3878</v>
      </c>
      <c r="B3879">
        <f>GS26</f>
        <v>0</v>
      </c>
      <c r="C3879" t="inlineStr">
        <is>
          <t>+LS3</t>
        </is>
      </c>
      <c r="D3879" t="inlineStr">
        <is>
          <t>-197K3519.5</t>
        </is>
      </c>
      <c r="E3879" t="inlineStr">
        <is>
          <t>DILM-9-10</t>
        </is>
      </c>
      <c r="F3879" t="inlineStr">
        <is>
          <t>#KALK!</t>
        </is>
      </c>
      <c r="G3879" t="inlineStr">
        <is>
          <t>LASTSCHUETZ</t>
        </is>
      </c>
      <c r="H3879" t="inlineStr">
        <is>
          <t>4kW 1S Federzugkl.</t>
        </is>
      </c>
      <c r="I3879">
        <v>619</v>
      </c>
      <c r="J3879">
        <f>GS26/197.7</f>
        <v>0</v>
      </c>
      <c r="M3879" t="inlineStr">
        <is>
          <t>-197K3519.5</t>
        </is>
      </c>
    </row>
    <row r="3880">
      <c r="A3880">
        <v>3879</v>
      </c>
      <c r="B3880">
        <f>GS26</f>
        <v>0</v>
      </c>
      <c r="C3880" t="inlineStr">
        <is>
          <t>+LS3</t>
        </is>
      </c>
      <c r="D3880" t="inlineStr">
        <is>
          <t>-197K3520.7</t>
        </is>
      </c>
      <c r="E3880" t="inlineStr">
        <is>
          <t>DILM-9-01</t>
        </is>
      </c>
      <c r="F3880" t="inlineStr">
        <is>
          <t>#KALK!</t>
        </is>
      </c>
      <c r="G3880" t="inlineStr">
        <is>
          <t>LASTSCHUETZ</t>
        </is>
      </c>
      <c r="H3880" t="inlineStr">
        <is>
          <t>4kW 1Oe Federzugkl.</t>
        </is>
      </c>
      <c r="I3880">
        <v>619</v>
      </c>
      <c r="J3880">
        <f>GS26/197.6</f>
        <v>0</v>
      </c>
      <c r="M3880" t="inlineStr">
        <is>
          <t>-197K3520.7</t>
        </is>
      </c>
    </row>
    <row r="3881">
      <c r="A3881">
        <v>3880</v>
      </c>
      <c r="B3881">
        <f>GS62</f>
        <v>0</v>
      </c>
      <c r="C3881" t="inlineStr">
        <is>
          <t>+LS1</t>
        </is>
      </c>
      <c r="D3881" t="inlineStr">
        <is>
          <t>-197K56.3</t>
        </is>
      </c>
      <c r="E3881" t="inlineStr">
        <is>
          <t>DIL_EM-10-G</t>
        </is>
      </c>
      <c r="F3881" t="inlineStr">
        <is>
          <t>#KALK!</t>
        </is>
      </c>
      <c r="G3881" t="inlineStr">
        <is>
          <t>LASTSCHUETZ</t>
        </is>
      </c>
      <c r="H3881" t="inlineStr">
        <is>
          <t>4kW 1S</t>
        </is>
      </c>
      <c r="I3881">
        <v>163</v>
      </c>
      <c r="J3881">
        <f>GS62/197.7</f>
        <v>0</v>
      </c>
      <c r="M3881" t="inlineStr">
        <is>
          <t>-197K56.3</t>
        </is>
      </c>
    </row>
    <row r="3882">
      <c r="A3882">
        <v>3881</v>
      </c>
      <c r="B3882">
        <f>GS23</f>
        <v>0</v>
      </c>
      <c r="C3882" t="inlineStr">
        <is>
          <t>+LS3</t>
        </is>
      </c>
      <c r="D3882" t="inlineStr">
        <is>
          <t>-197K69.5</t>
        </is>
      </c>
      <c r="E3882" t="inlineStr">
        <is>
          <t>DIL_EM-10-G</t>
        </is>
      </c>
      <c r="F3882" t="inlineStr">
        <is>
          <t>#KALK!</t>
        </is>
      </c>
      <c r="G3882" t="inlineStr">
        <is>
          <t>LASTSCHUETZ</t>
        </is>
      </c>
      <c r="H3882" t="inlineStr">
        <is>
          <t>4kW 1S</t>
        </is>
      </c>
      <c r="I3882">
        <v>498</v>
      </c>
      <c r="J3882">
        <f>GS23/197.7</f>
        <v>0</v>
      </c>
      <c r="M3882" t="inlineStr">
        <is>
          <t>-197K69.5</t>
        </is>
      </c>
    </row>
    <row r="3883">
      <c r="A3883">
        <v>3882</v>
      </c>
      <c r="B3883">
        <f>GS14</f>
        <v>0</v>
      </c>
      <c r="C3883" t="inlineStr">
        <is>
          <t>+LS4</t>
        </is>
      </c>
      <c r="D3883" t="inlineStr">
        <is>
          <t>-197K71.6</t>
        </is>
      </c>
      <c r="E3883" t="inlineStr">
        <is>
          <t>DIL_EM-10-G</t>
        </is>
      </c>
      <c r="F3883" t="inlineStr">
        <is>
          <t>#KALK!</t>
        </is>
      </c>
      <c r="G3883" t="inlineStr">
        <is>
          <t>LASTSCHUETZ</t>
        </is>
      </c>
      <c r="H3883" t="inlineStr">
        <is>
          <t>4kW 1S</t>
        </is>
      </c>
      <c r="I3883">
        <v>323</v>
      </c>
      <c r="J3883">
        <f>GS14/197.7</f>
        <v>0</v>
      </c>
      <c r="M3883" t="inlineStr">
        <is>
          <t>-197K71.6</t>
        </is>
      </c>
    </row>
    <row r="3884">
      <c r="A3884">
        <v>3883</v>
      </c>
      <c r="B3884">
        <f>GS91</f>
        <v>0</v>
      </c>
      <c r="C3884" t="inlineStr">
        <is>
          <t>+LS02</t>
        </is>
      </c>
      <c r="D3884" t="inlineStr">
        <is>
          <t>-197Q448.6</t>
        </is>
      </c>
      <c r="E3884" t="inlineStr">
        <is>
          <t>DILM-9-10</t>
        </is>
      </c>
      <c r="F3884" t="inlineStr">
        <is>
          <t>#KALK!</t>
        </is>
      </c>
      <c r="G3884" t="inlineStr">
        <is>
          <t>LASTSCHUETZ</t>
        </is>
      </c>
      <c r="H3884" t="inlineStr">
        <is>
          <t>4kW 1S Federzugkl.</t>
        </is>
      </c>
      <c r="I3884">
        <v>305</v>
      </c>
      <c r="J3884">
        <f>GS91/197.5</f>
        <v>0</v>
      </c>
      <c r="M3884" t="inlineStr">
        <is>
          <t>-197Q448.6</t>
        </is>
      </c>
    </row>
    <row r="3885">
      <c r="A3885">
        <v>3884</v>
      </c>
      <c r="B3885">
        <f>GS55</f>
        <v>0</v>
      </c>
      <c r="C3885" t="inlineStr">
        <is>
          <t>+LS32</t>
        </is>
      </c>
      <c r="D3885" t="inlineStr">
        <is>
          <t>-1985Q1051.0</t>
        </is>
      </c>
      <c r="E3885" t="inlineStr">
        <is>
          <t>DILM-9-10</t>
        </is>
      </c>
      <c r="F3885" t="inlineStr">
        <is>
          <t>#KALK!</t>
        </is>
      </c>
      <c r="G3885" t="inlineStr">
        <is>
          <t>LASTSCHUETZ</t>
        </is>
      </c>
      <c r="H3885" t="inlineStr">
        <is>
          <t>4kW 1S Federzugkl.</t>
        </is>
      </c>
      <c r="I3885">
        <v>2187</v>
      </c>
      <c r="J3885">
        <f>GS55/1985.6</f>
        <v>0</v>
      </c>
      <c r="K3885" t="inlineStr">
        <is>
          <t>DIL MC9</t>
        </is>
      </c>
      <c r="M3885" t="inlineStr">
        <is>
          <t>-1985Q1051.0</t>
        </is>
      </c>
    </row>
    <row r="3886">
      <c r="A3886">
        <v>3885</v>
      </c>
      <c r="B3886">
        <f>GS13</f>
        <v>0</v>
      </c>
      <c r="C3886" t="inlineStr">
        <is>
          <t>+LS3</t>
        </is>
      </c>
      <c r="D3886" t="inlineStr">
        <is>
          <t>-19870.7</t>
        </is>
      </c>
      <c r="E3886" t="inlineStr">
        <is>
          <t>DIL_EM-10-G</t>
        </is>
      </c>
      <c r="F3886" t="inlineStr">
        <is>
          <t>#KALK!</t>
        </is>
      </c>
      <c r="G3886" t="inlineStr">
        <is>
          <t>LASTSCHUETZ</t>
        </is>
      </c>
      <c r="H3886" t="inlineStr">
        <is>
          <t>4kW 1S</t>
        </is>
      </c>
      <c r="I3886">
        <v>440</v>
      </c>
      <c r="J3886">
        <f>GS13/198.7</f>
        <v>0</v>
      </c>
      <c r="M3886" t="inlineStr">
        <is>
          <t>-19870.7</t>
        </is>
      </c>
    </row>
    <row r="3887">
      <c r="A3887">
        <v>3886</v>
      </c>
      <c r="B3887">
        <f>GS06</f>
        <v>0</v>
      </c>
      <c r="C3887" t="inlineStr">
        <is>
          <t>+LS25</t>
        </is>
      </c>
      <c r="D3887" t="inlineStr">
        <is>
          <t>-1987K1</t>
        </is>
      </c>
      <c r="E3887" t="inlineStr">
        <is>
          <t>DILM-9-01</t>
        </is>
      </c>
      <c r="F3887" t="inlineStr">
        <is>
          <t>#KALK!</t>
        </is>
      </c>
      <c r="G3887" t="inlineStr">
        <is>
          <t>LASTSCHUETZ</t>
        </is>
      </c>
      <c r="H3887" t="inlineStr">
        <is>
          <t>4kW 1Oe Federzugkl.</t>
        </is>
      </c>
      <c r="I3887">
        <v>4282</v>
      </c>
      <c r="J3887">
        <f>GS06/1987.6</f>
        <v>0</v>
      </c>
      <c r="M3887" t="inlineStr">
        <is>
          <t>-1987K1</t>
        </is>
      </c>
    </row>
    <row r="3888">
      <c r="A3888">
        <v>3887</v>
      </c>
      <c r="B3888">
        <f>GS06</f>
        <v>0</v>
      </c>
      <c r="C3888" t="inlineStr">
        <is>
          <t>+LS25</t>
        </is>
      </c>
      <c r="D3888" t="inlineStr">
        <is>
          <t>-1987K2</t>
        </is>
      </c>
      <c r="E3888" t="inlineStr">
        <is>
          <t>DILM-9-01</t>
        </is>
      </c>
      <c r="F3888" t="inlineStr">
        <is>
          <t>#KALK!</t>
        </is>
      </c>
      <c r="G3888" t="inlineStr">
        <is>
          <t>LASTSCHUETZ</t>
        </is>
      </c>
      <c r="H3888" t="inlineStr">
        <is>
          <t>4kW 1Oe Federzugkl.</t>
        </is>
      </c>
      <c r="I3888">
        <v>4282</v>
      </c>
      <c r="J3888">
        <f>GS06/1987.7</f>
        <v>0</v>
      </c>
      <c r="M3888" t="inlineStr">
        <is>
          <t>-1987K2</t>
        </is>
      </c>
    </row>
    <row r="3889">
      <c r="A3889">
        <v>3888</v>
      </c>
      <c r="B3889">
        <f>GS06</f>
        <v>0</v>
      </c>
      <c r="C3889" t="inlineStr">
        <is>
          <t>+LS25</t>
        </is>
      </c>
      <c r="D3889" t="inlineStr">
        <is>
          <t>-1988K1</t>
        </is>
      </c>
      <c r="E3889" t="inlineStr">
        <is>
          <t>DILM-9-01</t>
        </is>
      </c>
      <c r="F3889" t="inlineStr">
        <is>
          <t>#KALK!</t>
        </is>
      </c>
      <c r="G3889" t="inlineStr">
        <is>
          <t>LASTSCHUETZ</t>
        </is>
      </c>
      <c r="H3889" t="inlineStr">
        <is>
          <t>4kW 1Oe Federzugkl.</t>
        </is>
      </c>
      <c r="I3889">
        <v>4281</v>
      </c>
      <c r="J3889">
        <f>GS06/1988.6</f>
        <v>0</v>
      </c>
      <c r="M3889" t="inlineStr">
        <is>
          <t>-1988K1</t>
        </is>
      </c>
    </row>
    <row r="3890">
      <c r="A3890">
        <v>3889</v>
      </c>
      <c r="B3890">
        <f>GS06</f>
        <v>0</v>
      </c>
      <c r="C3890" t="inlineStr">
        <is>
          <t>+LS25</t>
        </is>
      </c>
      <c r="D3890" t="inlineStr">
        <is>
          <t>-1988K2</t>
        </is>
      </c>
      <c r="E3890" t="inlineStr">
        <is>
          <t>DILM-9-01</t>
        </is>
      </c>
      <c r="F3890" t="inlineStr">
        <is>
          <t>#KALK!</t>
        </is>
      </c>
      <c r="G3890" t="inlineStr">
        <is>
          <t>LASTSCHUETZ</t>
        </is>
      </c>
      <c r="H3890" t="inlineStr">
        <is>
          <t>4kW 1Oe Federzugkl.</t>
        </is>
      </c>
      <c r="I3890">
        <v>4281</v>
      </c>
      <c r="J3890">
        <f>GS06/1988.7</f>
        <v>0</v>
      </c>
      <c r="M3890" t="inlineStr">
        <is>
          <t>-1988K2</t>
        </is>
      </c>
    </row>
    <row r="3891">
      <c r="A3891">
        <v>3890</v>
      </c>
      <c r="B3891">
        <f>GS06</f>
        <v>0</v>
      </c>
      <c r="C3891" t="inlineStr">
        <is>
          <t>+LS25</t>
        </is>
      </c>
      <c r="D3891" t="inlineStr">
        <is>
          <t>-1989K1</t>
        </is>
      </c>
      <c r="E3891" t="inlineStr">
        <is>
          <t>DILM-9-01</t>
        </is>
      </c>
      <c r="F3891" t="inlineStr">
        <is>
          <t>#KALK!</t>
        </is>
      </c>
      <c r="G3891" t="inlineStr">
        <is>
          <t>LASTSCHUETZ</t>
        </is>
      </c>
      <c r="H3891" t="inlineStr">
        <is>
          <t>4kW 1Oe Federzugkl.</t>
        </is>
      </c>
      <c r="I3891">
        <v>4522</v>
      </c>
      <c r="J3891">
        <f>GS06/1989.6</f>
        <v>0</v>
      </c>
      <c r="M3891" t="inlineStr">
        <is>
          <t>-1989K1</t>
        </is>
      </c>
    </row>
    <row r="3892">
      <c r="A3892">
        <v>3891</v>
      </c>
      <c r="B3892">
        <f>GS55</f>
        <v>0</v>
      </c>
      <c r="C3892" t="inlineStr">
        <is>
          <t>+LS32</t>
        </is>
      </c>
      <c r="D3892" t="inlineStr">
        <is>
          <t>-1989K1051.2</t>
        </is>
      </c>
      <c r="E3892" t="inlineStr">
        <is>
          <t>DILA-22</t>
        </is>
      </c>
      <c r="F3892" t="inlineStr">
        <is>
          <t>#KALK!</t>
        </is>
      </c>
      <c r="G3892" t="inlineStr">
        <is>
          <t>HILFSSCHUETZ</t>
        </is>
      </c>
      <c r="H3892" t="inlineStr">
        <is>
          <t>2S 2Oe Federzugkl.</t>
        </is>
      </c>
      <c r="I3892">
        <v>2165</v>
      </c>
      <c r="J3892">
        <f>GS55/1989.6</f>
        <v>0</v>
      </c>
      <c r="M3892" t="inlineStr">
        <is>
          <t>-1989K1051.2</t>
        </is>
      </c>
    </row>
    <row r="3893">
      <c r="A3893">
        <v>3892</v>
      </c>
      <c r="B3893">
        <f>GS06</f>
        <v>0</v>
      </c>
      <c r="C3893" t="inlineStr">
        <is>
          <t>+LS25</t>
        </is>
      </c>
      <c r="D3893" t="inlineStr">
        <is>
          <t>-1989K2</t>
        </is>
      </c>
      <c r="E3893" t="inlineStr">
        <is>
          <t>DILM-9-01</t>
        </is>
      </c>
      <c r="F3893" t="inlineStr">
        <is>
          <t>#KALK!</t>
        </is>
      </c>
      <c r="G3893" t="inlineStr">
        <is>
          <t>LASTSCHUETZ</t>
        </is>
      </c>
      <c r="H3893" t="inlineStr">
        <is>
          <t>4kW 1Oe Federzugkl.</t>
        </is>
      </c>
      <c r="I3893">
        <v>4522</v>
      </c>
      <c r="J3893">
        <f>GS06/1989.7</f>
        <v>0</v>
      </c>
      <c r="M3893" t="inlineStr">
        <is>
          <t>-1989K2</t>
        </is>
      </c>
    </row>
    <row r="3894">
      <c r="A3894">
        <v>3893</v>
      </c>
      <c r="B3894">
        <f>GC03</f>
        <v>0</v>
      </c>
      <c r="C3894" t="inlineStr">
        <is>
          <t>+LS4</t>
        </is>
      </c>
      <c r="D3894" t="inlineStr">
        <is>
          <t>-198K1</t>
        </is>
      </c>
      <c r="E3894" t="inlineStr">
        <is>
          <t>22_DIL-M</t>
        </is>
      </c>
      <c r="F3894" t="inlineStr">
        <is>
          <t>22_DIL-M</t>
        </is>
      </c>
      <c r="G3894" t="inlineStr">
        <is>
          <t>HILFSKONTAKTBLOCK</t>
        </is>
      </c>
      <c r="H3894" t="inlineStr">
        <is>
          <t>2S 2OE Lastschuetz DIL M</t>
        </is>
      </c>
      <c r="I3894">
        <v>3002</v>
      </c>
      <c r="J3894">
        <f>GC03/198.2</f>
        <v>0</v>
      </c>
      <c r="K3894" t="inlineStr">
        <is>
          <t>DIL0AM</t>
        </is>
      </c>
      <c r="M3894" t="inlineStr">
        <is>
          <t>-198K1</t>
        </is>
      </c>
    </row>
    <row r="3895">
      <c r="A3895">
        <v>3894</v>
      </c>
      <c r="B3895">
        <f>GC03</f>
        <v>0</v>
      </c>
      <c r="C3895" t="inlineStr">
        <is>
          <t>+LS4</t>
        </is>
      </c>
      <c r="D3895" t="inlineStr">
        <is>
          <t>-198K1</t>
        </is>
      </c>
      <c r="E3895" t="inlineStr">
        <is>
          <t>DIL_0AM</t>
        </is>
      </c>
      <c r="F3895" t="inlineStr">
        <is>
          <t>22_DIL-M</t>
        </is>
      </c>
      <c r="G3895" t="inlineStr">
        <is>
          <t>LASTSCHUETZ</t>
        </is>
      </c>
      <c r="H3895" t="inlineStr">
        <is>
          <t>11 kW</t>
        </is>
      </c>
      <c r="I3895">
        <v>3002</v>
      </c>
      <c r="J3895">
        <f>GC03/198.2</f>
        <v>0</v>
      </c>
      <c r="K3895" t="inlineStr">
        <is>
          <t>DIL0AM</t>
        </is>
      </c>
      <c r="M3895" t="inlineStr">
        <is>
          <t>-198K1</t>
        </is>
      </c>
    </row>
    <row r="3896">
      <c r="A3896">
        <v>3895</v>
      </c>
      <c r="B3896">
        <f>GS02</f>
        <v>0</v>
      </c>
      <c r="C3896" t="inlineStr">
        <is>
          <t>+LS3</t>
        </is>
      </c>
      <c r="D3896" t="inlineStr">
        <is>
          <t>-198K31.3</t>
        </is>
      </c>
      <c r="E3896" t="inlineStr">
        <is>
          <t>DIL_EM-10-G</t>
        </is>
      </c>
      <c r="F3896" t="inlineStr">
        <is>
          <t>#KALK!</t>
        </is>
      </c>
      <c r="G3896" t="inlineStr">
        <is>
          <t>LASTSCHUETZ</t>
        </is>
      </c>
      <c r="H3896" t="inlineStr">
        <is>
          <t>4kW 1S</t>
        </is>
      </c>
      <c r="I3896">
        <v>601</v>
      </c>
      <c r="J3896">
        <f>GS02/198.7</f>
        <v>0</v>
      </c>
      <c r="M3896" t="inlineStr">
        <is>
          <t>-198K31.3</t>
        </is>
      </c>
    </row>
    <row r="3897">
      <c r="A3897">
        <v>3896</v>
      </c>
      <c r="B3897">
        <f>GS26</f>
        <v>0</v>
      </c>
      <c r="C3897" t="inlineStr">
        <is>
          <t>+LS3</t>
        </is>
      </c>
      <c r="D3897" t="inlineStr">
        <is>
          <t>-198K3520.1</t>
        </is>
      </c>
      <c r="E3897" t="inlineStr">
        <is>
          <t>DILM-9-10</t>
        </is>
      </c>
      <c r="F3897" t="inlineStr">
        <is>
          <t>#KALK!</t>
        </is>
      </c>
      <c r="G3897" t="inlineStr">
        <is>
          <t>LASTSCHUETZ</t>
        </is>
      </c>
      <c r="H3897" t="inlineStr">
        <is>
          <t>4kW 1S Federzugkl.</t>
        </is>
      </c>
      <c r="I3897">
        <v>618</v>
      </c>
      <c r="J3897">
        <f>GS26/198.8</f>
        <v>0</v>
      </c>
      <c r="M3897" t="inlineStr">
        <is>
          <t>-198K3520.1</t>
        </is>
      </c>
    </row>
    <row r="3898">
      <c r="A3898">
        <v>3897</v>
      </c>
      <c r="B3898">
        <f>GS31</f>
        <v>0</v>
      </c>
      <c r="C3898" t="inlineStr">
        <is>
          <t>+LS3</t>
        </is>
      </c>
      <c r="D3898" t="inlineStr">
        <is>
          <t>-198K37.5</t>
        </is>
      </c>
      <c r="E3898" t="inlineStr">
        <is>
          <t>DIL_EM-10-G</t>
        </is>
      </c>
      <c r="F3898" t="inlineStr">
        <is>
          <t>#KALK!</t>
        </is>
      </c>
      <c r="G3898" t="inlineStr">
        <is>
          <t>LASTSCHUETZ</t>
        </is>
      </c>
      <c r="H3898" t="inlineStr">
        <is>
          <t>4kW 1S</t>
        </is>
      </c>
      <c r="I3898">
        <v>483</v>
      </c>
      <c r="J3898">
        <f>GS31/198.7</f>
        <v>0</v>
      </c>
      <c r="M3898" t="inlineStr">
        <is>
          <t>-198K37.5</t>
        </is>
      </c>
    </row>
    <row r="3899">
      <c r="A3899">
        <v>3898</v>
      </c>
      <c r="B3899">
        <f>GS04</f>
        <v>0</v>
      </c>
      <c r="C3899" t="inlineStr">
        <is>
          <t>+LS4</t>
        </is>
      </c>
      <c r="D3899" t="inlineStr">
        <is>
          <t>-198K40.3</t>
        </is>
      </c>
      <c r="E3899" t="inlineStr">
        <is>
          <t>DIL_EM-10-G</t>
        </is>
      </c>
      <c r="F3899" t="inlineStr">
        <is>
          <t>#KALK!</t>
        </is>
      </c>
      <c r="G3899" t="inlineStr">
        <is>
          <t>LASTSCHUETZ</t>
        </is>
      </c>
      <c r="H3899" t="inlineStr">
        <is>
          <t>4kW 1S</t>
        </is>
      </c>
      <c r="I3899">
        <v>448</v>
      </c>
      <c r="J3899">
        <f>GS04/198.7</f>
        <v>0</v>
      </c>
      <c r="M3899" t="inlineStr">
        <is>
          <t>-198K40.3</t>
        </is>
      </c>
    </row>
    <row r="3900">
      <c r="A3900">
        <v>3899</v>
      </c>
      <c r="B3900">
        <f>GS62</f>
        <v>0</v>
      </c>
      <c r="C3900" t="inlineStr">
        <is>
          <t>+LS1</t>
        </is>
      </c>
      <c r="D3900" t="inlineStr">
        <is>
          <t>-198K56.7</t>
        </is>
      </c>
      <c r="E3900" t="inlineStr">
        <is>
          <t>DIL_EM-10-G</t>
        </is>
      </c>
      <c r="F3900" t="inlineStr">
        <is>
          <t>#KALK!</t>
        </is>
      </c>
      <c r="G3900" t="inlineStr">
        <is>
          <t>LASTSCHUETZ</t>
        </is>
      </c>
      <c r="H3900" t="inlineStr">
        <is>
          <t>4kW 1S</t>
        </is>
      </c>
      <c r="I3900">
        <v>162</v>
      </c>
      <c r="J3900">
        <f>GS62/198.7</f>
        <v>0</v>
      </c>
      <c r="M3900" t="inlineStr">
        <is>
          <t>-198K56.7</t>
        </is>
      </c>
    </row>
    <row r="3901">
      <c r="A3901">
        <v>3900</v>
      </c>
      <c r="B3901">
        <f>GS23</f>
        <v>0</v>
      </c>
      <c r="C3901" t="inlineStr">
        <is>
          <t>+LS3</t>
        </is>
      </c>
      <c r="D3901" t="inlineStr">
        <is>
          <t>-198K70.7</t>
        </is>
      </c>
      <c r="E3901" t="inlineStr">
        <is>
          <t>DIL_EM-10-G</t>
        </is>
      </c>
      <c r="F3901" t="inlineStr">
        <is>
          <t>#KALK!</t>
        </is>
      </c>
      <c r="G3901" t="inlineStr">
        <is>
          <t>LASTSCHUETZ</t>
        </is>
      </c>
      <c r="H3901" t="inlineStr">
        <is>
          <t>4kW 1S</t>
        </is>
      </c>
      <c r="I3901">
        <v>499</v>
      </c>
      <c r="J3901">
        <f>GS23/198.7</f>
        <v>0</v>
      </c>
      <c r="M3901" t="inlineStr">
        <is>
          <t>-198K70.7</t>
        </is>
      </c>
    </row>
    <row r="3902">
      <c r="A3902">
        <v>3901</v>
      </c>
      <c r="B3902">
        <f>GS14</f>
        <v>0</v>
      </c>
      <c r="C3902" t="inlineStr">
        <is>
          <t>+LS4</t>
        </is>
      </c>
      <c r="D3902" t="inlineStr">
        <is>
          <t>-198K71.7</t>
        </is>
      </c>
      <c r="E3902" t="inlineStr">
        <is>
          <t>DIL_EM-10-G</t>
        </is>
      </c>
      <c r="F3902" t="inlineStr">
        <is>
          <t>#KALK!</t>
        </is>
      </c>
      <c r="G3902" t="inlineStr">
        <is>
          <t>LASTSCHUETZ</t>
        </is>
      </c>
      <c r="H3902" t="inlineStr">
        <is>
          <t>4kW 1S</t>
        </is>
      </c>
      <c r="I3902">
        <v>324</v>
      </c>
      <c r="J3902">
        <f>GS14/198.6</f>
        <v>0</v>
      </c>
      <c r="M3902" t="inlineStr">
        <is>
          <t>-198K71.7</t>
        </is>
      </c>
    </row>
    <row r="3903">
      <c r="A3903">
        <v>3902</v>
      </c>
      <c r="B3903">
        <f>GS14</f>
        <v>0</v>
      </c>
      <c r="C3903" t="inlineStr">
        <is>
          <t>+LS4</t>
        </is>
      </c>
      <c r="D3903" t="inlineStr">
        <is>
          <t>-198K72.0</t>
        </is>
      </c>
      <c r="E3903" t="inlineStr">
        <is>
          <t>DIL_EM-10-G</t>
        </is>
      </c>
      <c r="F3903" t="inlineStr">
        <is>
          <t>#KALK!</t>
        </is>
      </c>
      <c r="G3903" t="inlineStr">
        <is>
          <t>LASTSCHUETZ</t>
        </is>
      </c>
      <c r="H3903" t="inlineStr">
        <is>
          <t>4kW 1S</t>
        </is>
      </c>
      <c r="I3903">
        <v>324</v>
      </c>
      <c r="J3903">
        <f>GS14/198.6</f>
        <v>0</v>
      </c>
      <c r="M3903" t="inlineStr">
        <is>
          <t>-198K72.0</t>
        </is>
      </c>
    </row>
    <row r="3904">
      <c r="A3904">
        <v>3903</v>
      </c>
      <c r="B3904">
        <f>GS24</f>
        <v>0</v>
      </c>
      <c r="C3904" t="inlineStr">
        <is>
          <t>+LS4</t>
        </is>
      </c>
      <c r="D3904" t="inlineStr">
        <is>
          <t>-198K74.0</t>
        </is>
      </c>
      <c r="E3904" t="inlineStr">
        <is>
          <t>DIL_EM-10-G</t>
        </is>
      </c>
      <c r="F3904" t="inlineStr">
        <is>
          <t>#KALK!</t>
        </is>
      </c>
      <c r="G3904" t="inlineStr">
        <is>
          <t>LASTSCHUETZ</t>
        </is>
      </c>
      <c r="H3904" t="inlineStr">
        <is>
          <t>4kW 1S</t>
        </is>
      </c>
      <c r="I3904">
        <v>881</v>
      </c>
      <c r="J3904">
        <f>GS24/198.6</f>
        <v>0</v>
      </c>
      <c r="M3904" t="inlineStr">
        <is>
          <t>-198K74.0</t>
        </is>
      </c>
    </row>
    <row r="3905">
      <c r="A3905">
        <v>3904</v>
      </c>
      <c r="B3905">
        <f>GS24</f>
        <v>0</v>
      </c>
      <c r="C3905" t="inlineStr">
        <is>
          <t>+LS4</t>
        </is>
      </c>
      <c r="D3905" t="inlineStr">
        <is>
          <t>-198K74.1</t>
        </is>
      </c>
      <c r="E3905" t="inlineStr">
        <is>
          <t>DIL_EM-10-G</t>
        </is>
      </c>
      <c r="F3905" t="inlineStr">
        <is>
          <t>#KALK!</t>
        </is>
      </c>
      <c r="G3905" t="inlineStr">
        <is>
          <t>LASTSCHUETZ</t>
        </is>
      </c>
      <c r="H3905" t="inlineStr">
        <is>
          <t>4kW 1S</t>
        </is>
      </c>
      <c r="I3905">
        <v>881</v>
      </c>
      <c r="J3905">
        <f>GS24/198.6</f>
        <v>0</v>
      </c>
      <c r="M3905" t="inlineStr">
        <is>
          <t>-198K74.1</t>
        </is>
      </c>
    </row>
    <row r="3906">
      <c r="A3906">
        <v>3905</v>
      </c>
      <c r="B3906">
        <f>GS93</f>
        <v>0</v>
      </c>
      <c r="C3906" t="inlineStr">
        <is>
          <t>+LS02</t>
        </is>
      </c>
      <c r="D3906" t="inlineStr">
        <is>
          <t>-198Q166.4</t>
        </is>
      </c>
      <c r="E3906" t="inlineStr">
        <is>
          <t>DILM-9-10</t>
        </is>
      </c>
      <c r="F3906" t="inlineStr">
        <is>
          <t>#KALK!</t>
        </is>
      </c>
      <c r="G3906" t="inlineStr">
        <is>
          <t>LASTSCHUETZ</t>
        </is>
      </c>
      <c r="H3906" t="inlineStr">
        <is>
          <t>4kW 1S Federzugkl.</t>
        </is>
      </c>
      <c r="I3906">
        <v>757</v>
      </c>
      <c r="J3906">
        <f>GS93/198.5</f>
        <v>0</v>
      </c>
      <c r="M3906" t="inlineStr">
        <is>
          <t>-198Q166.4</t>
        </is>
      </c>
    </row>
    <row r="3907">
      <c r="A3907">
        <v>3906</v>
      </c>
      <c r="B3907">
        <f>GS69</f>
        <v>0</v>
      </c>
      <c r="C3907" t="inlineStr">
        <is>
          <t>+LS03</t>
        </is>
      </c>
      <c r="D3907" t="inlineStr">
        <is>
          <t>-198Q416.4</t>
        </is>
      </c>
      <c r="E3907" t="inlineStr">
        <is>
          <t>DILM-9-01</t>
        </is>
      </c>
      <c r="F3907" t="inlineStr">
        <is>
          <t>#KALK!</t>
        </is>
      </c>
      <c r="G3907" t="inlineStr">
        <is>
          <t>LASTSCHUETZ</t>
        </is>
      </c>
      <c r="H3907" t="inlineStr">
        <is>
          <t>4kW 1Oe Federzugkl.</t>
        </is>
      </c>
      <c r="I3907">
        <v>379</v>
      </c>
      <c r="J3907">
        <f>GS69/198.6</f>
        <v>0</v>
      </c>
      <c r="M3907" t="inlineStr">
        <is>
          <t>-198Q416.4</t>
        </is>
      </c>
    </row>
    <row r="3908">
      <c r="A3908">
        <v>3907</v>
      </c>
      <c r="B3908">
        <f>GS37</f>
        <v>0</v>
      </c>
      <c r="C3908" t="inlineStr">
        <is>
          <t>+LS03</t>
        </is>
      </c>
      <c r="D3908" t="inlineStr">
        <is>
          <t>-198Q447.4</t>
        </is>
      </c>
      <c r="E3908" t="inlineStr">
        <is>
          <t>DILMC12-10(24VDC)</t>
        </is>
      </c>
      <c r="F3908" t="inlineStr">
        <is>
          <t>#KALK!</t>
        </is>
      </c>
      <c r="G3908" t="inlineStr">
        <is>
          <t>LASTSCHUETZ</t>
        </is>
      </c>
      <c r="H3908" t="inlineStr">
        <is>
          <t>5,5kW 1S Federzugkl.</t>
        </is>
      </c>
      <c r="I3908">
        <v>313</v>
      </c>
      <c r="J3908">
        <f>GS37/198.5</f>
        <v>0</v>
      </c>
      <c r="K3908" t="inlineStr">
        <is>
          <t>DILMC12</t>
        </is>
      </c>
      <c r="M3908" t="inlineStr">
        <is>
          <t>-198Q447.4</t>
        </is>
      </c>
    </row>
    <row r="3909">
      <c r="A3909">
        <v>3908</v>
      </c>
      <c r="B3909">
        <f>GS91</f>
        <v>0</v>
      </c>
      <c r="C3909" t="inlineStr">
        <is>
          <t>+LS02</t>
        </is>
      </c>
      <c r="D3909" t="inlineStr">
        <is>
          <t>-198Q448.7</t>
        </is>
      </c>
      <c r="E3909" t="inlineStr">
        <is>
          <t>DILM-9-10</t>
        </is>
      </c>
      <c r="F3909" t="inlineStr">
        <is>
          <t>#KALK!</t>
        </is>
      </c>
      <c r="G3909" t="inlineStr">
        <is>
          <t>LASTSCHUETZ</t>
        </is>
      </c>
      <c r="H3909" t="inlineStr">
        <is>
          <t>4kW 1S Federzugkl.</t>
        </is>
      </c>
      <c r="I3909">
        <v>306</v>
      </c>
      <c r="J3909">
        <f>GS91/198.5</f>
        <v>0</v>
      </c>
      <c r="M3909" t="inlineStr">
        <is>
          <t>-198Q448.7</t>
        </is>
      </c>
    </row>
    <row r="3910">
      <c r="A3910">
        <v>3909</v>
      </c>
      <c r="B3910">
        <f>GS02</f>
        <v>0</v>
      </c>
      <c r="C3910" t="inlineStr">
        <is>
          <t>+LS3</t>
        </is>
      </c>
      <c r="D3910" t="inlineStr">
        <is>
          <t>-199.1K33.7</t>
        </is>
      </c>
      <c r="E3910" t="inlineStr">
        <is>
          <t>DIL_ER-22-G</t>
        </is>
      </c>
      <c r="F3910" t="inlineStr">
        <is>
          <t>#KALK!</t>
        </is>
      </c>
      <c r="G3910" t="inlineStr">
        <is>
          <t>HILFSSCHUETZ</t>
        </is>
      </c>
      <c r="H3910" t="inlineStr">
        <is>
          <t>2S 2OE</t>
        </is>
      </c>
      <c r="I3910">
        <v>603</v>
      </c>
      <c r="J3910">
        <f>GS02/199.1.5</f>
        <v>0</v>
      </c>
      <c r="M3910" t="inlineStr">
        <is>
          <t>-199.1K33.7</t>
        </is>
      </c>
    </row>
    <row r="3911">
      <c r="A3911">
        <v>3910</v>
      </c>
      <c r="B3911">
        <f>GS06</f>
        <v>0</v>
      </c>
      <c r="C3911" t="inlineStr">
        <is>
          <t>+LS25</t>
        </is>
      </c>
      <c r="D3911" t="inlineStr">
        <is>
          <t>-1990K1</t>
        </is>
      </c>
      <c r="E3911" t="inlineStr">
        <is>
          <t>DILM-9-01</t>
        </is>
      </c>
      <c r="F3911" t="inlineStr">
        <is>
          <t>#KALK!</t>
        </is>
      </c>
      <c r="G3911" t="inlineStr">
        <is>
          <t>LASTSCHUETZ</t>
        </is>
      </c>
      <c r="H3911" t="inlineStr">
        <is>
          <t>4kW 1Oe Federzugkl.</t>
        </is>
      </c>
      <c r="I3911">
        <v>5065</v>
      </c>
      <c r="J3911">
        <f>GS06/1990.6</f>
        <v>0</v>
      </c>
      <c r="M3911" t="inlineStr">
        <is>
          <t>-1990K1</t>
        </is>
      </c>
    </row>
    <row r="3912">
      <c r="A3912">
        <v>3911</v>
      </c>
      <c r="B3912">
        <f>GS06</f>
        <v>0</v>
      </c>
      <c r="C3912" t="inlineStr">
        <is>
          <t>+LS25</t>
        </is>
      </c>
      <c r="D3912" t="inlineStr">
        <is>
          <t>-1990K2</t>
        </is>
      </c>
      <c r="E3912" t="inlineStr">
        <is>
          <t>DILM-9-01</t>
        </is>
      </c>
      <c r="F3912" t="inlineStr">
        <is>
          <t>#KALK!</t>
        </is>
      </c>
      <c r="G3912" t="inlineStr">
        <is>
          <t>LASTSCHUETZ</t>
        </is>
      </c>
      <c r="H3912" t="inlineStr">
        <is>
          <t>4kW 1Oe Federzugkl.</t>
        </is>
      </c>
      <c r="I3912">
        <v>5065</v>
      </c>
      <c r="J3912">
        <f>GS06/1990.7</f>
        <v>0</v>
      </c>
      <c r="M3912" t="inlineStr">
        <is>
          <t>-1990K2</t>
        </is>
      </c>
    </row>
    <row r="3913">
      <c r="A3913">
        <v>3912</v>
      </c>
      <c r="B3913">
        <f>GS06</f>
        <v>0</v>
      </c>
      <c r="C3913" t="inlineStr">
        <is>
          <t>+LS25</t>
        </is>
      </c>
      <c r="D3913" t="inlineStr">
        <is>
          <t>-1991K1635.6</t>
        </is>
      </c>
      <c r="E3913" t="inlineStr">
        <is>
          <t>DILA-XHI22</t>
        </is>
      </c>
      <c r="F3913" t="inlineStr">
        <is>
          <t>DILA-XHI22</t>
        </is>
      </c>
      <c r="G3913" t="inlineStr">
        <is>
          <t>HILFSKONTAKTBLOCK</t>
        </is>
      </c>
      <c r="H3913" t="inlineStr">
        <is>
          <t>2S 2OE Last+Hilfssch. Cage</t>
        </is>
      </c>
      <c r="I3913">
        <v>4567</v>
      </c>
      <c r="J3913">
        <f>GS06/1991.7</f>
        <v>0</v>
      </c>
      <c r="M3913" t="inlineStr">
        <is>
          <t>-1991K1635.6</t>
        </is>
      </c>
    </row>
    <row r="3914">
      <c r="A3914">
        <v>3913</v>
      </c>
      <c r="B3914">
        <f>GS06</f>
        <v>0</v>
      </c>
      <c r="C3914" t="inlineStr">
        <is>
          <t>+LS25</t>
        </is>
      </c>
      <c r="D3914" t="inlineStr">
        <is>
          <t>-1991K1635.6</t>
        </is>
      </c>
      <c r="E3914" t="inlineStr">
        <is>
          <t>DILA-40</t>
        </is>
      </c>
      <c r="F3914" t="inlineStr">
        <is>
          <t>DILA-XHI22</t>
        </is>
      </c>
      <c r="G3914" t="inlineStr">
        <is>
          <t>HILFSSCHUETZ</t>
        </is>
      </c>
      <c r="H3914" t="inlineStr">
        <is>
          <t>4S Federzugkl.</t>
        </is>
      </c>
      <c r="I3914">
        <v>4567</v>
      </c>
      <c r="J3914">
        <f>GS06/1991.7</f>
        <v>0</v>
      </c>
      <c r="M3914" t="inlineStr">
        <is>
          <t>-1991K1635.6</t>
        </is>
      </c>
    </row>
    <row r="3915">
      <c r="A3915">
        <v>3914</v>
      </c>
      <c r="B3915">
        <f>GS06</f>
        <v>0</v>
      </c>
      <c r="C3915" t="inlineStr">
        <is>
          <t>+LS25</t>
        </is>
      </c>
      <c r="D3915" t="inlineStr">
        <is>
          <t>-1992K1</t>
        </is>
      </c>
      <c r="E3915" t="inlineStr">
        <is>
          <t>DILA-40</t>
        </is>
      </c>
      <c r="F3915" t="inlineStr">
        <is>
          <t>#KALK!</t>
        </is>
      </c>
      <c r="G3915" t="inlineStr">
        <is>
          <t>HILFSSCHUETZ</t>
        </is>
      </c>
      <c r="H3915" t="inlineStr">
        <is>
          <t>4S Federzugkl.</t>
        </is>
      </c>
      <c r="I3915">
        <v>4528</v>
      </c>
      <c r="J3915">
        <f>GS06/1992.8</f>
        <v>0</v>
      </c>
      <c r="M3915" t="inlineStr">
        <is>
          <t>-1992K1</t>
        </is>
      </c>
    </row>
    <row r="3916">
      <c r="A3916">
        <v>3915</v>
      </c>
      <c r="B3916">
        <f>GS06</f>
        <v>0</v>
      </c>
      <c r="C3916" t="inlineStr">
        <is>
          <t>+LS25</t>
        </is>
      </c>
      <c r="D3916" t="inlineStr">
        <is>
          <t>-1992K1633.7</t>
        </is>
      </c>
      <c r="E3916" t="inlineStr">
        <is>
          <t>DILA-XHI22</t>
        </is>
      </c>
      <c r="F3916" t="inlineStr">
        <is>
          <t>DILA-XHI22</t>
        </is>
      </c>
      <c r="G3916" t="inlineStr">
        <is>
          <t>HILFSKONTAKTBLOCK</t>
        </is>
      </c>
      <c r="H3916" t="inlineStr">
        <is>
          <t>2S 2OE Last+Hilfssch. Cage</t>
        </is>
      </c>
      <c r="I3916">
        <v>4528</v>
      </c>
      <c r="J3916">
        <f>GS06/1992.7</f>
        <v>0</v>
      </c>
      <c r="M3916" t="inlineStr">
        <is>
          <t>-1992K1633.7</t>
        </is>
      </c>
    </row>
    <row r="3917">
      <c r="A3917">
        <v>3916</v>
      </c>
      <c r="B3917">
        <f>GS06</f>
        <v>0</v>
      </c>
      <c r="C3917" t="inlineStr">
        <is>
          <t>+LS25</t>
        </is>
      </c>
      <c r="D3917" t="inlineStr">
        <is>
          <t>-1992K1633.7</t>
        </is>
      </c>
      <c r="E3917" t="inlineStr">
        <is>
          <t>DILA-40</t>
        </is>
      </c>
      <c r="F3917" t="inlineStr">
        <is>
          <t>DILA-XHI22</t>
        </is>
      </c>
      <c r="G3917" t="inlineStr">
        <is>
          <t>HILFSSCHUETZ</t>
        </is>
      </c>
      <c r="H3917" t="inlineStr">
        <is>
          <t>4S Federzugkl.</t>
        </is>
      </c>
      <c r="I3917">
        <v>4528</v>
      </c>
      <c r="J3917">
        <f>GS06/1992.7</f>
        <v>0</v>
      </c>
      <c r="M3917" t="inlineStr">
        <is>
          <t>-1992K1633.7</t>
        </is>
      </c>
    </row>
    <row r="3918">
      <c r="A3918">
        <v>3917</v>
      </c>
      <c r="B3918">
        <f>GS02</f>
        <v>0</v>
      </c>
      <c r="C3918" t="inlineStr">
        <is>
          <t>+LS3</t>
        </is>
      </c>
      <c r="D3918" t="inlineStr">
        <is>
          <t>-199K31.6</t>
        </is>
      </c>
      <c r="E3918" t="inlineStr">
        <is>
          <t>22_DIL-E</t>
        </is>
      </c>
      <c r="F3918" t="inlineStr">
        <is>
          <t>22_DIL-E</t>
        </is>
      </c>
      <c r="G3918" t="inlineStr">
        <is>
          <t>HILFSKONTAKTBLOCK</t>
        </is>
      </c>
      <c r="H3918" t="inlineStr">
        <is>
          <t>2S 2OE Last+Hilfsschuetz</t>
        </is>
      </c>
      <c r="I3918">
        <v>602</v>
      </c>
      <c r="J3918">
        <f>GS02/199.6</f>
        <v>0</v>
      </c>
      <c r="M3918" t="inlineStr">
        <is>
          <t>-199K31.6</t>
        </is>
      </c>
    </row>
    <row r="3919">
      <c r="A3919">
        <v>3918</v>
      </c>
      <c r="B3919">
        <f>GS02</f>
        <v>0</v>
      </c>
      <c r="C3919" t="inlineStr">
        <is>
          <t>+LS3</t>
        </is>
      </c>
      <c r="D3919" t="inlineStr">
        <is>
          <t>-199K31.6</t>
        </is>
      </c>
      <c r="E3919" t="inlineStr">
        <is>
          <t>DIL_EM-10-G</t>
        </is>
      </c>
      <c r="F3919" t="inlineStr">
        <is>
          <t>22_DIL-E</t>
        </is>
      </c>
      <c r="G3919" t="inlineStr">
        <is>
          <t>LASTSCHUETZ</t>
        </is>
      </c>
      <c r="H3919" t="inlineStr">
        <is>
          <t>4kW 1S</t>
        </is>
      </c>
      <c r="I3919">
        <v>602</v>
      </c>
      <c r="J3919">
        <f>GS02/199.6</f>
        <v>0</v>
      </c>
      <c r="M3919" t="inlineStr">
        <is>
          <t>-199K31.6</t>
        </is>
      </c>
    </row>
    <row r="3920">
      <c r="A3920">
        <v>3919</v>
      </c>
      <c r="B3920">
        <f>GS02</f>
        <v>0</v>
      </c>
      <c r="C3920" t="inlineStr">
        <is>
          <t>+LS3</t>
        </is>
      </c>
      <c r="D3920" t="inlineStr">
        <is>
          <t>-199K31.7</t>
        </is>
      </c>
      <c r="E3920" t="inlineStr">
        <is>
          <t>DIL_EM-10-G</t>
        </is>
      </c>
      <c r="F3920" t="inlineStr">
        <is>
          <t>#KALK!</t>
        </is>
      </c>
      <c r="G3920" t="inlineStr">
        <is>
          <t>LASTSCHUETZ</t>
        </is>
      </c>
      <c r="H3920" t="inlineStr">
        <is>
          <t>4kW 1S</t>
        </is>
      </c>
      <c r="I3920">
        <v>602</v>
      </c>
      <c r="J3920">
        <f>GS02/199.6</f>
        <v>0</v>
      </c>
      <c r="M3920" t="inlineStr">
        <is>
          <t>-199K31.7</t>
        </is>
      </c>
    </row>
    <row r="3921">
      <c r="A3921">
        <v>3920</v>
      </c>
      <c r="B3921">
        <f>GS31</f>
        <v>0</v>
      </c>
      <c r="C3921" t="inlineStr">
        <is>
          <t>+LS3</t>
        </is>
      </c>
      <c r="D3921" t="inlineStr">
        <is>
          <t>-199K36.4</t>
        </is>
      </c>
      <c r="E3921" t="inlineStr">
        <is>
          <t>DIL_EM-10-G</t>
        </is>
      </c>
      <c r="F3921" t="inlineStr">
        <is>
          <t>#KALK!</t>
        </is>
      </c>
      <c r="G3921" t="inlineStr">
        <is>
          <t>LASTSCHUETZ</t>
        </is>
      </c>
      <c r="H3921" t="inlineStr">
        <is>
          <t>4kW 1S</t>
        </is>
      </c>
      <c r="I3921">
        <v>484</v>
      </c>
      <c r="J3921">
        <f>GS31/199.6</f>
        <v>0</v>
      </c>
      <c r="M3921" t="inlineStr">
        <is>
          <t>-199K36.4</t>
        </is>
      </c>
    </row>
    <row r="3922">
      <c r="A3922">
        <v>3921</v>
      </c>
      <c r="B3922">
        <f>GS31</f>
        <v>0</v>
      </c>
      <c r="C3922" t="inlineStr">
        <is>
          <t>+LS3</t>
        </is>
      </c>
      <c r="D3922" t="inlineStr">
        <is>
          <t>-199K36.7</t>
        </is>
      </c>
      <c r="E3922" t="inlineStr">
        <is>
          <t>DIL_EM-10-G</t>
        </is>
      </c>
      <c r="F3922" t="inlineStr">
        <is>
          <t>#KALK!</t>
        </is>
      </c>
      <c r="G3922" t="inlineStr">
        <is>
          <t>LASTSCHUETZ</t>
        </is>
      </c>
      <c r="H3922" t="inlineStr">
        <is>
          <t>4kW 1S</t>
        </is>
      </c>
      <c r="I3922">
        <v>484</v>
      </c>
      <c r="J3922">
        <f>GS31/199.6</f>
        <v>0</v>
      </c>
      <c r="M3922" t="inlineStr">
        <is>
          <t>-199K36.7</t>
        </is>
      </c>
    </row>
    <row r="3923">
      <c r="A3923">
        <v>3922</v>
      </c>
      <c r="B3923">
        <f>GS32</f>
        <v>0</v>
      </c>
      <c r="C3923" t="inlineStr">
        <is>
          <t>+LS4</t>
        </is>
      </c>
      <c r="D3923" t="inlineStr">
        <is>
          <t>-199K38.0</t>
        </is>
      </c>
      <c r="E3923" t="inlineStr">
        <is>
          <t>DIL_ER-22-G</t>
        </is>
      </c>
      <c r="F3923" t="inlineStr">
        <is>
          <t>#KALK!</t>
        </is>
      </c>
      <c r="G3923" t="inlineStr">
        <is>
          <t>HILFSSCHUETZ</t>
        </is>
      </c>
      <c r="H3923" t="inlineStr">
        <is>
          <t>2S 2OE</t>
        </is>
      </c>
      <c r="I3923">
        <v>1053</v>
      </c>
      <c r="J3923">
        <f>GS32/199.5</f>
        <v>0</v>
      </c>
      <c r="M3923" t="inlineStr">
        <is>
          <t>-199K38.0</t>
        </is>
      </c>
    </row>
    <row r="3924">
      <c r="A3924">
        <v>3923</v>
      </c>
      <c r="B3924">
        <f>GS32</f>
        <v>0</v>
      </c>
      <c r="C3924" t="inlineStr">
        <is>
          <t>+LS4</t>
        </is>
      </c>
      <c r="D3924" t="inlineStr">
        <is>
          <t>-199K38.1</t>
        </is>
      </c>
      <c r="E3924" t="inlineStr">
        <is>
          <t>DIL_ER-22-G</t>
        </is>
      </c>
      <c r="F3924" t="inlineStr">
        <is>
          <t>#KALK!</t>
        </is>
      </c>
      <c r="G3924" t="inlineStr">
        <is>
          <t>HILFSSCHUETZ</t>
        </is>
      </c>
      <c r="H3924" t="inlineStr">
        <is>
          <t>2S 2OE</t>
        </is>
      </c>
      <c r="I3924">
        <v>1053</v>
      </c>
      <c r="J3924">
        <f>GS32/199.6</f>
        <v>0</v>
      </c>
      <c r="M3924" t="inlineStr">
        <is>
          <t>-199K38.1</t>
        </is>
      </c>
    </row>
    <row r="3925">
      <c r="A3925">
        <v>3924</v>
      </c>
      <c r="B3925">
        <f>GS32</f>
        <v>0</v>
      </c>
      <c r="C3925" t="inlineStr">
        <is>
          <t>+LS4</t>
        </is>
      </c>
      <c r="D3925" t="inlineStr">
        <is>
          <t>-199K38.2</t>
        </is>
      </c>
      <c r="E3925" t="inlineStr">
        <is>
          <t>DIL_ER-22-G</t>
        </is>
      </c>
      <c r="F3925" t="inlineStr">
        <is>
          <t>#KALK!</t>
        </is>
      </c>
      <c r="G3925" t="inlineStr">
        <is>
          <t>HILFSSCHUETZ</t>
        </is>
      </c>
      <c r="H3925" t="inlineStr">
        <is>
          <t>2S 2OE</t>
        </is>
      </c>
      <c r="I3925">
        <v>1053</v>
      </c>
      <c r="J3925">
        <f>GS32/199.7</f>
        <v>0</v>
      </c>
      <c r="M3925" t="inlineStr">
        <is>
          <t>-199K38.2</t>
        </is>
      </c>
    </row>
    <row r="3926">
      <c r="A3926">
        <v>3925</v>
      </c>
      <c r="B3926">
        <f>GS32</f>
        <v>0</v>
      </c>
      <c r="C3926" t="inlineStr">
        <is>
          <t>+LS4</t>
        </is>
      </c>
      <c r="D3926" t="inlineStr">
        <is>
          <t>-199K38.4</t>
        </is>
      </c>
      <c r="E3926" t="inlineStr">
        <is>
          <t>DIL_EM-10-G</t>
        </is>
      </c>
      <c r="F3926" t="inlineStr">
        <is>
          <t>#KALK!</t>
        </is>
      </c>
      <c r="G3926" t="inlineStr">
        <is>
          <t>LASTSCHUETZ</t>
        </is>
      </c>
      <c r="H3926" t="inlineStr">
        <is>
          <t>4kW 1S</t>
        </is>
      </c>
      <c r="I3926">
        <v>1053</v>
      </c>
      <c r="J3926">
        <f>GS32/199.7</f>
        <v>0</v>
      </c>
      <c r="M3926" t="inlineStr">
        <is>
          <t>-199K38.4</t>
        </is>
      </c>
    </row>
    <row r="3927">
      <c r="A3927">
        <v>3926</v>
      </c>
      <c r="B3927">
        <f>GS16</f>
        <v>0</v>
      </c>
      <c r="C3927" t="inlineStr">
        <is>
          <t>+LS4</t>
        </is>
      </c>
      <c r="D3927" t="inlineStr">
        <is>
          <t>-199K3930.0</t>
        </is>
      </c>
      <c r="E3927" t="inlineStr">
        <is>
          <t>DIL_ER-22-G</t>
        </is>
      </c>
      <c r="F3927" t="inlineStr">
        <is>
          <t>#KALK!</t>
        </is>
      </c>
      <c r="G3927" t="inlineStr">
        <is>
          <t>HILFSSCHUETZ</t>
        </is>
      </c>
      <c r="H3927" t="inlineStr">
        <is>
          <t>2S 2OE</t>
        </is>
      </c>
      <c r="I3927">
        <v>423</v>
      </c>
      <c r="J3927">
        <f>GS16/199.5</f>
        <v>0</v>
      </c>
      <c r="M3927" t="inlineStr">
        <is>
          <t>-199K3930.0</t>
        </is>
      </c>
    </row>
    <row r="3928">
      <c r="A3928">
        <v>3927</v>
      </c>
      <c r="B3928">
        <f>GS16</f>
        <v>0</v>
      </c>
      <c r="C3928" t="inlineStr">
        <is>
          <t>+LS4</t>
        </is>
      </c>
      <c r="D3928" t="inlineStr">
        <is>
          <t>-199K3930.1</t>
        </is>
      </c>
      <c r="E3928" t="inlineStr">
        <is>
          <t>DIL_ER-22-G</t>
        </is>
      </c>
      <c r="F3928" t="inlineStr">
        <is>
          <t>#KALK!</t>
        </is>
      </c>
      <c r="G3928" t="inlineStr">
        <is>
          <t>HILFSSCHUETZ</t>
        </is>
      </c>
      <c r="H3928" t="inlineStr">
        <is>
          <t>2S 2OE</t>
        </is>
      </c>
      <c r="I3928">
        <v>423</v>
      </c>
      <c r="J3928">
        <f>GS16/199.6</f>
        <v>0</v>
      </c>
      <c r="M3928" t="inlineStr">
        <is>
          <t>-199K3930.1</t>
        </is>
      </c>
    </row>
    <row r="3929">
      <c r="A3929">
        <v>3928</v>
      </c>
      <c r="B3929">
        <f>GS16</f>
        <v>0</v>
      </c>
      <c r="C3929" t="inlineStr">
        <is>
          <t>+LS4</t>
        </is>
      </c>
      <c r="D3929" t="inlineStr">
        <is>
          <t>-199K3930.2</t>
        </is>
      </c>
      <c r="E3929" t="inlineStr">
        <is>
          <t>DIL_ER-22-G</t>
        </is>
      </c>
      <c r="F3929" t="inlineStr">
        <is>
          <t>#KALK!</t>
        </is>
      </c>
      <c r="G3929" t="inlineStr">
        <is>
          <t>HILFSSCHUETZ</t>
        </is>
      </c>
      <c r="H3929" t="inlineStr">
        <is>
          <t>2S 2OE</t>
        </is>
      </c>
      <c r="I3929">
        <v>423</v>
      </c>
      <c r="J3929">
        <f>GS16/199.7</f>
        <v>0</v>
      </c>
      <c r="M3929" t="inlineStr">
        <is>
          <t>-199K3930.2</t>
        </is>
      </c>
    </row>
    <row r="3930">
      <c r="A3930">
        <v>3929</v>
      </c>
      <c r="B3930">
        <f>GS16</f>
        <v>0</v>
      </c>
      <c r="C3930" t="inlineStr">
        <is>
          <t>+LS4</t>
        </is>
      </c>
      <c r="D3930" t="inlineStr">
        <is>
          <t>-199K3930.4</t>
        </is>
      </c>
      <c r="E3930" t="inlineStr">
        <is>
          <t>DIL_EM-10-G</t>
        </is>
      </c>
      <c r="F3930" t="inlineStr">
        <is>
          <t>#KALK!</t>
        </is>
      </c>
      <c r="G3930" t="inlineStr">
        <is>
          <t>LASTSCHUETZ</t>
        </is>
      </c>
      <c r="H3930" t="inlineStr">
        <is>
          <t>4kW 1S</t>
        </is>
      </c>
      <c r="I3930">
        <v>423</v>
      </c>
      <c r="J3930">
        <f>GS16/199.7</f>
        <v>0</v>
      </c>
      <c r="M3930" t="inlineStr">
        <is>
          <t>-199K3930.4</t>
        </is>
      </c>
    </row>
    <row r="3931">
      <c r="A3931">
        <v>3930</v>
      </c>
      <c r="B3931">
        <f>GS04</f>
        <v>0</v>
      </c>
      <c r="C3931" t="inlineStr">
        <is>
          <t>+LS4</t>
        </is>
      </c>
      <c r="D3931" t="inlineStr">
        <is>
          <t>-199K41.0</t>
        </is>
      </c>
      <c r="E3931" t="inlineStr">
        <is>
          <t>DIL_EM-10-G</t>
        </is>
      </c>
      <c r="F3931" t="inlineStr">
        <is>
          <t>#KALK!</t>
        </is>
      </c>
      <c r="G3931" t="inlineStr">
        <is>
          <t>LASTSCHUETZ</t>
        </is>
      </c>
      <c r="H3931" t="inlineStr">
        <is>
          <t>4kW 1S</t>
        </is>
      </c>
      <c r="I3931">
        <v>449</v>
      </c>
      <c r="J3931">
        <f>GS04/199.7</f>
        <v>0</v>
      </c>
      <c r="M3931" t="inlineStr">
        <is>
          <t>-199K41.0</t>
        </is>
      </c>
    </row>
    <row r="3932">
      <c r="A3932">
        <v>3931</v>
      </c>
      <c r="B3932">
        <f>GS62</f>
        <v>0</v>
      </c>
      <c r="C3932" t="inlineStr">
        <is>
          <t>+LS1</t>
        </is>
      </c>
      <c r="D3932" t="inlineStr">
        <is>
          <t>-199K57.0</t>
        </is>
      </c>
      <c r="E3932" t="inlineStr">
        <is>
          <t>DIL_EM-10-G</t>
        </is>
      </c>
      <c r="F3932" t="inlineStr">
        <is>
          <t>#KALK!</t>
        </is>
      </c>
      <c r="G3932" t="inlineStr">
        <is>
          <t>LASTSCHUETZ</t>
        </is>
      </c>
      <c r="H3932" t="inlineStr">
        <is>
          <t>4kW 1S</t>
        </is>
      </c>
      <c r="I3932">
        <v>161</v>
      </c>
      <c r="J3932">
        <f>GS62/199.6</f>
        <v>0</v>
      </c>
      <c r="M3932" t="inlineStr">
        <is>
          <t>-199K57.0</t>
        </is>
      </c>
    </row>
    <row r="3933">
      <c r="A3933">
        <v>3932</v>
      </c>
      <c r="B3933">
        <f>GS25</f>
        <v>0</v>
      </c>
      <c r="C3933" t="inlineStr">
        <is>
          <t>+LS4</t>
        </is>
      </c>
      <c r="D3933" t="inlineStr">
        <is>
          <t>-199K70.0</t>
        </is>
      </c>
      <c r="E3933" t="inlineStr">
        <is>
          <t>DIL_EM-10-G</t>
        </is>
      </c>
      <c r="F3933" t="inlineStr">
        <is>
          <t>#KALK!</t>
        </is>
      </c>
      <c r="G3933" t="inlineStr">
        <is>
          <t>LASTSCHUETZ</t>
        </is>
      </c>
      <c r="H3933" t="inlineStr">
        <is>
          <t>4kW 1S</t>
        </is>
      </c>
      <c r="I3933">
        <v>320</v>
      </c>
      <c r="J3933">
        <f>GS25/199.6</f>
        <v>0</v>
      </c>
      <c r="M3933" t="inlineStr">
        <is>
          <t>-199K70.0</t>
        </is>
      </c>
    </row>
    <row r="3934">
      <c r="A3934">
        <v>3933</v>
      </c>
      <c r="B3934">
        <f>GS25</f>
        <v>0</v>
      </c>
      <c r="C3934" t="inlineStr">
        <is>
          <t>+LS4</t>
        </is>
      </c>
      <c r="D3934" t="inlineStr">
        <is>
          <t>-199K70.1</t>
        </is>
      </c>
      <c r="E3934" t="inlineStr">
        <is>
          <t>DIL_EM-10-G</t>
        </is>
      </c>
      <c r="F3934" t="inlineStr">
        <is>
          <t>#KALK!</t>
        </is>
      </c>
      <c r="G3934" t="inlineStr">
        <is>
          <t>LASTSCHUETZ</t>
        </is>
      </c>
      <c r="H3934" t="inlineStr">
        <is>
          <t>4kW 1S</t>
        </is>
      </c>
      <c r="I3934">
        <v>320</v>
      </c>
      <c r="J3934">
        <f>GS25/199.6</f>
        <v>0</v>
      </c>
      <c r="M3934" t="inlineStr">
        <is>
          <t>-199K70.1</t>
        </is>
      </c>
    </row>
    <row r="3935">
      <c r="A3935">
        <v>3934</v>
      </c>
      <c r="B3935">
        <f>GS14</f>
        <v>0</v>
      </c>
      <c r="C3935" t="inlineStr">
        <is>
          <t>+LS4</t>
        </is>
      </c>
      <c r="D3935" t="inlineStr">
        <is>
          <t>-199K72.1</t>
        </is>
      </c>
      <c r="E3935" t="inlineStr">
        <is>
          <t>DIL_EM-10-G</t>
        </is>
      </c>
      <c r="F3935" t="inlineStr">
        <is>
          <t>#KALK!</t>
        </is>
      </c>
      <c r="G3935" t="inlineStr">
        <is>
          <t>LASTSCHUETZ</t>
        </is>
      </c>
      <c r="H3935" t="inlineStr">
        <is>
          <t>4kW 1S</t>
        </is>
      </c>
      <c r="I3935">
        <v>325</v>
      </c>
      <c r="J3935">
        <f>GS14/199.6</f>
        <v>0</v>
      </c>
      <c r="M3935" t="inlineStr">
        <is>
          <t>-199K72.1</t>
        </is>
      </c>
    </row>
    <row r="3936">
      <c r="A3936">
        <v>3935</v>
      </c>
      <c r="B3936">
        <f>GS14</f>
        <v>0</v>
      </c>
      <c r="C3936" t="inlineStr">
        <is>
          <t>+LS4</t>
        </is>
      </c>
      <c r="D3936" t="inlineStr">
        <is>
          <t>-199K72.2</t>
        </is>
      </c>
      <c r="E3936" t="inlineStr">
        <is>
          <t>DIL_EM-10-G</t>
        </is>
      </c>
      <c r="F3936" t="inlineStr">
        <is>
          <t>#KALK!</t>
        </is>
      </c>
      <c r="G3936" t="inlineStr">
        <is>
          <t>LASTSCHUETZ</t>
        </is>
      </c>
      <c r="H3936" t="inlineStr">
        <is>
          <t>4kW 1S</t>
        </is>
      </c>
      <c r="I3936">
        <v>325</v>
      </c>
      <c r="J3936">
        <f>GS14/199.6</f>
        <v>0</v>
      </c>
      <c r="M3936" t="inlineStr">
        <is>
          <t>-199K72.2</t>
        </is>
      </c>
    </row>
    <row r="3937">
      <c r="A3937">
        <v>3936</v>
      </c>
      <c r="B3937">
        <f>GS91</f>
        <v>0</v>
      </c>
      <c r="C3937" t="inlineStr">
        <is>
          <t>+LS02</t>
        </is>
      </c>
      <c r="D3937" t="inlineStr">
        <is>
          <t>-199Q449.0</t>
        </is>
      </c>
      <c r="E3937" t="inlineStr">
        <is>
          <t>DILM-9-10</t>
        </is>
      </c>
      <c r="F3937" t="inlineStr">
        <is>
          <t>#KALK!</t>
        </is>
      </c>
      <c r="G3937" t="inlineStr">
        <is>
          <t>LASTSCHUETZ</t>
        </is>
      </c>
      <c r="H3937" t="inlineStr">
        <is>
          <t>4kW 1S Federzugkl.</t>
        </is>
      </c>
      <c r="I3937">
        <v>307</v>
      </c>
      <c r="J3937">
        <f>GS91/199.5</f>
        <v>0</v>
      </c>
      <c r="M3937" t="inlineStr">
        <is>
          <t>-199Q449.0</t>
        </is>
      </c>
    </row>
    <row r="3938">
      <c r="A3938">
        <v>3937</v>
      </c>
      <c r="B3938">
        <f>GS38</f>
        <v>0</v>
      </c>
      <c r="C3938" t="inlineStr">
        <is>
          <t>+LS03</t>
        </is>
      </c>
      <c r="D3938" t="inlineStr">
        <is>
          <t>-199Q722.5</t>
        </is>
      </c>
      <c r="E3938" t="inlineStr">
        <is>
          <t>DILM-9-10</t>
        </is>
      </c>
      <c r="F3938" t="inlineStr">
        <is>
          <t>DILA-XHI22</t>
        </is>
      </c>
      <c r="G3938" t="inlineStr">
        <is>
          <t>LASTSCHUETZ</t>
        </is>
      </c>
      <c r="H3938" t="inlineStr">
        <is>
          <t>4kW 1S Federzugkl.</t>
        </is>
      </c>
      <c r="I3938">
        <v>319</v>
      </c>
      <c r="J3938">
        <f>GS38/199.5</f>
        <v>0</v>
      </c>
      <c r="M3938" t="inlineStr">
        <is>
          <t>-199Q722.5</t>
        </is>
      </c>
    </row>
    <row r="3939">
      <c r="A3939">
        <v>3938</v>
      </c>
      <c r="B3939">
        <f>GS38</f>
        <v>0</v>
      </c>
      <c r="C3939" t="inlineStr">
        <is>
          <t>+LS03</t>
        </is>
      </c>
      <c r="D3939" t="inlineStr">
        <is>
          <t>-199Q722.5</t>
        </is>
      </c>
      <c r="E3939" t="inlineStr">
        <is>
          <t>DILA-XHI22</t>
        </is>
      </c>
      <c r="F3939" t="inlineStr">
        <is>
          <t>DILA-XHI22</t>
        </is>
      </c>
      <c r="G3939" t="inlineStr">
        <is>
          <t>HILFSKONTAKTBLOCK</t>
        </is>
      </c>
      <c r="H3939" t="inlineStr">
        <is>
          <t>2S 2OE Last+Hilfssch. Cage</t>
        </is>
      </c>
      <c r="I3939">
        <v>319</v>
      </c>
      <c r="J3939">
        <f>GS38/199.5</f>
        <v>0</v>
      </c>
      <c r="M3939" t="inlineStr">
        <is>
          <t>-199Q722.5</t>
        </is>
      </c>
    </row>
    <row r="3940">
      <c r="A3940">
        <v>3939</v>
      </c>
      <c r="B3940">
        <f>GS39</f>
        <v>0</v>
      </c>
      <c r="C3940" t="inlineStr">
        <is>
          <t>+LS03</t>
        </is>
      </c>
      <c r="D3940" t="inlineStr">
        <is>
          <t>-199Q722.5</t>
        </is>
      </c>
      <c r="E3940" t="inlineStr">
        <is>
          <t>DILM-9-10</t>
        </is>
      </c>
      <c r="F3940" t="inlineStr">
        <is>
          <t>DILA-XHI22</t>
        </is>
      </c>
      <c r="G3940" t="inlineStr">
        <is>
          <t>LASTSCHUETZ</t>
        </is>
      </c>
      <c r="H3940" t="inlineStr">
        <is>
          <t>4kW 1S Federzugkl.</t>
        </is>
      </c>
      <c r="I3940">
        <v>394</v>
      </c>
      <c r="J3940">
        <f>GS39/199.5</f>
        <v>0</v>
      </c>
      <c r="M3940" t="inlineStr">
        <is>
          <t>-199Q722.5</t>
        </is>
      </c>
    </row>
    <row r="3941">
      <c r="A3941">
        <v>3940</v>
      </c>
      <c r="B3941">
        <f>GS39</f>
        <v>0</v>
      </c>
      <c r="C3941" t="inlineStr">
        <is>
          <t>+LS03</t>
        </is>
      </c>
      <c r="D3941" t="inlineStr">
        <is>
          <t>-199Q722.5</t>
        </is>
      </c>
      <c r="E3941" t="inlineStr">
        <is>
          <t>DILA-XHI22</t>
        </is>
      </c>
      <c r="F3941" t="inlineStr">
        <is>
          <t>DILA-XHI22</t>
        </is>
      </c>
      <c r="G3941" t="inlineStr">
        <is>
          <t>HILFSKONTAKTBLOCK</t>
        </is>
      </c>
      <c r="H3941" t="inlineStr">
        <is>
          <t>2S 2OE Last+Hilfssch. Cage</t>
        </is>
      </c>
      <c r="I3941">
        <v>394</v>
      </c>
      <c r="J3941">
        <f>GS39/199.5</f>
        <v>0</v>
      </c>
      <c r="M3941" t="inlineStr">
        <is>
          <t>-199Q722.5</t>
        </is>
      </c>
    </row>
    <row r="3942">
      <c r="A3942">
        <v>3941</v>
      </c>
      <c r="B3942">
        <f>GS38</f>
        <v>0</v>
      </c>
      <c r="C3942" t="inlineStr">
        <is>
          <t>+LS03</t>
        </is>
      </c>
      <c r="D3942" t="inlineStr">
        <is>
          <t>-199Q722.6</t>
        </is>
      </c>
      <c r="E3942" t="inlineStr">
        <is>
          <t>DILM-9-10</t>
        </is>
      </c>
      <c r="F3942" t="inlineStr">
        <is>
          <t>DILA-XHI22</t>
        </is>
      </c>
      <c r="G3942" t="inlineStr">
        <is>
          <t>LASTSCHUETZ</t>
        </is>
      </c>
      <c r="H3942" t="inlineStr">
        <is>
          <t>4kW 1S Federzugkl.</t>
        </is>
      </c>
      <c r="I3942">
        <v>319</v>
      </c>
      <c r="J3942">
        <f>GS38/199.6</f>
        <v>0</v>
      </c>
      <c r="M3942" t="inlineStr">
        <is>
          <t>-199Q722.6</t>
        </is>
      </c>
    </row>
    <row r="3943">
      <c r="A3943">
        <v>3942</v>
      </c>
      <c r="B3943">
        <f>GS38</f>
        <v>0</v>
      </c>
      <c r="C3943" t="inlineStr">
        <is>
          <t>+LS03</t>
        </is>
      </c>
      <c r="D3943" t="inlineStr">
        <is>
          <t>-199Q722.6</t>
        </is>
      </c>
      <c r="E3943" t="inlineStr">
        <is>
          <t>DILA-XHI22</t>
        </is>
      </c>
      <c r="F3943" t="inlineStr">
        <is>
          <t>DILA-XHI22</t>
        </is>
      </c>
      <c r="G3943" t="inlineStr">
        <is>
          <t>HILFSKONTAKTBLOCK</t>
        </is>
      </c>
      <c r="H3943" t="inlineStr">
        <is>
          <t>2S 2OE Last+Hilfssch. Cage</t>
        </is>
      </c>
      <c r="I3943">
        <v>319</v>
      </c>
      <c r="J3943">
        <f>GS38/199.6</f>
        <v>0</v>
      </c>
      <c r="M3943" t="inlineStr">
        <is>
          <t>-199Q722.6</t>
        </is>
      </c>
    </row>
    <row r="3944">
      <c r="A3944">
        <v>3943</v>
      </c>
      <c r="B3944">
        <f>GS39</f>
        <v>0</v>
      </c>
      <c r="C3944" t="inlineStr">
        <is>
          <t>+LS03</t>
        </is>
      </c>
      <c r="D3944" t="inlineStr">
        <is>
          <t>-199Q722.6</t>
        </is>
      </c>
      <c r="E3944" t="inlineStr">
        <is>
          <t>DILM-9-10</t>
        </is>
      </c>
      <c r="F3944" t="inlineStr">
        <is>
          <t>DILA-XHI22</t>
        </is>
      </c>
      <c r="G3944" t="inlineStr">
        <is>
          <t>LASTSCHUETZ</t>
        </is>
      </c>
      <c r="H3944" t="inlineStr">
        <is>
          <t>4kW 1S Federzugkl.</t>
        </is>
      </c>
      <c r="I3944">
        <v>394</v>
      </c>
      <c r="J3944">
        <f>GS39/199.6</f>
        <v>0</v>
      </c>
      <c r="M3944" t="inlineStr">
        <is>
          <t>-199Q722.6</t>
        </is>
      </c>
    </row>
    <row r="3945">
      <c r="A3945">
        <v>3944</v>
      </c>
      <c r="B3945">
        <f>GS39</f>
        <v>0</v>
      </c>
      <c r="C3945" t="inlineStr">
        <is>
          <t>+LS03</t>
        </is>
      </c>
      <c r="D3945" t="inlineStr">
        <is>
          <t>-199Q722.6</t>
        </is>
      </c>
      <c r="E3945" t="inlineStr">
        <is>
          <t>DILA-XHI22</t>
        </is>
      </c>
      <c r="F3945" t="inlineStr">
        <is>
          <t>DILA-XHI22</t>
        </is>
      </c>
      <c r="G3945" t="inlineStr">
        <is>
          <t>HILFSKONTAKTBLOCK</t>
        </is>
      </c>
      <c r="H3945" t="inlineStr">
        <is>
          <t>2S 2OE Last+Hilfssch. Cage</t>
        </is>
      </c>
      <c r="I3945">
        <v>394</v>
      </c>
      <c r="J3945">
        <f>GS39/199.6</f>
        <v>0</v>
      </c>
      <c r="M3945" t="inlineStr">
        <is>
          <t>-199Q722.6</t>
        </is>
      </c>
    </row>
    <row r="3946">
      <c r="A3946">
        <v>3945</v>
      </c>
      <c r="B3946">
        <f>EPM</f>
        <v>0</v>
      </c>
      <c r="C3946" t="inlineStr">
        <is>
          <t>+LS</t>
        </is>
      </c>
      <c r="D3946" t="inlineStr">
        <is>
          <t>-19K1</t>
        </is>
      </c>
      <c r="E3946" t="inlineStr">
        <is>
          <t>DIL_EM-10-G</t>
        </is>
      </c>
      <c r="F3946" t="inlineStr">
        <is>
          <t>22_DIL-E</t>
        </is>
      </c>
      <c r="G3946" t="inlineStr">
        <is>
          <t>LASTSCHUETZ</t>
        </is>
      </c>
      <c r="H3946" t="inlineStr">
        <is>
          <t>4kW 1S</t>
        </is>
      </c>
      <c r="I3946">
        <v>171</v>
      </c>
      <c r="J3946">
        <f>EPM/19.6</f>
        <v>0</v>
      </c>
      <c r="M3946" t="inlineStr">
        <is>
          <t>-19K1</t>
        </is>
      </c>
    </row>
    <row r="3947">
      <c r="A3947">
        <v>3946</v>
      </c>
      <c r="B3947">
        <f>EPM</f>
        <v>0</v>
      </c>
      <c r="C3947" t="inlineStr">
        <is>
          <t>+LS</t>
        </is>
      </c>
      <c r="D3947" t="inlineStr">
        <is>
          <t>-19K1</t>
        </is>
      </c>
      <c r="E3947" t="inlineStr">
        <is>
          <t>22_DIL-E</t>
        </is>
      </c>
      <c r="F3947" t="inlineStr">
        <is>
          <t>22_DIL-E</t>
        </is>
      </c>
      <c r="G3947" t="inlineStr">
        <is>
          <t>HILFSKONTAKTBLOCK</t>
        </is>
      </c>
      <c r="H3947" t="inlineStr">
        <is>
          <t>2S 2OE Last+Hilfsschuetz</t>
        </is>
      </c>
      <c r="I3947">
        <v>171</v>
      </c>
      <c r="J3947">
        <f>EPM/19.6</f>
        <v>0</v>
      </c>
      <c r="M3947" t="inlineStr">
        <is>
          <t>-19K1</t>
        </is>
      </c>
    </row>
    <row r="3948">
      <c r="A3948">
        <v>3947</v>
      </c>
      <c r="B3948">
        <f>EPP</f>
        <v>0</v>
      </c>
      <c r="C3948" t="inlineStr">
        <is>
          <t>+LS</t>
        </is>
      </c>
      <c r="D3948" t="inlineStr">
        <is>
          <t>-19K1</t>
        </is>
      </c>
      <c r="E3948" t="inlineStr">
        <is>
          <t>DIL_EM-01-G</t>
        </is>
      </c>
      <c r="F3948" t="inlineStr">
        <is>
          <t>#KALK!</t>
        </is>
      </c>
      <c r="G3948" t="inlineStr">
        <is>
          <t>LASTSCHUETZ</t>
        </is>
      </c>
      <c r="H3948" t="inlineStr">
        <is>
          <t>4kW 1OE</t>
        </is>
      </c>
      <c r="I3948">
        <v>117</v>
      </c>
      <c r="J3948">
        <f>EPP/19.7</f>
        <v>0</v>
      </c>
      <c r="M3948" t="inlineStr">
        <is>
          <t>-19K1</t>
        </is>
      </c>
    </row>
    <row r="3949">
      <c r="A3949">
        <v>3948</v>
      </c>
      <c r="B3949">
        <f>EPM</f>
        <v>0</v>
      </c>
      <c r="C3949" t="inlineStr">
        <is>
          <t>+LS</t>
        </is>
      </c>
      <c r="D3949" t="inlineStr">
        <is>
          <t>-19K2</t>
        </is>
      </c>
      <c r="E3949" t="inlineStr">
        <is>
          <t>DIL_EM-10-G</t>
        </is>
      </c>
      <c r="F3949" t="inlineStr">
        <is>
          <t>22_DIL-E</t>
        </is>
      </c>
      <c r="G3949" t="inlineStr">
        <is>
          <t>LASTSCHUETZ</t>
        </is>
      </c>
      <c r="H3949" t="inlineStr">
        <is>
          <t>4kW 1S</t>
        </is>
      </c>
      <c r="I3949">
        <v>171</v>
      </c>
      <c r="J3949">
        <f>EPM/19.7</f>
        <v>0</v>
      </c>
      <c r="M3949" t="inlineStr">
        <is>
          <t>-19K2</t>
        </is>
      </c>
    </row>
    <row r="3950">
      <c r="A3950">
        <v>3949</v>
      </c>
      <c r="B3950">
        <f>EPM</f>
        <v>0</v>
      </c>
      <c r="C3950" t="inlineStr">
        <is>
          <t>+LS</t>
        </is>
      </c>
      <c r="D3950" t="inlineStr">
        <is>
          <t>-19K2</t>
        </is>
      </c>
      <c r="E3950" t="inlineStr">
        <is>
          <t>22_DIL-E</t>
        </is>
      </c>
      <c r="F3950" t="inlineStr">
        <is>
          <t>22_DIL-E</t>
        </is>
      </c>
      <c r="G3950" t="inlineStr">
        <is>
          <t>HILFSKONTAKTBLOCK</t>
        </is>
      </c>
      <c r="H3950" t="inlineStr">
        <is>
          <t>2S 2OE Last+Hilfsschuetz</t>
        </is>
      </c>
      <c r="I3950">
        <v>171</v>
      </c>
      <c r="J3950">
        <f>EPM/19.7</f>
        <v>0</v>
      </c>
      <c r="M3950" t="inlineStr">
        <is>
          <t>-19K2</t>
        </is>
      </c>
    </row>
    <row r="3951">
      <c r="A3951">
        <v>3950</v>
      </c>
      <c r="B3951">
        <f>GC03</f>
        <v>0</v>
      </c>
      <c r="C3951" t="inlineStr">
        <is>
          <t>+ES1</t>
        </is>
      </c>
      <c r="D3951" t="inlineStr">
        <is>
          <t>-19K4.2</t>
        </is>
      </c>
      <c r="E3951" t="inlineStr">
        <is>
          <t>DIL_EM-10-G</t>
        </is>
      </c>
      <c r="F3951" t="inlineStr">
        <is>
          <t>#KALK!</t>
        </is>
      </c>
      <c r="G3951" t="inlineStr">
        <is>
          <t>LASTSCHUETZ</t>
        </is>
      </c>
      <c r="H3951" t="inlineStr">
        <is>
          <t>4kW 1S</t>
        </is>
      </c>
      <c r="I3951">
        <v>704</v>
      </c>
      <c r="J3951">
        <f>GC03/19.3</f>
        <v>0</v>
      </c>
      <c r="M3951" t="inlineStr">
        <is>
          <t>-19K4.2</t>
        </is>
      </c>
    </row>
    <row r="3952">
      <c r="A3952">
        <v>3951</v>
      </c>
      <c r="B3952">
        <f>GC22</f>
        <v>0</v>
      </c>
      <c r="C3952" t="inlineStr">
        <is>
          <t>+ES1</t>
        </is>
      </c>
      <c r="D3952" t="inlineStr">
        <is>
          <t>-19K4.2</t>
        </is>
      </c>
      <c r="E3952" t="inlineStr">
        <is>
          <t>DIL_EM-10-G</t>
        </is>
      </c>
      <c r="F3952" t="inlineStr">
        <is>
          <t>#KALK!</t>
        </is>
      </c>
      <c r="G3952" t="inlineStr">
        <is>
          <t>LASTSCHUETZ</t>
        </is>
      </c>
      <c r="H3952" t="inlineStr">
        <is>
          <t>4kW 1S</t>
        </is>
      </c>
      <c r="I3952">
        <v>3047</v>
      </c>
      <c r="J3952">
        <f>GC22/19.3</f>
        <v>0</v>
      </c>
      <c r="M3952" t="inlineStr">
        <is>
          <t>-19K4.2</t>
        </is>
      </c>
    </row>
    <row r="3953">
      <c r="A3953">
        <v>3952</v>
      </c>
      <c r="B3953">
        <f>GS01</f>
        <v>0</v>
      </c>
      <c r="C3953" t="inlineStr">
        <is>
          <t>+ES1</t>
        </is>
      </c>
      <c r="D3953" t="inlineStr">
        <is>
          <t>-19K4.2</t>
        </is>
      </c>
      <c r="E3953" t="inlineStr">
        <is>
          <t>DIL_EM-10-G</t>
        </is>
      </c>
      <c r="F3953" t="inlineStr">
        <is>
          <t>#KALK!</t>
        </is>
      </c>
      <c r="G3953" t="inlineStr">
        <is>
          <t>LASTSCHUETZ</t>
        </is>
      </c>
      <c r="H3953" t="inlineStr">
        <is>
          <t>4kW 1S</t>
        </is>
      </c>
      <c r="I3953">
        <v>108</v>
      </c>
      <c r="J3953">
        <f>GS01/19.3</f>
        <v>0</v>
      </c>
      <c r="M3953" t="inlineStr">
        <is>
          <t>-19K4.2</t>
        </is>
      </c>
    </row>
    <row r="3954">
      <c r="A3954">
        <v>3953</v>
      </c>
      <c r="B3954">
        <f>GS02</f>
        <v>0</v>
      </c>
      <c r="C3954" t="inlineStr">
        <is>
          <t>+ES1</t>
        </is>
      </c>
      <c r="D3954" t="inlineStr">
        <is>
          <t>-19K4.2</t>
        </is>
      </c>
      <c r="E3954" t="inlineStr">
        <is>
          <t>DIL_EM-10-G</t>
        </is>
      </c>
      <c r="F3954" t="inlineStr">
        <is>
          <t>#KALK!</t>
        </is>
      </c>
      <c r="G3954" t="inlineStr">
        <is>
          <t>LASTSCHUETZ</t>
        </is>
      </c>
      <c r="H3954" t="inlineStr">
        <is>
          <t>4kW 1S</t>
        </is>
      </c>
      <c r="I3954">
        <v>410</v>
      </c>
      <c r="J3954">
        <f>GS02/19.3</f>
        <v>0</v>
      </c>
      <c r="M3954" t="inlineStr">
        <is>
          <t>-19K4.2</t>
        </is>
      </c>
    </row>
    <row r="3955">
      <c r="A3955">
        <v>3954</v>
      </c>
      <c r="B3955">
        <f>GS04</f>
        <v>0</v>
      </c>
      <c r="C3955" t="inlineStr">
        <is>
          <t>+ES1</t>
        </is>
      </c>
      <c r="D3955" t="inlineStr">
        <is>
          <t>-19K4.2</t>
        </is>
      </c>
      <c r="E3955" t="inlineStr">
        <is>
          <t>DIL_EM-10-G</t>
        </is>
      </c>
      <c r="F3955" t="inlineStr">
        <is>
          <t>#KALK!</t>
        </is>
      </c>
      <c r="G3955" t="inlineStr">
        <is>
          <t>LASTSCHUETZ</t>
        </is>
      </c>
      <c r="H3955" t="inlineStr">
        <is>
          <t>4kW 1S</t>
        </is>
      </c>
      <c r="I3955">
        <v>263</v>
      </c>
      <c r="J3955">
        <f>GS04/19.3</f>
        <v>0</v>
      </c>
      <c r="M3955" t="inlineStr">
        <is>
          <t>-19K4.2</t>
        </is>
      </c>
    </row>
    <row r="3956">
      <c r="A3956">
        <v>3955</v>
      </c>
      <c r="B3956">
        <f>GS11</f>
        <v>0</v>
      </c>
      <c r="C3956" t="inlineStr">
        <is>
          <t>+ES1</t>
        </is>
      </c>
      <c r="D3956" t="inlineStr">
        <is>
          <t>-19K4.2</t>
        </is>
      </c>
      <c r="E3956" t="inlineStr">
        <is>
          <t>DIL_EM-10-G</t>
        </is>
      </c>
      <c r="F3956" t="inlineStr">
        <is>
          <t>#KALK!</t>
        </is>
      </c>
      <c r="G3956" t="inlineStr">
        <is>
          <t>LASTSCHUETZ</t>
        </is>
      </c>
      <c r="H3956" t="inlineStr">
        <is>
          <t>4kW 1S</t>
        </is>
      </c>
      <c r="I3956">
        <v>111</v>
      </c>
      <c r="J3956">
        <f>GS11/19.3</f>
        <v>0</v>
      </c>
      <c r="M3956" t="inlineStr">
        <is>
          <t>-19K4.2</t>
        </is>
      </c>
    </row>
    <row r="3957">
      <c r="A3957">
        <v>3956</v>
      </c>
      <c r="B3957">
        <f>GS12</f>
        <v>0</v>
      </c>
      <c r="C3957" t="inlineStr">
        <is>
          <t>+ES1</t>
        </is>
      </c>
      <c r="D3957" t="inlineStr">
        <is>
          <t>-19K4.2</t>
        </is>
      </c>
      <c r="E3957" t="inlineStr">
        <is>
          <t>DIL_EM-10-G</t>
        </is>
      </c>
      <c r="F3957" t="inlineStr">
        <is>
          <t>#KALK!</t>
        </is>
      </c>
      <c r="G3957" t="inlineStr">
        <is>
          <t>LASTSCHUETZ</t>
        </is>
      </c>
      <c r="H3957" t="inlineStr">
        <is>
          <t>4kW 1S</t>
        </is>
      </c>
      <c r="I3957">
        <v>161</v>
      </c>
      <c r="J3957">
        <f>GS12/19.3</f>
        <v>0</v>
      </c>
      <c r="M3957" t="inlineStr">
        <is>
          <t>-19K4.2</t>
        </is>
      </c>
    </row>
    <row r="3958">
      <c r="A3958">
        <v>3957</v>
      </c>
      <c r="B3958">
        <f>GS13</f>
        <v>0</v>
      </c>
      <c r="C3958" t="inlineStr">
        <is>
          <t>+ES1</t>
        </is>
      </c>
      <c r="D3958" t="inlineStr">
        <is>
          <t>-19K4.2</t>
        </is>
      </c>
      <c r="E3958" t="inlineStr">
        <is>
          <t>DIL_EM-10-G</t>
        </is>
      </c>
      <c r="F3958" t="inlineStr">
        <is>
          <t>#KALK!</t>
        </is>
      </c>
      <c r="G3958" t="inlineStr">
        <is>
          <t>LASTSCHUETZ</t>
        </is>
      </c>
      <c r="H3958" t="inlineStr">
        <is>
          <t>4kW 1S</t>
        </is>
      </c>
      <c r="I3958">
        <v>247</v>
      </c>
      <c r="J3958">
        <f>GS13/19.3</f>
        <v>0</v>
      </c>
      <c r="M3958" t="inlineStr">
        <is>
          <t>-19K4.2</t>
        </is>
      </c>
    </row>
    <row r="3959">
      <c r="A3959">
        <v>3958</v>
      </c>
      <c r="B3959">
        <f>GS14</f>
        <v>0</v>
      </c>
      <c r="C3959" t="inlineStr">
        <is>
          <t>+ES1</t>
        </is>
      </c>
      <c r="D3959" t="inlineStr">
        <is>
          <t>-19K4.2</t>
        </is>
      </c>
      <c r="E3959" t="inlineStr">
        <is>
          <t>DIL_EM-10-G</t>
        </is>
      </c>
      <c r="F3959" t="inlineStr">
        <is>
          <t>#KALK!</t>
        </is>
      </c>
      <c r="G3959" t="inlineStr">
        <is>
          <t>LASTSCHUETZ</t>
        </is>
      </c>
      <c r="H3959" t="inlineStr">
        <is>
          <t>4kW 1S</t>
        </is>
      </c>
      <c r="I3959">
        <v>144</v>
      </c>
      <c r="J3959">
        <f>GS14/19.3</f>
        <v>0</v>
      </c>
      <c r="M3959" t="inlineStr">
        <is>
          <t>-19K4.2</t>
        </is>
      </c>
    </row>
    <row r="3960">
      <c r="A3960">
        <v>3959</v>
      </c>
      <c r="B3960">
        <f>GS15</f>
        <v>0</v>
      </c>
      <c r="C3960" t="inlineStr">
        <is>
          <t>+ES1</t>
        </is>
      </c>
      <c r="D3960" t="inlineStr">
        <is>
          <t>-19K4.2</t>
        </is>
      </c>
      <c r="E3960" t="inlineStr">
        <is>
          <t>DIL_EM-10-G</t>
        </is>
      </c>
      <c r="F3960" t="inlineStr">
        <is>
          <t>#KALK!</t>
        </is>
      </c>
      <c r="G3960" t="inlineStr">
        <is>
          <t>LASTSCHUETZ</t>
        </is>
      </c>
      <c r="H3960" t="inlineStr">
        <is>
          <t>4kW 1S</t>
        </is>
      </c>
      <c r="I3960">
        <v>504</v>
      </c>
      <c r="J3960">
        <f>GS15/19.3</f>
        <v>0</v>
      </c>
      <c r="M3960" t="inlineStr">
        <is>
          <t>-19K4.2</t>
        </is>
      </c>
    </row>
    <row r="3961">
      <c r="A3961">
        <v>3960</v>
      </c>
      <c r="B3961">
        <f>GS16</f>
        <v>0</v>
      </c>
      <c r="C3961" t="inlineStr">
        <is>
          <t>+ES1</t>
        </is>
      </c>
      <c r="D3961" t="inlineStr">
        <is>
          <t>-19K4.2</t>
        </is>
      </c>
      <c r="E3961" t="inlineStr">
        <is>
          <t>DIL_EM-10-G</t>
        </is>
      </c>
      <c r="F3961" t="inlineStr">
        <is>
          <t>#KALK!</t>
        </is>
      </c>
      <c r="G3961" t="inlineStr">
        <is>
          <t>LASTSCHUETZ</t>
        </is>
      </c>
      <c r="H3961" t="inlineStr">
        <is>
          <t>4kW 1S</t>
        </is>
      </c>
      <c r="I3961">
        <v>233</v>
      </c>
      <c r="J3961">
        <f>GS16/19.3</f>
        <v>0</v>
      </c>
      <c r="M3961" t="inlineStr">
        <is>
          <t>-19K4.2</t>
        </is>
      </c>
    </row>
    <row r="3962">
      <c r="A3962">
        <v>3961</v>
      </c>
      <c r="B3962">
        <f>GS21</f>
        <v>0</v>
      </c>
      <c r="C3962" t="inlineStr">
        <is>
          <t>+ES1</t>
        </is>
      </c>
      <c r="D3962" t="inlineStr">
        <is>
          <t>-19K4.2</t>
        </is>
      </c>
      <c r="E3962" t="inlineStr">
        <is>
          <t>DIL_EM-10-G</t>
        </is>
      </c>
      <c r="F3962" t="inlineStr">
        <is>
          <t>#KALK!</t>
        </is>
      </c>
      <c r="G3962" t="inlineStr">
        <is>
          <t>LASTSCHUETZ</t>
        </is>
      </c>
      <c r="H3962" t="inlineStr">
        <is>
          <t>4kW 1S</t>
        </is>
      </c>
      <c r="I3962">
        <v>121</v>
      </c>
      <c r="J3962">
        <f>GS21/19.3</f>
        <v>0</v>
      </c>
      <c r="M3962" t="inlineStr">
        <is>
          <t>-19K4.2</t>
        </is>
      </c>
    </row>
    <row r="3963">
      <c r="A3963">
        <v>3962</v>
      </c>
      <c r="B3963">
        <f>GS23</f>
        <v>0</v>
      </c>
      <c r="C3963" t="inlineStr">
        <is>
          <t>+ES1</t>
        </is>
      </c>
      <c r="D3963" t="inlineStr">
        <is>
          <t>-19K4.2</t>
        </is>
      </c>
      <c r="E3963" t="inlineStr">
        <is>
          <t>DIL_EM-10-G</t>
        </is>
      </c>
      <c r="F3963" t="inlineStr">
        <is>
          <t>#KALK!</t>
        </is>
      </c>
      <c r="G3963" t="inlineStr">
        <is>
          <t>LASTSCHUETZ</t>
        </is>
      </c>
      <c r="H3963" t="inlineStr">
        <is>
          <t>4kW 1S</t>
        </is>
      </c>
      <c r="I3963">
        <v>310</v>
      </c>
      <c r="J3963">
        <f>GS23/19.3</f>
        <v>0</v>
      </c>
      <c r="M3963" t="inlineStr">
        <is>
          <t>-19K4.2</t>
        </is>
      </c>
    </row>
    <row r="3964">
      <c r="A3964">
        <v>3963</v>
      </c>
      <c r="B3964">
        <f>GS24</f>
        <v>0</v>
      </c>
      <c r="C3964" t="inlineStr">
        <is>
          <t>+ES1</t>
        </is>
      </c>
      <c r="D3964" t="inlineStr">
        <is>
          <t>-19K4.2</t>
        </is>
      </c>
      <c r="E3964" t="inlineStr">
        <is>
          <t>DIL_EM-10-G</t>
        </is>
      </c>
      <c r="F3964" t="inlineStr">
        <is>
          <t>#KALK!</t>
        </is>
      </c>
      <c r="G3964" t="inlineStr">
        <is>
          <t>LASTSCHUETZ</t>
        </is>
      </c>
      <c r="H3964" t="inlineStr">
        <is>
          <t>4kW 1S</t>
        </is>
      </c>
      <c r="I3964">
        <v>1061</v>
      </c>
      <c r="J3964">
        <f>GS24/19.3</f>
        <v>0</v>
      </c>
      <c r="M3964" t="inlineStr">
        <is>
          <t>-19K4.2</t>
        </is>
      </c>
    </row>
    <row r="3965">
      <c r="A3965">
        <v>3964</v>
      </c>
      <c r="B3965">
        <f>GS25</f>
        <v>0</v>
      </c>
      <c r="C3965" t="inlineStr">
        <is>
          <t>+ES1</t>
        </is>
      </c>
      <c r="D3965" t="inlineStr">
        <is>
          <t>-19K4.2</t>
        </is>
      </c>
      <c r="E3965" t="inlineStr">
        <is>
          <t>DIL_EM-10-G</t>
        </is>
      </c>
      <c r="F3965" t="inlineStr">
        <is>
          <t>#KALK!</t>
        </is>
      </c>
      <c r="G3965" t="inlineStr">
        <is>
          <t>LASTSCHUETZ</t>
        </is>
      </c>
      <c r="H3965" t="inlineStr">
        <is>
          <t>4kW 1S</t>
        </is>
      </c>
      <c r="I3965">
        <v>147</v>
      </c>
      <c r="J3965">
        <f>GS25/19.3</f>
        <v>0</v>
      </c>
      <c r="M3965" t="inlineStr">
        <is>
          <t>-19K4.2</t>
        </is>
      </c>
    </row>
    <row r="3966">
      <c r="A3966">
        <v>3965</v>
      </c>
      <c r="B3966">
        <f>GS26</f>
        <v>0</v>
      </c>
      <c r="C3966" t="inlineStr">
        <is>
          <t>+ES2</t>
        </is>
      </c>
      <c r="D3966" t="inlineStr">
        <is>
          <t>-19K4.2</t>
        </is>
      </c>
      <c r="E3966" t="inlineStr">
        <is>
          <t>DILM-9-10</t>
        </is>
      </c>
      <c r="F3966" t="inlineStr">
        <is>
          <t>#KALK!</t>
        </is>
      </c>
      <c r="G3966" t="inlineStr">
        <is>
          <t>LASTSCHUETZ</t>
        </is>
      </c>
      <c r="H3966" t="inlineStr">
        <is>
          <t>4kW 1S Federzugkl.</t>
        </is>
      </c>
      <c r="I3966">
        <v>150</v>
      </c>
      <c r="J3966">
        <f>GS26/19.3</f>
        <v>0</v>
      </c>
      <c r="M3966" t="inlineStr">
        <is>
          <t>-19K4.2</t>
        </is>
      </c>
    </row>
    <row r="3967">
      <c r="A3967">
        <v>3966</v>
      </c>
      <c r="B3967">
        <f>GS31</f>
        <v>0</v>
      </c>
      <c r="C3967" t="inlineStr">
        <is>
          <t>+ES1</t>
        </is>
      </c>
      <c r="D3967" t="inlineStr">
        <is>
          <t>-19K4.2</t>
        </is>
      </c>
      <c r="E3967" t="inlineStr">
        <is>
          <t>DIL_EM-10-G</t>
        </is>
      </c>
      <c r="F3967" t="inlineStr">
        <is>
          <t>#KALK!</t>
        </is>
      </c>
      <c r="G3967" t="inlineStr">
        <is>
          <t>LASTSCHUETZ</t>
        </is>
      </c>
      <c r="H3967" t="inlineStr">
        <is>
          <t>4kW 1S</t>
        </is>
      </c>
      <c r="I3967">
        <v>301</v>
      </c>
      <c r="J3967">
        <f>GS31/19.3</f>
        <v>0</v>
      </c>
      <c r="M3967" t="inlineStr">
        <is>
          <t>-19K4.2</t>
        </is>
      </c>
    </row>
    <row r="3968">
      <c r="A3968">
        <v>3967</v>
      </c>
      <c r="B3968">
        <f>GS32</f>
        <v>0</v>
      </c>
      <c r="C3968" t="inlineStr">
        <is>
          <t>+ES1</t>
        </is>
      </c>
      <c r="D3968" t="inlineStr">
        <is>
          <t>-19K4.2</t>
        </is>
      </c>
      <c r="E3968" t="inlineStr">
        <is>
          <t>DIL_EM-10-G</t>
        </is>
      </c>
      <c r="F3968" t="inlineStr">
        <is>
          <t>#KALK!</t>
        </is>
      </c>
      <c r="G3968" t="inlineStr">
        <is>
          <t>LASTSCHUETZ</t>
        </is>
      </c>
      <c r="H3968" t="inlineStr">
        <is>
          <t>4kW 1S</t>
        </is>
      </c>
      <c r="I3968">
        <v>1445</v>
      </c>
      <c r="J3968">
        <f>GS32/19.3</f>
        <v>0</v>
      </c>
      <c r="M3968" t="inlineStr">
        <is>
          <t>-19K4.2</t>
        </is>
      </c>
    </row>
    <row r="3969">
      <c r="A3969">
        <v>3968</v>
      </c>
      <c r="B3969">
        <f>GS33</f>
        <v>0</v>
      </c>
      <c r="C3969" t="inlineStr">
        <is>
          <t>+ES1</t>
        </is>
      </c>
      <c r="D3969" t="inlineStr">
        <is>
          <t>-19K4.2</t>
        </is>
      </c>
      <c r="E3969" t="inlineStr">
        <is>
          <t>DIL_EM-10-G</t>
        </is>
      </c>
      <c r="F3969" t="inlineStr">
        <is>
          <t>#KALK!</t>
        </is>
      </c>
      <c r="G3969" t="inlineStr">
        <is>
          <t>LASTSCHUETZ</t>
        </is>
      </c>
      <c r="H3969" t="inlineStr">
        <is>
          <t>4kW 1S</t>
        </is>
      </c>
      <c r="I3969">
        <v>456</v>
      </c>
      <c r="J3969">
        <f>GS33/19.3</f>
        <v>0</v>
      </c>
      <c r="M3969" t="inlineStr">
        <is>
          <t>-19K4.2</t>
        </is>
      </c>
    </row>
    <row r="3970">
      <c r="A3970">
        <v>3969</v>
      </c>
      <c r="B3970">
        <f>GS34</f>
        <v>0</v>
      </c>
      <c r="C3970" t="inlineStr">
        <is>
          <t>+ES1</t>
        </is>
      </c>
      <c r="D3970" t="inlineStr">
        <is>
          <t>-19K4.2</t>
        </is>
      </c>
      <c r="E3970" t="inlineStr">
        <is>
          <t>DIL_EM-10-G</t>
        </is>
      </c>
      <c r="F3970" t="inlineStr">
        <is>
          <t>#KALK!</t>
        </is>
      </c>
      <c r="G3970" t="inlineStr">
        <is>
          <t>LASTSCHUETZ</t>
        </is>
      </c>
      <c r="H3970" t="inlineStr">
        <is>
          <t>4kW 1S</t>
        </is>
      </c>
      <c r="I3970">
        <v>142</v>
      </c>
      <c r="J3970">
        <f>GS34/19.3</f>
        <v>0</v>
      </c>
      <c r="M3970" t="inlineStr">
        <is>
          <t>-19K4.2</t>
        </is>
      </c>
    </row>
    <row r="3971">
      <c r="A3971">
        <v>3970</v>
      </c>
      <c r="B3971">
        <f>GS69</f>
        <v>0</v>
      </c>
      <c r="C3971" t="inlineStr">
        <is>
          <t>+LS[I1]</t>
        </is>
      </c>
      <c r="D3971" t="inlineStr">
        <is>
          <t>-19Q[a+12].2</t>
        </is>
      </c>
      <c r="E3971" t="inlineStr">
        <is>
          <t>DILM-9-01</t>
        </is>
      </c>
      <c r="F3971" t="inlineStr">
        <is>
          <t>DILA-XHI22</t>
        </is>
      </c>
      <c r="G3971" t="inlineStr">
        <is>
          <t>LASTSCHUETZ</t>
        </is>
      </c>
      <c r="H3971" t="inlineStr">
        <is>
          <t>4kW 1Oe Federzugkl.</t>
        </is>
      </c>
      <c r="I3971">
        <v>614</v>
      </c>
      <c r="J3971">
        <f>GS69/19.7</f>
        <v>0</v>
      </c>
      <c r="M3971" t="inlineStr">
        <is>
          <t>-19Q[a+12].2</t>
        </is>
      </c>
    </row>
    <row r="3972">
      <c r="A3972">
        <v>3971</v>
      </c>
      <c r="B3972">
        <f>GS69</f>
        <v>0</v>
      </c>
      <c r="C3972" t="inlineStr">
        <is>
          <t>+LS[I1]</t>
        </is>
      </c>
      <c r="D3972" t="inlineStr">
        <is>
          <t>-19Q[a+12].2</t>
        </is>
      </c>
      <c r="E3972" t="inlineStr">
        <is>
          <t>DILA-XHI22</t>
        </is>
      </c>
      <c r="F3972" t="inlineStr">
        <is>
          <t>DILA-XHI22</t>
        </is>
      </c>
      <c r="G3972" t="inlineStr">
        <is>
          <t>HILFSKONTAKTBLOCK</t>
        </is>
      </c>
      <c r="H3972" t="inlineStr">
        <is>
          <t>2S 2OE Last+Hilfssch. Cage</t>
        </is>
      </c>
      <c r="I3972">
        <v>614</v>
      </c>
      <c r="J3972">
        <f>GS69/19.7</f>
        <v>0</v>
      </c>
      <c r="M3972" t="inlineStr">
        <is>
          <t>-19Q[a+12].2</t>
        </is>
      </c>
    </row>
    <row r="3973">
      <c r="A3973">
        <v>3972</v>
      </c>
      <c r="B3973">
        <f>GS69</f>
        <v>0</v>
      </c>
      <c r="C3973" t="inlineStr">
        <is>
          <t>+LS[I1]</t>
        </is>
      </c>
      <c r="D3973" t="inlineStr">
        <is>
          <t>-19Q[a+12].3</t>
        </is>
      </c>
      <c r="E3973" t="inlineStr">
        <is>
          <t>DILM-9-01</t>
        </is>
      </c>
      <c r="F3973" t="inlineStr">
        <is>
          <t>DILA-XHI22</t>
        </is>
      </c>
      <c r="G3973" t="inlineStr">
        <is>
          <t>LASTSCHUETZ</t>
        </is>
      </c>
      <c r="H3973" t="inlineStr">
        <is>
          <t>4kW 1Oe Federzugkl.</t>
        </is>
      </c>
      <c r="I3973">
        <v>614</v>
      </c>
      <c r="J3973">
        <f>GS69/19.7</f>
        <v>0</v>
      </c>
      <c r="M3973" t="inlineStr">
        <is>
          <t>-19Q[a+12].3</t>
        </is>
      </c>
    </row>
    <row r="3974">
      <c r="A3974">
        <v>3973</v>
      </c>
      <c r="B3974">
        <f>GS69</f>
        <v>0</v>
      </c>
      <c r="C3974" t="inlineStr">
        <is>
          <t>+LS[I1]</t>
        </is>
      </c>
      <c r="D3974" t="inlineStr">
        <is>
          <t>-19Q[a+12].3</t>
        </is>
      </c>
      <c r="E3974" t="inlineStr">
        <is>
          <t>DILA-XHI22</t>
        </is>
      </c>
      <c r="F3974" t="inlineStr">
        <is>
          <t>DILA-XHI22</t>
        </is>
      </c>
      <c r="G3974" t="inlineStr">
        <is>
          <t>HILFSKONTAKTBLOCK</t>
        </is>
      </c>
      <c r="H3974" t="inlineStr">
        <is>
          <t>2S 2OE Last+Hilfssch. Cage</t>
        </is>
      </c>
      <c r="I3974">
        <v>614</v>
      </c>
      <c r="J3974">
        <f>GS69/19.7</f>
        <v>0</v>
      </c>
      <c r="M3974" t="inlineStr">
        <is>
          <t>-19Q[a+12].3</t>
        </is>
      </c>
    </row>
    <row r="3975">
      <c r="A3975">
        <v>3974</v>
      </c>
      <c r="B3975">
        <f>GS40</f>
        <v>0</v>
      </c>
      <c r="C3975" t="inlineStr">
        <is>
          <t>+LS[ll]</t>
        </is>
      </c>
      <c r="D3975" t="inlineStr">
        <is>
          <t>-19Q1</t>
        </is>
      </c>
      <c r="E3975" t="inlineStr">
        <is>
          <t>DILM-9-10</t>
        </is>
      </c>
      <c r="F3975" t="inlineStr">
        <is>
          <t>#KALK!</t>
        </is>
      </c>
      <c r="G3975" t="inlineStr">
        <is>
          <t>LASTSCHUETZ</t>
        </is>
      </c>
      <c r="H3975" t="inlineStr">
        <is>
          <t>4kW 1S Federzugkl.</t>
        </is>
      </c>
      <c r="I3975">
        <v>194</v>
      </c>
      <c r="J3975">
        <f>GS40/19.6</f>
        <v>0</v>
      </c>
      <c r="M3975" t="inlineStr">
        <is>
          <t>-19Q1</t>
        </is>
      </c>
    </row>
    <row r="3976">
      <c r="A3976">
        <v>3975</v>
      </c>
      <c r="B3976">
        <f>GS44</f>
        <v>0</v>
      </c>
      <c r="C3976" t="inlineStr">
        <is>
          <t>+LS[ll]</t>
        </is>
      </c>
      <c r="D3976" t="inlineStr">
        <is>
          <t>-19Q1</t>
        </is>
      </c>
      <c r="E3976" t="inlineStr">
        <is>
          <t>DILM-9-10</t>
        </is>
      </c>
      <c r="F3976" t="inlineStr">
        <is>
          <t>#KALK!</t>
        </is>
      </c>
      <c r="G3976" t="inlineStr">
        <is>
          <t>LASTSCHUETZ</t>
        </is>
      </c>
      <c r="H3976" t="inlineStr">
        <is>
          <t>4kW 1S Federzugkl.</t>
        </is>
      </c>
      <c r="I3976">
        <v>206</v>
      </c>
      <c r="J3976">
        <f>GS44/19.6</f>
        <v>0</v>
      </c>
      <c r="M3976" t="inlineStr">
        <is>
          <t>-19Q1</t>
        </is>
      </c>
    </row>
    <row r="3977">
      <c r="A3977">
        <v>3976</v>
      </c>
      <c r="B3977">
        <f>GS45</f>
        <v>0</v>
      </c>
      <c r="C3977" t="inlineStr">
        <is>
          <t>+LS</t>
        </is>
      </c>
      <c r="D3977" t="inlineStr">
        <is>
          <t>-19Q1</t>
        </is>
      </c>
      <c r="E3977" t="inlineStr">
        <is>
          <t>DILM-9-10</t>
        </is>
      </c>
      <c r="F3977" t="inlineStr">
        <is>
          <t>#KALK!</t>
        </is>
      </c>
      <c r="G3977" t="inlineStr">
        <is>
          <t>LASTSCHUETZ</t>
        </is>
      </c>
      <c r="H3977" t="inlineStr">
        <is>
          <t>4kW 1S Federzugkl.</t>
        </is>
      </c>
      <c r="I3977">
        <v>166</v>
      </c>
      <c r="J3977">
        <f>GS45/19.6</f>
        <v>0</v>
      </c>
      <c r="M3977" t="inlineStr">
        <is>
          <t>-19Q1</t>
        </is>
      </c>
    </row>
    <row r="3978">
      <c r="A3978">
        <v>3977</v>
      </c>
      <c r="B3978">
        <f>GS4x</f>
        <v>0</v>
      </c>
      <c r="C3978" t="inlineStr">
        <is>
          <t>+LS[ll]</t>
        </is>
      </c>
      <c r="D3978" t="inlineStr">
        <is>
          <t>-19Q1</t>
        </is>
      </c>
      <c r="E3978" t="inlineStr">
        <is>
          <t>DILM-9-10</t>
        </is>
      </c>
      <c r="F3978" t="inlineStr">
        <is>
          <t>#KALK!</t>
        </is>
      </c>
      <c r="G3978" t="inlineStr">
        <is>
          <t>LASTSCHUETZ</t>
        </is>
      </c>
      <c r="H3978" t="inlineStr">
        <is>
          <t>4kW 1S Federzugkl.</t>
        </is>
      </c>
      <c r="I3978">
        <v>195</v>
      </c>
      <c r="J3978">
        <f>GS4x/19.6</f>
        <v>0</v>
      </c>
      <c r="M3978" t="inlineStr">
        <is>
          <t>-19Q1</t>
        </is>
      </c>
    </row>
    <row r="3979">
      <c r="A3979">
        <v>3978</v>
      </c>
      <c r="B3979">
        <f>GS67</f>
        <v>0</v>
      </c>
      <c r="C3979" t="inlineStr">
        <is>
          <t>+LS[ll]</t>
        </is>
      </c>
      <c r="D3979" t="inlineStr">
        <is>
          <t>-19Q1</t>
        </is>
      </c>
      <c r="E3979" t="inlineStr">
        <is>
          <t>DILM-9-10</t>
        </is>
      </c>
      <c r="F3979" t="inlineStr">
        <is>
          <t>#KALK!</t>
        </is>
      </c>
      <c r="G3979" t="inlineStr">
        <is>
          <t>LASTSCHUETZ</t>
        </is>
      </c>
      <c r="H3979" t="inlineStr">
        <is>
          <t>4kW 1S Federzugkl.</t>
        </is>
      </c>
      <c r="I3979">
        <v>163</v>
      </c>
      <c r="J3979">
        <f>GS67/19.5</f>
        <v>0</v>
      </c>
      <c r="M3979" t="inlineStr">
        <is>
          <t>-19Q1</t>
        </is>
      </c>
    </row>
    <row r="3980">
      <c r="A3980">
        <v>3979</v>
      </c>
      <c r="B3980">
        <f>GS67</f>
        <v>0</v>
      </c>
      <c r="C3980" t="inlineStr">
        <is>
          <t>+LS</t>
        </is>
      </c>
      <c r="D3980" t="inlineStr">
        <is>
          <t>-19Q1</t>
        </is>
      </c>
      <c r="E3980" t="inlineStr">
        <is>
          <t>DILM-9-10</t>
        </is>
      </c>
      <c r="F3980" t="inlineStr">
        <is>
          <t>#KALK!</t>
        </is>
      </c>
      <c r="G3980" t="inlineStr">
        <is>
          <t>LASTSCHUETZ</t>
        </is>
      </c>
      <c r="H3980" t="inlineStr">
        <is>
          <t>4kW 1S Federzugkl.</t>
        </is>
      </c>
      <c r="I3980">
        <v>163</v>
      </c>
      <c r="J3980">
        <f>GS67/19.5</f>
        <v>0</v>
      </c>
      <c r="M3980" t="inlineStr">
        <is>
          <t>-19Q1</t>
        </is>
      </c>
    </row>
    <row r="3981">
      <c r="A3981">
        <v>3980</v>
      </c>
      <c r="B3981">
        <f>GS65</f>
        <v>0</v>
      </c>
      <c r="C3981" t="inlineStr">
        <is>
          <t>+LS[ll]</t>
        </is>
      </c>
      <c r="D3981" t="inlineStr">
        <is>
          <t>-19Q2</t>
        </is>
      </c>
      <c r="E3981" t="inlineStr">
        <is>
          <t>DILM-9-10</t>
        </is>
      </c>
      <c r="F3981" t="inlineStr">
        <is>
          <t>#KALK!</t>
        </is>
      </c>
      <c r="G3981" t="inlineStr">
        <is>
          <t>LASTSCHUETZ</t>
        </is>
      </c>
      <c r="H3981" t="inlineStr">
        <is>
          <t>4kW 1S Federzugkl.</t>
        </is>
      </c>
      <c r="I3981">
        <v>157</v>
      </c>
      <c r="J3981">
        <f>GS65/19.7</f>
        <v>0</v>
      </c>
      <c r="M3981" t="inlineStr">
        <is>
          <t>-19Q2</t>
        </is>
      </c>
    </row>
    <row r="3982">
      <c r="A3982">
        <v>3981</v>
      </c>
      <c r="B3982">
        <f>GS67</f>
        <v>0</v>
      </c>
      <c r="C3982" t="inlineStr">
        <is>
          <t>+LS[ll]</t>
        </is>
      </c>
      <c r="D3982" t="inlineStr">
        <is>
          <t>-19Q2</t>
        </is>
      </c>
      <c r="E3982" t="inlineStr">
        <is>
          <t>DILM-9-10</t>
        </is>
      </c>
      <c r="F3982" t="inlineStr">
        <is>
          <t>#KALK!</t>
        </is>
      </c>
      <c r="G3982" t="inlineStr">
        <is>
          <t>LASTSCHUETZ</t>
        </is>
      </c>
      <c r="H3982" t="inlineStr">
        <is>
          <t>4kW 1S Federzugkl.</t>
        </is>
      </c>
      <c r="I3982">
        <v>157</v>
      </c>
      <c r="J3982">
        <f>GS67/19.7</f>
        <v>0</v>
      </c>
      <c r="M3982" t="inlineStr">
        <is>
          <t>-19Q2</t>
        </is>
      </c>
    </row>
    <row r="3983">
      <c r="A3983">
        <v>3982</v>
      </c>
      <c r="B3983">
        <f>GS8x</f>
        <v>0</v>
      </c>
      <c r="C3983" t="inlineStr">
        <is>
          <t>+LS</t>
        </is>
      </c>
      <c r="D3983" t="inlineStr">
        <is>
          <t>-19Q2</t>
        </is>
      </c>
      <c r="E3983" t="inlineStr">
        <is>
          <t>DILM-9-10</t>
        </is>
      </c>
      <c r="F3983" t="inlineStr">
        <is>
          <t>#KALK!</t>
        </is>
      </c>
      <c r="G3983" t="inlineStr">
        <is>
          <t>LASTSCHUETZ</t>
        </is>
      </c>
      <c r="H3983" t="inlineStr">
        <is>
          <t>4kW 1S Federzugkl.</t>
        </is>
      </c>
      <c r="I3983">
        <v>164</v>
      </c>
      <c r="J3983">
        <f>GS8x/19.5</f>
        <v>0</v>
      </c>
      <c r="M3983" t="inlineStr">
        <is>
          <t>-19Q2</t>
        </is>
      </c>
    </row>
    <row r="3984">
      <c r="A3984">
        <v>3983</v>
      </c>
      <c r="B3984">
        <f>GS65</f>
        <v>0</v>
      </c>
      <c r="C3984" t="inlineStr">
        <is>
          <t>+LS[ll]</t>
        </is>
      </c>
      <c r="D3984" t="inlineStr">
        <is>
          <t>-19Q3</t>
        </is>
      </c>
      <c r="E3984" t="inlineStr">
        <is>
          <t>DILM-9-10</t>
        </is>
      </c>
      <c r="F3984" t="inlineStr">
        <is>
          <t>#KALK!</t>
        </is>
      </c>
      <c r="G3984" t="inlineStr">
        <is>
          <t>LASTSCHUETZ</t>
        </is>
      </c>
      <c r="H3984" t="inlineStr">
        <is>
          <t>4kW 1S Federzugkl.</t>
        </is>
      </c>
      <c r="I3984">
        <v>157</v>
      </c>
      <c r="J3984">
        <f>GS65/19.3</f>
        <v>0</v>
      </c>
      <c r="M3984" t="inlineStr">
        <is>
          <t>-19Q3</t>
        </is>
      </c>
    </row>
    <row r="3985">
      <c r="A3985">
        <v>3984</v>
      </c>
      <c r="B3985">
        <f>GS67</f>
        <v>0</v>
      </c>
      <c r="C3985" t="inlineStr">
        <is>
          <t>+LS[ll]</t>
        </is>
      </c>
      <c r="D3985" t="inlineStr">
        <is>
          <t>-19Q3</t>
        </is>
      </c>
      <c r="E3985" t="inlineStr">
        <is>
          <t>DILM-9-10</t>
        </is>
      </c>
      <c r="F3985" t="inlineStr">
        <is>
          <t>#KALK!</t>
        </is>
      </c>
      <c r="G3985" t="inlineStr">
        <is>
          <t>LASTSCHUETZ</t>
        </is>
      </c>
      <c r="H3985" t="inlineStr">
        <is>
          <t>4kW 1S Federzugkl.</t>
        </is>
      </c>
      <c r="I3985">
        <v>157</v>
      </c>
      <c r="J3985">
        <f>GS67/19.3</f>
        <v>0</v>
      </c>
      <c r="M3985" t="inlineStr">
        <is>
          <t>-19Q3</t>
        </is>
      </c>
    </row>
    <row r="3986">
      <c r="A3986">
        <v>3985</v>
      </c>
      <c r="B3986">
        <f>GS8x</f>
        <v>0</v>
      </c>
      <c r="C3986" t="inlineStr">
        <is>
          <t>+LS</t>
        </is>
      </c>
      <c r="D3986" t="inlineStr">
        <is>
          <t>-19Q3</t>
        </is>
      </c>
      <c r="E3986" t="inlineStr">
        <is>
          <t>3RT1526-1BB40</t>
        </is>
      </c>
      <c r="F3986" t="inlineStr">
        <is>
          <t>#KALK!</t>
        </is>
      </c>
      <c r="G3986" t="inlineStr">
        <is>
          <t>LASTSCHUETZ</t>
        </is>
      </c>
      <c r="H3986" t="inlineStr">
        <is>
          <t>SPULE 5,4W</t>
        </is>
      </c>
      <c r="I3986">
        <v>164</v>
      </c>
      <c r="J3986">
        <f>GS8x/19.7</f>
        <v>0</v>
      </c>
      <c r="K3986" t="inlineStr">
        <is>
          <t>3RT15 26</t>
        </is>
      </c>
      <c r="M3986" t="inlineStr">
        <is>
          <t>-19Q3</t>
        </is>
      </c>
    </row>
    <row r="3987">
      <c r="A3987">
        <v>3986</v>
      </c>
      <c r="B3987">
        <f>GS35</f>
        <v>0</v>
      </c>
      <c r="C3987" t="inlineStr">
        <is>
          <t>+ES02</t>
        </is>
      </c>
      <c r="D3987" t="inlineStr">
        <is>
          <t>-19Q4.2</t>
        </is>
      </c>
      <c r="E3987" t="inlineStr">
        <is>
          <t>DILM-9-10</t>
        </is>
      </c>
      <c r="F3987" t="inlineStr">
        <is>
          <t>#KALK!</t>
        </is>
      </c>
      <c r="G3987" t="inlineStr">
        <is>
          <t>LASTSCHUETZ</t>
        </is>
      </c>
      <c r="H3987" t="inlineStr">
        <is>
          <t>4kW 1S Federzugkl.</t>
        </is>
      </c>
      <c r="I3987">
        <v>183</v>
      </c>
      <c r="J3987">
        <f>GS35/19.2</f>
        <v>0</v>
      </c>
      <c r="M3987" t="inlineStr">
        <is>
          <t>-19Q4.2</t>
        </is>
      </c>
    </row>
    <row r="3988">
      <c r="A3988">
        <v>3987</v>
      </c>
      <c r="B3988">
        <f>GS36</f>
        <v>0</v>
      </c>
      <c r="C3988" t="inlineStr">
        <is>
          <t>+LS04</t>
        </is>
      </c>
      <c r="D3988" t="inlineStr">
        <is>
          <t>-213K1</t>
        </is>
      </c>
      <c r="E3988" t="inlineStr">
        <is>
          <t>DILM-9-01</t>
        </is>
      </c>
      <c r="F3988" t="inlineStr">
        <is>
          <t>#KALK!</t>
        </is>
      </c>
      <c r="G3988" t="inlineStr">
        <is>
          <t>LASTSCHUETZ</t>
        </is>
      </c>
      <c r="H3988" t="inlineStr">
        <is>
          <t>4kW 1Oe Federzugkl.</t>
        </is>
      </c>
      <c r="I3988">
        <v>386</v>
      </c>
      <c r="J3988">
        <f>GS36/213.6</f>
        <v>0</v>
      </c>
      <c r="L3988" t="inlineStr">
        <is>
          <t>Lichtvorhang KF</t>
        </is>
      </c>
      <c r="M3988" t="inlineStr">
        <is>
          <t>Lichtvorhang KF
-213K1</t>
        </is>
      </c>
    </row>
    <row r="3989">
      <c r="A3989">
        <v>3988</v>
      </c>
      <c r="B3989">
        <f>GS37</f>
        <v>0</v>
      </c>
      <c r="C3989" t="inlineStr">
        <is>
          <t>+ES02</t>
        </is>
      </c>
      <c r="D3989" t="inlineStr">
        <is>
          <t>-19Q4.2</t>
        </is>
      </c>
      <c r="E3989" t="inlineStr">
        <is>
          <t>DILM-9-10</t>
        </is>
      </c>
      <c r="F3989" t="inlineStr">
        <is>
          <t>#KALK!</t>
        </is>
      </c>
      <c r="G3989" t="inlineStr">
        <is>
          <t>LASTSCHUETZ</t>
        </is>
      </c>
      <c r="H3989" t="inlineStr">
        <is>
          <t>4kW 1S Federzugkl.</t>
        </is>
      </c>
      <c r="I3989">
        <v>171</v>
      </c>
      <c r="J3989">
        <f>GS37/19.2</f>
        <v>0</v>
      </c>
      <c r="M3989" t="inlineStr">
        <is>
          <t>-19Q4.2</t>
        </is>
      </c>
    </row>
    <row r="3990">
      <c r="A3990">
        <v>3989</v>
      </c>
      <c r="B3990">
        <f>GS38</f>
        <v>0</v>
      </c>
      <c r="C3990" t="inlineStr">
        <is>
          <t>+ES02</t>
        </is>
      </c>
      <c r="D3990" t="inlineStr">
        <is>
          <t>-19Q4.2</t>
        </is>
      </c>
      <c r="E3990" t="inlineStr">
        <is>
          <t>DILM-9-10</t>
        </is>
      </c>
      <c r="F3990" t="inlineStr">
        <is>
          <t>#KALK!</t>
        </is>
      </c>
      <c r="G3990" t="inlineStr">
        <is>
          <t>LASTSCHUETZ</t>
        </is>
      </c>
      <c r="H3990" t="inlineStr">
        <is>
          <t>4kW 1S Federzugkl.</t>
        </is>
      </c>
      <c r="I3990">
        <v>157</v>
      </c>
      <c r="J3990">
        <f>GS38/19.2</f>
        <v>0</v>
      </c>
      <c r="M3990" t="inlineStr">
        <is>
          <t>-19Q4.2</t>
        </is>
      </c>
    </row>
    <row r="3991">
      <c r="A3991">
        <v>3990</v>
      </c>
      <c r="B3991">
        <f>GS39</f>
        <v>0</v>
      </c>
      <c r="C3991" t="inlineStr">
        <is>
          <t>+ES02</t>
        </is>
      </c>
      <c r="D3991" t="inlineStr">
        <is>
          <t>-19Q4.2</t>
        </is>
      </c>
      <c r="E3991" t="inlineStr">
        <is>
          <t>DILM-9-10</t>
        </is>
      </c>
      <c r="F3991" t="inlineStr">
        <is>
          <t>#KALK!</t>
        </is>
      </c>
      <c r="G3991" t="inlineStr">
        <is>
          <t>LASTSCHUETZ</t>
        </is>
      </c>
      <c r="H3991" t="inlineStr">
        <is>
          <t>4kW 1S Federzugkl.</t>
        </is>
      </c>
      <c r="I3991">
        <v>198</v>
      </c>
      <c r="J3991">
        <f>GS39/19.2</f>
        <v>0</v>
      </c>
      <c r="M3991" t="inlineStr">
        <is>
          <t>-19Q4.2</t>
        </is>
      </c>
    </row>
    <row r="3992">
      <c r="A3992">
        <v>3991</v>
      </c>
      <c r="B3992">
        <f>GS46</f>
        <v>0</v>
      </c>
      <c r="C3992" t="inlineStr">
        <is>
          <t>+ES02</t>
        </is>
      </c>
      <c r="D3992" t="inlineStr">
        <is>
          <t>-19Q4.2</t>
        </is>
      </c>
      <c r="E3992" t="inlineStr">
        <is>
          <t>DILM-9-10</t>
        </is>
      </c>
      <c r="F3992" t="inlineStr">
        <is>
          <t>#KALK!</t>
        </is>
      </c>
      <c r="G3992" t="inlineStr">
        <is>
          <t>LASTSCHUETZ</t>
        </is>
      </c>
      <c r="H3992" t="inlineStr">
        <is>
          <t>4kW 1S Federzugkl.</t>
        </is>
      </c>
      <c r="I3992">
        <v>164</v>
      </c>
      <c r="J3992">
        <f>GS46/19.2</f>
        <v>0</v>
      </c>
      <c r="M3992" t="inlineStr">
        <is>
          <t>-19Q4.2</t>
        </is>
      </c>
    </row>
    <row r="3993">
      <c r="A3993">
        <v>3992</v>
      </c>
      <c r="B3993">
        <f>GS47</f>
        <v>0</v>
      </c>
      <c r="C3993" t="inlineStr">
        <is>
          <t>+ES02</t>
        </is>
      </c>
      <c r="D3993" t="inlineStr">
        <is>
          <t>-19Q4.2</t>
        </is>
      </c>
      <c r="E3993" t="inlineStr">
        <is>
          <t>DILM-9-10</t>
        </is>
      </c>
      <c r="F3993" t="inlineStr">
        <is>
          <t>#KALK!</t>
        </is>
      </c>
      <c r="G3993" t="inlineStr">
        <is>
          <t>LASTSCHUETZ</t>
        </is>
      </c>
      <c r="H3993" t="inlineStr">
        <is>
          <t>4kW 1S Federzugkl.</t>
        </is>
      </c>
      <c r="I3993">
        <v>164</v>
      </c>
      <c r="J3993">
        <f>GS47/19.2</f>
        <v>0</v>
      </c>
      <c r="M3993" t="inlineStr">
        <is>
          <t>-19Q4.2</t>
        </is>
      </c>
    </row>
    <row r="3994">
      <c r="A3994">
        <v>3993</v>
      </c>
      <c r="B3994">
        <f>GS48</f>
        <v>0</v>
      </c>
      <c r="C3994" t="inlineStr">
        <is>
          <t>+ES02</t>
        </is>
      </c>
      <c r="D3994" t="inlineStr">
        <is>
          <t>-19Q4.2</t>
        </is>
      </c>
      <c r="E3994" t="inlineStr">
        <is>
          <t>DILM-9-10</t>
        </is>
      </c>
      <c r="F3994" t="inlineStr">
        <is>
          <t>#KALK!</t>
        </is>
      </c>
      <c r="G3994" t="inlineStr">
        <is>
          <t>LASTSCHUETZ</t>
        </is>
      </c>
      <c r="H3994" t="inlineStr">
        <is>
          <t>4kW 1S Federzugkl.</t>
        </is>
      </c>
      <c r="I3994">
        <v>163</v>
      </c>
      <c r="J3994">
        <f>GS48/19.2</f>
        <v>0</v>
      </c>
      <c r="M3994" t="inlineStr">
        <is>
          <t>-19Q4.2</t>
        </is>
      </c>
    </row>
    <row r="3995">
      <c r="A3995">
        <v>3994</v>
      </c>
      <c r="B3995">
        <f>GS49</f>
        <v>0</v>
      </c>
      <c r="C3995" t="inlineStr">
        <is>
          <t>+ES02</t>
        </is>
      </c>
      <c r="D3995" t="inlineStr">
        <is>
          <t>-19Q4.2</t>
        </is>
      </c>
      <c r="E3995" t="inlineStr">
        <is>
          <t>DILM-9-10</t>
        </is>
      </c>
      <c r="F3995" t="inlineStr">
        <is>
          <t>#KALK!</t>
        </is>
      </c>
      <c r="G3995" t="inlineStr">
        <is>
          <t>LASTSCHUETZ</t>
        </is>
      </c>
      <c r="H3995" t="inlineStr">
        <is>
          <t>4kW 1S Federzugkl.</t>
        </is>
      </c>
      <c r="I3995">
        <v>162</v>
      </c>
      <c r="J3995">
        <f>GS49/19.2</f>
        <v>0</v>
      </c>
      <c r="M3995" t="inlineStr">
        <is>
          <t>-19Q4.2</t>
        </is>
      </c>
    </row>
    <row r="3996">
      <c r="A3996">
        <v>3995</v>
      </c>
      <c r="B3996">
        <f>GS79</f>
        <v>0</v>
      </c>
      <c r="C3996" t="inlineStr">
        <is>
          <t>+ES02</t>
        </is>
      </c>
      <c r="D3996" t="inlineStr">
        <is>
          <t>-19Q4.2</t>
        </is>
      </c>
      <c r="E3996" t="inlineStr">
        <is>
          <t>DILM-9-10</t>
        </is>
      </c>
      <c r="F3996" t="inlineStr">
        <is>
          <t>#KALK!</t>
        </is>
      </c>
      <c r="G3996" t="inlineStr">
        <is>
          <t>LASTSCHUETZ</t>
        </is>
      </c>
      <c r="H3996" t="inlineStr">
        <is>
          <t>4kW 1S Federzugkl.</t>
        </is>
      </c>
      <c r="I3996">
        <v>170</v>
      </c>
      <c r="J3996">
        <f>GS79/19.2</f>
        <v>0</v>
      </c>
      <c r="M3996" t="inlineStr">
        <is>
          <t>-19Q4.2</t>
        </is>
      </c>
    </row>
    <row r="3997">
      <c r="A3997">
        <v>3996</v>
      </c>
      <c r="B3997">
        <f>GS7x</f>
        <v>0</v>
      </c>
      <c r="C3997" t="inlineStr">
        <is>
          <t>+ES02</t>
        </is>
      </c>
      <c r="D3997" t="inlineStr">
        <is>
          <t>-19Q4.2</t>
        </is>
      </c>
      <c r="E3997" t="inlineStr">
        <is>
          <t>DILM-9-10</t>
        </is>
      </c>
      <c r="F3997" t="inlineStr">
        <is>
          <t>#KALK!</t>
        </is>
      </c>
      <c r="G3997" t="inlineStr">
        <is>
          <t>LASTSCHUETZ</t>
        </is>
      </c>
      <c r="H3997" t="inlineStr">
        <is>
          <t>4kW 1S Federzugkl.</t>
        </is>
      </c>
      <c r="I3997">
        <v>194</v>
      </c>
      <c r="J3997">
        <f>GS7x/19.2</f>
        <v>0</v>
      </c>
      <c r="M3997" t="inlineStr">
        <is>
          <t>-19Q4.2</t>
        </is>
      </c>
    </row>
    <row r="3998">
      <c r="A3998">
        <v>3997</v>
      </c>
      <c r="B3998">
        <f>GS7x</f>
        <v>0</v>
      </c>
      <c r="C3998" t="inlineStr">
        <is>
          <t>+ES02</t>
        </is>
      </c>
      <c r="D3998" t="inlineStr">
        <is>
          <t>-19Q4.2</t>
        </is>
      </c>
      <c r="E3998" t="inlineStr">
        <is>
          <t>DILM-9-10</t>
        </is>
      </c>
      <c r="F3998" t="inlineStr">
        <is>
          <t>#KALK!</t>
        </is>
      </c>
      <c r="G3998" t="inlineStr">
        <is>
          <t>LASTSCHUETZ</t>
        </is>
      </c>
      <c r="H3998" t="inlineStr">
        <is>
          <t>4kW 1S Federzugkl.</t>
        </is>
      </c>
      <c r="I3998">
        <v>206</v>
      </c>
      <c r="J3998">
        <f>GS7x/19.2</f>
        <v>0</v>
      </c>
      <c r="M3998" t="inlineStr">
        <is>
          <t>-19Q4.2</t>
        </is>
      </c>
    </row>
    <row r="3999">
      <c r="A3999">
        <v>3998</v>
      </c>
      <c r="B3999">
        <f>GS90</f>
        <v>0</v>
      </c>
      <c r="C3999" t="inlineStr">
        <is>
          <t>+ES02</t>
        </is>
      </c>
      <c r="D3999" t="inlineStr">
        <is>
          <t>-19Q4.2</t>
        </is>
      </c>
      <c r="E3999" t="inlineStr">
        <is>
          <t>DILM-9-10</t>
        </is>
      </c>
      <c r="F3999" t="inlineStr">
        <is>
          <t>#KALK!</t>
        </is>
      </c>
      <c r="G3999" t="inlineStr">
        <is>
          <t>LASTSCHUETZ</t>
        </is>
      </c>
      <c r="H3999" t="inlineStr">
        <is>
          <t>4kW 1S Federzugkl.</t>
        </is>
      </c>
      <c r="I3999">
        <v>159</v>
      </c>
      <c r="J3999">
        <f>GS90/19.2</f>
        <v>0</v>
      </c>
      <c r="M3999" t="inlineStr">
        <is>
          <t>-19Q4.2</t>
        </is>
      </c>
    </row>
    <row r="4000">
      <c r="A4000">
        <v>3999</v>
      </c>
      <c r="B4000">
        <f>GS91</f>
        <v>0</v>
      </c>
      <c r="C4000" t="inlineStr">
        <is>
          <t>+ES02</t>
        </is>
      </c>
      <c r="D4000" t="inlineStr">
        <is>
          <t>-19Q4.2</t>
        </is>
      </c>
      <c r="E4000" t="inlineStr">
        <is>
          <t>DILM-9-10</t>
        </is>
      </c>
      <c r="F4000" t="inlineStr">
        <is>
          <t>#KALK!</t>
        </is>
      </c>
      <c r="G4000" t="inlineStr">
        <is>
          <t>LASTSCHUETZ</t>
        </is>
      </c>
      <c r="H4000" t="inlineStr">
        <is>
          <t>4kW 1S Federzugkl.</t>
        </is>
      </c>
      <c r="I4000">
        <v>160</v>
      </c>
      <c r="J4000">
        <f>GS91/19.2</f>
        <v>0</v>
      </c>
      <c r="M4000" t="inlineStr">
        <is>
          <t>-19Q4.2</t>
        </is>
      </c>
    </row>
    <row r="4001">
      <c r="A4001">
        <v>4000</v>
      </c>
      <c r="B4001">
        <f>GS92</f>
        <v>0</v>
      </c>
      <c r="C4001" t="inlineStr">
        <is>
          <t>+ES02</t>
        </is>
      </c>
      <c r="D4001" t="inlineStr">
        <is>
          <t>-19Q4.2</t>
        </is>
      </c>
      <c r="E4001" t="inlineStr">
        <is>
          <t>DILM-9-10</t>
        </is>
      </c>
      <c r="F4001" t="inlineStr">
        <is>
          <t>#KALK!</t>
        </is>
      </c>
      <c r="G4001" t="inlineStr">
        <is>
          <t>LASTSCHUETZ</t>
        </is>
      </c>
      <c r="H4001" t="inlineStr">
        <is>
          <t>4kW 1S Federzugkl.</t>
        </is>
      </c>
      <c r="I4001">
        <v>159</v>
      </c>
      <c r="J4001">
        <f>GS92/19.2</f>
        <v>0</v>
      </c>
      <c r="M4001" t="inlineStr">
        <is>
          <t>-19Q4.2</t>
        </is>
      </c>
    </row>
    <row r="4002">
      <c r="A4002">
        <v>4001</v>
      </c>
      <c r="B4002">
        <f>GS93</f>
        <v>0</v>
      </c>
      <c r="C4002" t="inlineStr">
        <is>
          <t>+ES02</t>
        </is>
      </c>
      <c r="D4002" t="inlineStr">
        <is>
          <t>-19Q4.2</t>
        </is>
      </c>
      <c r="E4002" t="inlineStr">
        <is>
          <t>DILM-9-10</t>
        </is>
      </c>
      <c r="F4002" t="inlineStr">
        <is>
          <t>#KALK!</t>
        </is>
      </c>
      <c r="G4002" t="inlineStr">
        <is>
          <t>LASTSCHUETZ</t>
        </is>
      </c>
      <c r="H4002" t="inlineStr">
        <is>
          <t>4kW 1S Federzugkl.</t>
        </is>
      </c>
      <c r="I4002">
        <v>583</v>
      </c>
      <c r="J4002">
        <f>GS93/19.2</f>
        <v>0</v>
      </c>
      <c r="M4002" t="inlineStr">
        <is>
          <t>-19Q4.2</t>
        </is>
      </c>
    </row>
    <row r="4003">
      <c r="A4003">
        <v>4002</v>
      </c>
      <c r="B4003">
        <f>GS94</f>
        <v>0</v>
      </c>
      <c r="C4003" t="inlineStr">
        <is>
          <t>+ES02</t>
        </is>
      </c>
      <c r="D4003" t="inlineStr">
        <is>
          <t>-19Q4.2</t>
        </is>
      </c>
      <c r="E4003" t="inlineStr">
        <is>
          <t>DILM-9-10</t>
        </is>
      </c>
      <c r="F4003" t="inlineStr">
        <is>
          <t>#KALK!</t>
        </is>
      </c>
      <c r="G4003" t="inlineStr">
        <is>
          <t>LASTSCHUETZ</t>
        </is>
      </c>
      <c r="H4003" t="inlineStr">
        <is>
          <t>4kW 1S Federzugkl.</t>
        </is>
      </c>
      <c r="I4003">
        <v>167</v>
      </c>
      <c r="J4003">
        <f>GS94/19.2</f>
        <v>0</v>
      </c>
      <c r="M4003" t="inlineStr">
        <is>
          <t>-19Q4.2</t>
        </is>
      </c>
    </row>
    <row r="4004">
      <c r="A4004">
        <v>4003</v>
      </c>
      <c r="B4004">
        <f>GS95</f>
        <v>0</v>
      </c>
      <c r="C4004" t="inlineStr">
        <is>
          <t>+ES02</t>
        </is>
      </c>
      <c r="D4004" t="inlineStr">
        <is>
          <t>-19Q4.2</t>
        </is>
      </c>
      <c r="E4004" t="inlineStr">
        <is>
          <t>DILM-9-10</t>
        </is>
      </c>
      <c r="F4004" t="inlineStr">
        <is>
          <t>#KALK!</t>
        </is>
      </c>
      <c r="G4004" t="inlineStr">
        <is>
          <t>LASTSCHUETZ</t>
        </is>
      </c>
      <c r="H4004" t="inlineStr">
        <is>
          <t>4kW 1S Federzugkl.</t>
        </is>
      </c>
      <c r="I4004">
        <v>167</v>
      </c>
      <c r="J4004">
        <f>GS95/19.2</f>
        <v>0</v>
      </c>
      <c r="M4004" t="inlineStr">
        <is>
          <t>-19Q4.2</t>
        </is>
      </c>
    </row>
    <row r="4005">
      <c r="A4005">
        <v>4004</v>
      </c>
      <c r="B4005">
        <f>GS96</f>
        <v>0</v>
      </c>
      <c r="C4005" t="inlineStr">
        <is>
          <t>+ES02</t>
        </is>
      </c>
      <c r="D4005" t="inlineStr">
        <is>
          <t>-19Q4.2</t>
        </is>
      </c>
      <c r="E4005" t="inlineStr">
        <is>
          <t>DILM-9-10</t>
        </is>
      </c>
      <c r="F4005" t="inlineStr">
        <is>
          <t>#KALK!</t>
        </is>
      </c>
      <c r="G4005" t="inlineStr">
        <is>
          <t>LASTSCHUETZ</t>
        </is>
      </c>
      <c r="H4005" t="inlineStr">
        <is>
          <t>4kW 1S Federzugkl.</t>
        </is>
      </c>
      <c r="I4005">
        <v>167</v>
      </c>
      <c r="J4005">
        <f>GS96/19.2</f>
        <v>0</v>
      </c>
      <c r="M4005" t="inlineStr">
        <is>
          <t>-19Q4.2</t>
        </is>
      </c>
    </row>
    <row r="4006">
      <c r="A4006">
        <v>4005</v>
      </c>
      <c r="B4006">
        <f>GS97</f>
        <v>0</v>
      </c>
      <c r="C4006" t="inlineStr">
        <is>
          <t>+ES02</t>
        </is>
      </c>
      <c r="D4006" t="inlineStr">
        <is>
          <t>-19Q4.2</t>
        </is>
      </c>
      <c r="E4006" t="inlineStr">
        <is>
          <t>DILM-9-10</t>
        </is>
      </c>
      <c r="F4006" t="inlineStr">
        <is>
          <t>#KALK!</t>
        </is>
      </c>
      <c r="G4006" t="inlineStr">
        <is>
          <t>LASTSCHUETZ</t>
        </is>
      </c>
      <c r="H4006" t="inlineStr">
        <is>
          <t>4kW 1S Federzugkl.</t>
        </is>
      </c>
      <c r="I4006">
        <v>167</v>
      </c>
      <c r="J4006">
        <f>GS97/19.2</f>
        <v>0</v>
      </c>
      <c r="M4006" t="inlineStr">
        <is>
          <t>-19Q4.2</t>
        </is>
      </c>
    </row>
    <row r="4007">
      <c r="A4007">
        <v>4006</v>
      </c>
      <c r="B4007">
        <f>GS31</f>
        <v>0</v>
      </c>
      <c r="C4007" t="inlineStr">
        <is>
          <t>+LS3</t>
        </is>
      </c>
      <c r="D4007" t="inlineStr">
        <is>
          <t>-200.2K36.3</t>
        </is>
      </c>
      <c r="E4007" t="inlineStr">
        <is>
          <t>DILMC12-10(24VDC)</t>
        </is>
      </c>
      <c r="F4007" t="inlineStr">
        <is>
          <t>#KALK!</t>
        </is>
      </c>
      <c r="G4007" t="inlineStr">
        <is>
          <t>LASTSCHUETZ</t>
        </is>
      </c>
      <c r="H4007" t="inlineStr">
        <is>
          <t>5,5kW 1S Federzugkl.</t>
        </is>
      </c>
      <c r="I4007">
        <v>487</v>
      </c>
      <c r="J4007">
        <f>GS31/200.2.5</f>
        <v>0</v>
      </c>
      <c r="K4007" t="inlineStr">
        <is>
          <t>DIL MC12</t>
        </is>
      </c>
      <c r="M4007" t="inlineStr">
        <is>
          <t>-200.2K36.3</t>
        </is>
      </c>
    </row>
    <row r="4008">
      <c r="A4008">
        <v>4007</v>
      </c>
      <c r="B4008">
        <f>GS06</f>
        <v>0</v>
      </c>
      <c r="C4008" t="inlineStr">
        <is>
          <t>+LS26</t>
        </is>
      </c>
      <c r="D4008" t="inlineStr">
        <is>
          <t>-2005Q1</t>
        </is>
      </c>
      <c r="E4008" t="inlineStr">
        <is>
          <t>DILMC25-10(RDC24)</t>
        </is>
      </c>
      <c r="F4008" t="inlineStr">
        <is>
          <t>DILA-XHI22</t>
        </is>
      </c>
      <c r="G4008" t="inlineStr">
        <is>
          <t>LASTSCHUETZ</t>
        </is>
      </c>
      <c r="H4008" t="inlineStr">
        <is>
          <t>11kW 1S Federzugkl.</t>
        </is>
      </c>
      <c r="I4008">
        <v>4324</v>
      </c>
      <c r="J4008">
        <f>GS06/2005.6</f>
        <v>0</v>
      </c>
      <c r="K4008" t="inlineStr">
        <is>
          <t>DIL MC25</t>
        </is>
      </c>
      <c r="M4008" t="inlineStr">
        <is>
          <t>-2005Q1</t>
        </is>
      </c>
    </row>
    <row r="4009">
      <c r="A4009">
        <v>4008</v>
      </c>
      <c r="B4009">
        <f>GS06</f>
        <v>0</v>
      </c>
      <c r="C4009" t="inlineStr">
        <is>
          <t>+LS26</t>
        </is>
      </c>
      <c r="D4009" t="inlineStr">
        <is>
          <t>-2005Q1</t>
        </is>
      </c>
      <c r="E4009" t="inlineStr">
        <is>
          <t>DILA-XHI22</t>
        </is>
      </c>
      <c r="F4009" t="inlineStr">
        <is>
          <t>DILA-XHI22</t>
        </is>
      </c>
      <c r="G4009" t="inlineStr">
        <is>
          <t>HILFSKONTAKTBLOCK</t>
        </is>
      </c>
      <c r="H4009" t="inlineStr">
        <is>
          <t>2S 2OE Last+Hilfssch. Cage</t>
        </is>
      </c>
      <c r="I4009">
        <v>4324</v>
      </c>
      <c r="J4009">
        <f>GS06/2005.6</f>
        <v>0</v>
      </c>
      <c r="K4009" t="inlineStr">
        <is>
          <t>DIL MC25</t>
        </is>
      </c>
      <c r="M4009" t="inlineStr">
        <is>
          <t>-2005Q1</t>
        </is>
      </c>
    </row>
    <row r="4010">
      <c r="A4010">
        <v>4009</v>
      </c>
      <c r="B4010">
        <f>GS06</f>
        <v>0</v>
      </c>
      <c r="C4010" t="inlineStr">
        <is>
          <t>+LS26</t>
        </is>
      </c>
      <c r="D4010" t="inlineStr">
        <is>
          <t>-2007Q1641.5</t>
        </is>
      </c>
      <c r="E4010" t="inlineStr">
        <is>
          <t>DILM-9-10</t>
        </is>
      </c>
      <c r="F4010" t="inlineStr">
        <is>
          <t>#KALK!</t>
        </is>
      </c>
      <c r="G4010" t="inlineStr">
        <is>
          <t>LASTSCHUETZ</t>
        </is>
      </c>
      <c r="H4010" t="inlineStr">
        <is>
          <t>4kW 1S Federzugkl.</t>
        </is>
      </c>
      <c r="I4010">
        <v>4322</v>
      </c>
      <c r="J4010">
        <f>GS06/2007.6</f>
        <v>0</v>
      </c>
      <c r="K4010" t="inlineStr">
        <is>
          <t>DIL MC9</t>
        </is>
      </c>
      <c r="M4010" t="inlineStr">
        <is>
          <t>-2007Q1641.5</t>
        </is>
      </c>
    </row>
    <row r="4011">
      <c r="A4011">
        <v>4010</v>
      </c>
      <c r="B4011">
        <f>GS92</f>
        <v>0</v>
      </c>
      <c r="C4011" t="inlineStr">
        <is>
          <t>+LS02</t>
        </is>
      </c>
      <c r="D4011" t="inlineStr">
        <is>
          <t>-200K166.4</t>
        </is>
      </c>
      <c r="E4011" t="inlineStr">
        <is>
          <t>DILA-40</t>
        </is>
      </c>
      <c r="F4011" t="inlineStr">
        <is>
          <t>#KALK!</t>
        </is>
      </c>
      <c r="G4011" t="inlineStr">
        <is>
          <t>HILFSSCHUETZ</t>
        </is>
      </c>
      <c r="H4011" t="inlineStr">
        <is>
          <t>4S Federzugkl.</t>
        </is>
      </c>
      <c r="I4011">
        <v>346</v>
      </c>
      <c r="J4011">
        <f>GS92/200.7</f>
        <v>0</v>
      </c>
      <c r="M4011" t="inlineStr">
        <is>
          <t>-200K166.4</t>
        </is>
      </c>
    </row>
    <row r="4012">
      <c r="A4012">
        <v>4011</v>
      </c>
      <c r="B4012">
        <f>GS02</f>
        <v>0</v>
      </c>
      <c r="C4012" t="inlineStr">
        <is>
          <t>+LS3</t>
        </is>
      </c>
      <c r="D4012" t="inlineStr">
        <is>
          <t>-200K31.4</t>
        </is>
      </c>
      <c r="E4012" t="inlineStr">
        <is>
          <t>DIL_EM-10-G</t>
        </is>
      </c>
      <c r="F4012" t="inlineStr">
        <is>
          <t>#KALK!</t>
        </is>
      </c>
      <c r="G4012" t="inlineStr">
        <is>
          <t>LASTSCHUETZ</t>
        </is>
      </c>
      <c r="H4012" t="inlineStr">
        <is>
          <t>4kW 1S</t>
        </is>
      </c>
      <c r="I4012">
        <v>604</v>
      </c>
      <c r="J4012">
        <f>GS02/200.6</f>
        <v>0</v>
      </c>
      <c r="M4012" t="inlineStr">
        <is>
          <t>-200K31.4</t>
        </is>
      </c>
    </row>
    <row r="4013">
      <c r="A4013">
        <v>4012</v>
      </c>
      <c r="B4013">
        <f>GS02</f>
        <v>0</v>
      </c>
      <c r="C4013" t="inlineStr">
        <is>
          <t>+LS3</t>
        </is>
      </c>
      <c r="D4013" t="inlineStr">
        <is>
          <t>-200K31.5</t>
        </is>
      </c>
      <c r="E4013" t="inlineStr">
        <is>
          <t>DIL_EM-10-G</t>
        </is>
      </c>
      <c r="F4013" t="inlineStr">
        <is>
          <t>#KALK!</t>
        </is>
      </c>
      <c r="G4013" t="inlineStr">
        <is>
          <t>LASTSCHUETZ</t>
        </is>
      </c>
      <c r="H4013" t="inlineStr">
        <is>
          <t>4kW 1S</t>
        </is>
      </c>
      <c r="I4013">
        <v>604</v>
      </c>
      <c r="J4013">
        <f>GS02/200.6</f>
        <v>0</v>
      </c>
      <c r="M4013" t="inlineStr">
        <is>
          <t>-200K31.5</t>
        </is>
      </c>
    </row>
    <row r="4014">
      <c r="A4014">
        <v>4013</v>
      </c>
      <c r="B4014">
        <f>GS31</f>
        <v>0</v>
      </c>
      <c r="C4014" t="inlineStr">
        <is>
          <t>+LS3</t>
        </is>
      </c>
      <c r="D4014" t="inlineStr">
        <is>
          <t>-200K37.0</t>
        </is>
      </c>
      <c r="E4014" t="inlineStr">
        <is>
          <t>DIL_EM-10-G</t>
        </is>
      </c>
      <c r="F4014" t="inlineStr">
        <is>
          <t>#KALK!</t>
        </is>
      </c>
      <c r="G4014" t="inlineStr">
        <is>
          <t>LASTSCHUETZ</t>
        </is>
      </c>
      <c r="H4014" t="inlineStr">
        <is>
          <t>4kW 1S</t>
        </is>
      </c>
      <c r="I4014">
        <v>485</v>
      </c>
      <c r="J4014">
        <f>GS31/200.6</f>
        <v>0</v>
      </c>
      <c r="M4014" t="inlineStr">
        <is>
          <t>-200K37.0</t>
        </is>
      </c>
    </row>
    <row r="4015">
      <c r="A4015">
        <v>4014</v>
      </c>
      <c r="B4015">
        <f>GS31</f>
        <v>0</v>
      </c>
      <c r="C4015" t="inlineStr">
        <is>
          <t>+LS3</t>
        </is>
      </c>
      <c r="D4015" t="inlineStr">
        <is>
          <t>-200K37.1</t>
        </is>
      </c>
      <c r="E4015" t="inlineStr">
        <is>
          <t>DIL_EM-10-G</t>
        </is>
      </c>
      <c r="F4015" t="inlineStr">
        <is>
          <t>#KALK!</t>
        </is>
      </c>
      <c r="G4015" t="inlineStr">
        <is>
          <t>LASTSCHUETZ</t>
        </is>
      </c>
      <c r="H4015" t="inlineStr">
        <is>
          <t>4kW 1S</t>
        </is>
      </c>
      <c r="I4015">
        <v>485</v>
      </c>
      <c r="J4015">
        <f>GS31/200.6</f>
        <v>0</v>
      </c>
      <c r="M4015" t="inlineStr">
        <is>
          <t>-200K37.1</t>
        </is>
      </c>
    </row>
    <row r="4016">
      <c r="A4016">
        <v>4015</v>
      </c>
      <c r="B4016">
        <f>GS04</f>
        <v>0</v>
      </c>
      <c r="C4016" t="inlineStr">
        <is>
          <t>+LS4</t>
        </is>
      </c>
      <c r="D4016" t="inlineStr">
        <is>
          <t>-200K41.5</t>
        </is>
      </c>
      <c r="E4016" t="inlineStr">
        <is>
          <t>DIL_EM-10-G</t>
        </is>
      </c>
      <c r="F4016" t="inlineStr">
        <is>
          <t>#KALK!</t>
        </is>
      </c>
      <c r="G4016" t="inlineStr">
        <is>
          <t>LASTSCHUETZ</t>
        </is>
      </c>
      <c r="H4016" t="inlineStr">
        <is>
          <t>4kW 1S</t>
        </is>
      </c>
      <c r="I4016">
        <v>450</v>
      </c>
      <c r="J4016">
        <f>GS04/200.7</f>
        <v>0</v>
      </c>
      <c r="M4016" t="inlineStr">
        <is>
          <t>-200K41.5</t>
        </is>
      </c>
    </row>
    <row r="4017">
      <c r="A4017">
        <v>4016</v>
      </c>
      <c r="B4017">
        <f>GS62</f>
        <v>0</v>
      </c>
      <c r="C4017" t="inlineStr">
        <is>
          <t>+LS1</t>
        </is>
      </c>
      <c r="D4017" t="inlineStr">
        <is>
          <t>-200K57.1</t>
        </is>
      </c>
      <c r="E4017" t="inlineStr">
        <is>
          <t>DIL_EM-10-G</t>
        </is>
      </c>
      <c r="F4017" t="inlineStr">
        <is>
          <t>#KALK!</t>
        </is>
      </c>
      <c r="G4017" t="inlineStr">
        <is>
          <t>LASTSCHUETZ</t>
        </is>
      </c>
      <c r="H4017" t="inlineStr">
        <is>
          <t>4kW 1S</t>
        </is>
      </c>
      <c r="I4017">
        <v>160</v>
      </c>
      <c r="J4017">
        <f>GS62/200.6</f>
        <v>0</v>
      </c>
      <c r="M4017" t="inlineStr">
        <is>
          <t>-200K57.1</t>
        </is>
      </c>
    </row>
    <row r="4018">
      <c r="A4018">
        <v>4017</v>
      </c>
      <c r="B4018">
        <f>GS62</f>
        <v>0</v>
      </c>
      <c r="C4018" t="inlineStr">
        <is>
          <t>+LS1</t>
        </is>
      </c>
      <c r="D4018" t="inlineStr">
        <is>
          <t>-200K57.2</t>
        </is>
      </c>
      <c r="E4018" t="inlineStr">
        <is>
          <t>DIL_EM-10-G</t>
        </is>
      </c>
      <c r="F4018" t="inlineStr">
        <is>
          <t>#KALK!</t>
        </is>
      </c>
      <c r="G4018" t="inlineStr">
        <is>
          <t>LASTSCHUETZ</t>
        </is>
      </c>
      <c r="H4018" t="inlineStr">
        <is>
          <t>4kW 1S</t>
        </is>
      </c>
      <c r="I4018">
        <v>160</v>
      </c>
      <c r="J4018">
        <f>GS62/200.6</f>
        <v>0</v>
      </c>
      <c r="M4018" t="inlineStr">
        <is>
          <t>-200K57.2</t>
        </is>
      </c>
    </row>
    <row r="4019">
      <c r="A4019">
        <v>4018</v>
      </c>
      <c r="B4019">
        <f>GC03</f>
        <v>0</v>
      </c>
      <c r="C4019" t="inlineStr">
        <is>
          <t>+LS4</t>
        </is>
      </c>
      <c r="D4019" t="inlineStr">
        <is>
          <t>-200K66.0</t>
        </is>
      </c>
      <c r="E4019" t="inlineStr">
        <is>
          <t>DIL_EM-10-G</t>
        </is>
      </c>
      <c r="F4019" t="inlineStr">
        <is>
          <t>#KALK!</t>
        </is>
      </c>
      <c r="G4019" t="inlineStr">
        <is>
          <t>LASTSCHUETZ</t>
        </is>
      </c>
      <c r="H4019" t="inlineStr">
        <is>
          <t>4kW 1S</t>
        </is>
      </c>
      <c r="I4019">
        <v>1032</v>
      </c>
      <c r="J4019">
        <f>GC03/200.6</f>
        <v>0</v>
      </c>
      <c r="M4019" t="inlineStr">
        <is>
          <t>-200K66.0</t>
        </is>
      </c>
    </row>
    <row r="4020">
      <c r="A4020">
        <v>4019</v>
      </c>
      <c r="B4020">
        <f>GC03</f>
        <v>0</v>
      </c>
      <c r="C4020" t="inlineStr">
        <is>
          <t>+LS4</t>
        </is>
      </c>
      <c r="D4020" t="inlineStr">
        <is>
          <t>-200K66.1</t>
        </is>
      </c>
      <c r="E4020" t="inlineStr">
        <is>
          <t>DIL_EM-10-G</t>
        </is>
      </c>
      <c r="F4020" t="inlineStr">
        <is>
          <t>#KALK!</t>
        </is>
      </c>
      <c r="G4020" t="inlineStr">
        <is>
          <t>LASTSCHUETZ</t>
        </is>
      </c>
      <c r="H4020" t="inlineStr">
        <is>
          <t>4kW 1S</t>
        </is>
      </c>
      <c r="I4020">
        <v>1032</v>
      </c>
      <c r="J4020">
        <f>GC03/200.6</f>
        <v>0</v>
      </c>
      <c r="M4020" t="inlineStr">
        <is>
          <t>-200K66.1</t>
        </is>
      </c>
    </row>
    <row r="4021">
      <c r="A4021">
        <v>4020</v>
      </c>
      <c r="B4021">
        <f>GS25</f>
        <v>0</v>
      </c>
      <c r="C4021" t="inlineStr">
        <is>
          <t>+LS4</t>
        </is>
      </c>
      <c r="D4021" t="inlineStr">
        <is>
          <t>-200K70.2</t>
        </is>
      </c>
      <c r="E4021" t="inlineStr">
        <is>
          <t>DIL_EM-10-G</t>
        </is>
      </c>
      <c r="F4021" t="inlineStr">
        <is>
          <t>#KALK!</t>
        </is>
      </c>
      <c r="G4021" t="inlineStr">
        <is>
          <t>LASTSCHUETZ</t>
        </is>
      </c>
      <c r="H4021" t="inlineStr">
        <is>
          <t>4kW 1S</t>
        </is>
      </c>
      <c r="I4021">
        <v>321</v>
      </c>
      <c r="J4021">
        <f>GS25/200.6</f>
        <v>0</v>
      </c>
      <c r="M4021" t="inlineStr">
        <is>
          <t>-200K70.2</t>
        </is>
      </c>
    </row>
    <row r="4022">
      <c r="A4022">
        <v>4021</v>
      </c>
      <c r="B4022">
        <f>GS25</f>
        <v>0</v>
      </c>
      <c r="C4022" t="inlineStr">
        <is>
          <t>+LS4</t>
        </is>
      </c>
      <c r="D4022" t="inlineStr">
        <is>
          <t>-200K70.3</t>
        </is>
      </c>
      <c r="E4022" t="inlineStr">
        <is>
          <t>DIL_EM-10-G</t>
        </is>
      </c>
      <c r="F4022" t="inlineStr">
        <is>
          <t>#KALK!</t>
        </is>
      </c>
      <c r="G4022" t="inlineStr">
        <is>
          <t>LASTSCHUETZ</t>
        </is>
      </c>
      <c r="H4022" t="inlineStr">
        <is>
          <t>4kW 1S</t>
        </is>
      </c>
      <c r="I4022">
        <v>321</v>
      </c>
      <c r="J4022">
        <f>GS25/200.6</f>
        <v>0</v>
      </c>
      <c r="M4022" t="inlineStr">
        <is>
          <t>-200K70.3</t>
        </is>
      </c>
    </row>
    <row r="4023">
      <c r="A4023">
        <v>4022</v>
      </c>
      <c r="B4023">
        <f>GS14</f>
        <v>0</v>
      </c>
      <c r="C4023" t="inlineStr">
        <is>
          <t>+LS4</t>
        </is>
      </c>
      <c r="D4023" t="inlineStr">
        <is>
          <t>-200K72.3</t>
        </is>
      </c>
      <c r="E4023" t="inlineStr">
        <is>
          <t>DIL_EM-10-G</t>
        </is>
      </c>
      <c r="F4023" t="inlineStr">
        <is>
          <t>#KALK!</t>
        </is>
      </c>
      <c r="G4023" t="inlineStr">
        <is>
          <t>LASTSCHUETZ</t>
        </is>
      </c>
      <c r="H4023" t="inlineStr">
        <is>
          <t>4kW 1S</t>
        </is>
      </c>
      <c r="I4023">
        <v>326</v>
      </c>
      <c r="J4023">
        <f>GS14/200.6</f>
        <v>0</v>
      </c>
      <c r="M4023" t="inlineStr">
        <is>
          <t>-200K72.3</t>
        </is>
      </c>
    </row>
    <row r="4024">
      <c r="A4024">
        <v>4023</v>
      </c>
      <c r="B4024">
        <f>GS14</f>
        <v>0</v>
      </c>
      <c r="C4024" t="inlineStr">
        <is>
          <t>+LS4</t>
        </is>
      </c>
      <c r="D4024" t="inlineStr">
        <is>
          <t>-200K72.4</t>
        </is>
      </c>
      <c r="E4024" t="inlineStr">
        <is>
          <t>DIL_EM-10-G</t>
        </is>
      </c>
      <c r="F4024" t="inlineStr">
        <is>
          <t>#KALK!</t>
        </is>
      </c>
      <c r="G4024" t="inlineStr">
        <is>
          <t>LASTSCHUETZ</t>
        </is>
      </c>
      <c r="H4024" t="inlineStr">
        <is>
          <t>4kW 1S</t>
        </is>
      </c>
      <c r="I4024">
        <v>326</v>
      </c>
      <c r="J4024">
        <f>GS14/200.6</f>
        <v>0</v>
      </c>
      <c r="M4024" t="inlineStr">
        <is>
          <t>-200K72.4</t>
        </is>
      </c>
    </row>
    <row r="4025">
      <c r="A4025">
        <v>4024</v>
      </c>
      <c r="B4025">
        <f>GS24</f>
        <v>0</v>
      </c>
      <c r="C4025" t="inlineStr">
        <is>
          <t>+LS4</t>
        </is>
      </c>
      <c r="D4025" t="inlineStr">
        <is>
          <t>-200K74.7</t>
        </is>
      </c>
      <c r="E4025" t="inlineStr">
        <is>
          <t>DIL_EM-10-G</t>
        </is>
      </c>
      <c r="F4025" t="inlineStr">
        <is>
          <t>#KALK!</t>
        </is>
      </c>
      <c r="G4025" t="inlineStr">
        <is>
          <t>LASTSCHUETZ</t>
        </is>
      </c>
      <c r="H4025" t="inlineStr">
        <is>
          <t>4kW 1S</t>
        </is>
      </c>
      <c r="I4025">
        <v>879</v>
      </c>
      <c r="J4025">
        <f>GS24/200.5</f>
        <v>0</v>
      </c>
      <c r="M4025" t="inlineStr">
        <is>
          <t>-200K74.7</t>
        </is>
      </c>
    </row>
    <row r="4026">
      <c r="A4026">
        <v>4025</v>
      </c>
      <c r="B4026">
        <f>GS24</f>
        <v>0</v>
      </c>
      <c r="C4026" t="inlineStr">
        <is>
          <t>+LS4</t>
        </is>
      </c>
      <c r="D4026" t="inlineStr">
        <is>
          <t>-200K75.0</t>
        </is>
      </c>
      <c r="E4026" t="inlineStr">
        <is>
          <t>DIL_EM-10-G</t>
        </is>
      </c>
      <c r="F4026" t="inlineStr">
        <is>
          <t>#KALK!</t>
        </is>
      </c>
      <c r="G4026" t="inlineStr">
        <is>
          <t>LASTSCHUETZ</t>
        </is>
      </c>
      <c r="H4026" t="inlineStr">
        <is>
          <t>4kW 1S</t>
        </is>
      </c>
      <c r="I4026">
        <v>879</v>
      </c>
      <c r="J4026">
        <f>GS24/200.6</f>
        <v>0</v>
      </c>
      <c r="M4026" t="inlineStr">
        <is>
          <t>-200K75.0</t>
        </is>
      </c>
    </row>
    <row r="4027">
      <c r="A4027">
        <v>4026</v>
      </c>
      <c r="B4027">
        <f>GS24</f>
        <v>0</v>
      </c>
      <c r="C4027" t="inlineStr">
        <is>
          <t>+LS4</t>
        </is>
      </c>
      <c r="D4027" t="inlineStr">
        <is>
          <t>-200K75.1</t>
        </is>
      </c>
      <c r="E4027" t="inlineStr">
        <is>
          <t>DIL_EM-01-G</t>
        </is>
      </c>
      <c r="F4027" t="inlineStr">
        <is>
          <t>#KALK!</t>
        </is>
      </c>
      <c r="G4027" t="inlineStr">
        <is>
          <t>LASTSCHUETZ</t>
        </is>
      </c>
      <c r="H4027" t="inlineStr">
        <is>
          <t>4kW 1OE</t>
        </is>
      </c>
      <c r="I4027">
        <v>879</v>
      </c>
      <c r="J4027">
        <f>GS24/200.7</f>
        <v>0</v>
      </c>
      <c r="M4027" t="inlineStr">
        <is>
          <t>-200K75.1</t>
        </is>
      </c>
    </row>
    <row r="4028">
      <c r="A4028">
        <v>4027</v>
      </c>
      <c r="B4028">
        <f>GS24</f>
        <v>0</v>
      </c>
      <c r="C4028" t="inlineStr">
        <is>
          <t>+LS4</t>
        </is>
      </c>
      <c r="D4028" t="inlineStr">
        <is>
          <t>-200K75.2</t>
        </is>
      </c>
      <c r="E4028" t="inlineStr">
        <is>
          <t>DIL_EM-01-G</t>
        </is>
      </c>
      <c r="F4028" t="inlineStr">
        <is>
          <t>#KALK!</t>
        </is>
      </c>
      <c r="G4028" t="inlineStr">
        <is>
          <t>LASTSCHUETZ</t>
        </is>
      </c>
      <c r="H4028" t="inlineStr">
        <is>
          <t>4kW 1OE</t>
        </is>
      </c>
      <c r="I4028">
        <v>879</v>
      </c>
      <c r="J4028">
        <f>GS24/200.8</f>
        <v>0</v>
      </c>
      <c r="M4028" t="inlineStr">
        <is>
          <t>-200K75.2</t>
        </is>
      </c>
    </row>
    <row r="4029">
      <c r="A4029">
        <v>4028</v>
      </c>
      <c r="B4029">
        <f>GS53</f>
        <v>0</v>
      </c>
      <c r="C4029" t="inlineStr">
        <is>
          <t>+LS[p1]</t>
        </is>
      </c>
      <c r="D4029" t="inlineStr">
        <is>
          <t>-200Q1</t>
        </is>
      </c>
      <c r="E4029" t="inlineStr">
        <is>
          <t>DILMC25-10(RDC24)</t>
        </is>
      </c>
      <c r="F4029" t="inlineStr">
        <is>
          <t>DILA-XHI22</t>
        </is>
      </c>
      <c r="G4029" t="inlineStr">
        <is>
          <t>LASTSCHUETZ</t>
        </is>
      </c>
      <c r="H4029" t="inlineStr">
        <is>
          <t>11kW 1S Federzugkl.</t>
        </is>
      </c>
      <c r="I4029">
        <v>182</v>
      </c>
      <c r="J4029">
        <f>GS53/200.6</f>
        <v>0</v>
      </c>
      <c r="K4029" t="inlineStr">
        <is>
          <t>DIL MC25</t>
        </is>
      </c>
      <c r="M4029" t="inlineStr">
        <is>
          <t>-200Q1</t>
        </is>
      </c>
    </row>
    <row r="4030">
      <c r="A4030">
        <v>4029</v>
      </c>
      <c r="B4030">
        <f>GS53</f>
        <v>0</v>
      </c>
      <c r="C4030" t="inlineStr">
        <is>
          <t>+LS[p1]</t>
        </is>
      </c>
      <c r="D4030" t="inlineStr">
        <is>
          <t>-200Q1</t>
        </is>
      </c>
      <c r="E4030" t="inlineStr">
        <is>
          <t>DILA-XHI22</t>
        </is>
      </c>
      <c r="F4030" t="inlineStr">
        <is>
          <t>DILA-XHI22</t>
        </is>
      </c>
      <c r="G4030" t="inlineStr">
        <is>
          <t>HILFSKONTAKTBLOCK</t>
        </is>
      </c>
      <c r="H4030" t="inlineStr">
        <is>
          <t>2S 2OE Last+Hilfssch. Cage</t>
        </is>
      </c>
      <c r="I4030">
        <v>182</v>
      </c>
      <c r="J4030">
        <f>GS53/200.6</f>
        <v>0</v>
      </c>
      <c r="K4030" t="inlineStr">
        <is>
          <t>DIL MC25</t>
        </is>
      </c>
      <c r="M4030" t="inlineStr">
        <is>
          <t>-200Q1</t>
        </is>
      </c>
    </row>
    <row r="4031">
      <c r="A4031">
        <v>4030</v>
      </c>
      <c r="B4031">
        <f>GS92</f>
        <v>0</v>
      </c>
      <c r="C4031" t="inlineStr">
        <is>
          <t>+LS02</t>
        </is>
      </c>
      <c r="D4031" t="inlineStr">
        <is>
          <t>-200Q1</t>
        </is>
      </c>
      <c r="E4031" t="inlineStr">
        <is>
          <t>DILMC25-10(RDC24)</t>
        </is>
      </c>
      <c r="F4031" t="inlineStr">
        <is>
          <t>DILA-XHI22</t>
        </is>
      </c>
      <c r="G4031" t="inlineStr">
        <is>
          <t>LASTSCHUETZ</t>
        </is>
      </c>
      <c r="H4031" t="inlineStr">
        <is>
          <t>11kW 1S Federzugkl.</t>
        </is>
      </c>
      <c r="I4031">
        <v>346</v>
      </c>
      <c r="J4031">
        <f>GS92/200.4</f>
        <v>0</v>
      </c>
      <c r="K4031" t="inlineStr">
        <is>
          <t>DIL MC25</t>
        </is>
      </c>
      <c r="M4031" t="inlineStr">
        <is>
          <t>-200Q1</t>
        </is>
      </c>
    </row>
    <row r="4032">
      <c r="A4032">
        <v>4031</v>
      </c>
      <c r="B4032">
        <f>GS92</f>
        <v>0</v>
      </c>
      <c r="C4032" t="inlineStr">
        <is>
          <t>+LS02</t>
        </is>
      </c>
      <c r="D4032" t="inlineStr">
        <is>
          <t>-200Q1</t>
        </is>
      </c>
      <c r="E4032" t="inlineStr">
        <is>
          <t>DILA-XHI22</t>
        </is>
      </c>
      <c r="F4032" t="inlineStr">
        <is>
          <t>DILA-XHI22</t>
        </is>
      </c>
      <c r="G4032" t="inlineStr">
        <is>
          <t>HILFSKONTAKTBLOCK</t>
        </is>
      </c>
      <c r="H4032" t="inlineStr">
        <is>
          <t>2S 2OE Last+Hilfssch. Cage</t>
        </is>
      </c>
      <c r="I4032">
        <v>346</v>
      </c>
      <c r="J4032">
        <f>GS92/200.4</f>
        <v>0</v>
      </c>
      <c r="K4032" t="inlineStr">
        <is>
          <t>DIL MC25</t>
        </is>
      </c>
      <c r="M4032" t="inlineStr">
        <is>
          <t>-200Q1</t>
        </is>
      </c>
    </row>
    <row r="4033">
      <c r="A4033">
        <v>4032</v>
      </c>
      <c r="B4033">
        <f>GS51</f>
        <v>0</v>
      </c>
      <c r="C4033" t="inlineStr">
        <is>
          <t>+LS02</t>
        </is>
      </c>
      <c r="D4033" t="inlineStr">
        <is>
          <t>-200Q121.3</t>
        </is>
      </c>
      <c r="E4033" t="inlineStr">
        <is>
          <t>DILM-9-10</t>
        </is>
      </c>
      <c r="F4033" t="inlineStr">
        <is>
          <t>#KALK!</t>
        </is>
      </c>
      <c r="G4033" t="inlineStr">
        <is>
          <t>LASTSCHUETZ</t>
        </is>
      </c>
      <c r="H4033" t="inlineStr">
        <is>
          <t>4kW 1S Federzugkl.</t>
        </is>
      </c>
      <c r="I4033">
        <v>392</v>
      </c>
      <c r="J4033">
        <f>GS51/200.6</f>
        <v>0</v>
      </c>
      <c r="K4033" t="inlineStr">
        <is>
          <t>DIL MC9</t>
        </is>
      </c>
      <c r="M4033" t="inlineStr">
        <is>
          <t>-200Q121.3</t>
        </is>
      </c>
    </row>
    <row r="4034">
      <c r="A4034">
        <v>4033</v>
      </c>
      <c r="B4034">
        <f>GS91</f>
        <v>0</v>
      </c>
      <c r="C4034" t="inlineStr">
        <is>
          <t>+LS02</t>
        </is>
      </c>
      <c r="D4034" t="inlineStr">
        <is>
          <t>-200Q449.1</t>
        </is>
      </c>
      <c r="E4034" t="inlineStr">
        <is>
          <t>DILM-9-10</t>
        </is>
      </c>
      <c r="F4034" t="inlineStr">
        <is>
          <t>#KALK!</t>
        </is>
      </c>
      <c r="G4034" t="inlineStr">
        <is>
          <t>LASTSCHUETZ</t>
        </is>
      </c>
      <c r="H4034" t="inlineStr">
        <is>
          <t>4kW 1S Federzugkl.</t>
        </is>
      </c>
      <c r="I4034">
        <v>308</v>
      </c>
      <c r="J4034">
        <f>GS91/200.5</f>
        <v>0</v>
      </c>
      <c r="M4034" t="inlineStr">
        <is>
          <t>-200Q449.1</t>
        </is>
      </c>
    </row>
    <row r="4035">
      <c r="A4035">
        <v>4034</v>
      </c>
      <c r="B4035">
        <f>GS06</f>
        <v>0</v>
      </c>
      <c r="C4035" t="inlineStr">
        <is>
          <t>+LS26</t>
        </is>
      </c>
      <c r="D4035" t="inlineStr">
        <is>
          <t>-2010Q1641.6</t>
        </is>
      </c>
      <c r="E4035" t="inlineStr">
        <is>
          <t>DILM-9-10</t>
        </is>
      </c>
      <c r="F4035" t="inlineStr">
        <is>
          <t>#KALK!</t>
        </is>
      </c>
      <c r="G4035" t="inlineStr">
        <is>
          <t>LASTSCHUETZ</t>
        </is>
      </c>
      <c r="H4035" t="inlineStr">
        <is>
          <t>4kW 1S Federzugkl.</t>
        </is>
      </c>
      <c r="I4035">
        <v>4319</v>
      </c>
      <c r="J4035">
        <f>GS06/2010.6</f>
        <v>0</v>
      </c>
      <c r="K4035" t="inlineStr">
        <is>
          <t>DIL MC9</t>
        </is>
      </c>
      <c r="M4035" t="inlineStr">
        <is>
          <t>-2010Q1641.6</t>
        </is>
      </c>
    </row>
    <row r="4036">
      <c r="A4036">
        <v>4035</v>
      </c>
      <c r="B4036">
        <f>GS06</f>
        <v>0</v>
      </c>
      <c r="C4036" t="inlineStr">
        <is>
          <t>+LS26</t>
        </is>
      </c>
      <c r="D4036" t="inlineStr">
        <is>
          <t>-2014Q1641.7</t>
        </is>
      </c>
      <c r="E4036" t="inlineStr">
        <is>
          <t>DILM-9-10</t>
        </is>
      </c>
      <c r="F4036" t="inlineStr">
        <is>
          <t>#KALK!</t>
        </is>
      </c>
      <c r="G4036" t="inlineStr">
        <is>
          <t>LASTSCHUETZ</t>
        </is>
      </c>
      <c r="H4036" t="inlineStr">
        <is>
          <t>4kW 1S Federzugkl.</t>
        </is>
      </c>
      <c r="I4036">
        <v>4256</v>
      </c>
      <c r="J4036">
        <f>GS06/2014.6</f>
        <v>0</v>
      </c>
      <c r="K4036" t="inlineStr">
        <is>
          <t>DIL MC9</t>
        </is>
      </c>
      <c r="M4036" t="inlineStr">
        <is>
          <t>-2014Q1641.7</t>
        </is>
      </c>
    </row>
    <row r="4037">
      <c r="A4037">
        <v>4036</v>
      </c>
      <c r="B4037">
        <f>GS55</f>
        <v>0</v>
      </c>
      <c r="C4037" t="inlineStr">
        <is>
          <t>+LS32</t>
        </is>
      </c>
      <c r="D4037" t="inlineStr">
        <is>
          <t>-2017K1</t>
        </is>
      </c>
      <c r="E4037" t="inlineStr">
        <is>
          <t>DILM-9-01</t>
        </is>
      </c>
      <c r="F4037" t="inlineStr">
        <is>
          <t>#KALK!</t>
        </is>
      </c>
      <c r="G4037" t="inlineStr">
        <is>
          <t>LASTSCHUETZ</t>
        </is>
      </c>
      <c r="H4037" t="inlineStr">
        <is>
          <t>4kW 1Oe Federzugkl.</t>
        </is>
      </c>
      <c r="I4037">
        <v>2191</v>
      </c>
      <c r="J4037">
        <f>GS55/2017.6</f>
        <v>0</v>
      </c>
      <c r="M4037" t="inlineStr">
        <is>
          <t>-2017K1</t>
        </is>
      </c>
    </row>
    <row r="4038">
      <c r="A4038">
        <v>4037</v>
      </c>
      <c r="B4038">
        <f>GS55</f>
        <v>0</v>
      </c>
      <c r="C4038" t="inlineStr">
        <is>
          <t>+LS32</t>
        </is>
      </c>
      <c r="D4038" t="inlineStr">
        <is>
          <t>-2017K2</t>
        </is>
      </c>
      <c r="E4038" t="inlineStr">
        <is>
          <t>DILM-9-01</t>
        </is>
      </c>
      <c r="F4038" t="inlineStr">
        <is>
          <t>#KALK!</t>
        </is>
      </c>
      <c r="G4038" t="inlineStr">
        <is>
          <t>LASTSCHUETZ</t>
        </is>
      </c>
      <c r="H4038" t="inlineStr">
        <is>
          <t>4kW 1Oe Federzugkl.</t>
        </is>
      </c>
      <c r="I4038">
        <v>2191</v>
      </c>
      <c r="J4038">
        <f>GS55/2017.7</f>
        <v>0</v>
      </c>
      <c r="M4038" t="inlineStr">
        <is>
          <t>-2017K2</t>
        </is>
      </c>
    </row>
    <row r="4039">
      <c r="A4039">
        <v>4038</v>
      </c>
      <c r="B4039">
        <f>GS02</f>
        <v>0</v>
      </c>
      <c r="C4039" t="inlineStr">
        <is>
          <t>+LS3</t>
        </is>
      </c>
      <c r="D4039" t="inlineStr">
        <is>
          <t>-201K32.0</t>
        </is>
      </c>
      <c r="E4039" t="inlineStr">
        <is>
          <t>DIL_EM-10-G</t>
        </is>
      </c>
      <c r="F4039" t="inlineStr">
        <is>
          <t>#KALK!</t>
        </is>
      </c>
      <c r="G4039" t="inlineStr">
        <is>
          <t>LASTSCHUETZ</t>
        </is>
      </c>
      <c r="H4039" t="inlineStr">
        <is>
          <t>4kW 1S</t>
        </is>
      </c>
      <c r="I4039">
        <v>605</v>
      </c>
      <c r="J4039">
        <f>GS02/201.6</f>
        <v>0</v>
      </c>
      <c r="M4039" t="inlineStr">
        <is>
          <t>-201K32.0</t>
        </is>
      </c>
    </row>
    <row r="4040">
      <c r="A4040">
        <v>4039</v>
      </c>
      <c r="B4040">
        <f>GS02</f>
        <v>0</v>
      </c>
      <c r="C4040" t="inlineStr">
        <is>
          <t>+LS3</t>
        </is>
      </c>
      <c r="D4040" t="inlineStr">
        <is>
          <t>-201K32.1</t>
        </is>
      </c>
      <c r="E4040" t="inlineStr">
        <is>
          <t>DIL_EM-10-G</t>
        </is>
      </c>
      <c r="F4040" t="inlineStr">
        <is>
          <t>#KALK!</t>
        </is>
      </c>
      <c r="G4040" t="inlineStr">
        <is>
          <t>LASTSCHUETZ</t>
        </is>
      </c>
      <c r="H4040" t="inlineStr">
        <is>
          <t>4kW 1S</t>
        </is>
      </c>
      <c r="I4040">
        <v>605</v>
      </c>
      <c r="J4040">
        <f>GS02/201.6</f>
        <v>0</v>
      </c>
      <c r="M4040" t="inlineStr">
        <is>
          <t>-201K32.1</t>
        </is>
      </c>
    </row>
    <row r="4041">
      <c r="A4041">
        <v>4040</v>
      </c>
      <c r="B4041">
        <f>GS31</f>
        <v>0</v>
      </c>
      <c r="C4041" t="inlineStr">
        <is>
          <t>+LS3</t>
        </is>
      </c>
      <c r="D4041" t="inlineStr">
        <is>
          <t>-201K36.2</t>
        </is>
      </c>
      <c r="E4041" t="inlineStr">
        <is>
          <t>DIL_EM-10-G</t>
        </is>
      </c>
      <c r="F4041" t="inlineStr">
        <is>
          <t>#KALK!</t>
        </is>
      </c>
      <c r="G4041" t="inlineStr">
        <is>
          <t>LASTSCHUETZ</t>
        </is>
      </c>
      <c r="H4041" t="inlineStr">
        <is>
          <t>4kW 1S</t>
        </is>
      </c>
      <c r="I4041">
        <v>488</v>
      </c>
      <c r="J4041">
        <f>GS31/201.7</f>
        <v>0</v>
      </c>
      <c r="M4041" t="inlineStr">
        <is>
          <t>-201K36.2</t>
        </is>
      </c>
    </row>
    <row r="4042">
      <c r="A4042">
        <v>4041</v>
      </c>
      <c r="B4042">
        <f>GS04</f>
        <v>0</v>
      </c>
      <c r="C4042" t="inlineStr">
        <is>
          <t>+LS4</t>
        </is>
      </c>
      <c r="D4042" t="inlineStr">
        <is>
          <t>-201K42.6</t>
        </is>
      </c>
      <c r="E4042" t="inlineStr">
        <is>
          <t>DIL_EM-10-G</t>
        </is>
      </c>
      <c r="F4042" t="inlineStr">
        <is>
          <t>#KALK!</t>
        </is>
      </c>
      <c r="G4042" t="inlineStr">
        <is>
          <t>LASTSCHUETZ</t>
        </is>
      </c>
      <c r="H4042" t="inlineStr">
        <is>
          <t>4kW 1S</t>
        </is>
      </c>
      <c r="I4042">
        <v>451</v>
      </c>
      <c r="J4042">
        <f>GS04/201.7</f>
        <v>0</v>
      </c>
      <c r="M4042" t="inlineStr">
        <is>
          <t>-201K42.6</t>
        </is>
      </c>
    </row>
    <row r="4043">
      <c r="A4043">
        <v>4042</v>
      </c>
      <c r="B4043">
        <f>GS62</f>
        <v>0</v>
      </c>
      <c r="C4043" t="inlineStr">
        <is>
          <t>+LS1</t>
        </is>
      </c>
      <c r="D4043" t="inlineStr">
        <is>
          <t>-201K57.3</t>
        </is>
      </c>
      <c r="E4043" t="inlineStr">
        <is>
          <t>DIL_EM-10-G</t>
        </is>
      </c>
      <c r="F4043" t="inlineStr">
        <is>
          <t>#KALK!</t>
        </is>
      </c>
      <c r="G4043" t="inlineStr">
        <is>
          <t>LASTSCHUETZ</t>
        </is>
      </c>
      <c r="H4043" t="inlineStr">
        <is>
          <t>4kW 1S</t>
        </is>
      </c>
      <c r="I4043">
        <v>159</v>
      </c>
      <c r="J4043">
        <f>GS62/201.6</f>
        <v>0</v>
      </c>
      <c r="M4043" t="inlineStr">
        <is>
          <t>-201K57.3</t>
        </is>
      </c>
    </row>
    <row r="4044">
      <c r="A4044">
        <v>4043</v>
      </c>
      <c r="B4044">
        <f>GS62</f>
        <v>0</v>
      </c>
      <c r="C4044" t="inlineStr">
        <is>
          <t>+LS1</t>
        </is>
      </c>
      <c r="D4044" t="inlineStr">
        <is>
          <t>-201K57.4</t>
        </is>
      </c>
      <c r="E4044" t="inlineStr">
        <is>
          <t>DIL_EM-10-G</t>
        </is>
      </c>
      <c r="F4044" t="inlineStr">
        <is>
          <t>#KALK!</t>
        </is>
      </c>
      <c r="G4044" t="inlineStr">
        <is>
          <t>LASTSCHUETZ</t>
        </is>
      </c>
      <c r="H4044" t="inlineStr">
        <is>
          <t>4kW 1S</t>
        </is>
      </c>
      <c r="I4044">
        <v>159</v>
      </c>
      <c r="J4044">
        <f>GS62/201.6</f>
        <v>0</v>
      </c>
      <c r="M4044" t="inlineStr">
        <is>
          <t>-201K57.4</t>
        </is>
      </c>
    </row>
    <row r="4045">
      <c r="A4045">
        <v>4044</v>
      </c>
      <c r="B4045">
        <f>GC03</f>
        <v>0</v>
      </c>
      <c r="C4045" t="inlineStr">
        <is>
          <t>+LS4</t>
        </is>
      </c>
      <c r="D4045" t="inlineStr">
        <is>
          <t>-201K66.2</t>
        </is>
      </c>
      <c r="E4045" t="inlineStr">
        <is>
          <t>DIL_EM-10-G</t>
        </is>
      </c>
      <c r="F4045" t="inlineStr">
        <is>
          <t>#KALK!</t>
        </is>
      </c>
      <c r="G4045" t="inlineStr">
        <is>
          <t>LASTSCHUETZ</t>
        </is>
      </c>
      <c r="H4045" t="inlineStr">
        <is>
          <t>4kW 1S</t>
        </is>
      </c>
      <c r="I4045">
        <v>2625</v>
      </c>
      <c r="J4045">
        <f>GC03/201.6</f>
        <v>0</v>
      </c>
      <c r="M4045" t="inlineStr">
        <is>
          <t>-201K66.2</t>
        </is>
      </c>
    </row>
    <row r="4046">
      <c r="A4046">
        <v>4045</v>
      </c>
      <c r="B4046">
        <f>GC03</f>
        <v>0</v>
      </c>
      <c r="C4046" t="inlineStr">
        <is>
          <t>+LS4</t>
        </is>
      </c>
      <c r="D4046" t="inlineStr">
        <is>
          <t>-201K66.3</t>
        </is>
      </c>
      <c r="E4046" t="inlineStr">
        <is>
          <t>DIL_EM-10-G</t>
        </is>
      </c>
      <c r="F4046" t="inlineStr">
        <is>
          <t>#KALK!</t>
        </is>
      </c>
      <c r="G4046" t="inlineStr">
        <is>
          <t>LASTSCHUETZ</t>
        </is>
      </c>
      <c r="H4046" t="inlineStr">
        <is>
          <t>4kW 1S</t>
        </is>
      </c>
      <c r="I4046">
        <v>2625</v>
      </c>
      <c r="J4046">
        <f>GC03/201.6</f>
        <v>0</v>
      </c>
      <c r="M4046" t="inlineStr">
        <is>
          <t>-201K66.3</t>
        </is>
      </c>
    </row>
    <row r="4047">
      <c r="A4047">
        <v>4046</v>
      </c>
      <c r="B4047">
        <f>GS25</f>
        <v>0</v>
      </c>
      <c r="C4047" t="inlineStr">
        <is>
          <t>+LS4</t>
        </is>
      </c>
      <c r="D4047" t="inlineStr">
        <is>
          <t>-201K70.4</t>
        </is>
      </c>
      <c r="E4047" t="inlineStr">
        <is>
          <t>DIL_EM-10-G</t>
        </is>
      </c>
      <c r="F4047" t="inlineStr">
        <is>
          <t>#KALK!</t>
        </is>
      </c>
      <c r="G4047" t="inlineStr">
        <is>
          <t>LASTSCHUETZ</t>
        </is>
      </c>
      <c r="H4047" t="inlineStr">
        <is>
          <t>4kW 1S</t>
        </is>
      </c>
      <c r="I4047">
        <v>322</v>
      </c>
      <c r="J4047">
        <f>GS25/201.6</f>
        <v>0</v>
      </c>
      <c r="M4047" t="inlineStr">
        <is>
          <t>-201K70.4</t>
        </is>
      </c>
    </row>
    <row r="4048">
      <c r="A4048">
        <v>4047</v>
      </c>
      <c r="B4048">
        <f>GS25</f>
        <v>0</v>
      </c>
      <c r="C4048" t="inlineStr">
        <is>
          <t>+LS4</t>
        </is>
      </c>
      <c r="D4048" t="inlineStr">
        <is>
          <t>-201K70.5</t>
        </is>
      </c>
      <c r="E4048" t="inlineStr">
        <is>
          <t>DIL_EM-10-G</t>
        </is>
      </c>
      <c r="F4048" t="inlineStr">
        <is>
          <t>#KALK!</t>
        </is>
      </c>
      <c r="G4048" t="inlineStr">
        <is>
          <t>LASTSCHUETZ</t>
        </is>
      </c>
      <c r="H4048" t="inlineStr">
        <is>
          <t>4kW 1S</t>
        </is>
      </c>
      <c r="I4048">
        <v>322</v>
      </c>
      <c r="J4048">
        <f>GS25/201.6</f>
        <v>0</v>
      </c>
      <c r="M4048" t="inlineStr">
        <is>
          <t>-201K70.5</t>
        </is>
      </c>
    </row>
    <row r="4049">
      <c r="A4049">
        <v>4048</v>
      </c>
      <c r="B4049">
        <f>GS92</f>
        <v>0</v>
      </c>
      <c r="C4049" t="inlineStr">
        <is>
          <t>+LS02</t>
        </is>
      </c>
      <c r="D4049" t="inlineStr">
        <is>
          <t>-201Q166.5</t>
        </is>
      </c>
      <c r="E4049" t="inlineStr">
        <is>
          <t>DILM-9-10</t>
        </is>
      </c>
      <c r="F4049" t="inlineStr">
        <is>
          <t>#KALK!</t>
        </is>
      </c>
      <c r="G4049" t="inlineStr">
        <is>
          <t>LASTSCHUETZ</t>
        </is>
      </c>
      <c r="H4049" t="inlineStr">
        <is>
          <t>4kW 1S Federzugkl.</t>
        </is>
      </c>
      <c r="I4049">
        <v>347</v>
      </c>
      <c r="J4049">
        <f>GS92/201.5</f>
        <v>0</v>
      </c>
      <c r="M4049" t="inlineStr">
        <is>
          <t>-201Q166.5</t>
        </is>
      </c>
    </row>
    <row r="4050">
      <c r="A4050">
        <v>4049</v>
      </c>
      <c r="B4050">
        <f>GS91</f>
        <v>0</v>
      </c>
      <c r="C4050" t="inlineStr">
        <is>
          <t>+LS02</t>
        </is>
      </c>
      <c r="D4050" t="inlineStr">
        <is>
          <t>-201Q449.2</t>
        </is>
      </c>
      <c r="E4050" t="inlineStr">
        <is>
          <t>DILM-9-10</t>
        </is>
      </c>
      <c r="F4050" t="inlineStr">
        <is>
          <t>#KALK!</t>
        </is>
      </c>
      <c r="G4050" t="inlineStr">
        <is>
          <t>LASTSCHUETZ</t>
        </is>
      </c>
      <c r="H4050" t="inlineStr">
        <is>
          <t>4kW 1S Federzugkl.</t>
        </is>
      </c>
      <c r="I4050">
        <v>309</v>
      </c>
      <c r="J4050">
        <f>GS91/201.5</f>
        <v>0</v>
      </c>
      <c r="M4050" t="inlineStr">
        <is>
          <t>-201Q449.2</t>
        </is>
      </c>
    </row>
    <row r="4051">
      <c r="A4051">
        <v>4050</v>
      </c>
      <c r="B4051">
        <f>GS06</f>
        <v>0</v>
      </c>
      <c r="C4051" t="inlineStr">
        <is>
          <t>+LS26</t>
        </is>
      </c>
      <c r="D4051" t="inlineStr">
        <is>
          <t>-2025Q1</t>
        </is>
      </c>
      <c r="E4051" t="inlineStr">
        <is>
          <t>DILMC25-10(RDC24)</t>
        </is>
      </c>
      <c r="F4051" t="inlineStr">
        <is>
          <t>DILA-XHI22</t>
        </is>
      </c>
      <c r="G4051" t="inlineStr">
        <is>
          <t>LASTSCHUETZ</t>
        </is>
      </c>
      <c r="H4051" t="inlineStr">
        <is>
          <t>11kW 1S Federzugkl.</t>
        </is>
      </c>
      <c r="I4051">
        <v>4314</v>
      </c>
      <c r="J4051">
        <f>GS06/2025.6</f>
        <v>0</v>
      </c>
      <c r="K4051" t="inlineStr">
        <is>
          <t>DIL MC25</t>
        </is>
      </c>
      <c r="M4051" t="inlineStr">
        <is>
          <t>-2025Q1</t>
        </is>
      </c>
    </row>
    <row r="4052">
      <c r="A4052">
        <v>4051</v>
      </c>
      <c r="B4052">
        <f>GS06</f>
        <v>0</v>
      </c>
      <c r="C4052" t="inlineStr">
        <is>
          <t>+LS26</t>
        </is>
      </c>
      <c r="D4052" t="inlineStr">
        <is>
          <t>-2025Q1</t>
        </is>
      </c>
      <c r="E4052" t="inlineStr">
        <is>
          <t>DILA-XHI22</t>
        </is>
      </c>
      <c r="F4052" t="inlineStr">
        <is>
          <t>DILA-XHI22</t>
        </is>
      </c>
      <c r="G4052" t="inlineStr">
        <is>
          <t>HILFSKONTAKTBLOCK</t>
        </is>
      </c>
      <c r="H4052" t="inlineStr">
        <is>
          <t>2S 2OE Last+Hilfssch. Cage</t>
        </is>
      </c>
      <c r="I4052">
        <v>4314</v>
      </c>
      <c r="J4052">
        <f>GS06/2025.6</f>
        <v>0</v>
      </c>
      <c r="K4052" t="inlineStr">
        <is>
          <t>DIL MC25</t>
        </is>
      </c>
      <c r="M4052" t="inlineStr">
        <is>
          <t>-2025Q1</t>
        </is>
      </c>
    </row>
    <row r="4053">
      <c r="A4053">
        <v>4052</v>
      </c>
      <c r="B4053">
        <f>GC22</f>
        <v>0</v>
      </c>
      <c r="C4053" t="inlineStr">
        <is>
          <t>+LS2</t>
        </is>
      </c>
      <c r="D4053" t="inlineStr">
        <is>
          <t>-202K1</t>
        </is>
      </c>
      <c r="E4053" t="inlineStr">
        <is>
          <t>DIL_2AM</t>
        </is>
      </c>
      <c r="F4053" t="inlineStr">
        <is>
          <t>31 DIL M</t>
        </is>
      </c>
      <c r="G4053" t="inlineStr">
        <is>
          <t>LASTSCHUETZ</t>
        </is>
      </c>
      <c r="H4053" t="inlineStr">
        <is>
          <t>30 kW</t>
        </is>
      </c>
      <c r="I4053">
        <v>3009</v>
      </c>
      <c r="J4053">
        <f>GC22/202.5</f>
        <v>0</v>
      </c>
      <c r="K4053" t="inlineStr">
        <is>
          <t>DIL2AM</t>
        </is>
      </c>
      <c r="M4053" t="inlineStr">
        <is>
          <t>-202K1</t>
        </is>
      </c>
    </row>
    <row r="4054">
      <c r="A4054">
        <v>4053</v>
      </c>
      <c r="B4054">
        <f>GC22</f>
        <v>0</v>
      </c>
      <c r="C4054" t="inlineStr">
        <is>
          <t>+LS2</t>
        </is>
      </c>
      <c r="D4054" t="inlineStr">
        <is>
          <t>-202K1</t>
        </is>
      </c>
      <c r="E4054" t="inlineStr">
        <is>
          <t>31 DIL M</t>
        </is>
      </c>
      <c r="F4054" t="inlineStr">
        <is>
          <t>31 DIL M</t>
        </is>
      </c>
      <c r="G4054" t="inlineStr">
        <is>
          <t>HILFSKONTAKTBLOCK</t>
        </is>
      </c>
      <c r="H4054" t="inlineStr">
        <is>
          <t>3S 1OE Lastschuetz DIL M</t>
        </is>
      </c>
      <c r="I4054">
        <v>3009</v>
      </c>
      <c r="J4054">
        <f>GC22/202.5</f>
        <v>0</v>
      </c>
      <c r="K4054" t="inlineStr">
        <is>
          <t>DIL2AM</t>
        </is>
      </c>
      <c r="M4054" t="inlineStr">
        <is>
          <t>-202K1</t>
        </is>
      </c>
    </row>
    <row r="4055">
      <c r="A4055">
        <v>4054</v>
      </c>
      <c r="B4055">
        <f>GS12</f>
        <v>0</v>
      </c>
      <c r="C4055" t="inlineStr">
        <is>
          <t>+LS2</t>
        </is>
      </c>
      <c r="D4055" t="inlineStr">
        <is>
          <t>-202K1</t>
        </is>
      </c>
      <c r="E4055" t="inlineStr">
        <is>
          <t>DIL_2AM</t>
        </is>
      </c>
      <c r="F4055" t="inlineStr">
        <is>
          <t>31 DIL M</t>
        </is>
      </c>
      <c r="G4055" t="inlineStr">
        <is>
          <t>LASTSCHUETZ</t>
        </is>
      </c>
      <c r="H4055" t="inlineStr">
        <is>
          <t>30 kW</t>
        </is>
      </c>
      <c r="I4055">
        <v>334</v>
      </c>
      <c r="J4055">
        <f>GS12/202.5</f>
        <v>0</v>
      </c>
      <c r="K4055" t="inlineStr">
        <is>
          <t>DIL2AM</t>
        </is>
      </c>
      <c r="M4055" t="inlineStr">
        <is>
          <t>-202K1</t>
        </is>
      </c>
    </row>
    <row r="4056">
      <c r="A4056">
        <v>4055</v>
      </c>
      <c r="B4056">
        <f>GS12</f>
        <v>0</v>
      </c>
      <c r="C4056" t="inlineStr">
        <is>
          <t>+LS2</t>
        </is>
      </c>
      <c r="D4056" t="inlineStr">
        <is>
          <t>-202K1</t>
        </is>
      </c>
      <c r="E4056" t="inlineStr">
        <is>
          <t>31 DIL M</t>
        </is>
      </c>
      <c r="F4056" t="inlineStr">
        <is>
          <t>31 DIL M</t>
        </is>
      </c>
      <c r="G4056" t="inlineStr">
        <is>
          <t>HILFSKONTAKTBLOCK</t>
        </is>
      </c>
      <c r="H4056" t="inlineStr">
        <is>
          <t>3S 1OE Lastschuetz DIL M</t>
        </is>
      </c>
      <c r="I4056">
        <v>334</v>
      </c>
      <c r="J4056">
        <f>GS12/202.5</f>
        <v>0</v>
      </c>
      <c r="K4056" t="inlineStr">
        <is>
          <t>DIL2AM</t>
        </is>
      </c>
      <c r="M4056" t="inlineStr">
        <is>
          <t>-202K1</t>
        </is>
      </c>
    </row>
    <row r="4057">
      <c r="A4057">
        <v>4056</v>
      </c>
      <c r="B4057">
        <f>GS02</f>
        <v>0</v>
      </c>
      <c r="C4057" t="inlineStr">
        <is>
          <t>+LS3</t>
        </is>
      </c>
      <c r="D4057" t="inlineStr">
        <is>
          <t>-202K32.2</t>
        </is>
      </c>
      <c r="E4057" t="inlineStr">
        <is>
          <t>DIL_EM-10-G</t>
        </is>
      </c>
      <c r="F4057" t="inlineStr">
        <is>
          <t>#KALK!</t>
        </is>
      </c>
      <c r="G4057" t="inlineStr">
        <is>
          <t>LASTSCHUETZ</t>
        </is>
      </c>
      <c r="H4057" t="inlineStr">
        <is>
          <t>4kW 1S</t>
        </is>
      </c>
      <c r="I4057">
        <v>606</v>
      </c>
      <c r="J4057">
        <f>GS02/202.6</f>
        <v>0</v>
      </c>
      <c r="M4057" t="inlineStr">
        <is>
          <t>-202K32.2</t>
        </is>
      </c>
    </row>
    <row r="4058">
      <c r="A4058">
        <v>4057</v>
      </c>
      <c r="B4058">
        <f>GS02</f>
        <v>0</v>
      </c>
      <c r="C4058" t="inlineStr">
        <is>
          <t>+LS3</t>
        </is>
      </c>
      <c r="D4058" t="inlineStr">
        <is>
          <t>-202K32.3</t>
        </is>
      </c>
      <c r="E4058" t="inlineStr">
        <is>
          <t>DIL_EM-10-G</t>
        </is>
      </c>
      <c r="F4058" t="inlineStr">
        <is>
          <t>#KALK!</t>
        </is>
      </c>
      <c r="G4058" t="inlineStr">
        <is>
          <t>LASTSCHUETZ</t>
        </is>
      </c>
      <c r="H4058" t="inlineStr">
        <is>
          <t>4kW 1S</t>
        </is>
      </c>
      <c r="I4058">
        <v>606</v>
      </c>
      <c r="J4058">
        <f>GS02/202.6</f>
        <v>0</v>
      </c>
      <c r="M4058" t="inlineStr">
        <is>
          <t>-202K32.3</t>
        </is>
      </c>
    </row>
    <row r="4059">
      <c r="A4059">
        <v>4058</v>
      </c>
      <c r="B4059">
        <f>GS04</f>
        <v>0</v>
      </c>
      <c r="C4059" t="inlineStr">
        <is>
          <t>+LS4</t>
        </is>
      </c>
      <c r="D4059" t="inlineStr">
        <is>
          <t>-202K43.5</t>
        </is>
      </c>
      <c r="E4059" t="inlineStr">
        <is>
          <t>DIL_EM-10-G</t>
        </is>
      </c>
      <c r="F4059" t="inlineStr">
        <is>
          <t>#KALK!</t>
        </is>
      </c>
      <c r="G4059" t="inlineStr">
        <is>
          <t>LASTSCHUETZ</t>
        </is>
      </c>
      <c r="H4059" t="inlineStr">
        <is>
          <t>4kW 1S</t>
        </is>
      </c>
      <c r="I4059">
        <v>452</v>
      </c>
      <c r="J4059">
        <f>GS04/202.7</f>
        <v>0</v>
      </c>
      <c r="M4059" t="inlineStr">
        <is>
          <t>-202K43.5</t>
        </is>
      </c>
    </row>
    <row r="4060">
      <c r="A4060">
        <v>4059</v>
      </c>
      <c r="B4060">
        <f>GS62</f>
        <v>0</v>
      </c>
      <c r="C4060" t="inlineStr">
        <is>
          <t>+LS1</t>
        </is>
      </c>
      <c r="D4060" t="inlineStr">
        <is>
          <t>-202K57.5</t>
        </is>
      </c>
      <c r="E4060" t="inlineStr">
        <is>
          <t>DIL_EM-10-G</t>
        </is>
      </c>
      <c r="F4060" t="inlineStr">
        <is>
          <t>#KALK!</t>
        </is>
      </c>
      <c r="G4060" t="inlineStr">
        <is>
          <t>LASTSCHUETZ</t>
        </is>
      </c>
      <c r="H4060" t="inlineStr">
        <is>
          <t>4kW 1S</t>
        </is>
      </c>
      <c r="I4060">
        <v>158</v>
      </c>
      <c r="J4060">
        <f>GS62/202.6</f>
        <v>0</v>
      </c>
      <c r="M4060" t="inlineStr">
        <is>
          <t>-202K57.5</t>
        </is>
      </c>
    </row>
    <row r="4061">
      <c r="A4061">
        <v>4060</v>
      </c>
      <c r="B4061">
        <f>GS62</f>
        <v>0</v>
      </c>
      <c r="C4061" t="inlineStr">
        <is>
          <t>+LS1</t>
        </is>
      </c>
      <c r="D4061" t="inlineStr">
        <is>
          <t>-202K57.6</t>
        </is>
      </c>
      <c r="E4061" t="inlineStr">
        <is>
          <t>DIL_EM-10-G</t>
        </is>
      </c>
      <c r="F4061" t="inlineStr">
        <is>
          <t>#KALK!</t>
        </is>
      </c>
      <c r="G4061" t="inlineStr">
        <is>
          <t>LASTSCHUETZ</t>
        </is>
      </c>
      <c r="H4061" t="inlineStr">
        <is>
          <t>4kW 1S</t>
        </is>
      </c>
      <c r="I4061">
        <v>158</v>
      </c>
      <c r="J4061">
        <f>GS62/202.6</f>
        <v>0</v>
      </c>
      <c r="M4061" t="inlineStr">
        <is>
          <t>-202K57.6</t>
        </is>
      </c>
    </row>
    <row r="4062">
      <c r="A4062">
        <v>4061</v>
      </c>
      <c r="B4062">
        <f>GC03</f>
        <v>0</v>
      </c>
      <c r="C4062" t="inlineStr">
        <is>
          <t>+LS4</t>
        </is>
      </c>
      <c r="D4062" t="inlineStr">
        <is>
          <t>-202K66.4</t>
        </is>
      </c>
      <c r="E4062" t="inlineStr">
        <is>
          <t>DIL_EM-10-G</t>
        </is>
      </c>
      <c r="F4062" t="inlineStr">
        <is>
          <t>#KALK!</t>
        </is>
      </c>
      <c r="G4062" t="inlineStr">
        <is>
          <t>LASTSCHUETZ</t>
        </is>
      </c>
      <c r="H4062" t="inlineStr">
        <is>
          <t>4kW 1S</t>
        </is>
      </c>
      <c r="I4062">
        <v>1042</v>
      </c>
      <c r="J4062">
        <f>GC03/202.6</f>
        <v>0</v>
      </c>
      <c r="M4062" t="inlineStr">
        <is>
          <t>-202K66.4</t>
        </is>
      </c>
    </row>
    <row r="4063">
      <c r="A4063">
        <v>4062</v>
      </c>
      <c r="B4063">
        <f>GC03</f>
        <v>0</v>
      </c>
      <c r="C4063" t="inlineStr">
        <is>
          <t>+LS4</t>
        </is>
      </c>
      <c r="D4063" t="inlineStr">
        <is>
          <t>-202K66.5</t>
        </is>
      </c>
      <c r="E4063" t="inlineStr">
        <is>
          <t>DIL_EM-10-G</t>
        </is>
      </c>
      <c r="F4063" t="inlineStr">
        <is>
          <t>#KALK!</t>
        </is>
      </c>
      <c r="G4063" t="inlineStr">
        <is>
          <t>LASTSCHUETZ</t>
        </is>
      </c>
      <c r="H4063" t="inlineStr">
        <is>
          <t>4kW 1S</t>
        </is>
      </c>
      <c r="I4063">
        <v>1042</v>
      </c>
      <c r="J4063">
        <f>GC03/202.6</f>
        <v>0</v>
      </c>
      <c r="M4063" t="inlineStr">
        <is>
          <t>-202K66.5</t>
        </is>
      </c>
    </row>
    <row r="4064">
      <c r="A4064">
        <v>4063</v>
      </c>
      <c r="B4064">
        <f>GS25</f>
        <v>0</v>
      </c>
      <c r="C4064" t="inlineStr">
        <is>
          <t>+LS4</t>
        </is>
      </c>
      <c r="D4064" t="inlineStr">
        <is>
          <t>-202K70.6</t>
        </is>
      </c>
      <c r="E4064" t="inlineStr">
        <is>
          <t>DIL_EM-10-G</t>
        </is>
      </c>
      <c r="F4064" t="inlineStr">
        <is>
          <t>#KALK!</t>
        </is>
      </c>
      <c r="G4064" t="inlineStr">
        <is>
          <t>LASTSCHUETZ</t>
        </is>
      </c>
      <c r="H4064" t="inlineStr">
        <is>
          <t>4kW 1S</t>
        </is>
      </c>
      <c r="I4064">
        <v>323</v>
      </c>
      <c r="J4064">
        <f>GS25/202.6</f>
        <v>0</v>
      </c>
      <c r="M4064" t="inlineStr">
        <is>
          <t>-202K70.6</t>
        </is>
      </c>
    </row>
    <row r="4065">
      <c r="A4065">
        <v>4064</v>
      </c>
      <c r="B4065">
        <f>GS38</f>
        <v>0</v>
      </c>
      <c r="C4065" t="inlineStr">
        <is>
          <t>+LS03</t>
        </is>
      </c>
      <c r="D4065" t="inlineStr">
        <is>
          <t>-202K723.2</t>
        </is>
      </c>
      <c r="E4065" t="inlineStr">
        <is>
          <t>DILA-22</t>
        </is>
      </c>
      <c r="F4065" t="inlineStr">
        <is>
          <t>#KALK!</t>
        </is>
      </c>
      <c r="G4065" t="inlineStr">
        <is>
          <t>HILFSSCHUETZ</t>
        </is>
      </c>
      <c r="H4065" t="inlineStr">
        <is>
          <t>2S 2Oe Federzugkl.</t>
        </is>
      </c>
      <c r="I4065">
        <v>331</v>
      </c>
      <c r="J4065">
        <f>GS38/202.6</f>
        <v>0</v>
      </c>
      <c r="M4065" t="inlineStr">
        <is>
          <t>-202K723.2</t>
        </is>
      </c>
    </row>
    <row r="4066">
      <c r="A4066">
        <v>4065</v>
      </c>
      <c r="B4066">
        <f>GS39</f>
        <v>0</v>
      </c>
      <c r="C4066" t="inlineStr">
        <is>
          <t>+LS03</t>
        </is>
      </c>
      <c r="D4066" t="inlineStr">
        <is>
          <t>-202K723.2</t>
        </is>
      </c>
      <c r="E4066" t="inlineStr">
        <is>
          <t>DILA-22</t>
        </is>
      </c>
      <c r="F4066" t="inlineStr">
        <is>
          <t>#KALK!</t>
        </is>
      </c>
      <c r="G4066" t="inlineStr">
        <is>
          <t>HILFSSCHUETZ</t>
        </is>
      </c>
      <c r="H4066" t="inlineStr">
        <is>
          <t>2S 2Oe Federzugkl.</t>
        </is>
      </c>
      <c r="I4066">
        <v>397</v>
      </c>
      <c r="J4066">
        <f>GS39/202.6</f>
        <v>0</v>
      </c>
      <c r="M4066" t="inlineStr">
        <is>
          <t>-202K723.2</t>
        </is>
      </c>
    </row>
    <row r="4067">
      <c r="A4067">
        <v>4066</v>
      </c>
      <c r="B4067">
        <f>GS24</f>
        <v>0</v>
      </c>
      <c r="C4067" t="inlineStr">
        <is>
          <t>+LS4</t>
        </is>
      </c>
      <c r="D4067" t="inlineStr">
        <is>
          <t>-202K76.1</t>
        </is>
      </c>
      <c r="E4067" t="inlineStr">
        <is>
          <t>DIL_EM-10-G</t>
        </is>
      </c>
      <c r="F4067" t="inlineStr">
        <is>
          <t>#KALK!</t>
        </is>
      </c>
      <c r="G4067" t="inlineStr">
        <is>
          <t>LASTSCHUETZ</t>
        </is>
      </c>
      <c r="H4067" t="inlineStr">
        <is>
          <t>4kW 1S</t>
        </is>
      </c>
      <c r="I4067">
        <v>877</v>
      </c>
      <c r="J4067">
        <f>GS24/202.5</f>
        <v>0</v>
      </c>
      <c r="M4067" t="inlineStr">
        <is>
          <t>-202K76.1</t>
        </is>
      </c>
    </row>
    <row r="4068">
      <c r="A4068">
        <v>4067</v>
      </c>
      <c r="B4068">
        <f>GS24</f>
        <v>0</v>
      </c>
      <c r="C4068" t="inlineStr">
        <is>
          <t>+LS4</t>
        </is>
      </c>
      <c r="D4068" t="inlineStr">
        <is>
          <t>-202K76.2</t>
        </is>
      </c>
      <c r="E4068" t="inlineStr">
        <is>
          <t>DIL_EM-10-G</t>
        </is>
      </c>
      <c r="F4068" t="inlineStr">
        <is>
          <t>#KALK!</t>
        </is>
      </c>
      <c r="G4068" t="inlineStr">
        <is>
          <t>LASTSCHUETZ</t>
        </is>
      </c>
      <c r="H4068" t="inlineStr">
        <is>
          <t>4kW 1S</t>
        </is>
      </c>
      <c r="I4068">
        <v>877</v>
      </c>
      <c r="J4068">
        <f>GS24/202.6</f>
        <v>0</v>
      </c>
      <c r="M4068" t="inlineStr">
        <is>
          <t>-202K76.2</t>
        </is>
      </c>
    </row>
    <row r="4069">
      <c r="A4069">
        <v>4068</v>
      </c>
      <c r="B4069">
        <f>GS24</f>
        <v>0</v>
      </c>
      <c r="C4069" t="inlineStr">
        <is>
          <t>+LS4</t>
        </is>
      </c>
      <c r="D4069" t="inlineStr">
        <is>
          <t>-202K76.3</t>
        </is>
      </c>
      <c r="E4069" t="inlineStr">
        <is>
          <t>DIL_EM-01-G</t>
        </is>
      </c>
      <c r="F4069" t="inlineStr">
        <is>
          <t>#KALK!</t>
        </is>
      </c>
      <c r="G4069" t="inlineStr">
        <is>
          <t>LASTSCHUETZ</t>
        </is>
      </c>
      <c r="H4069" t="inlineStr">
        <is>
          <t>4kW 1OE</t>
        </is>
      </c>
      <c r="I4069">
        <v>877</v>
      </c>
      <c r="J4069">
        <f>GS24/202.7</f>
        <v>0</v>
      </c>
      <c r="M4069" t="inlineStr">
        <is>
          <t>-202K76.3</t>
        </is>
      </c>
    </row>
    <row r="4070">
      <c r="A4070">
        <v>4069</v>
      </c>
      <c r="B4070">
        <f>GS24</f>
        <v>0</v>
      </c>
      <c r="C4070" t="inlineStr">
        <is>
          <t>+LS4</t>
        </is>
      </c>
      <c r="D4070" t="inlineStr">
        <is>
          <t>-202K76.4</t>
        </is>
      </c>
      <c r="E4070" t="inlineStr">
        <is>
          <t>DIL_EM-01-G</t>
        </is>
      </c>
      <c r="F4070" t="inlineStr">
        <is>
          <t>#KALK!</t>
        </is>
      </c>
      <c r="G4070" t="inlineStr">
        <is>
          <t>LASTSCHUETZ</t>
        </is>
      </c>
      <c r="H4070" t="inlineStr">
        <is>
          <t>4kW 1OE</t>
        </is>
      </c>
      <c r="I4070">
        <v>877</v>
      </c>
      <c r="J4070">
        <f>GS24/202.8</f>
        <v>0</v>
      </c>
      <c r="M4070" t="inlineStr">
        <is>
          <t>-202K76.4</t>
        </is>
      </c>
    </row>
    <row r="4071">
      <c r="A4071">
        <v>4070</v>
      </c>
      <c r="B4071">
        <f>GS53</f>
        <v>0</v>
      </c>
      <c r="C4071" t="inlineStr">
        <is>
          <t>+LS[p1]</t>
        </is>
      </c>
      <c r="D4071" t="inlineStr">
        <is>
          <t>-202Q[a+5].2</t>
        </is>
      </c>
      <c r="E4071" t="inlineStr">
        <is>
          <t>DILM-9-10</t>
        </is>
      </c>
      <c r="F4071" t="inlineStr">
        <is>
          <t>#KALK!</t>
        </is>
      </c>
      <c r="G4071" t="inlineStr">
        <is>
          <t>LASTSCHUETZ</t>
        </is>
      </c>
      <c r="H4071" t="inlineStr">
        <is>
          <t>4kW 1S Federzugkl.</t>
        </is>
      </c>
      <c r="I4071">
        <v>184</v>
      </c>
      <c r="J4071">
        <f>GS53/202.6</f>
        <v>0</v>
      </c>
      <c r="K4071" t="inlineStr">
        <is>
          <t>DIL MC9</t>
        </is>
      </c>
      <c r="M4071" t="inlineStr">
        <is>
          <t>-202Q[a+5].2</t>
        </is>
      </c>
    </row>
    <row r="4072">
      <c r="A4072">
        <v>4071</v>
      </c>
      <c r="B4072">
        <f>GS38</f>
        <v>0</v>
      </c>
      <c r="C4072" t="inlineStr">
        <is>
          <t>+LS03</t>
        </is>
      </c>
      <c r="D4072" t="inlineStr">
        <is>
          <t>-202Q723.1</t>
        </is>
      </c>
      <c r="E4072" t="inlineStr">
        <is>
          <t>DILM-9-10</t>
        </is>
      </c>
      <c r="F4072" t="inlineStr">
        <is>
          <t>DILA-XHI22</t>
        </is>
      </c>
      <c r="G4072" t="inlineStr">
        <is>
          <t>LASTSCHUETZ</t>
        </is>
      </c>
      <c r="H4072" t="inlineStr">
        <is>
          <t>4kW 1S Federzugkl.</t>
        </is>
      </c>
      <c r="I4072">
        <v>331</v>
      </c>
      <c r="J4072">
        <f>GS38/202.5</f>
        <v>0</v>
      </c>
      <c r="M4072" t="inlineStr">
        <is>
          <t>-202Q723.1</t>
        </is>
      </c>
    </row>
    <row r="4073">
      <c r="A4073">
        <v>4072</v>
      </c>
      <c r="B4073">
        <f>GS38</f>
        <v>0</v>
      </c>
      <c r="C4073" t="inlineStr">
        <is>
          <t>+LS03</t>
        </is>
      </c>
      <c r="D4073" t="inlineStr">
        <is>
          <t>-202Q723.1</t>
        </is>
      </c>
      <c r="E4073" t="inlineStr">
        <is>
          <t>DILA-XHI22</t>
        </is>
      </c>
      <c r="F4073" t="inlineStr">
        <is>
          <t>DILA-XHI22</t>
        </is>
      </c>
      <c r="G4073" t="inlineStr">
        <is>
          <t>HILFSKONTAKTBLOCK</t>
        </is>
      </c>
      <c r="H4073" t="inlineStr">
        <is>
          <t>2S 2OE Last+Hilfssch. Cage</t>
        </is>
      </c>
      <c r="I4073">
        <v>331</v>
      </c>
      <c r="J4073">
        <f>GS38/202.5</f>
        <v>0</v>
      </c>
      <c r="M4073" t="inlineStr">
        <is>
          <t>-202Q723.1</t>
        </is>
      </c>
    </row>
    <row r="4074">
      <c r="A4074">
        <v>4073</v>
      </c>
      <c r="B4074">
        <f>GS39</f>
        <v>0</v>
      </c>
      <c r="C4074" t="inlineStr">
        <is>
          <t>+LS03</t>
        </is>
      </c>
      <c r="D4074" t="inlineStr">
        <is>
          <t>-202Q723.1</t>
        </is>
      </c>
      <c r="E4074" t="inlineStr">
        <is>
          <t>DILM-9-10</t>
        </is>
      </c>
      <c r="F4074" t="inlineStr">
        <is>
          <t>DILA-XHI22</t>
        </is>
      </c>
      <c r="G4074" t="inlineStr">
        <is>
          <t>LASTSCHUETZ</t>
        </is>
      </c>
      <c r="H4074" t="inlineStr">
        <is>
          <t>4kW 1S Federzugkl.</t>
        </is>
      </c>
      <c r="I4074">
        <v>397</v>
      </c>
      <c r="J4074">
        <f>GS39/202.5</f>
        <v>0</v>
      </c>
      <c r="M4074" t="inlineStr">
        <is>
          <t>-202Q723.1</t>
        </is>
      </c>
    </row>
    <row r="4075">
      <c r="A4075">
        <v>4074</v>
      </c>
      <c r="B4075">
        <f>GS39</f>
        <v>0</v>
      </c>
      <c r="C4075" t="inlineStr">
        <is>
          <t>+LS03</t>
        </is>
      </c>
      <c r="D4075" t="inlineStr">
        <is>
          <t>-202Q723.1</t>
        </is>
      </c>
      <c r="E4075" t="inlineStr">
        <is>
          <t>DILA-XHI22</t>
        </is>
      </c>
      <c r="F4075" t="inlineStr">
        <is>
          <t>DILA-XHI22</t>
        </is>
      </c>
      <c r="G4075" t="inlineStr">
        <is>
          <t>HILFSKONTAKTBLOCK</t>
        </is>
      </c>
      <c r="H4075" t="inlineStr">
        <is>
          <t>2S 2OE Last+Hilfssch. Cage</t>
        </is>
      </c>
      <c r="I4075">
        <v>397</v>
      </c>
      <c r="J4075">
        <f>GS39/202.5</f>
        <v>0</v>
      </c>
      <c r="M4075" t="inlineStr">
        <is>
          <t>-202Q723.1</t>
        </is>
      </c>
    </row>
    <row r="4076">
      <c r="A4076">
        <v>4075</v>
      </c>
      <c r="B4076">
        <f>GS55</f>
        <v>0</v>
      </c>
      <c r="C4076" t="inlineStr">
        <is>
          <t>+LS33</t>
        </is>
      </c>
      <c r="D4076" t="inlineStr">
        <is>
          <t>-2035K1</t>
        </is>
      </c>
      <c r="E4076" t="inlineStr">
        <is>
          <t>DILA-22</t>
        </is>
      </c>
      <c r="F4076" t="inlineStr">
        <is>
          <t>#KALK!</t>
        </is>
      </c>
      <c r="G4076" t="inlineStr">
        <is>
          <t>HILFSSCHUETZ</t>
        </is>
      </c>
      <c r="H4076" t="inlineStr">
        <is>
          <t>2S 2Oe Federzugkl.</t>
        </is>
      </c>
      <c r="I4076">
        <v>2205</v>
      </c>
      <c r="J4076">
        <f>GS55/2035.7</f>
        <v>0</v>
      </c>
      <c r="M4076" t="inlineStr">
        <is>
          <t>-2035K1</t>
        </is>
      </c>
    </row>
    <row r="4077">
      <c r="A4077">
        <v>4076</v>
      </c>
      <c r="B4077">
        <f>GS55</f>
        <v>0</v>
      </c>
      <c r="C4077" t="inlineStr">
        <is>
          <t>+LS33</t>
        </is>
      </c>
      <c r="D4077" t="inlineStr">
        <is>
          <t>-2035Q1</t>
        </is>
      </c>
      <c r="E4077" t="inlineStr">
        <is>
          <t>DILM150-XHIC22</t>
        </is>
      </c>
      <c r="F4077" t="inlineStr">
        <is>
          <t>DILM150-XHIC22</t>
        </is>
      </c>
      <c r="G4077" t="inlineStr">
        <is>
          <t>HILFSKONTAKTBLOCK</t>
        </is>
      </c>
      <c r="H4077" t="inlineStr">
        <is>
          <t>2S 2OE ab DILMC40</t>
        </is>
      </c>
      <c r="I4077">
        <v>2205</v>
      </c>
      <c r="J4077">
        <f>GS55/2035.6</f>
        <v>0</v>
      </c>
      <c r="K4077" t="inlineStr">
        <is>
          <t>DIL MC40</t>
        </is>
      </c>
      <c r="M4077" t="inlineStr">
        <is>
          <t>-2035Q1</t>
        </is>
      </c>
    </row>
    <row r="4078">
      <c r="A4078">
        <v>4077</v>
      </c>
      <c r="B4078">
        <f>GS55</f>
        <v>0</v>
      </c>
      <c r="C4078" t="inlineStr">
        <is>
          <t>+LS33</t>
        </is>
      </c>
      <c r="D4078" t="inlineStr">
        <is>
          <t>-2035Q1</t>
        </is>
      </c>
      <c r="E4078" t="inlineStr">
        <is>
          <t>DILMC40(RDC24)</t>
        </is>
      </c>
      <c r="F4078" t="inlineStr">
        <is>
          <t>DILM150-XHIC22</t>
        </is>
      </c>
      <c r="G4078" t="inlineStr">
        <is>
          <t>LASTSCHUETZ</t>
        </is>
      </c>
      <c r="H4078" t="inlineStr">
        <is>
          <t>18,5kW Federzugkl.</t>
        </is>
      </c>
      <c r="I4078">
        <v>2205</v>
      </c>
      <c r="J4078">
        <f>GS55/2035.6</f>
        <v>0</v>
      </c>
      <c r="K4078" t="inlineStr">
        <is>
          <t>DIL MC40</t>
        </is>
      </c>
      <c r="M4078" t="inlineStr">
        <is>
          <t>-2035Q1</t>
        </is>
      </c>
    </row>
    <row r="4079">
      <c r="A4079">
        <v>4078</v>
      </c>
      <c r="B4079">
        <f>GS55</f>
        <v>0</v>
      </c>
      <c r="C4079" t="inlineStr">
        <is>
          <t>+LS33</t>
        </is>
      </c>
      <c r="D4079" t="inlineStr">
        <is>
          <t>-2037Q1313.1</t>
        </is>
      </c>
      <c r="E4079" t="inlineStr">
        <is>
          <t>DILM-9-10</t>
        </is>
      </c>
      <c r="F4079" t="inlineStr">
        <is>
          <t>#KALK!</t>
        </is>
      </c>
      <c r="G4079" t="inlineStr">
        <is>
          <t>LASTSCHUETZ</t>
        </is>
      </c>
      <c r="H4079" t="inlineStr">
        <is>
          <t>4kW 1S Federzugkl.</t>
        </is>
      </c>
      <c r="I4079">
        <v>2207</v>
      </c>
      <c r="J4079">
        <f>GS55/2037.5</f>
        <v>0</v>
      </c>
      <c r="M4079" t="inlineStr">
        <is>
          <t>-2037Q1313.1</t>
        </is>
      </c>
    </row>
    <row r="4080">
      <c r="A4080">
        <v>4079</v>
      </c>
      <c r="B4080">
        <f>GS55</f>
        <v>0</v>
      </c>
      <c r="C4080" t="inlineStr">
        <is>
          <t>+LS33</t>
        </is>
      </c>
      <c r="D4080" t="inlineStr">
        <is>
          <t>-2039Q1312.3</t>
        </is>
      </c>
      <c r="E4080" t="inlineStr">
        <is>
          <t>DILM-9-10</t>
        </is>
      </c>
      <c r="F4080" t="inlineStr">
        <is>
          <t>#KALK!</t>
        </is>
      </c>
      <c r="G4080" t="inlineStr">
        <is>
          <t>LASTSCHUETZ</t>
        </is>
      </c>
      <c r="H4080" t="inlineStr">
        <is>
          <t>4kW 1S Federzugkl.</t>
        </is>
      </c>
      <c r="I4080">
        <v>2209</v>
      </c>
      <c r="J4080">
        <f>GS55/2039.4</f>
        <v>0</v>
      </c>
      <c r="M4080" t="inlineStr">
        <is>
          <t>-2039Q1312.3</t>
        </is>
      </c>
    </row>
    <row r="4081">
      <c r="A4081">
        <v>4080</v>
      </c>
      <c r="B4081">
        <f>GS11</f>
        <v>0</v>
      </c>
      <c r="C4081" t="inlineStr">
        <is>
          <t>+LS5</t>
        </is>
      </c>
      <c r="D4081" t="inlineStr">
        <is>
          <t>-203K1</t>
        </is>
      </c>
      <c r="E4081" t="inlineStr">
        <is>
          <t>22_DIL-M</t>
        </is>
      </c>
      <c r="F4081" t="inlineStr">
        <is>
          <t>22_DIL-M</t>
        </is>
      </c>
      <c r="G4081" t="inlineStr">
        <is>
          <t>HILFSKONTAKTBLOCK</t>
        </is>
      </c>
      <c r="H4081" t="inlineStr">
        <is>
          <t>2S 2OE Lastschuetz DIL M</t>
        </is>
      </c>
      <c r="I4081">
        <v>314</v>
      </c>
      <c r="J4081">
        <f>GS11/203.2</f>
        <v>0</v>
      </c>
      <c r="K4081" t="inlineStr">
        <is>
          <t>DIL0AM</t>
        </is>
      </c>
      <c r="M4081" t="inlineStr">
        <is>
          <t>-203K1</t>
        </is>
      </c>
    </row>
    <row r="4082">
      <c r="A4082">
        <v>4081</v>
      </c>
      <c r="B4082">
        <f>GS11</f>
        <v>0</v>
      </c>
      <c r="C4082" t="inlineStr">
        <is>
          <t>+LS5</t>
        </is>
      </c>
      <c r="D4082" t="inlineStr">
        <is>
          <t>-203K1</t>
        </is>
      </c>
      <c r="E4082" t="inlineStr">
        <is>
          <t>DIL_0AM</t>
        </is>
      </c>
      <c r="F4082" t="inlineStr">
        <is>
          <t>22_DIL-M</t>
        </is>
      </c>
      <c r="G4082" t="inlineStr">
        <is>
          <t>LASTSCHUETZ</t>
        </is>
      </c>
      <c r="H4082" t="inlineStr">
        <is>
          <t>11 kW</t>
        </is>
      </c>
      <c r="I4082">
        <v>314</v>
      </c>
      <c r="J4082">
        <f>GS11/203.2</f>
        <v>0</v>
      </c>
      <c r="K4082" t="inlineStr">
        <is>
          <t>DIL0AM</t>
        </is>
      </c>
      <c r="M4082" t="inlineStr">
        <is>
          <t>-203K1</t>
        </is>
      </c>
    </row>
    <row r="4083">
      <c r="A4083">
        <v>4082</v>
      </c>
      <c r="B4083">
        <f>GS16</f>
        <v>0</v>
      </c>
      <c r="C4083" t="inlineStr">
        <is>
          <t>+LS4</t>
        </is>
      </c>
      <c r="D4083" t="inlineStr">
        <is>
          <t>-203K1</t>
        </is>
      </c>
      <c r="E4083" t="inlineStr">
        <is>
          <t>DIL_EM-10-G</t>
        </is>
      </c>
      <c r="F4083" t="inlineStr">
        <is>
          <t>#KALK!</t>
        </is>
      </c>
      <c r="G4083" t="inlineStr">
        <is>
          <t>LASTSCHUETZ</t>
        </is>
      </c>
      <c r="H4083" t="inlineStr">
        <is>
          <t>4kW 1S</t>
        </is>
      </c>
      <c r="I4083">
        <v>427</v>
      </c>
      <c r="J4083">
        <f>GS16/203.5</f>
        <v>0</v>
      </c>
      <c r="M4083" t="inlineStr">
        <is>
          <t>-203K1</t>
        </is>
      </c>
    </row>
    <row r="4084">
      <c r="A4084">
        <v>4083</v>
      </c>
      <c r="B4084">
        <f>GS21</f>
        <v>0</v>
      </c>
      <c r="C4084" t="inlineStr">
        <is>
          <t>+LS5</t>
        </is>
      </c>
      <c r="D4084" t="inlineStr">
        <is>
          <t>-203K1</t>
        </is>
      </c>
      <c r="E4084" t="inlineStr">
        <is>
          <t>DIL_0AM</t>
        </is>
      </c>
      <c r="F4084" t="inlineStr">
        <is>
          <t>22_DIL-M</t>
        </is>
      </c>
      <c r="G4084" t="inlineStr">
        <is>
          <t>LASTSCHUETZ</t>
        </is>
      </c>
      <c r="H4084" t="inlineStr">
        <is>
          <t>11 kW</t>
        </is>
      </c>
      <c r="I4084">
        <v>288</v>
      </c>
      <c r="J4084">
        <f>GS21/203.2</f>
        <v>0</v>
      </c>
      <c r="K4084" t="inlineStr">
        <is>
          <t>DIL0AM</t>
        </is>
      </c>
      <c r="M4084" t="inlineStr">
        <is>
          <t>-203K1</t>
        </is>
      </c>
    </row>
    <row r="4085">
      <c r="A4085">
        <v>4084</v>
      </c>
      <c r="B4085">
        <f>GS21</f>
        <v>0</v>
      </c>
      <c r="C4085" t="inlineStr">
        <is>
          <t>+LS5</t>
        </is>
      </c>
      <c r="D4085" t="inlineStr">
        <is>
          <t>-203K1</t>
        </is>
      </c>
      <c r="E4085" t="inlineStr">
        <is>
          <t>22_DIL-M</t>
        </is>
      </c>
      <c r="F4085" t="inlineStr">
        <is>
          <t>22_DIL-M</t>
        </is>
      </c>
      <c r="G4085" t="inlineStr">
        <is>
          <t>HILFSKONTAKTBLOCK</t>
        </is>
      </c>
      <c r="H4085" t="inlineStr">
        <is>
          <t>2S 2OE Lastschuetz DIL M</t>
        </is>
      </c>
      <c r="I4085">
        <v>288</v>
      </c>
      <c r="J4085">
        <f>GS21/203.2</f>
        <v>0</v>
      </c>
      <c r="K4085" t="inlineStr">
        <is>
          <t>DIL0AM</t>
        </is>
      </c>
      <c r="M4085" t="inlineStr">
        <is>
          <t>-203K1</t>
        </is>
      </c>
    </row>
    <row r="4086">
      <c r="A4086">
        <v>4085</v>
      </c>
      <c r="B4086">
        <f>GS02</f>
        <v>0</v>
      </c>
      <c r="C4086" t="inlineStr">
        <is>
          <t>+LS3</t>
        </is>
      </c>
      <c r="D4086" t="inlineStr">
        <is>
          <t>-203K32.7</t>
        </is>
      </c>
      <c r="E4086" t="inlineStr">
        <is>
          <t>DIL_EM-10-G</t>
        </is>
      </c>
      <c r="F4086" t="inlineStr">
        <is>
          <t>#KALK!</t>
        </is>
      </c>
      <c r="G4086" t="inlineStr">
        <is>
          <t>LASTSCHUETZ</t>
        </is>
      </c>
      <c r="H4086" t="inlineStr">
        <is>
          <t>4kW 1S</t>
        </is>
      </c>
      <c r="I4086">
        <v>607</v>
      </c>
      <c r="J4086">
        <f>GS02/203.7</f>
        <v>0</v>
      </c>
      <c r="M4086" t="inlineStr">
        <is>
          <t>-203K32.7</t>
        </is>
      </c>
    </row>
    <row r="4087">
      <c r="A4087">
        <v>4086</v>
      </c>
      <c r="B4087">
        <f>GS04</f>
        <v>0</v>
      </c>
      <c r="C4087" t="inlineStr">
        <is>
          <t>+LS4</t>
        </is>
      </c>
      <c r="D4087" t="inlineStr">
        <is>
          <t>-203K44.1</t>
        </is>
      </c>
      <c r="E4087" t="inlineStr">
        <is>
          <t>DIL_EM-10-G</t>
        </is>
      </c>
      <c r="F4087" t="inlineStr">
        <is>
          <t>#KALK!</t>
        </is>
      </c>
      <c r="G4087" t="inlineStr">
        <is>
          <t>LASTSCHUETZ</t>
        </is>
      </c>
      <c r="H4087" t="inlineStr">
        <is>
          <t>4kW 1S</t>
        </is>
      </c>
      <c r="I4087">
        <v>453</v>
      </c>
      <c r="J4087">
        <f>GS04/203.7</f>
        <v>0</v>
      </c>
      <c r="M4087" t="inlineStr">
        <is>
          <t>-203K44.1</t>
        </is>
      </c>
    </row>
    <row r="4088">
      <c r="A4088">
        <v>4087</v>
      </c>
      <c r="B4088">
        <f>GS91</f>
        <v>0</v>
      </c>
      <c r="C4088" t="inlineStr">
        <is>
          <t>+LS02</t>
        </is>
      </c>
      <c r="D4088" t="inlineStr">
        <is>
          <t>-203K451.0</t>
        </is>
      </c>
      <c r="E4088" t="inlineStr">
        <is>
          <t>DILA-40</t>
        </is>
      </c>
      <c r="F4088" t="inlineStr">
        <is>
          <t>#KALK!</t>
        </is>
      </c>
      <c r="G4088" t="inlineStr">
        <is>
          <t>HILFSSCHUETZ</t>
        </is>
      </c>
      <c r="H4088" t="inlineStr">
        <is>
          <t>4S Federzugkl.</t>
        </is>
      </c>
      <c r="I4088">
        <v>311</v>
      </c>
      <c r="J4088">
        <f>GS91/203.7</f>
        <v>0</v>
      </c>
      <c r="M4088" t="inlineStr">
        <is>
          <t>-203K451.0</t>
        </is>
      </c>
    </row>
    <row r="4089">
      <c r="A4089">
        <v>4088</v>
      </c>
      <c r="B4089">
        <f>GS62</f>
        <v>0</v>
      </c>
      <c r="C4089" t="inlineStr">
        <is>
          <t>+LS1</t>
        </is>
      </c>
      <c r="D4089" t="inlineStr">
        <is>
          <t>-203K57.7</t>
        </is>
      </c>
      <c r="E4089" t="inlineStr">
        <is>
          <t>DIL_EM-10-G</t>
        </is>
      </c>
      <c r="F4089" t="inlineStr">
        <is>
          <t>#KALK!</t>
        </is>
      </c>
      <c r="G4089" t="inlineStr">
        <is>
          <t>LASTSCHUETZ</t>
        </is>
      </c>
      <c r="H4089" t="inlineStr">
        <is>
          <t>4kW 1S</t>
        </is>
      </c>
      <c r="I4089">
        <v>157</v>
      </c>
      <c r="J4089">
        <f>GS62/203.6</f>
        <v>0</v>
      </c>
      <c r="M4089" t="inlineStr">
        <is>
          <t>-203K57.7</t>
        </is>
      </c>
    </row>
    <row r="4090">
      <c r="A4090">
        <v>4089</v>
      </c>
      <c r="B4090">
        <f>GS62</f>
        <v>0</v>
      </c>
      <c r="C4090" t="inlineStr">
        <is>
          <t>+LS1</t>
        </is>
      </c>
      <c r="D4090" t="inlineStr">
        <is>
          <t>-203K58.0</t>
        </is>
      </c>
      <c r="E4090" t="inlineStr">
        <is>
          <t>DIL_EM-10-G</t>
        </is>
      </c>
      <c r="F4090" t="inlineStr">
        <is>
          <t>#KALK!</t>
        </is>
      </c>
      <c r="G4090" t="inlineStr">
        <is>
          <t>LASTSCHUETZ</t>
        </is>
      </c>
      <c r="H4090" t="inlineStr">
        <is>
          <t>4kW 1S</t>
        </is>
      </c>
      <c r="I4090">
        <v>157</v>
      </c>
      <c r="J4090">
        <f>GS62/203.6</f>
        <v>0</v>
      </c>
      <c r="M4090" t="inlineStr">
        <is>
          <t>-203K58.0</t>
        </is>
      </c>
    </row>
    <row r="4091">
      <c r="A4091">
        <v>4090</v>
      </c>
      <c r="B4091">
        <f>GC03</f>
        <v>0</v>
      </c>
      <c r="C4091" t="inlineStr">
        <is>
          <t>+LS4</t>
        </is>
      </c>
      <c r="D4091" t="inlineStr">
        <is>
          <t>-203K66.6</t>
        </is>
      </c>
      <c r="E4091" t="inlineStr">
        <is>
          <t>DIL_EM-10-G</t>
        </is>
      </c>
      <c r="F4091" t="inlineStr">
        <is>
          <t>#KALK!</t>
        </is>
      </c>
      <c r="G4091" t="inlineStr">
        <is>
          <t>LASTSCHUETZ</t>
        </is>
      </c>
      <c r="H4091" t="inlineStr">
        <is>
          <t>4kW 1S</t>
        </is>
      </c>
      <c r="I4091">
        <v>708</v>
      </c>
      <c r="J4091">
        <f>GC03/203.6</f>
        <v>0</v>
      </c>
      <c r="M4091" t="inlineStr">
        <is>
          <t>-203K66.6</t>
        </is>
      </c>
    </row>
    <row r="4092">
      <c r="A4092">
        <v>4091</v>
      </c>
      <c r="B4092">
        <f>GC03</f>
        <v>0</v>
      </c>
      <c r="C4092" t="inlineStr">
        <is>
          <t>+LS4</t>
        </is>
      </c>
      <c r="D4092" t="inlineStr">
        <is>
          <t>-203K66.7</t>
        </is>
      </c>
      <c r="E4092" t="inlineStr">
        <is>
          <t>DIL_EM-10-G</t>
        </is>
      </c>
      <c r="F4092" t="inlineStr">
        <is>
          <t>#KALK!</t>
        </is>
      </c>
      <c r="G4092" t="inlineStr">
        <is>
          <t>LASTSCHUETZ</t>
        </is>
      </c>
      <c r="H4092" t="inlineStr">
        <is>
          <t>4kW 1S</t>
        </is>
      </c>
      <c r="I4092">
        <v>708</v>
      </c>
      <c r="J4092">
        <f>GC03/203.6</f>
        <v>0</v>
      </c>
      <c r="M4092" t="inlineStr">
        <is>
          <t>-203K66.7</t>
        </is>
      </c>
    </row>
    <row r="4093">
      <c r="A4093">
        <v>4092</v>
      </c>
      <c r="B4093">
        <f>GS25</f>
        <v>0</v>
      </c>
      <c r="C4093" t="inlineStr">
        <is>
          <t>+LS4</t>
        </is>
      </c>
      <c r="D4093" t="inlineStr">
        <is>
          <t>-203K71.2</t>
        </is>
      </c>
      <c r="E4093" t="inlineStr">
        <is>
          <t>DIL_EM-10-G</t>
        </is>
      </c>
      <c r="F4093" t="inlineStr">
        <is>
          <t>#KALK!</t>
        </is>
      </c>
      <c r="G4093" t="inlineStr">
        <is>
          <t>LASTSCHUETZ</t>
        </is>
      </c>
      <c r="H4093" t="inlineStr">
        <is>
          <t>4kW 1S</t>
        </is>
      </c>
      <c r="I4093">
        <v>324</v>
      </c>
      <c r="J4093">
        <f>GS25/203.7</f>
        <v>0</v>
      </c>
      <c r="M4093" t="inlineStr">
        <is>
          <t>-203K71.2</t>
        </is>
      </c>
    </row>
    <row r="4094">
      <c r="A4094">
        <v>4093</v>
      </c>
      <c r="B4094">
        <f>GS24</f>
        <v>0</v>
      </c>
      <c r="C4094" t="inlineStr">
        <is>
          <t>+LS4</t>
        </is>
      </c>
      <c r="D4094" t="inlineStr">
        <is>
          <t>-203K76.5</t>
        </is>
      </c>
      <c r="E4094" t="inlineStr">
        <is>
          <t>DIL_EM-10-G</t>
        </is>
      </c>
      <c r="F4094" t="inlineStr">
        <is>
          <t>#KALK!</t>
        </is>
      </c>
      <c r="G4094" t="inlineStr">
        <is>
          <t>LASTSCHUETZ</t>
        </is>
      </c>
      <c r="H4094" t="inlineStr">
        <is>
          <t>4kW 1S</t>
        </is>
      </c>
      <c r="I4094">
        <v>876</v>
      </c>
      <c r="J4094">
        <f>GS24/203.6</f>
        <v>0</v>
      </c>
      <c r="M4094" t="inlineStr">
        <is>
          <t>-203K76.5</t>
        </is>
      </c>
    </row>
    <row r="4095">
      <c r="A4095">
        <v>4094</v>
      </c>
      <c r="B4095">
        <f>GS24</f>
        <v>0</v>
      </c>
      <c r="C4095" t="inlineStr">
        <is>
          <t>+LS4</t>
        </is>
      </c>
      <c r="D4095" t="inlineStr">
        <is>
          <t>-203K76.6</t>
        </is>
      </c>
      <c r="E4095" t="inlineStr">
        <is>
          <t>DIL_EM-10-G</t>
        </is>
      </c>
      <c r="F4095" t="inlineStr">
        <is>
          <t>#KALK!</t>
        </is>
      </c>
      <c r="G4095" t="inlineStr">
        <is>
          <t>LASTSCHUETZ</t>
        </is>
      </c>
      <c r="H4095" t="inlineStr">
        <is>
          <t>4kW 1S</t>
        </is>
      </c>
      <c r="I4095">
        <v>876</v>
      </c>
      <c r="J4095">
        <f>GS24/203.6</f>
        <v>0</v>
      </c>
      <c r="M4095" t="inlineStr">
        <is>
          <t>-203K76.6</t>
        </is>
      </c>
    </row>
    <row r="4096">
      <c r="A4096">
        <v>4095</v>
      </c>
      <c r="B4096">
        <f>GS91</f>
        <v>0</v>
      </c>
      <c r="C4096" t="inlineStr">
        <is>
          <t>+LS02</t>
        </is>
      </c>
      <c r="D4096" t="inlineStr">
        <is>
          <t>-203Q1</t>
        </is>
      </c>
      <c r="E4096" t="inlineStr">
        <is>
          <t>DILA-XHI22</t>
        </is>
      </c>
      <c r="F4096" t="inlineStr">
        <is>
          <t>DILA-XHI22</t>
        </is>
      </c>
      <c r="G4096" t="inlineStr">
        <is>
          <t>HILFSKONTAKTBLOCK</t>
        </is>
      </c>
      <c r="H4096" t="inlineStr">
        <is>
          <t>2S 2OE Last+Hilfssch. Cage</t>
        </is>
      </c>
      <c r="I4096">
        <v>311</v>
      </c>
      <c r="J4096">
        <f>GS91/203.4</f>
        <v>0</v>
      </c>
      <c r="K4096" t="inlineStr">
        <is>
          <t>DIL MC25</t>
        </is>
      </c>
      <c r="M4096" t="inlineStr">
        <is>
          <t>-203Q1</t>
        </is>
      </c>
    </row>
    <row r="4097">
      <c r="A4097">
        <v>4096</v>
      </c>
      <c r="B4097">
        <f>GS91</f>
        <v>0</v>
      </c>
      <c r="C4097" t="inlineStr">
        <is>
          <t>+LS02</t>
        </is>
      </c>
      <c r="D4097" t="inlineStr">
        <is>
          <t>-203Q1</t>
        </is>
      </c>
      <c r="E4097" t="inlineStr">
        <is>
          <t>DILMC25-10(RDC24)</t>
        </is>
      </c>
      <c r="F4097" t="inlineStr">
        <is>
          <t>DILA-XHI22</t>
        </is>
      </c>
      <c r="G4097" t="inlineStr">
        <is>
          <t>LASTSCHUETZ</t>
        </is>
      </c>
      <c r="H4097" t="inlineStr">
        <is>
          <t>11kW 1S Federzugkl.</t>
        </is>
      </c>
      <c r="I4097">
        <v>311</v>
      </c>
      <c r="J4097">
        <f>GS91/203.4</f>
        <v>0</v>
      </c>
      <c r="K4097" t="inlineStr">
        <is>
          <t>DIL MC25</t>
        </is>
      </c>
      <c r="M4097" t="inlineStr">
        <is>
          <t>-203Q1</t>
        </is>
      </c>
    </row>
    <row r="4098">
      <c r="A4098">
        <v>4097</v>
      </c>
      <c r="B4098">
        <f>GS92</f>
        <v>0</v>
      </c>
      <c r="C4098" t="inlineStr">
        <is>
          <t>+LS02</t>
        </is>
      </c>
      <c r="D4098" t="inlineStr">
        <is>
          <t>-203Q166.7</t>
        </is>
      </c>
      <c r="E4098" t="inlineStr">
        <is>
          <t>DILM-9-10</t>
        </is>
      </c>
      <c r="F4098" t="inlineStr">
        <is>
          <t>#KALK!</t>
        </is>
      </c>
      <c r="G4098" t="inlineStr">
        <is>
          <t>LASTSCHUETZ</t>
        </is>
      </c>
      <c r="H4098" t="inlineStr">
        <is>
          <t>4kW 1S Federzugkl.</t>
        </is>
      </c>
      <c r="I4098">
        <v>349</v>
      </c>
      <c r="J4098">
        <f>GS92/203.5</f>
        <v>0</v>
      </c>
      <c r="M4098" t="inlineStr">
        <is>
          <t>-203Q166.7</t>
        </is>
      </c>
    </row>
    <row r="4099">
      <c r="A4099">
        <v>4098</v>
      </c>
      <c r="B4099">
        <f>GS55</f>
        <v>0</v>
      </c>
      <c r="C4099" t="inlineStr">
        <is>
          <t>+LS33</t>
        </is>
      </c>
      <c r="D4099" t="inlineStr">
        <is>
          <t>-2045Q1313.0</t>
        </is>
      </c>
      <c r="E4099" t="inlineStr">
        <is>
          <t>DILM-9-10</t>
        </is>
      </c>
      <c r="F4099" t="inlineStr">
        <is>
          <t>#KALK!</t>
        </is>
      </c>
      <c r="G4099" t="inlineStr">
        <is>
          <t>LASTSCHUETZ</t>
        </is>
      </c>
      <c r="H4099" t="inlineStr">
        <is>
          <t>4kW 1S Federzugkl.</t>
        </is>
      </c>
      <c r="I4099">
        <v>2215</v>
      </c>
      <c r="J4099">
        <f>GS55/2045.6</f>
        <v>0</v>
      </c>
      <c r="K4099" t="inlineStr">
        <is>
          <t>DIL MC9</t>
        </is>
      </c>
      <c r="M4099" t="inlineStr">
        <is>
          <t>-2045Q1313.0</t>
        </is>
      </c>
    </row>
    <row r="4100">
      <c r="A4100">
        <v>4099</v>
      </c>
      <c r="B4100">
        <f>GS55</f>
        <v>0</v>
      </c>
      <c r="C4100" t="inlineStr">
        <is>
          <t>+LS33</t>
        </is>
      </c>
      <c r="D4100" t="inlineStr">
        <is>
          <t>-2049K1313.2</t>
        </is>
      </c>
      <c r="E4100" t="inlineStr">
        <is>
          <t>DILA-22</t>
        </is>
      </c>
      <c r="F4100" t="inlineStr">
        <is>
          <t>#KALK!</t>
        </is>
      </c>
      <c r="G4100" t="inlineStr">
        <is>
          <t>HILFSSCHUETZ</t>
        </is>
      </c>
      <c r="H4100" t="inlineStr">
        <is>
          <t>2S 2Oe Federzugkl.</t>
        </is>
      </c>
      <c r="I4100">
        <v>2219</v>
      </c>
      <c r="J4100">
        <f>GS55/2049.6</f>
        <v>0</v>
      </c>
      <c r="M4100" t="inlineStr">
        <is>
          <t>-2049K1313.2</t>
        </is>
      </c>
    </row>
    <row r="4101">
      <c r="A4101">
        <v>4100</v>
      </c>
      <c r="B4101">
        <f>GS26</f>
        <v>0</v>
      </c>
      <c r="C4101" t="inlineStr">
        <is>
          <t>+LS3</t>
        </is>
      </c>
      <c r="D4101" t="inlineStr">
        <is>
          <t>-204K1</t>
        </is>
      </c>
      <c r="E4101" t="inlineStr">
        <is>
          <t>DILMC25-10230V50HZ</t>
        </is>
      </c>
      <c r="F4101" t="inlineStr">
        <is>
          <t>DILA-XHI22</t>
        </is>
      </c>
      <c r="G4101" t="inlineStr">
        <is>
          <t>LASTSCHUETZ</t>
        </is>
      </c>
      <c r="H4101" t="inlineStr">
        <is>
          <t>11kW 1S Federzugkl.</t>
        </is>
      </c>
      <c r="I4101">
        <v>612</v>
      </c>
      <c r="J4101">
        <f>GS26/204.2</f>
        <v>0</v>
      </c>
      <c r="K4101" t="inlineStr">
        <is>
          <t>DIL MC 25</t>
        </is>
      </c>
      <c r="M4101" t="inlineStr">
        <is>
          <t>-204K1</t>
        </is>
      </c>
    </row>
    <row r="4102">
      <c r="A4102">
        <v>4101</v>
      </c>
      <c r="B4102">
        <f>GS26</f>
        <v>0</v>
      </c>
      <c r="C4102" t="inlineStr">
        <is>
          <t>+LS3</t>
        </is>
      </c>
      <c r="D4102" t="inlineStr">
        <is>
          <t>-204K1</t>
        </is>
      </c>
      <c r="E4102" t="inlineStr">
        <is>
          <t>DILA-XHI22</t>
        </is>
      </c>
      <c r="F4102" t="inlineStr">
        <is>
          <t>DILA-XHI22</t>
        </is>
      </c>
      <c r="G4102" t="inlineStr">
        <is>
          <t>HILFSKONTAKTBLOCK</t>
        </is>
      </c>
      <c r="H4102" t="inlineStr">
        <is>
          <t>2S 2OE Last+Hilfssch. Cage</t>
        </is>
      </c>
      <c r="I4102">
        <v>612</v>
      </c>
      <c r="J4102">
        <f>GS26/204.2</f>
        <v>0</v>
      </c>
      <c r="K4102" t="inlineStr">
        <is>
          <t>DIL MC 25</t>
        </is>
      </c>
      <c r="M4102" t="inlineStr">
        <is>
          <t>-204K1</t>
        </is>
      </c>
    </row>
    <row r="4103">
      <c r="A4103">
        <v>4102</v>
      </c>
      <c r="B4103">
        <f>GS32</f>
        <v>0</v>
      </c>
      <c r="C4103" t="inlineStr">
        <is>
          <t>+LS4</t>
        </is>
      </c>
      <c r="D4103" t="inlineStr">
        <is>
          <t>-204K39.3</t>
        </is>
      </c>
      <c r="E4103" t="inlineStr">
        <is>
          <t>DIL_EM-10-G</t>
        </is>
      </c>
      <c r="F4103" t="inlineStr">
        <is>
          <t>#KALK!</t>
        </is>
      </c>
      <c r="G4103" t="inlineStr">
        <is>
          <t>LASTSCHUETZ</t>
        </is>
      </c>
      <c r="H4103" t="inlineStr">
        <is>
          <t>4kW 1S</t>
        </is>
      </c>
      <c r="I4103">
        <v>1047</v>
      </c>
      <c r="J4103">
        <f>GS32/204.7</f>
        <v>0</v>
      </c>
      <c r="M4103" t="inlineStr">
        <is>
          <t>-204K39.3</t>
        </is>
      </c>
    </row>
    <row r="4104">
      <c r="A4104">
        <v>4103</v>
      </c>
      <c r="B4104">
        <f>GS16</f>
        <v>0</v>
      </c>
      <c r="C4104" t="inlineStr">
        <is>
          <t>+LS4</t>
        </is>
      </c>
      <c r="D4104" t="inlineStr">
        <is>
          <t>-204K3931.3</t>
        </is>
      </c>
      <c r="E4104" t="inlineStr">
        <is>
          <t>DIL_EM-10-G</t>
        </is>
      </c>
      <c r="F4104" t="inlineStr">
        <is>
          <t>#KALK!</t>
        </is>
      </c>
      <c r="G4104" t="inlineStr">
        <is>
          <t>LASTSCHUETZ</t>
        </is>
      </c>
      <c r="H4104" t="inlineStr">
        <is>
          <t>4kW 1S</t>
        </is>
      </c>
      <c r="I4104">
        <v>428</v>
      </c>
      <c r="J4104">
        <f>GS16/204.7</f>
        <v>0</v>
      </c>
      <c r="M4104" t="inlineStr">
        <is>
          <t>-204K3931.3</t>
        </is>
      </c>
    </row>
    <row r="4105">
      <c r="A4105">
        <v>4104</v>
      </c>
      <c r="B4105">
        <f>GS04</f>
        <v>0</v>
      </c>
      <c r="C4105" t="inlineStr">
        <is>
          <t>+LS4</t>
        </is>
      </c>
      <c r="D4105" t="inlineStr">
        <is>
          <t>-204K44.5</t>
        </is>
      </c>
      <c r="E4105" t="inlineStr">
        <is>
          <t>DIL_EM-10-G</t>
        </is>
      </c>
      <c r="F4105" t="inlineStr">
        <is>
          <t>#KALK!</t>
        </is>
      </c>
      <c r="G4105" t="inlineStr">
        <is>
          <t>LASTSCHUETZ</t>
        </is>
      </c>
      <c r="H4105" t="inlineStr">
        <is>
          <t>4kW 1S</t>
        </is>
      </c>
      <c r="I4105">
        <v>454</v>
      </c>
      <c r="J4105">
        <f>GS04/204.7</f>
        <v>0</v>
      </c>
      <c r="M4105" t="inlineStr">
        <is>
          <t>-204K44.5</t>
        </is>
      </c>
    </row>
    <row r="4106">
      <c r="A4106">
        <v>4105</v>
      </c>
      <c r="B4106">
        <f>GS62</f>
        <v>0</v>
      </c>
      <c r="C4106" t="inlineStr">
        <is>
          <t>+LS1</t>
        </is>
      </c>
      <c r="D4106" t="inlineStr">
        <is>
          <t>-204K58.1</t>
        </is>
      </c>
      <c r="E4106" t="inlineStr">
        <is>
          <t>DIL_EM-10-G</t>
        </is>
      </c>
      <c r="F4106" t="inlineStr">
        <is>
          <t>#KALK!</t>
        </is>
      </c>
      <c r="G4106" t="inlineStr">
        <is>
          <t>LASTSCHUETZ</t>
        </is>
      </c>
      <c r="H4106" t="inlineStr">
        <is>
          <t>4kW 1S</t>
        </is>
      </c>
      <c r="I4106">
        <v>156</v>
      </c>
      <c r="J4106">
        <f>GS62/204.6</f>
        <v>0</v>
      </c>
      <c r="M4106" t="inlineStr">
        <is>
          <t>-204K58.1</t>
        </is>
      </c>
    </row>
    <row r="4107">
      <c r="A4107">
        <v>4106</v>
      </c>
      <c r="B4107">
        <f>GS62</f>
        <v>0</v>
      </c>
      <c r="C4107" t="inlineStr">
        <is>
          <t>+LS1</t>
        </is>
      </c>
      <c r="D4107" t="inlineStr">
        <is>
          <t>-204K58.2</t>
        </is>
      </c>
      <c r="E4107" t="inlineStr">
        <is>
          <t>DIL_EM-10-G</t>
        </is>
      </c>
      <c r="F4107" t="inlineStr">
        <is>
          <t>#KALK!</t>
        </is>
      </c>
      <c r="G4107" t="inlineStr">
        <is>
          <t>LASTSCHUETZ</t>
        </is>
      </c>
      <c r="H4107" t="inlineStr">
        <is>
          <t>4kW 1S</t>
        </is>
      </c>
      <c r="I4107">
        <v>156</v>
      </c>
      <c r="J4107">
        <f>GS62/204.6</f>
        <v>0</v>
      </c>
      <c r="M4107" t="inlineStr">
        <is>
          <t>-204K58.2</t>
        </is>
      </c>
    </row>
    <row r="4108">
      <c r="A4108">
        <v>4107</v>
      </c>
      <c r="B4108">
        <f>GS25</f>
        <v>0</v>
      </c>
      <c r="C4108" t="inlineStr">
        <is>
          <t>+LS4</t>
        </is>
      </c>
      <c r="D4108" t="inlineStr">
        <is>
          <t>-204K71.3</t>
        </is>
      </c>
      <c r="E4108" t="inlineStr">
        <is>
          <t>DIL_EM-10-G</t>
        </is>
      </c>
      <c r="F4108" t="inlineStr">
        <is>
          <t>#KALK!</t>
        </is>
      </c>
      <c r="G4108" t="inlineStr">
        <is>
          <t>LASTSCHUETZ</t>
        </is>
      </c>
      <c r="H4108" t="inlineStr">
        <is>
          <t>4kW 1S</t>
        </is>
      </c>
      <c r="I4108">
        <v>325</v>
      </c>
      <c r="J4108">
        <f>GS25/204.6</f>
        <v>0</v>
      </c>
      <c r="M4108" t="inlineStr">
        <is>
          <t>-204K71.3</t>
        </is>
      </c>
    </row>
    <row r="4109">
      <c r="A4109">
        <v>4108</v>
      </c>
      <c r="B4109">
        <f>GS25</f>
        <v>0</v>
      </c>
      <c r="C4109" t="inlineStr">
        <is>
          <t>+LS4</t>
        </is>
      </c>
      <c r="D4109" t="inlineStr">
        <is>
          <t>-204K71.4</t>
        </is>
      </c>
      <c r="E4109" t="inlineStr">
        <is>
          <t>DIL_EM-10-G</t>
        </is>
      </c>
      <c r="F4109" t="inlineStr">
        <is>
          <t>#KALK!</t>
        </is>
      </c>
      <c r="G4109" t="inlineStr">
        <is>
          <t>LASTSCHUETZ</t>
        </is>
      </c>
      <c r="H4109" t="inlineStr">
        <is>
          <t>4kW 1S</t>
        </is>
      </c>
      <c r="I4109">
        <v>325</v>
      </c>
      <c r="J4109">
        <f>GS25/204.6</f>
        <v>0</v>
      </c>
      <c r="M4109" t="inlineStr">
        <is>
          <t>-204K71.4</t>
        </is>
      </c>
    </row>
    <row r="4110">
      <c r="A4110">
        <v>4109</v>
      </c>
      <c r="B4110">
        <f>GS15</f>
        <v>0</v>
      </c>
      <c r="C4110" t="inlineStr">
        <is>
          <t>+LS4</t>
        </is>
      </c>
      <c r="D4110" t="inlineStr">
        <is>
          <t>-205K1</t>
        </is>
      </c>
      <c r="E4110" t="inlineStr">
        <is>
          <t>22_DIL-M</t>
        </is>
      </c>
      <c r="F4110" t="inlineStr">
        <is>
          <t>22_DIL-M</t>
        </is>
      </c>
      <c r="G4110" t="inlineStr">
        <is>
          <t>HILFSKONTAKTBLOCK</t>
        </is>
      </c>
      <c r="H4110" t="inlineStr">
        <is>
          <t>2S 2OE Lastschuetz DIL M</t>
        </is>
      </c>
      <c r="I4110">
        <v>698</v>
      </c>
      <c r="J4110">
        <f>GS15/205.2</f>
        <v>0</v>
      </c>
      <c r="K4110" t="inlineStr">
        <is>
          <t>DIL0AM</t>
        </is>
      </c>
      <c r="M4110" t="inlineStr">
        <is>
          <t>-205K1</t>
        </is>
      </c>
    </row>
    <row r="4111">
      <c r="A4111">
        <v>4110</v>
      </c>
      <c r="B4111">
        <f>GS15</f>
        <v>0</v>
      </c>
      <c r="C4111" t="inlineStr">
        <is>
          <t>+LS4</t>
        </is>
      </c>
      <c r="D4111" t="inlineStr">
        <is>
          <t>-205K1</t>
        </is>
      </c>
      <c r="E4111" t="inlineStr">
        <is>
          <t>DIL_0AM</t>
        </is>
      </c>
      <c r="F4111" t="inlineStr">
        <is>
          <t>22_DIL-M</t>
        </is>
      </c>
      <c r="G4111" t="inlineStr">
        <is>
          <t>LASTSCHUETZ</t>
        </is>
      </c>
      <c r="H4111" t="inlineStr">
        <is>
          <t>11 kW</t>
        </is>
      </c>
      <c r="I4111">
        <v>698</v>
      </c>
      <c r="J4111">
        <f>GS15/205.2</f>
        <v>0</v>
      </c>
      <c r="K4111" t="inlineStr">
        <is>
          <t>DIL0AM</t>
        </is>
      </c>
      <c r="M4111" t="inlineStr">
        <is>
          <t>-205K1</t>
        </is>
      </c>
    </row>
    <row r="4112">
      <c r="A4112">
        <v>4111</v>
      </c>
      <c r="B4112">
        <f>GS20</f>
        <v>0</v>
      </c>
      <c r="C4112" t="inlineStr">
        <is>
          <t>+LS03</t>
        </is>
      </c>
      <c r="D4112" t="inlineStr">
        <is>
          <t>-205K1</t>
        </is>
      </c>
      <c r="E4112" t="inlineStr">
        <is>
          <t>DILA-XHI22</t>
        </is>
      </c>
      <c r="F4112" t="inlineStr">
        <is>
          <t>DILA-XHI22</t>
        </is>
      </c>
      <c r="G4112" t="inlineStr">
        <is>
          <t>HILFSKONTAKTBLOCK</t>
        </is>
      </c>
      <c r="H4112" t="inlineStr">
        <is>
          <t>2S 2OE Last+Hilfssch. Cage</t>
        </is>
      </c>
      <c r="I4112">
        <v>1162</v>
      </c>
      <c r="J4112">
        <f>GS20/205.5</f>
        <v>0</v>
      </c>
      <c r="M4112" t="inlineStr">
        <is>
          <t>-205K1</t>
        </is>
      </c>
    </row>
    <row r="4113">
      <c r="A4113">
        <v>4112</v>
      </c>
      <c r="B4113">
        <f>GS20</f>
        <v>0</v>
      </c>
      <c r="C4113" t="inlineStr">
        <is>
          <t>+LS03</t>
        </is>
      </c>
      <c r="D4113" t="inlineStr">
        <is>
          <t>-205K1</t>
        </is>
      </c>
      <c r="E4113" t="inlineStr">
        <is>
          <t>DILM-9-10</t>
        </is>
      </c>
      <c r="F4113" t="inlineStr">
        <is>
          <t>DILA-XHI22</t>
        </is>
      </c>
      <c r="G4113" t="inlineStr">
        <is>
          <t>LASTSCHUETZ</t>
        </is>
      </c>
      <c r="H4113" t="inlineStr">
        <is>
          <t>4kW 1S Federzugkl.</t>
        </is>
      </c>
      <c r="I4113">
        <v>1162</v>
      </c>
      <c r="J4113">
        <f>GS20/205.5</f>
        <v>0</v>
      </c>
      <c r="M4113" t="inlineStr">
        <is>
          <t>-205K1</t>
        </is>
      </c>
    </row>
    <row r="4114">
      <c r="A4114">
        <v>4113</v>
      </c>
      <c r="B4114">
        <f>GS33</f>
        <v>0</v>
      </c>
      <c r="C4114" t="inlineStr">
        <is>
          <t>+LS4</t>
        </is>
      </c>
      <c r="D4114" t="inlineStr">
        <is>
          <t>-205K1</t>
        </is>
      </c>
      <c r="E4114" t="inlineStr">
        <is>
          <t>DIL_0AM</t>
        </is>
      </c>
      <c r="F4114" t="inlineStr">
        <is>
          <t>22_DIL-M</t>
        </is>
      </c>
      <c r="G4114" t="inlineStr">
        <is>
          <t>LASTSCHUETZ</t>
        </is>
      </c>
      <c r="H4114" t="inlineStr">
        <is>
          <t>11 kW</t>
        </is>
      </c>
      <c r="I4114">
        <v>644</v>
      </c>
      <c r="J4114">
        <f>GS33/205.2</f>
        <v>0</v>
      </c>
      <c r="K4114" t="inlineStr">
        <is>
          <t>DIL0AM</t>
        </is>
      </c>
      <c r="M4114" t="inlineStr">
        <is>
          <t>-205K1</t>
        </is>
      </c>
    </row>
    <row r="4115">
      <c r="A4115">
        <v>4114</v>
      </c>
      <c r="B4115">
        <f>GS33</f>
        <v>0</v>
      </c>
      <c r="C4115" t="inlineStr">
        <is>
          <t>+LS4</t>
        </is>
      </c>
      <c r="D4115" t="inlineStr">
        <is>
          <t>-205K1</t>
        </is>
      </c>
      <c r="E4115" t="inlineStr">
        <is>
          <t>22_DIL-M</t>
        </is>
      </c>
      <c r="F4115" t="inlineStr">
        <is>
          <t>22_DIL-M</t>
        </is>
      </c>
      <c r="G4115" t="inlineStr">
        <is>
          <t>HILFSKONTAKTBLOCK</t>
        </is>
      </c>
      <c r="H4115" t="inlineStr">
        <is>
          <t>2S 2OE Lastschuetz DIL M</t>
        </is>
      </c>
      <c r="I4115">
        <v>644</v>
      </c>
      <c r="J4115">
        <f>GS33/205.2</f>
        <v>0</v>
      </c>
      <c r="K4115" t="inlineStr">
        <is>
          <t>DIL0AM</t>
        </is>
      </c>
      <c r="M4115" t="inlineStr">
        <is>
          <t>-205K1</t>
        </is>
      </c>
    </row>
    <row r="4116">
      <c r="A4116">
        <v>4115</v>
      </c>
      <c r="B4116">
        <f>GS36</f>
        <v>0</v>
      </c>
      <c r="C4116" t="inlineStr">
        <is>
          <t>+LS04</t>
        </is>
      </c>
      <c r="D4116" t="inlineStr">
        <is>
          <t>-213K2</t>
        </is>
      </c>
      <c r="E4116" t="inlineStr">
        <is>
          <t>DILM-9-01</t>
        </is>
      </c>
      <c r="F4116" t="inlineStr">
        <is>
          <t>#KALK!</t>
        </is>
      </c>
      <c r="G4116" t="inlineStr">
        <is>
          <t>LASTSCHUETZ</t>
        </is>
      </c>
      <c r="H4116" t="inlineStr">
        <is>
          <t>4kW 1Oe Federzugkl.</t>
        </is>
      </c>
      <c r="I4116">
        <v>386</v>
      </c>
      <c r="J4116">
        <f>GS36/213.7</f>
        <v>0</v>
      </c>
      <c r="L4116" t="inlineStr">
        <is>
          <t>Lichtvorhang KF</t>
        </is>
      </c>
      <c r="M4116" t="inlineStr">
        <is>
          <t>Lichtvorhang KF
-213K2</t>
        </is>
      </c>
    </row>
    <row r="4117">
      <c r="A4117">
        <v>4116</v>
      </c>
      <c r="B4117">
        <f>GS35</f>
        <v>0</v>
      </c>
      <c r="C4117" t="inlineStr">
        <is>
          <t>+LS04</t>
        </is>
      </c>
      <c r="D4117" t="inlineStr">
        <is>
          <t>-205K122.4</t>
        </is>
      </c>
      <c r="E4117" t="inlineStr">
        <is>
          <t>DILA-40</t>
        </is>
      </c>
      <c r="F4117" t="inlineStr">
        <is>
          <t>#KALK!</t>
        </is>
      </c>
      <c r="G4117" t="inlineStr">
        <is>
          <t>HILFSSCHUETZ</t>
        </is>
      </c>
      <c r="H4117" t="inlineStr">
        <is>
          <t>4S Federzugkl.</t>
        </is>
      </c>
      <c r="I4117">
        <v>364</v>
      </c>
      <c r="J4117">
        <f>GS35/205.7</f>
        <v>0</v>
      </c>
      <c r="M4117" t="inlineStr">
        <is>
          <t>-205K122.4</t>
        </is>
      </c>
    </row>
    <row r="4118">
      <c r="A4118">
        <v>4117</v>
      </c>
      <c r="B4118">
        <f>GS36</f>
        <v>0</v>
      </c>
      <c r="C4118" t="inlineStr">
        <is>
          <t>+LS04</t>
        </is>
      </c>
      <c r="D4118" t="inlineStr">
        <is>
          <t>-215K145.0</t>
        </is>
      </c>
      <c r="E4118" t="inlineStr">
        <is>
          <t>DILA-40</t>
        </is>
      </c>
      <c r="F4118" t="inlineStr">
        <is>
          <t>#KALK!</t>
        </is>
      </c>
      <c r="G4118" t="inlineStr">
        <is>
          <t>HILFSSCHUETZ</t>
        </is>
      </c>
      <c r="H4118" t="inlineStr">
        <is>
          <t>4S Federzugkl.</t>
        </is>
      </c>
      <c r="I4118">
        <v>388</v>
      </c>
      <c r="J4118">
        <f>GS36/215.7</f>
        <v>0</v>
      </c>
      <c r="M4118" t="inlineStr">
        <is>
          <t>-215K145.0</t>
        </is>
      </c>
    </row>
    <row r="4119">
      <c r="A4119">
        <v>4118</v>
      </c>
      <c r="B4119">
        <f>GS46</f>
        <v>0</v>
      </c>
      <c r="C4119" t="inlineStr">
        <is>
          <t>+LS03</t>
        </is>
      </c>
      <c r="D4119" t="inlineStr">
        <is>
          <t>-205K150.0</t>
        </is>
      </c>
      <c r="E4119" t="inlineStr">
        <is>
          <t>DILA-40</t>
        </is>
      </c>
      <c r="F4119" t="inlineStr">
        <is>
          <t>#KALK!</t>
        </is>
      </c>
      <c r="G4119" t="inlineStr">
        <is>
          <t>HILFSSCHUETZ</t>
        </is>
      </c>
      <c r="H4119" t="inlineStr">
        <is>
          <t>4S Federzugkl.</t>
        </is>
      </c>
      <c r="I4119">
        <v>345</v>
      </c>
      <c r="J4119">
        <f>GS46/205.7</f>
        <v>0</v>
      </c>
      <c r="M4119" t="inlineStr">
        <is>
          <t>-205K150.0</t>
        </is>
      </c>
    </row>
    <row r="4120">
      <c r="A4120">
        <v>4119</v>
      </c>
      <c r="B4120">
        <f>GS47</f>
        <v>0</v>
      </c>
      <c r="C4120" t="inlineStr">
        <is>
          <t>+LS03</t>
        </is>
      </c>
      <c r="D4120" t="inlineStr">
        <is>
          <t>-205K150.0</t>
        </is>
      </c>
      <c r="E4120" t="inlineStr">
        <is>
          <t>DILA-40</t>
        </is>
      </c>
      <c r="F4120" t="inlineStr">
        <is>
          <t>#KALK!</t>
        </is>
      </c>
      <c r="G4120" t="inlineStr">
        <is>
          <t>HILFSSCHUETZ</t>
        </is>
      </c>
      <c r="H4120" t="inlineStr">
        <is>
          <t>4S Federzugkl.</t>
        </is>
      </c>
      <c r="I4120">
        <v>345</v>
      </c>
      <c r="J4120">
        <f>GS47/205.7</f>
        <v>0</v>
      </c>
      <c r="M4120" t="inlineStr">
        <is>
          <t>-205K150.0</t>
        </is>
      </c>
    </row>
    <row r="4121">
      <c r="A4121">
        <v>4120</v>
      </c>
      <c r="B4121">
        <f>GS48</f>
        <v>0</v>
      </c>
      <c r="C4121" t="inlineStr">
        <is>
          <t>+LS03</t>
        </is>
      </c>
      <c r="D4121" t="inlineStr">
        <is>
          <t>-205K150.0</t>
        </is>
      </c>
      <c r="E4121" t="inlineStr">
        <is>
          <t>DILA-40</t>
        </is>
      </c>
      <c r="F4121" t="inlineStr">
        <is>
          <t>#KALK!</t>
        </is>
      </c>
      <c r="G4121" t="inlineStr">
        <is>
          <t>HILFSSCHUETZ</t>
        </is>
      </c>
      <c r="H4121" t="inlineStr">
        <is>
          <t>4S Federzugkl.</t>
        </is>
      </c>
      <c r="I4121">
        <v>357</v>
      </c>
      <c r="J4121">
        <f>GS48/205.7</f>
        <v>0</v>
      </c>
      <c r="M4121" t="inlineStr">
        <is>
          <t>-205K150.0</t>
        </is>
      </c>
    </row>
    <row r="4122">
      <c r="A4122">
        <v>4121</v>
      </c>
      <c r="B4122">
        <f>GS49</f>
        <v>0</v>
      </c>
      <c r="C4122" t="inlineStr">
        <is>
          <t>+LS03</t>
        </is>
      </c>
      <c r="D4122" t="inlineStr">
        <is>
          <t>-205K150.0</t>
        </is>
      </c>
      <c r="E4122" t="inlineStr">
        <is>
          <t>DILA-40</t>
        </is>
      </c>
      <c r="F4122" t="inlineStr">
        <is>
          <t>#KALK!</t>
        </is>
      </c>
      <c r="G4122" t="inlineStr">
        <is>
          <t>HILFSSCHUETZ</t>
        </is>
      </c>
      <c r="H4122" t="inlineStr">
        <is>
          <t>4S Federzugkl.</t>
        </is>
      </c>
      <c r="I4122">
        <v>356</v>
      </c>
      <c r="J4122">
        <f>GS49/205.7</f>
        <v>0</v>
      </c>
      <c r="M4122" t="inlineStr">
        <is>
          <t>-205K150.0</t>
        </is>
      </c>
    </row>
    <row r="4123">
      <c r="A4123">
        <v>4122</v>
      </c>
      <c r="B4123">
        <f>GS90</f>
        <v>0</v>
      </c>
      <c r="C4123" t="inlineStr">
        <is>
          <t>+LS03</t>
        </is>
      </c>
      <c r="D4123" t="inlineStr">
        <is>
          <t>-205K158.0</t>
        </is>
      </c>
      <c r="E4123" t="inlineStr">
        <is>
          <t>DILA-40</t>
        </is>
      </c>
      <c r="F4123" t="inlineStr">
        <is>
          <t>#KALK!</t>
        </is>
      </c>
      <c r="G4123" t="inlineStr">
        <is>
          <t>HILFSSCHUETZ</t>
        </is>
      </c>
      <c r="H4123" t="inlineStr">
        <is>
          <t>4S Federzugkl.</t>
        </is>
      </c>
      <c r="I4123">
        <v>1034</v>
      </c>
      <c r="J4123">
        <f>GS90/205.7</f>
        <v>0</v>
      </c>
      <c r="M4123" t="inlineStr">
        <is>
          <t>-205K158.0</t>
        </is>
      </c>
    </row>
    <row r="4124">
      <c r="A4124">
        <v>4123</v>
      </c>
      <c r="B4124">
        <f>GS94</f>
        <v>0</v>
      </c>
      <c r="C4124" t="inlineStr">
        <is>
          <t>+LS16</t>
        </is>
      </c>
      <c r="D4124" t="inlineStr">
        <is>
          <t>-205K181.7</t>
        </is>
      </c>
      <c r="E4124" t="inlineStr">
        <is>
          <t>DILA-40</t>
        </is>
      </c>
      <c r="F4124" t="inlineStr">
        <is>
          <t>#KALK!</t>
        </is>
      </c>
      <c r="G4124" t="inlineStr">
        <is>
          <t>HILFSSCHUETZ</t>
        </is>
      </c>
      <c r="H4124" t="inlineStr">
        <is>
          <t>4S Federzugkl.</t>
        </is>
      </c>
      <c r="I4124">
        <v>295</v>
      </c>
      <c r="J4124">
        <f>GS94/205.7</f>
        <v>0</v>
      </c>
      <c r="M4124" t="inlineStr">
        <is>
          <t>-205K181.7</t>
        </is>
      </c>
    </row>
    <row r="4125">
      <c r="A4125">
        <v>4124</v>
      </c>
      <c r="B4125">
        <f>GS95</f>
        <v>0</v>
      </c>
      <c r="C4125" t="inlineStr">
        <is>
          <t>+LS16</t>
        </is>
      </c>
      <c r="D4125" t="inlineStr">
        <is>
          <t>-205K181.7</t>
        </is>
      </c>
      <c r="E4125" t="inlineStr">
        <is>
          <t>DILA-40</t>
        </is>
      </c>
      <c r="F4125" t="inlineStr">
        <is>
          <t>#KALK!</t>
        </is>
      </c>
      <c r="G4125" t="inlineStr">
        <is>
          <t>HILFSSCHUETZ</t>
        </is>
      </c>
      <c r="H4125" t="inlineStr">
        <is>
          <t>4S Federzugkl.</t>
        </is>
      </c>
      <c r="I4125">
        <v>295</v>
      </c>
      <c r="J4125">
        <f>GS95/205.7</f>
        <v>0</v>
      </c>
      <c r="M4125" t="inlineStr">
        <is>
          <t>-205K181.7</t>
        </is>
      </c>
    </row>
    <row r="4126">
      <c r="A4126">
        <v>4125</v>
      </c>
      <c r="B4126">
        <f>GS96</f>
        <v>0</v>
      </c>
      <c r="C4126" t="inlineStr">
        <is>
          <t>+LS16</t>
        </is>
      </c>
      <c r="D4126" t="inlineStr">
        <is>
          <t>-205K181.7</t>
        </is>
      </c>
      <c r="E4126" t="inlineStr">
        <is>
          <t>DILA-40</t>
        </is>
      </c>
      <c r="F4126" t="inlineStr">
        <is>
          <t>#KALK!</t>
        </is>
      </c>
      <c r="G4126" t="inlineStr">
        <is>
          <t>HILFSSCHUETZ</t>
        </is>
      </c>
      <c r="H4126" t="inlineStr">
        <is>
          <t>4S Federzugkl.</t>
        </is>
      </c>
      <c r="I4126">
        <v>295</v>
      </c>
      <c r="J4126">
        <f>GS96/205.7</f>
        <v>0</v>
      </c>
      <c r="M4126" t="inlineStr">
        <is>
          <t>-205K181.7</t>
        </is>
      </c>
    </row>
    <row r="4127">
      <c r="A4127">
        <v>4126</v>
      </c>
      <c r="B4127">
        <f>GS97</f>
        <v>0</v>
      </c>
      <c r="C4127" t="inlineStr">
        <is>
          <t>+LS16</t>
        </is>
      </c>
      <c r="D4127" t="inlineStr">
        <is>
          <t>-205K181.7</t>
        </is>
      </c>
      <c r="E4127" t="inlineStr">
        <is>
          <t>DILA-40</t>
        </is>
      </c>
      <c r="F4127" t="inlineStr">
        <is>
          <t>#KALK!</t>
        </is>
      </c>
      <c r="G4127" t="inlineStr">
        <is>
          <t>HILFSSCHUETZ</t>
        </is>
      </c>
      <c r="H4127" t="inlineStr">
        <is>
          <t>4S Federzugkl.</t>
        </is>
      </c>
      <c r="I4127">
        <v>295</v>
      </c>
      <c r="J4127">
        <f>GS97/205.7</f>
        <v>0</v>
      </c>
      <c r="M4127" t="inlineStr">
        <is>
          <t>-205K181.7</t>
        </is>
      </c>
    </row>
    <row r="4128">
      <c r="A4128">
        <v>4127</v>
      </c>
      <c r="B4128">
        <f>GS20</f>
        <v>0</v>
      </c>
      <c r="C4128" t="inlineStr">
        <is>
          <t>+LS03</t>
        </is>
      </c>
      <c r="D4128" t="inlineStr">
        <is>
          <t>-205K2</t>
        </is>
      </c>
      <c r="E4128" t="inlineStr">
        <is>
          <t>DILA-XHI22</t>
        </is>
      </c>
      <c r="F4128" t="inlineStr">
        <is>
          <t>DILA-XHI22</t>
        </is>
      </c>
      <c r="G4128" t="inlineStr">
        <is>
          <t>HILFSKONTAKTBLOCK</t>
        </is>
      </c>
      <c r="H4128" t="inlineStr">
        <is>
          <t>2S 2OE Last+Hilfssch. Cage</t>
        </is>
      </c>
      <c r="I4128">
        <v>1162</v>
      </c>
      <c r="J4128">
        <f>GS20/205.6</f>
        <v>0</v>
      </c>
      <c r="M4128" t="inlineStr">
        <is>
          <t>-205K2</t>
        </is>
      </c>
    </row>
    <row r="4129">
      <c r="A4129">
        <v>4128</v>
      </c>
      <c r="B4129">
        <f>GS20</f>
        <v>0</v>
      </c>
      <c r="C4129" t="inlineStr">
        <is>
          <t>+LS03</t>
        </is>
      </c>
      <c r="D4129" t="inlineStr">
        <is>
          <t>-205K2</t>
        </is>
      </c>
      <c r="E4129" t="inlineStr">
        <is>
          <t>DILM-9-10</t>
        </is>
      </c>
      <c r="F4129" t="inlineStr">
        <is>
          <t>DILA-XHI22</t>
        </is>
      </c>
      <c r="G4129" t="inlineStr">
        <is>
          <t>LASTSCHUETZ</t>
        </is>
      </c>
      <c r="H4129" t="inlineStr">
        <is>
          <t>4kW 1S Federzugkl.</t>
        </is>
      </c>
      <c r="I4129">
        <v>1162</v>
      </c>
      <c r="J4129">
        <f>GS20/205.6</f>
        <v>0</v>
      </c>
      <c r="M4129" t="inlineStr">
        <is>
          <t>-205K2</t>
        </is>
      </c>
    </row>
    <row r="4130">
      <c r="A4130">
        <v>4129</v>
      </c>
      <c r="B4130">
        <f>GS32</f>
        <v>0</v>
      </c>
      <c r="C4130" t="inlineStr">
        <is>
          <t>+LS4</t>
        </is>
      </c>
      <c r="D4130" t="inlineStr">
        <is>
          <t>-205K39.4</t>
        </is>
      </c>
      <c r="E4130" t="inlineStr">
        <is>
          <t>DIL_EM-10-G</t>
        </is>
      </c>
      <c r="F4130" t="inlineStr">
        <is>
          <t>#KALK!</t>
        </is>
      </c>
      <c r="G4130" t="inlineStr">
        <is>
          <t>LASTSCHUETZ</t>
        </is>
      </c>
      <c r="H4130" t="inlineStr">
        <is>
          <t>4kW 1S</t>
        </is>
      </c>
      <c r="I4130">
        <v>1046</v>
      </c>
      <c r="J4130">
        <f>GS32/205.6</f>
        <v>0</v>
      </c>
      <c r="M4130" t="inlineStr">
        <is>
          <t>-205K39.4</t>
        </is>
      </c>
    </row>
    <row r="4131">
      <c r="A4131">
        <v>4130</v>
      </c>
      <c r="B4131">
        <f>GS32</f>
        <v>0</v>
      </c>
      <c r="C4131" t="inlineStr">
        <is>
          <t>+LS4</t>
        </is>
      </c>
      <c r="D4131" t="inlineStr">
        <is>
          <t>-205K39.5</t>
        </is>
      </c>
      <c r="E4131" t="inlineStr">
        <is>
          <t>DIL_EM-10-G</t>
        </is>
      </c>
      <c r="F4131" t="inlineStr">
        <is>
          <t>#KALK!</t>
        </is>
      </c>
      <c r="G4131" t="inlineStr">
        <is>
          <t>LASTSCHUETZ</t>
        </is>
      </c>
      <c r="H4131" t="inlineStr">
        <is>
          <t>4kW 1S</t>
        </is>
      </c>
      <c r="I4131">
        <v>1046</v>
      </c>
      <c r="J4131">
        <f>GS32/205.6</f>
        <v>0</v>
      </c>
      <c r="M4131" t="inlineStr">
        <is>
          <t>-205K39.5</t>
        </is>
      </c>
    </row>
    <row r="4132">
      <c r="A4132">
        <v>4131</v>
      </c>
      <c r="B4132">
        <f>GS16</f>
        <v>0</v>
      </c>
      <c r="C4132" t="inlineStr">
        <is>
          <t>+LS4</t>
        </is>
      </c>
      <c r="D4132" t="inlineStr">
        <is>
          <t>-205K3932.0</t>
        </is>
      </c>
      <c r="E4132" t="inlineStr">
        <is>
          <t>DIL_EM-10-G</t>
        </is>
      </c>
      <c r="F4132" t="inlineStr">
        <is>
          <t>#KALK!</t>
        </is>
      </c>
      <c r="G4132" t="inlineStr">
        <is>
          <t>LASTSCHUETZ</t>
        </is>
      </c>
      <c r="H4132" t="inlineStr">
        <is>
          <t>4kW 1S</t>
        </is>
      </c>
      <c r="I4132">
        <v>429</v>
      </c>
      <c r="J4132">
        <f>GS16/205.6</f>
        <v>0</v>
      </c>
      <c r="M4132" t="inlineStr">
        <is>
          <t>-205K3932.0</t>
        </is>
      </c>
    </row>
    <row r="4133">
      <c r="A4133">
        <v>4132</v>
      </c>
      <c r="B4133">
        <f>GS16</f>
        <v>0</v>
      </c>
      <c r="C4133" t="inlineStr">
        <is>
          <t>+LS4</t>
        </is>
      </c>
      <c r="D4133" t="inlineStr">
        <is>
          <t>-205K3932.1</t>
        </is>
      </c>
      <c r="E4133" t="inlineStr">
        <is>
          <t>DIL_EM-10-G</t>
        </is>
      </c>
      <c r="F4133" t="inlineStr">
        <is>
          <t>#KALK!</t>
        </is>
      </c>
      <c r="G4133" t="inlineStr">
        <is>
          <t>LASTSCHUETZ</t>
        </is>
      </c>
      <c r="H4133" t="inlineStr">
        <is>
          <t>4kW 1S</t>
        </is>
      </c>
      <c r="I4133">
        <v>429</v>
      </c>
      <c r="J4133">
        <f>GS16/205.6</f>
        <v>0</v>
      </c>
      <c r="M4133" t="inlineStr">
        <is>
          <t>-205K3932.1</t>
        </is>
      </c>
    </row>
    <row r="4134">
      <c r="A4134">
        <v>4133</v>
      </c>
      <c r="B4134">
        <f>GS04</f>
        <v>0</v>
      </c>
      <c r="C4134" t="inlineStr">
        <is>
          <t>+LS4</t>
        </is>
      </c>
      <c r="D4134" t="inlineStr">
        <is>
          <t>-205K46.4</t>
        </is>
      </c>
      <c r="E4134" t="inlineStr">
        <is>
          <t>DIL_EM-10-G</t>
        </is>
      </c>
      <c r="F4134" t="inlineStr">
        <is>
          <t>#KALK!</t>
        </is>
      </c>
      <c r="G4134" t="inlineStr">
        <is>
          <t>LASTSCHUETZ</t>
        </is>
      </c>
      <c r="H4134" t="inlineStr">
        <is>
          <t>4kW 1S</t>
        </is>
      </c>
      <c r="I4134">
        <v>455</v>
      </c>
      <c r="J4134">
        <f>GS04/205.7</f>
        <v>0</v>
      </c>
      <c r="M4134" t="inlineStr">
        <is>
          <t>-205K46.4</t>
        </is>
      </c>
    </row>
    <row r="4135">
      <c r="A4135">
        <v>4134</v>
      </c>
      <c r="B4135">
        <f>GS11</f>
        <v>0</v>
      </c>
      <c r="C4135" t="inlineStr">
        <is>
          <t>+LS5</t>
        </is>
      </c>
      <c r="D4135" t="inlineStr">
        <is>
          <t>-205K48.0</t>
        </is>
      </c>
      <c r="E4135" t="inlineStr">
        <is>
          <t>DIL_EM-10-G</t>
        </is>
      </c>
      <c r="F4135" t="inlineStr">
        <is>
          <t>#KALK!</t>
        </is>
      </c>
      <c r="G4135" t="inlineStr">
        <is>
          <t>LASTSCHUETZ</t>
        </is>
      </c>
      <c r="H4135" t="inlineStr">
        <is>
          <t>4kW 1S</t>
        </is>
      </c>
      <c r="I4135">
        <v>316</v>
      </c>
      <c r="J4135">
        <f>GS11/205.6</f>
        <v>0</v>
      </c>
      <c r="M4135" t="inlineStr">
        <is>
          <t>-205K48.0</t>
        </is>
      </c>
    </row>
    <row r="4136">
      <c r="A4136">
        <v>4135</v>
      </c>
      <c r="B4136">
        <f>GS21</f>
        <v>0</v>
      </c>
      <c r="C4136" t="inlineStr">
        <is>
          <t>+LS5</t>
        </is>
      </c>
      <c r="D4136" t="inlineStr">
        <is>
          <t>-205K48.0</t>
        </is>
      </c>
      <c r="E4136" t="inlineStr">
        <is>
          <t>DIL_EM-10-G</t>
        </is>
      </c>
      <c r="F4136" t="inlineStr">
        <is>
          <t>#KALK!</t>
        </is>
      </c>
      <c r="G4136" t="inlineStr">
        <is>
          <t>LASTSCHUETZ</t>
        </is>
      </c>
      <c r="H4136" t="inlineStr">
        <is>
          <t>4kW 1S</t>
        </is>
      </c>
      <c r="I4136">
        <v>290</v>
      </c>
      <c r="J4136">
        <f>GS21/205.6</f>
        <v>0</v>
      </c>
      <c r="M4136" t="inlineStr">
        <is>
          <t>-205K48.0</t>
        </is>
      </c>
    </row>
    <row r="4137">
      <c r="A4137">
        <v>4136</v>
      </c>
      <c r="B4137">
        <f>GS11</f>
        <v>0</v>
      </c>
      <c r="C4137" t="inlineStr">
        <is>
          <t>+LS5</t>
        </is>
      </c>
      <c r="D4137" t="inlineStr">
        <is>
          <t>-205K52.0</t>
        </is>
      </c>
      <c r="E4137" t="inlineStr">
        <is>
          <t>DIL_EM-10-G</t>
        </is>
      </c>
      <c r="F4137" t="inlineStr">
        <is>
          <t>#KALK!</t>
        </is>
      </c>
      <c r="G4137" t="inlineStr">
        <is>
          <t>LASTSCHUETZ</t>
        </is>
      </c>
      <c r="H4137" t="inlineStr">
        <is>
          <t>4kW 1S</t>
        </is>
      </c>
      <c r="I4137">
        <v>316</v>
      </c>
      <c r="J4137">
        <f>GS11/205.6</f>
        <v>0</v>
      </c>
      <c r="M4137" t="inlineStr">
        <is>
          <t>-205K52.0</t>
        </is>
      </c>
    </row>
    <row r="4138">
      <c r="A4138">
        <v>4137</v>
      </c>
      <c r="B4138">
        <f>GS21</f>
        <v>0</v>
      </c>
      <c r="C4138" t="inlineStr">
        <is>
          <t>+LS5</t>
        </is>
      </c>
      <c r="D4138" t="inlineStr">
        <is>
          <t>-205K52.0</t>
        </is>
      </c>
      <c r="E4138" t="inlineStr">
        <is>
          <t>DIL_EM-10-G</t>
        </is>
      </c>
      <c r="F4138" t="inlineStr">
        <is>
          <t>#KALK!</t>
        </is>
      </c>
      <c r="G4138" t="inlineStr">
        <is>
          <t>LASTSCHUETZ</t>
        </is>
      </c>
      <c r="H4138" t="inlineStr">
        <is>
          <t>4kW 1S</t>
        </is>
      </c>
      <c r="I4138">
        <v>290</v>
      </c>
      <c r="J4138">
        <f>GS21/205.6</f>
        <v>0</v>
      </c>
      <c r="M4138" t="inlineStr">
        <is>
          <t>-205K52.0</t>
        </is>
      </c>
    </row>
    <row r="4139">
      <c r="A4139">
        <v>4138</v>
      </c>
      <c r="B4139">
        <f>GS62</f>
        <v>0</v>
      </c>
      <c r="C4139" t="inlineStr">
        <is>
          <t>+LS1</t>
        </is>
      </c>
      <c r="D4139" t="inlineStr">
        <is>
          <t>-205K58.3</t>
        </is>
      </c>
      <c r="E4139" t="inlineStr">
        <is>
          <t>DIL_EM-10-G</t>
        </is>
      </c>
      <c r="F4139" t="inlineStr">
        <is>
          <t>#KALK!</t>
        </is>
      </c>
      <c r="G4139" t="inlineStr">
        <is>
          <t>LASTSCHUETZ</t>
        </is>
      </c>
      <c r="H4139" t="inlineStr">
        <is>
          <t>4kW 1S</t>
        </is>
      </c>
      <c r="I4139">
        <v>155</v>
      </c>
      <c r="J4139">
        <f>GS62/205.6</f>
        <v>0</v>
      </c>
      <c r="M4139" t="inlineStr">
        <is>
          <t>-205K58.3</t>
        </is>
      </c>
    </row>
    <row r="4140">
      <c r="A4140">
        <v>4139</v>
      </c>
      <c r="B4140">
        <f>GS62</f>
        <v>0</v>
      </c>
      <c r="C4140" t="inlineStr">
        <is>
          <t>+LS1</t>
        </is>
      </c>
      <c r="D4140" t="inlineStr">
        <is>
          <t>-205K58.4</t>
        </is>
      </c>
      <c r="E4140" t="inlineStr">
        <is>
          <t>DIL_EM-10-G</t>
        </is>
      </c>
      <c r="F4140" t="inlineStr">
        <is>
          <t>#KALK!</t>
        </is>
      </c>
      <c r="G4140" t="inlineStr">
        <is>
          <t>LASTSCHUETZ</t>
        </is>
      </c>
      <c r="H4140" t="inlineStr">
        <is>
          <t>4kW 1S</t>
        </is>
      </c>
      <c r="I4140">
        <v>155</v>
      </c>
      <c r="J4140">
        <f>GS62/205.6</f>
        <v>0</v>
      </c>
      <c r="M4140" t="inlineStr">
        <is>
          <t>-205K58.4</t>
        </is>
      </c>
    </row>
    <row r="4141">
      <c r="A4141">
        <v>4140</v>
      </c>
      <c r="B4141">
        <f>GS25</f>
        <v>0</v>
      </c>
      <c r="C4141" t="inlineStr">
        <is>
          <t>+LS4</t>
        </is>
      </c>
      <c r="D4141" t="inlineStr">
        <is>
          <t>-205K71.5</t>
        </is>
      </c>
      <c r="E4141" t="inlineStr">
        <is>
          <t>DIL_EM-10-G</t>
        </is>
      </c>
      <c r="F4141" t="inlineStr">
        <is>
          <t>#KALK!</t>
        </is>
      </c>
      <c r="G4141" t="inlineStr">
        <is>
          <t>LASTSCHUETZ</t>
        </is>
      </c>
      <c r="H4141" t="inlineStr">
        <is>
          <t>4kW 1S</t>
        </is>
      </c>
      <c r="I4141">
        <v>326</v>
      </c>
      <c r="J4141">
        <f>GS25/205.6</f>
        <v>0</v>
      </c>
      <c r="M4141" t="inlineStr">
        <is>
          <t>-205K71.5</t>
        </is>
      </c>
    </row>
    <row r="4142">
      <c r="A4142">
        <v>4141</v>
      </c>
      <c r="B4142">
        <f>GS25</f>
        <v>0</v>
      </c>
      <c r="C4142" t="inlineStr">
        <is>
          <t>+LS4</t>
        </is>
      </c>
      <c r="D4142" t="inlineStr">
        <is>
          <t>-205K71.6</t>
        </is>
      </c>
      <c r="E4142" t="inlineStr">
        <is>
          <t>DIL_EM-10-G</t>
        </is>
      </c>
      <c r="F4142" t="inlineStr">
        <is>
          <t>#KALK!</t>
        </is>
      </c>
      <c r="G4142" t="inlineStr">
        <is>
          <t>LASTSCHUETZ</t>
        </is>
      </c>
      <c r="H4142" t="inlineStr">
        <is>
          <t>4kW 1S</t>
        </is>
      </c>
      <c r="I4142">
        <v>326</v>
      </c>
      <c r="J4142">
        <f>GS25/205.6</f>
        <v>0</v>
      </c>
      <c r="M4142" t="inlineStr">
        <is>
          <t>-205K71.6</t>
        </is>
      </c>
    </row>
    <row r="4143">
      <c r="A4143">
        <v>4142</v>
      </c>
      <c r="B4143">
        <f>GS06</f>
        <v>0</v>
      </c>
      <c r="C4143" t="inlineStr">
        <is>
          <t>+LS03</t>
        </is>
      </c>
      <c r="D4143" t="inlineStr">
        <is>
          <t>-205Q1</t>
        </is>
      </c>
      <c r="E4143" t="inlineStr">
        <is>
          <t>DILA-XHI22</t>
        </is>
      </c>
      <c r="F4143" t="inlineStr">
        <is>
          <t>DILA-XHI22</t>
        </is>
      </c>
      <c r="G4143" t="inlineStr">
        <is>
          <t>HILFSKONTAKTBLOCK</t>
        </is>
      </c>
      <c r="H4143" t="inlineStr">
        <is>
          <t>2S 2OE Last+Hilfssch. Cage</t>
        </is>
      </c>
      <c r="I4143">
        <v>1777</v>
      </c>
      <c r="J4143">
        <f>GS06/205.7</f>
        <v>0</v>
      </c>
      <c r="K4143" t="inlineStr">
        <is>
          <t>DIL MC25</t>
        </is>
      </c>
      <c r="M4143" t="inlineStr">
        <is>
          <t>-205Q1</t>
        </is>
      </c>
    </row>
    <row r="4144">
      <c r="A4144">
        <v>4143</v>
      </c>
      <c r="B4144">
        <f>GS06</f>
        <v>0</v>
      </c>
      <c r="C4144" t="inlineStr">
        <is>
          <t>+LS03</t>
        </is>
      </c>
      <c r="D4144" t="inlineStr">
        <is>
          <t>-205Q1</t>
        </is>
      </c>
      <c r="E4144" t="inlineStr">
        <is>
          <t>DILMC25-10(RDC24)</t>
        </is>
      </c>
      <c r="F4144" t="inlineStr">
        <is>
          <t>DILA-XHI22</t>
        </is>
      </c>
      <c r="G4144" t="inlineStr">
        <is>
          <t>LASTSCHUETZ</t>
        </is>
      </c>
      <c r="H4144" t="inlineStr">
        <is>
          <t>11kW 1S Federzugkl.</t>
        </is>
      </c>
      <c r="I4144">
        <v>1777</v>
      </c>
      <c r="J4144">
        <f>GS06/205.7</f>
        <v>0</v>
      </c>
      <c r="K4144" t="inlineStr">
        <is>
          <t>DIL MC25</t>
        </is>
      </c>
      <c r="M4144" t="inlineStr">
        <is>
          <t>-205Q1</t>
        </is>
      </c>
    </row>
    <row r="4145">
      <c r="A4145">
        <v>4144</v>
      </c>
      <c r="B4145">
        <f>GS35</f>
        <v>0</v>
      </c>
      <c r="C4145" t="inlineStr">
        <is>
          <t>+LS04</t>
        </is>
      </c>
      <c r="D4145" t="inlineStr">
        <is>
          <t>-205Q1</t>
        </is>
      </c>
      <c r="E4145" t="inlineStr">
        <is>
          <t>DILA-XHI22</t>
        </is>
      </c>
      <c r="F4145" t="inlineStr">
        <is>
          <t>DILA-XHI22</t>
        </is>
      </c>
      <c r="G4145" t="inlineStr">
        <is>
          <t>HILFSKONTAKTBLOCK</t>
        </is>
      </c>
      <c r="H4145" t="inlineStr">
        <is>
          <t>2S 2OE Last+Hilfssch. Cage</t>
        </is>
      </c>
      <c r="I4145">
        <v>364</v>
      </c>
      <c r="J4145">
        <f>GS35/205.4</f>
        <v>0</v>
      </c>
      <c r="K4145" t="inlineStr">
        <is>
          <t>DIL MC25</t>
        </is>
      </c>
      <c r="M4145" t="inlineStr">
        <is>
          <t>-205Q1</t>
        </is>
      </c>
    </row>
    <row r="4146">
      <c r="A4146">
        <v>4145</v>
      </c>
      <c r="B4146">
        <f>GS35</f>
        <v>0</v>
      </c>
      <c r="C4146" t="inlineStr">
        <is>
          <t>+LS04</t>
        </is>
      </c>
      <c r="D4146" t="inlineStr">
        <is>
          <t>-205Q1</t>
        </is>
      </c>
      <c r="E4146" t="inlineStr">
        <is>
          <t>DILM-25-10</t>
        </is>
      </c>
      <c r="F4146" t="inlineStr">
        <is>
          <t>DILA-XHI22</t>
        </is>
      </c>
      <c r="G4146" t="inlineStr">
        <is>
          <t>LASTSCHUETZ</t>
        </is>
      </c>
      <c r="H4146" t="inlineStr">
        <is>
          <t>11kW 1S Federzugkl.</t>
        </is>
      </c>
      <c r="I4146">
        <v>364</v>
      </c>
      <c r="J4146">
        <f>GS35/205.4</f>
        <v>0</v>
      </c>
      <c r="K4146" t="inlineStr">
        <is>
          <t>DIL MC25</t>
        </is>
      </c>
      <c r="M4146" t="inlineStr">
        <is>
          <t>-205Q1</t>
        </is>
      </c>
    </row>
    <row r="4147">
      <c r="A4147">
        <v>4146</v>
      </c>
      <c r="B4147">
        <f>GS36</f>
        <v>0</v>
      </c>
      <c r="C4147" t="inlineStr">
        <is>
          <t>+LS04</t>
        </is>
      </c>
      <c r="D4147" t="inlineStr">
        <is>
          <t>-205Q1</t>
        </is>
      </c>
      <c r="E4147" t="inlineStr">
        <is>
          <t>DILA-XHI22</t>
        </is>
      </c>
      <c r="F4147" t="inlineStr">
        <is>
          <t>DILA-XHI22</t>
        </is>
      </c>
      <c r="G4147" t="inlineStr">
        <is>
          <t>HILFSKONTAKTBLOCK</t>
        </is>
      </c>
      <c r="H4147" t="inlineStr">
        <is>
          <t>2S 2OE Last+Hilfssch. Cage</t>
        </is>
      </c>
      <c r="I4147">
        <v>378</v>
      </c>
      <c r="J4147">
        <f>GS36/205.3</f>
        <v>0</v>
      </c>
      <c r="K4147" t="inlineStr">
        <is>
          <t>DIL MC25</t>
        </is>
      </c>
      <c r="L4147" t="inlineStr">
        <is>
          <t>HVO 23</t>
        </is>
      </c>
      <c r="M4147" t="inlineStr">
        <is>
          <t>HVO 23
-205Q1</t>
        </is>
      </c>
      <c r="N4147" t="inlineStr">
        <is>
          <t>P</t>
        </is>
      </c>
    </row>
    <row r="4148">
      <c r="A4148">
        <v>4147</v>
      </c>
      <c r="B4148">
        <f>GS36</f>
        <v>0</v>
      </c>
      <c r="C4148" t="inlineStr">
        <is>
          <t>+LS04</t>
        </is>
      </c>
      <c r="D4148" t="inlineStr">
        <is>
          <t>-205Q1</t>
        </is>
      </c>
      <c r="E4148" t="inlineStr">
        <is>
          <t>DILMC25-10(RDC24)</t>
        </is>
      </c>
      <c r="F4148" t="inlineStr">
        <is>
          <t>DILA-XHI22</t>
        </is>
      </c>
      <c r="G4148" t="inlineStr">
        <is>
          <t>LASTSCHUETZ</t>
        </is>
      </c>
      <c r="H4148" t="inlineStr">
        <is>
          <t>11kW 1S Federzugkl.</t>
        </is>
      </c>
      <c r="I4148">
        <v>378</v>
      </c>
      <c r="J4148">
        <f>GS36/205.3</f>
        <v>0</v>
      </c>
      <c r="K4148" t="inlineStr">
        <is>
          <t>DIL MC25</t>
        </is>
      </c>
      <c r="L4148" t="inlineStr">
        <is>
          <t>HVO 23</t>
        </is>
      </c>
      <c r="M4148" t="inlineStr">
        <is>
          <t>HVO 23
-205Q1</t>
        </is>
      </c>
      <c r="N4148" t="inlineStr">
        <is>
          <t>P</t>
        </is>
      </c>
    </row>
    <row r="4149">
      <c r="A4149">
        <v>4148</v>
      </c>
      <c r="B4149">
        <f>GS46</f>
        <v>0</v>
      </c>
      <c r="C4149" t="inlineStr">
        <is>
          <t>+LS03</t>
        </is>
      </c>
      <c r="D4149" t="inlineStr">
        <is>
          <t>-205Q1</t>
        </is>
      </c>
      <c r="E4149" t="inlineStr">
        <is>
          <t>DILMC40(RDC24)</t>
        </is>
      </c>
      <c r="F4149" t="inlineStr">
        <is>
          <t>DILM150-XHIC22</t>
        </is>
      </c>
      <c r="G4149" t="inlineStr">
        <is>
          <t>LASTSCHUETZ</t>
        </is>
      </c>
      <c r="H4149" t="inlineStr">
        <is>
          <t>18,5kW Federzugkl.</t>
        </is>
      </c>
      <c r="I4149">
        <v>345</v>
      </c>
      <c r="J4149">
        <f>GS46/205.4</f>
        <v>0</v>
      </c>
      <c r="K4149" t="inlineStr">
        <is>
          <t>DIL MC40</t>
        </is>
      </c>
      <c r="M4149" t="inlineStr">
        <is>
          <t>-205Q1</t>
        </is>
      </c>
    </row>
    <row r="4150">
      <c r="A4150">
        <v>4149</v>
      </c>
      <c r="B4150">
        <f>GS46</f>
        <v>0</v>
      </c>
      <c r="C4150" t="inlineStr">
        <is>
          <t>+LS03</t>
        </is>
      </c>
      <c r="D4150" t="inlineStr">
        <is>
          <t>-205Q1</t>
        </is>
      </c>
      <c r="E4150" t="inlineStr">
        <is>
          <t>DILM150-XHIC22</t>
        </is>
      </c>
      <c r="F4150" t="inlineStr">
        <is>
          <t>DILM150-XHIC22</t>
        </is>
      </c>
      <c r="G4150" t="inlineStr">
        <is>
          <t>HILFSKONTAKTBLOCK</t>
        </is>
      </c>
      <c r="H4150" t="inlineStr">
        <is>
          <t>2S 2OE ab DILMC40</t>
        </is>
      </c>
      <c r="I4150">
        <v>345</v>
      </c>
      <c r="J4150">
        <f>GS46/205.4</f>
        <v>0</v>
      </c>
      <c r="K4150" t="inlineStr">
        <is>
          <t>DIL MC40</t>
        </is>
      </c>
      <c r="M4150" t="inlineStr">
        <is>
          <t>-205Q1</t>
        </is>
      </c>
    </row>
    <row r="4151">
      <c r="A4151">
        <v>4150</v>
      </c>
      <c r="B4151">
        <f>GS47</f>
        <v>0</v>
      </c>
      <c r="C4151" t="inlineStr">
        <is>
          <t>+LS03</t>
        </is>
      </c>
      <c r="D4151" t="inlineStr">
        <is>
          <t>-205Q1</t>
        </is>
      </c>
      <c r="E4151" t="inlineStr">
        <is>
          <t>DILM150-XHIC22</t>
        </is>
      </c>
      <c r="F4151" t="inlineStr">
        <is>
          <t>DILM150-XHIC22</t>
        </is>
      </c>
      <c r="G4151" t="inlineStr">
        <is>
          <t>HILFSKONTAKTBLOCK</t>
        </is>
      </c>
      <c r="H4151" t="inlineStr">
        <is>
          <t>2S 2OE ab DILMC40</t>
        </is>
      </c>
      <c r="I4151">
        <v>345</v>
      </c>
      <c r="J4151">
        <f>GS47/205.4</f>
        <v>0</v>
      </c>
      <c r="K4151" t="inlineStr">
        <is>
          <t>DIL MC40</t>
        </is>
      </c>
      <c r="M4151" t="inlineStr">
        <is>
          <t>-205Q1</t>
        </is>
      </c>
    </row>
    <row r="4152">
      <c r="A4152">
        <v>4151</v>
      </c>
      <c r="B4152">
        <f>GS47</f>
        <v>0</v>
      </c>
      <c r="C4152" t="inlineStr">
        <is>
          <t>+LS03</t>
        </is>
      </c>
      <c r="D4152" t="inlineStr">
        <is>
          <t>-205Q1</t>
        </is>
      </c>
      <c r="E4152" t="inlineStr">
        <is>
          <t>DILMC40(RDC24)</t>
        </is>
      </c>
      <c r="F4152" t="inlineStr">
        <is>
          <t>DILM150-XHIC22</t>
        </is>
      </c>
      <c r="G4152" t="inlineStr">
        <is>
          <t>LASTSCHUETZ</t>
        </is>
      </c>
      <c r="H4152" t="inlineStr">
        <is>
          <t>18,5kW Federzugkl.</t>
        </is>
      </c>
      <c r="I4152">
        <v>345</v>
      </c>
      <c r="J4152">
        <f>GS47/205.4</f>
        <v>0</v>
      </c>
      <c r="K4152" t="inlineStr">
        <is>
          <t>DIL MC40</t>
        </is>
      </c>
      <c r="M4152" t="inlineStr">
        <is>
          <t>-205Q1</t>
        </is>
      </c>
    </row>
    <row r="4153">
      <c r="A4153">
        <v>4152</v>
      </c>
      <c r="B4153">
        <f>GS48</f>
        <v>0</v>
      </c>
      <c r="C4153" t="inlineStr">
        <is>
          <t>+LS03</t>
        </is>
      </c>
      <c r="D4153" t="inlineStr">
        <is>
          <t>-205Q1</t>
        </is>
      </c>
      <c r="E4153" t="inlineStr">
        <is>
          <t>DILA-XHI22</t>
        </is>
      </c>
      <c r="F4153" t="inlineStr">
        <is>
          <t>DILA-XHI22</t>
        </is>
      </c>
      <c r="G4153" t="inlineStr">
        <is>
          <t>HILFSKONTAKTBLOCK</t>
        </is>
      </c>
      <c r="H4153" t="inlineStr">
        <is>
          <t>2S 2OE Last+Hilfssch. Cage</t>
        </is>
      </c>
      <c r="I4153">
        <v>357</v>
      </c>
      <c r="J4153">
        <f>GS48/205.4</f>
        <v>0</v>
      </c>
      <c r="K4153" t="inlineStr">
        <is>
          <t>DIL MC40</t>
        </is>
      </c>
      <c r="M4153" t="inlineStr">
        <is>
          <t>-205Q1</t>
        </is>
      </c>
    </row>
    <row r="4154">
      <c r="A4154">
        <v>4153</v>
      </c>
      <c r="B4154">
        <f>GS48</f>
        <v>0</v>
      </c>
      <c r="C4154" t="inlineStr">
        <is>
          <t>+LS03</t>
        </is>
      </c>
      <c r="D4154" t="inlineStr">
        <is>
          <t>-205Q1</t>
        </is>
      </c>
      <c r="E4154" t="inlineStr">
        <is>
          <t>DILMC40(RDC24)</t>
        </is>
      </c>
      <c r="F4154" t="inlineStr">
        <is>
          <t>DILA-XHI22</t>
        </is>
      </c>
      <c r="G4154" t="inlineStr">
        <is>
          <t>LASTSCHUETZ</t>
        </is>
      </c>
      <c r="H4154" t="inlineStr">
        <is>
          <t>18,5kW Federzugkl.</t>
        </is>
      </c>
      <c r="I4154">
        <v>357</v>
      </c>
      <c r="J4154">
        <f>GS48/205.4</f>
        <v>0</v>
      </c>
      <c r="K4154" t="inlineStr">
        <is>
          <t>DIL MC40</t>
        </is>
      </c>
      <c r="M4154" t="inlineStr">
        <is>
          <t>-205Q1</t>
        </is>
      </c>
    </row>
    <row r="4155">
      <c r="A4155">
        <v>4154</v>
      </c>
      <c r="B4155">
        <f>GS49</f>
        <v>0</v>
      </c>
      <c r="C4155" t="inlineStr">
        <is>
          <t>+LS03</t>
        </is>
      </c>
      <c r="D4155" t="inlineStr">
        <is>
          <t>-205Q1</t>
        </is>
      </c>
      <c r="E4155" t="inlineStr">
        <is>
          <t>DILMC40(RDC24)</t>
        </is>
      </c>
      <c r="F4155" t="inlineStr">
        <is>
          <t>DILM150-XHIC22</t>
        </is>
      </c>
      <c r="G4155" t="inlineStr">
        <is>
          <t>LASTSCHUETZ</t>
        </is>
      </c>
      <c r="H4155" t="inlineStr">
        <is>
          <t>18,5kW Federzugkl.</t>
        </is>
      </c>
      <c r="I4155">
        <v>356</v>
      </c>
      <c r="J4155">
        <f>GS49/205.4</f>
        <v>0</v>
      </c>
      <c r="M4155" t="inlineStr">
        <is>
          <t>-205Q1</t>
        </is>
      </c>
    </row>
    <row r="4156">
      <c r="A4156">
        <v>4155</v>
      </c>
      <c r="B4156">
        <f>GS49</f>
        <v>0</v>
      </c>
      <c r="C4156" t="inlineStr">
        <is>
          <t>+LS03</t>
        </is>
      </c>
      <c r="D4156" t="inlineStr">
        <is>
          <t>-205Q1</t>
        </is>
      </c>
      <c r="E4156" t="inlineStr">
        <is>
          <t>DILM150-XHIC22</t>
        </is>
      </c>
      <c r="F4156" t="inlineStr">
        <is>
          <t>DILM150-XHIC22</t>
        </is>
      </c>
      <c r="G4156" t="inlineStr">
        <is>
          <t>HILFSKONTAKTBLOCK</t>
        </is>
      </c>
      <c r="H4156" t="inlineStr">
        <is>
          <t>2S 2OE ab DILMC40</t>
        </is>
      </c>
      <c r="I4156">
        <v>356</v>
      </c>
      <c r="J4156">
        <f>GS49/205.4</f>
        <v>0</v>
      </c>
      <c r="M4156" t="inlineStr">
        <is>
          <t>-205Q1</t>
        </is>
      </c>
    </row>
    <row r="4157">
      <c r="A4157">
        <v>4156</v>
      </c>
      <c r="B4157">
        <f>GS90</f>
        <v>0</v>
      </c>
      <c r="C4157" t="inlineStr">
        <is>
          <t>+LS03</t>
        </is>
      </c>
      <c r="D4157" t="inlineStr">
        <is>
          <t>-205Q1</t>
        </is>
      </c>
      <c r="E4157" t="inlineStr">
        <is>
          <t>DILA-XHI22</t>
        </is>
      </c>
      <c r="F4157" t="inlineStr">
        <is>
          <t>DILA-XHI22</t>
        </is>
      </c>
      <c r="G4157" t="inlineStr">
        <is>
          <t>HILFSKONTAKTBLOCK</t>
        </is>
      </c>
      <c r="H4157" t="inlineStr">
        <is>
          <t>2S 2OE Last+Hilfssch. Cage</t>
        </is>
      </c>
      <c r="I4157">
        <v>1034</v>
      </c>
      <c r="J4157">
        <f>GS90/205.4</f>
        <v>0</v>
      </c>
      <c r="K4157" t="inlineStr">
        <is>
          <t>DIL MC25</t>
        </is>
      </c>
      <c r="M4157" t="inlineStr">
        <is>
          <t>-205Q1</t>
        </is>
      </c>
    </row>
    <row r="4158">
      <c r="A4158">
        <v>4157</v>
      </c>
      <c r="B4158">
        <f>GS90</f>
        <v>0</v>
      </c>
      <c r="C4158" t="inlineStr">
        <is>
          <t>+LS03</t>
        </is>
      </c>
      <c r="D4158" t="inlineStr">
        <is>
          <t>-205Q1</t>
        </is>
      </c>
      <c r="E4158" t="inlineStr">
        <is>
          <t>DILMC25-10(RDC24)</t>
        </is>
      </c>
      <c r="F4158" t="inlineStr">
        <is>
          <t>DILA-XHI22</t>
        </is>
      </c>
      <c r="G4158" t="inlineStr">
        <is>
          <t>LASTSCHUETZ</t>
        </is>
      </c>
      <c r="H4158" t="inlineStr">
        <is>
          <t>11kW 1S Federzugkl.</t>
        </is>
      </c>
      <c r="I4158">
        <v>1034</v>
      </c>
      <c r="J4158">
        <f>GS90/205.4</f>
        <v>0</v>
      </c>
      <c r="K4158" t="inlineStr">
        <is>
          <t>DIL MC25</t>
        </is>
      </c>
      <c r="M4158" t="inlineStr">
        <is>
          <t>-205Q1</t>
        </is>
      </c>
    </row>
    <row r="4159">
      <c r="A4159">
        <v>4158</v>
      </c>
      <c r="B4159">
        <f>GS94</f>
        <v>0</v>
      </c>
      <c r="C4159" t="inlineStr">
        <is>
          <t>+LS16</t>
        </is>
      </c>
      <c r="D4159" t="inlineStr">
        <is>
          <t>-205Q1</t>
        </is>
      </c>
      <c r="E4159" t="inlineStr">
        <is>
          <t>DILMC25-10(RDC24)</t>
        </is>
      </c>
      <c r="F4159" t="inlineStr">
        <is>
          <t>DILA-XHI22</t>
        </is>
      </c>
      <c r="G4159" t="inlineStr">
        <is>
          <t>LASTSCHUETZ</t>
        </is>
      </c>
      <c r="H4159" t="inlineStr">
        <is>
          <t>11kW 1S Federzugkl.</t>
        </is>
      </c>
      <c r="I4159">
        <v>295</v>
      </c>
      <c r="J4159">
        <f>GS94/205.4</f>
        <v>0</v>
      </c>
      <c r="K4159" t="inlineStr">
        <is>
          <t>DIL MC25</t>
        </is>
      </c>
      <c r="M4159" t="inlineStr">
        <is>
          <t>-205Q1</t>
        </is>
      </c>
    </row>
    <row r="4160">
      <c r="A4160">
        <v>4159</v>
      </c>
      <c r="B4160">
        <f>GS94</f>
        <v>0</v>
      </c>
      <c r="C4160" t="inlineStr">
        <is>
          <t>+LS16</t>
        </is>
      </c>
      <c r="D4160" t="inlineStr">
        <is>
          <t>-205Q1</t>
        </is>
      </c>
      <c r="E4160" t="inlineStr">
        <is>
          <t>DILA-XHI22</t>
        </is>
      </c>
      <c r="F4160" t="inlineStr">
        <is>
          <t>DILA-XHI22</t>
        </is>
      </c>
      <c r="G4160" t="inlineStr">
        <is>
          <t>HILFSKONTAKTBLOCK</t>
        </is>
      </c>
      <c r="H4160" t="inlineStr">
        <is>
          <t>2S 2OE Last+Hilfssch. Cage</t>
        </is>
      </c>
      <c r="I4160">
        <v>295</v>
      </c>
      <c r="J4160">
        <f>GS94/205.4</f>
        <v>0</v>
      </c>
      <c r="K4160" t="inlineStr">
        <is>
          <t>DIL MC25</t>
        </is>
      </c>
      <c r="M4160" t="inlineStr">
        <is>
          <t>-205Q1</t>
        </is>
      </c>
    </row>
    <row r="4161">
      <c r="A4161">
        <v>4160</v>
      </c>
      <c r="B4161">
        <f>GS95</f>
        <v>0</v>
      </c>
      <c r="C4161" t="inlineStr">
        <is>
          <t>+LS16</t>
        </is>
      </c>
      <c r="D4161" t="inlineStr">
        <is>
          <t>-205Q1</t>
        </is>
      </c>
      <c r="E4161" t="inlineStr">
        <is>
          <t>DILA-XHI22</t>
        </is>
      </c>
      <c r="F4161" t="inlineStr">
        <is>
          <t>DILA-XHI22</t>
        </is>
      </c>
      <c r="G4161" t="inlineStr">
        <is>
          <t>HILFSKONTAKTBLOCK</t>
        </is>
      </c>
      <c r="H4161" t="inlineStr">
        <is>
          <t>2S 2OE Last+Hilfssch. Cage</t>
        </is>
      </c>
      <c r="I4161">
        <v>295</v>
      </c>
      <c r="J4161">
        <f>GS95/205.4</f>
        <v>0</v>
      </c>
      <c r="K4161" t="inlineStr">
        <is>
          <t>DIL MC25</t>
        </is>
      </c>
      <c r="M4161" t="inlineStr">
        <is>
          <t>-205Q1</t>
        </is>
      </c>
    </row>
    <row r="4162">
      <c r="A4162">
        <v>4161</v>
      </c>
      <c r="B4162">
        <f>GS95</f>
        <v>0</v>
      </c>
      <c r="C4162" t="inlineStr">
        <is>
          <t>+LS16</t>
        </is>
      </c>
      <c r="D4162" t="inlineStr">
        <is>
          <t>-205Q1</t>
        </is>
      </c>
      <c r="E4162" t="inlineStr">
        <is>
          <t>DILMC25-10(RDC24)</t>
        </is>
      </c>
      <c r="F4162" t="inlineStr">
        <is>
          <t>DILA-XHI22</t>
        </is>
      </c>
      <c r="G4162" t="inlineStr">
        <is>
          <t>LASTSCHUETZ</t>
        </is>
      </c>
      <c r="H4162" t="inlineStr">
        <is>
          <t>11kW 1S Federzugkl.</t>
        </is>
      </c>
      <c r="I4162">
        <v>295</v>
      </c>
      <c r="J4162">
        <f>GS95/205.4</f>
        <v>0</v>
      </c>
      <c r="K4162" t="inlineStr">
        <is>
          <t>DIL MC25</t>
        </is>
      </c>
      <c r="M4162" t="inlineStr">
        <is>
          <t>-205Q1</t>
        </is>
      </c>
    </row>
    <row r="4163">
      <c r="A4163">
        <v>4162</v>
      </c>
      <c r="B4163">
        <f>GS96</f>
        <v>0</v>
      </c>
      <c r="C4163" t="inlineStr">
        <is>
          <t>+LS16</t>
        </is>
      </c>
      <c r="D4163" t="inlineStr">
        <is>
          <t>-205Q1</t>
        </is>
      </c>
      <c r="E4163" t="inlineStr">
        <is>
          <t>DILMC25-10(RDC24)</t>
        </is>
      </c>
      <c r="F4163" t="inlineStr">
        <is>
          <t>DILA-XHI22</t>
        </is>
      </c>
      <c r="G4163" t="inlineStr">
        <is>
          <t>LASTSCHUETZ</t>
        </is>
      </c>
      <c r="H4163" t="inlineStr">
        <is>
          <t>11kW 1S Federzugkl.</t>
        </is>
      </c>
      <c r="I4163">
        <v>295</v>
      </c>
      <c r="J4163">
        <f>GS96/205.4</f>
        <v>0</v>
      </c>
      <c r="K4163" t="inlineStr">
        <is>
          <t>DIL MC25</t>
        </is>
      </c>
      <c r="M4163" t="inlineStr">
        <is>
          <t>-205Q1</t>
        </is>
      </c>
    </row>
    <row r="4164">
      <c r="A4164">
        <v>4163</v>
      </c>
      <c r="B4164">
        <f>GS96</f>
        <v>0</v>
      </c>
      <c r="C4164" t="inlineStr">
        <is>
          <t>+LS16</t>
        </is>
      </c>
      <c r="D4164" t="inlineStr">
        <is>
          <t>-205Q1</t>
        </is>
      </c>
      <c r="E4164" t="inlineStr">
        <is>
          <t>DILA-XHI22</t>
        </is>
      </c>
      <c r="F4164" t="inlineStr">
        <is>
          <t>DILA-XHI22</t>
        </is>
      </c>
      <c r="G4164" t="inlineStr">
        <is>
          <t>HILFSKONTAKTBLOCK</t>
        </is>
      </c>
      <c r="H4164" t="inlineStr">
        <is>
          <t>2S 2OE Last+Hilfssch. Cage</t>
        </is>
      </c>
      <c r="I4164">
        <v>295</v>
      </c>
      <c r="J4164">
        <f>GS96/205.4</f>
        <v>0</v>
      </c>
      <c r="K4164" t="inlineStr">
        <is>
          <t>DIL MC25</t>
        </is>
      </c>
      <c r="M4164" t="inlineStr">
        <is>
          <t>-205Q1</t>
        </is>
      </c>
    </row>
    <row r="4165">
      <c r="A4165">
        <v>4164</v>
      </c>
      <c r="B4165">
        <f>GS97</f>
        <v>0</v>
      </c>
      <c r="C4165" t="inlineStr">
        <is>
          <t>+LS16</t>
        </is>
      </c>
      <c r="D4165" t="inlineStr">
        <is>
          <t>-205Q1</t>
        </is>
      </c>
      <c r="E4165" t="inlineStr">
        <is>
          <t>DILMC25-10(RDC24)</t>
        </is>
      </c>
      <c r="F4165" t="inlineStr">
        <is>
          <t>DILA-XHI22</t>
        </is>
      </c>
      <c r="G4165" t="inlineStr">
        <is>
          <t>LASTSCHUETZ</t>
        </is>
      </c>
      <c r="H4165" t="inlineStr">
        <is>
          <t>11kW 1S Federzugkl.</t>
        </is>
      </c>
      <c r="I4165">
        <v>295</v>
      </c>
      <c r="J4165">
        <f>GS97/205.4</f>
        <v>0</v>
      </c>
      <c r="K4165" t="inlineStr">
        <is>
          <t>DIL MC25</t>
        </is>
      </c>
      <c r="M4165" t="inlineStr">
        <is>
          <t>-205Q1</t>
        </is>
      </c>
    </row>
    <row r="4166">
      <c r="A4166">
        <v>4165</v>
      </c>
      <c r="B4166">
        <f>GS97</f>
        <v>0</v>
      </c>
      <c r="C4166" t="inlineStr">
        <is>
          <t>+LS16</t>
        </is>
      </c>
      <c r="D4166" t="inlineStr">
        <is>
          <t>-205Q1</t>
        </is>
      </c>
      <c r="E4166" t="inlineStr">
        <is>
          <t>DILA-XHI22</t>
        </is>
      </c>
      <c r="F4166" t="inlineStr">
        <is>
          <t>DILA-XHI22</t>
        </is>
      </c>
      <c r="G4166" t="inlineStr">
        <is>
          <t>HILFSKONTAKTBLOCK</t>
        </is>
      </c>
      <c r="H4166" t="inlineStr">
        <is>
          <t>2S 2OE Last+Hilfssch. Cage</t>
        </is>
      </c>
      <c r="I4166">
        <v>295</v>
      </c>
      <c r="J4166">
        <f>GS97/205.4</f>
        <v>0</v>
      </c>
      <c r="K4166" t="inlineStr">
        <is>
          <t>DIL MC25</t>
        </is>
      </c>
      <c r="M4166" t="inlineStr">
        <is>
          <t>-205Q1</t>
        </is>
      </c>
    </row>
    <row r="4167">
      <c r="A4167">
        <v>4166</v>
      </c>
      <c r="B4167">
        <f>GS91</f>
        <v>0</v>
      </c>
      <c r="C4167" t="inlineStr">
        <is>
          <t>+LS02</t>
        </is>
      </c>
      <c r="D4167" t="inlineStr">
        <is>
          <t>-205Q451.2</t>
        </is>
      </c>
      <c r="E4167" t="inlineStr">
        <is>
          <t>DILM-9-10</t>
        </is>
      </c>
      <c r="F4167" t="inlineStr">
        <is>
          <t>#KALK!</t>
        </is>
      </c>
      <c r="G4167" t="inlineStr">
        <is>
          <t>LASTSCHUETZ</t>
        </is>
      </c>
      <c r="H4167" t="inlineStr">
        <is>
          <t>4kW 1S Federzugkl.</t>
        </is>
      </c>
      <c r="I4167">
        <v>313</v>
      </c>
      <c r="J4167">
        <f>GS91/205.5</f>
        <v>0</v>
      </c>
      <c r="M4167" t="inlineStr">
        <is>
          <t>-205Q451.2</t>
        </is>
      </c>
    </row>
    <row r="4168">
      <c r="A4168">
        <v>4167</v>
      </c>
      <c r="B4168">
        <f>GS20</f>
        <v>0</v>
      </c>
      <c r="C4168" t="inlineStr">
        <is>
          <t>+LS03</t>
        </is>
      </c>
      <c r="D4168" t="inlineStr">
        <is>
          <t>-206K1</t>
        </is>
      </c>
      <c r="E4168" t="inlineStr">
        <is>
          <t>DILA-XHI22</t>
        </is>
      </c>
      <c r="F4168" t="inlineStr">
        <is>
          <t>DILA-XHI22</t>
        </is>
      </c>
      <c r="G4168" t="inlineStr">
        <is>
          <t>HILFSKONTAKTBLOCK</t>
        </is>
      </c>
      <c r="H4168" t="inlineStr">
        <is>
          <t>2S 2OE Last+Hilfssch. Cage</t>
        </is>
      </c>
      <c r="I4168">
        <v>1556</v>
      </c>
      <c r="J4168">
        <f>GS20/206.5</f>
        <v>0</v>
      </c>
      <c r="M4168" t="inlineStr">
        <is>
          <t>-206K1</t>
        </is>
      </c>
    </row>
    <row r="4169">
      <c r="A4169">
        <v>4168</v>
      </c>
      <c r="B4169">
        <f>GS20</f>
        <v>0</v>
      </c>
      <c r="C4169" t="inlineStr">
        <is>
          <t>+LS03</t>
        </is>
      </c>
      <c r="D4169" t="inlineStr">
        <is>
          <t>-206K1</t>
        </is>
      </c>
      <c r="E4169" t="inlineStr">
        <is>
          <t>DILM-9-10</t>
        </is>
      </c>
      <c r="F4169" t="inlineStr">
        <is>
          <t>DILA-XHI22</t>
        </is>
      </c>
      <c r="G4169" t="inlineStr">
        <is>
          <t>LASTSCHUETZ</t>
        </is>
      </c>
      <c r="H4169" t="inlineStr">
        <is>
          <t>4kW 1S Federzugkl.</t>
        </is>
      </c>
      <c r="I4169">
        <v>1556</v>
      </c>
      <c r="J4169">
        <f>GS20/206.5</f>
        <v>0</v>
      </c>
      <c r="M4169" t="inlineStr">
        <is>
          <t>-206K1</t>
        </is>
      </c>
    </row>
    <row r="4170">
      <c r="A4170">
        <v>4169</v>
      </c>
      <c r="B4170">
        <f>GS7x</f>
        <v>0</v>
      </c>
      <c r="C4170" t="inlineStr">
        <is>
          <t>+LS[l3]</t>
        </is>
      </c>
      <c r="D4170" t="inlineStr">
        <is>
          <t>-206K1</t>
        </is>
      </c>
      <c r="E4170" t="inlineStr">
        <is>
          <t>DILA-XHIC40</t>
        </is>
      </c>
      <c r="F4170" t="inlineStr">
        <is>
          <t>DILA-XHIC40</t>
        </is>
      </c>
      <c r="G4170" t="inlineStr">
        <is>
          <t>HILFSKONTAKTBLOCK</t>
        </is>
      </c>
      <c r="H4170" t="inlineStr">
        <is>
          <t>4S Last+Hilfssch. Cage</t>
        </is>
      </c>
      <c r="I4170">
        <v>251</v>
      </c>
      <c r="J4170">
        <f>GS7x/206.6</f>
        <v>0</v>
      </c>
      <c r="M4170" t="inlineStr">
        <is>
          <t>-206K1</t>
        </is>
      </c>
    </row>
    <row r="4171">
      <c r="A4171">
        <v>4170</v>
      </c>
      <c r="B4171">
        <f>GS7x</f>
        <v>0</v>
      </c>
      <c r="C4171" t="inlineStr">
        <is>
          <t>+LS[l3]</t>
        </is>
      </c>
      <c r="D4171" t="inlineStr">
        <is>
          <t>-206K1</t>
        </is>
      </c>
      <c r="E4171" t="inlineStr">
        <is>
          <t>DILA-40</t>
        </is>
      </c>
      <c r="F4171" t="inlineStr">
        <is>
          <t>DILA-XHIC40</t>
        </is>
      </c>
      <c r="G4171" t="inlineStr">
        <is>
          <t>HILFSSCHUETZ</t>
        </is>
      </c>
      <c r="H4171" t="inlineStr">
        <is>
          <t>4S Federzugkl.</t>
        </is>
      </c>
      <c r="I4171">
        <v>251</v>
      </c>
      <c r="J4171">
        <f>GS7x/206.6</f>
        <v>0</v>
      </c>
      <c r="M4171" t="inlineStr">
        <is>
          <t>-206K1</t>
        </is>
      </c>
    </row>
    <row r="4172">
      <c r="A4172">
        <v>4171</v>
      </c>
      <c r="B4172">
        <f>GS20</f>
        <v>0</v>
      </c>
      <c r="C4172" t="inlineStr">
        <is>
          <t>+LS03</t>
        </is>
      </c>
      <c r="D4172" t="inlineStr">
        <is>
          <t>-206K2</t>
        </is>
      </c>
      <c r="E4172" t="inlineStr">
        <is>
          <t>DILM-9-10</t>
        </is>
      </c>
      <c r="F4172" t="inlineStr">
        <is>
          <t>DILA-XHI22</t>
        </is>
      </c>
      <c r="G4172" t="inlineStr">
        <is>
          <t>LASTSCHUETZ</t>
        </is>
      </c>
      <c r="H4172" t="inlineStr">
        <is>
          <t>4kW 1S Federzugkl.</t>
        </is>
      </c>
      <c r="I4172">
        <v>1556</v>
      </c>
      <c r="J4172">
        <f>GS20/206.6</f>
        <v>0</v>
      </c>
      <c r="M4172" t="inlineStr">
        <is>
          <t>-206K2</t>
        </is>
      </c>
    </row>
    <row r="4173">
      <c r="A4173">
        <v>4172</v>
      </c>
      <c r="B4173">
        <f>GS20</f>
        <v>0</v>
      </c>
      <c r="C4173" t="inlineStr">
        <is>
          <t>+LS03</t>
        </is>
      </c>
      <c r="D4173" t="inlineStr">
        <is>
          <t>-206K2</t>
        </is>
      </c>
      <c r="E4173" t="inlineStr">
        <is>
          <t>DILA-XHI22</t>
        </is>
      </c>
      <c r="F4173" t="inlineStr">
        <is>
          <t>DILA-XHI22</t>
        </is>
      </c>
      <c r="G4173" t="inlineStr">
        <is>
          <t>HILFSKONTAKTBLOCK</t>
        </is>
      </c>
      <c r="H4173" t="inlineStr">
        <is>
          <t>2S 2OE Last+Hilfssch. Cage</t>
        </is>
      </c>
      <c r="I4173">
        <v>1556</v>
      </c>
      <c r="J4173">
        <f>GS20/206.6</f>
        <v>0</v>
      </c>
      <c r="M4173" t="inlineStr">
        <is>
          <t>-206K2</t>
        </is>
      </c>
    </row>
    <row r="4174">
      <c r="A4174">
        <v>4173</v>
      </c>
      <c r="B4174">
        <f>GS7x</f>
        <v>0</v>
      </c>
      <c r="C4174" t="inlineStr">
        <is>
          <t>+LS[l3]</t>
        </is>
      </c>
      <c r="D4174" t="inlineStr">
        <is>
          <t>-206K2</t>
        </is>
      </c>
      <c r="E4174" t="inlineStr">
        <is>
          <t>DILA-XHIC40</t>
        </is>
      </c>
      <c r="F4174" t="inlineStr">
        <is>
          <t>DILA-XHIC40</t>
        </is>
      </c>
      <c r="G4174" t="inlineStr">
        <is>
          <t>HILFSKONTAKTBLOCK</t>
        </is>
      </c>
      <c r="H4174" t="inlineStr">
        <is>
          <t>4S Last+Hilfssch. Cage</t>
        </is>
      </c>
      <c r="I4174">
        <v>251</v>
      </c>
      <c r="J4174">
        <f>GS7x/206.6</f>
        <v>0</v>
      </c>
      <c r="M4174" t="inlineStr">
        <is>
          <t>-206K2</t>
        </is>
      </c>
    </row>
    <row r="4175">
      <c r="A4175">
        <v>4174</v>
      </c>
      <c r="B4175">
        <f>GS7x</f>
        <v>0</v>
      </c>
      <c r="C4175" t="inlineStr">
        <is>
          <t>+LS[l3]</t>
        </is>
      </c>
      <c r="D4175" t="inlineStr">
        <is>
          <t>-206K2</t>
        </is>
      </c>
      <c r="E4175" t="inlineStr">
        <is>
          <t>DILA-40</t>
        </is>
      </c>
      <c r="F4175" t="inlineStr">
        <is>
          <t>DILA-XHIC40</t>
        </is>
      </c>
      <c r="G4175" t="inlineStr">
        <is>
          <t>HILFSSCHUETZ</t>
        </is>
      </c>
      <c r="H4175" t="inlineStr">
        <is>
          <t>4S Federzugkl.</t>
        </is>
      </c>
      <c r="I4175">
        <v>251</v>
      </c>
      <c r="J4175">
        <f>GS7x/206.6</f>
        <v>0</v>
      </c>
      <c r="M4175" t="inlineStr">
        <is>
          <t>-206K2</t>
        </is>
      </c>
    </row>
    <row r="4176">
      <c r="A4176">
        <v>4175</v>
      </c>
      <c r="B4176">
        <f>GS26</f>
        <v>0</v>
      </c>
      <c r="C4176" t="inlineStr">
        <is>
          <t>+LS3</t>
        </is>
      </c>
      <c r="D4176" t="inlineStr">
        <is>
          <t>-206K3522.3</t>
        </is>
      </c>
      <c r="E4176" t="inlineStr">
        <is>
          <t>DILM-9-10</t>
        </is>
      </c>
      <c r="F4176" t="inlineStr">
        <is>
          <t>#KALK!</t>
        </is>
      </c>
      <c r="G4176" t="inlineStr">
        <is>
          <t>LASTSCHUETZ</t>
        </is>
      </c>
      <c r="H4176" t="inlineStr">
        <is>
          <t>4kW 1S Federzugkl.</t>
        </is>
      </c>
      <c r="I4176">
        <v>610</v>
      </c>
      <c r="J4176">
        <f>GS26/206.8</f>
        <v>0</v>
      </c>
      <c r="M4176" t="inlineStr">
        <is>
          <t>-206K3522.3</t>
        </is>
      </c>
    </row>
    <row r="4177">
      <c r="A4177">
        <v>4176</v>
      </c>
      <c r="B4177">
        <f>GS16</f>
        <v>0</v>
      </c>
      <c r="C4177" t="inlineStr">
        <is>
          <t>+LS4</t>
        </is>
      </c>
      <c r="D4177" t="inlineStr">
        <is>
          <t>-206K3932.5</t>
        </is>
      </c>
      <c r="E4177" t="inlineStr">
        <is>
          <t>DIL_EM-10-G</t>
        </is>
      </c>
      <c r="F4177" t="inlineStr">
        <is>
          <t>#KALK!</t>
        </is>
      </c>
      <c r="G4177" t="inlineStr">
        <is>
          <t>LASTSCHUETZ</t>
        </is>
      </c>
      <c r="H4177" t="inlineStr">
        <is>
          <t>4kW 1S</t>
        </is>
      </c>
      <c r="I4177">
        <v>430</v>
      </c>
      <c r="J4177">
        <f>GS16/206.7</f>
        <v>0</v>
      </c>
      <c r="M4177" t="inlineStr">
        <is>
          <t>-206K3932.5</t>
        </is>
      </c>
    </row>
    <row r="4178">
      <c r="A4178">
        <v>4177</v>
      </c>
      <c r="B4178">
        <f>GS32</f>
        <v>0</v>
      </c>
      <c r="C4178" t="inlineStr">
        <is>
          <t>+LS4</t>
        </is>
      </c>
      <c r="D4178" t="inlineStr">
        <is>
          <t>-206K40.1</t>
        </is>
      </c>
      <c r="E4178" t="inlineStr">
        <is>
          <t>DIL_EM-10-G</t>
        </is>
      </c>
      <c r="F4178" t="inlineStr">
        <is>
          <t>#KALK!</t>
        </is>
      </c>
      <c r="G4178" t="inlineStr">
        <is>
          <t>LASTSCHUETZ</t>
        </is>
      </c>
      <c r="H4178" t="inlineStr">
        <is>
          <t>4kW 1S</t>
        </is>
      </c>
      <c r="I4178">
        <v>1045</v>
      </c>
      <c r="J4178">
        <f>GS32/206.7</f>
        <v>0</v>
      </c>
      <c r="M4178" t="inlineStr">
        <is>
          <t>-206K40.1</t>
        </is>
      </c>
    </row>
    <row r="4179">
      <c r="A4179">
        <v>4178</v>
      </c>
      <c r="B4179">
        <f>GS11</f>
        <v>0</v>
      </c>
      <c r="C4179" t="inlineStr">
        <is>
          <t>+LS5</t>
        </is>
      </c>
      <c r="D4179" t="inlineStr">
        <is>
          <t>-206K48.1</t>
        </is>
      </c>
      <c r="E4179" t="inlineStr">
        <is>
          <t>DIL_EM-10-G</t>
        </is>
      </c>
      <c r="F4179" t="inlineStr">
        <is>
          <t>#KALK!</t>
        </is>
      </c>
      <c r="G4179" t="inlineStr">
        <is>
          <t>LASTSCHUETZ</t>
        </is>
      </c>
      <c r="H4179" t="inlineStr">
        <is>
          <t>4kW 1S</t>
        </is>
      </c>
      <c r="I4179">
        <v>317</v>
      </c>
      <c r="J4179">
        <f>GS11/206.6</f>
        <v>0</v>
      </c>
      <c r="M4179" t="inlineStr">
        <is>
          <t>-206K48.1</t>
        </is>
      </c>
    </row>
    <row r="4180">
      <c r="A4180">
        <v>4179</v>
      </c>
      <c r="B4180">
        <f>GS21</f>
        <v>0</v>
      </c>
      <c r="C4180" t="inlineStr">
        <is>
          <t>+LS5</t>
        </is>
      </c>
      <c r="D4180" t="inlineStr">
        <is>
          <t>-206K48.1</t>
        </is>
      </c>
      <c r="E4180" t="inlineStr">
        <is>
          <t>DIL_EM-10-G</t>
        </is>
      </c>
      <c r="F4180" t="inlineStr">
        <is>
          <t>#KALK!</t>
        </is>
      </c>
      <c r="G4180" t="inlineStr">
        <is>
          <t>LASTSCHUETZ</t>
        </is>
      </c>
      <c r="H4180" t="inlineStr">
        <is>
          <t>4kW 1S</t>
        </is>
      </c>
      <c r="I4180">
        <v>291</v>
      </c>
      <c r="J4180">
        <f>GS21/206.6</f>
        <v>0</v>
      </c>
      <c r="M4180" t="inlineStr">
        <is>
          <t>-206K48.1</t>
        </is>
      </c>
    </row>
    <row r="4181">
      <c r="A4181">
        <v>4180</v>
      </c>
      <c r="B4181">
        <f>GS11</f>
        <v>0</v>
      </c>
      <c r="C4181" t="inlineStr">
        <is>
          <t>+LS5</t>
        </is>
      </c>
      <c r="D4181" t="inlineStr">
        <is>
          <t>-206K52.1</t>
        </is>
      </c>
      <c r="E4181" t="inlineStr">
        <is>
          <t>DIL_EM-10-G</t>
        </is>
      </c>
      <c r="F4181" t="inlineStr">
        <is>
          <t>#KALK!</t>
        </is>
      </c>
      <c r="G4181" t="inlineStr">
        <is>
          <t>LASTSCHUETZ</t>
        </is>
      </c>
      <c r="H4181" t="inlineStr">
        <is>
          <t>4kW 1S</t>
        </is>
      </c>
      <c r="I4181">
        <v>317</v>
      </c>
      <c r="J4181">
        <f>GS11/206.6</f>
        <v>0</v>
      </c>
      <c r="M4181" t="inlineStr">
        <is>
          <t>-206K52.1</t>
        </is>
      </c>
    </row>
    <row r="4182">
      <c r="A4182">
        <v>4181</v>
      </c>
      <c r="B4182">
        <f>GS21</f>
        <v>0</v>
      </c>
      <c r="C4182" t="inlineStr">
        <is>
          <t>+LS5</t>
        </is>
      </c>
      <c r="D4182" t="inlineStr">
        <is>
          <t>-206K52.1</t>
        </is>
      </c>
      <c r="E4182" t="inlineStr">
        <is>
          <t>DIL_EM-10-G</t>
        </is>
      </c>
      <c r="F4182" t="inlineStr">
        <is>
          <t>#KALK!</t>
        </is>
      </c>
      <c r="G4182" t="inlineStr">
        <is>
          <t>LASTSCHUETZ</t>
        </is>
      </c>
      <c r="H4182" t="inlineStr">
        <is>
          <t>4kW 1S</t>
        </is>
      </c>
      <c r="I4182">
        <v>291</v>
      </c>
      <c r="J4182">
        <f>GS21/206.6</f>
        <v>0</v>
      </c>
      <c r="M4182" t="inlineStr">
        <is>
          <t>-206K52.1</t>
        </is>
      </c>
    </row>
    <row r="4183">
      <c r="A4183">
        <v>4182</v>
      </c>
      <c r="B4183">
        <f>GS62</f>
        <v>0</v>
      </c>
      <c r="C4183" t="inlineStr">
        <is>
          <t>+LS1</t>
        </is>
      </c>
      <c r="D4183" t="inlineStr">
        <is>
          <t>-206K59.3</t>
        </is>
      </c>
      <c r="E4183" t="inlineStr">
        <is>
          <t>DIL_EM-10-G</t>
        </is>
      </c>
      <c r="F4183" t="inlineStr">
        <is>
          <t>#KALK!</t>
        </is>
      </c>
      <c r="G4183" t="inlineStr">
        <is>
          <t>LASTSCHUETZ</t>
        </is>
      </c>
      <c r="H4183" t="inlineStr">
        <is>
          <t>4kW 1S</t>
        </is>
      </c>
      <c r="I4183">
        <v>154</v>
      </c>
      <c r="J4183">
        <f>GS62/206.7</f>
        <v>0</v>
      </c>
      <c r="M4183" t="inlineStr">
        <is>
          <t>-206K59.3</t>
        </is>
      </c>
    </row>
    <row r="4184">
      <c r="A4184">
        <v>4183</v>
      </c>
      <c r="B4184">
        <f>GS25</f>
        <v>0</v>
      </c>
      <c r="C4184" t="inlineStr">
        <is>
          <t>+LS4</t>
        </is>
      </c>
      <c r="D4184" t="inlineStr">
        <is>
          <t>-206K71.7</t>
        </is>
      </c>
      <c r="E4184" t="inlineStr">
        <is>
          <t>DIL_EM-10-G</t>
        </is>
      </c>
      <c r="F4184" t="inlineStr">
        <is>
          <t>#KALK!</t>
        </is>
      </c>
      <c r="G4184" t="inlineStr">
        <is>
          <t>LASTSCHUETZ</t>
        </is>
      </c>
      <c r="H4184" t="inlineStr">
        <is>
          <t>4kW 1S</t>
        </is>
      </c>
      <c r="I4184">
        <v>327</v>
      </c>
      <c r="J4184">
        <f>GS25/206.6</f>
        <v>0</v>
      </c>
      <c r="M4184" t="inlineStr">
        <is>
          <t>-206K71.7</t>
        </is>
      </c>
    </row>
    <row r="4185">
      <c r="A4185">
        <v>4184</v>
      </c>
      <c r="B4185">
        <f>GS25</f>
        <v>0</v>
      </c>
      <c r="C4185" t="inlineStr">
        <is>
          <t>+LS4</t>
        </is>
      </c>
      <c r="D4185" t="inlineStr">
        <is>
          <t>-206K72.0</t>
        </is>
      </c>
      <c r="E4185" t="inlineStr">
        <is>
          <t>DIL_EM-10-G</t>
        </is>
      </c>
      <c r="F4185" t="inlineStr">
        <is>
          <t>#KALK!</t>
        </is>
      </c>
      <c r="G4185" t="inlineStr">
        <is>
          <t>LASTSCHUETZ</t>
        </is>
      </c>
      <c r="H4185" t="inlineStr">
        <is>
          <t>4kW 1S</t>
        </is>
      </c>
      <c r="I4185">
        <v>327</v>
      </c>
      <c r="J4185">
        <f>GS25/206.6</f>
        <v>0</v>
      </c>
      <c r="M4185" t="inlineStr">
        <is>
          <t>-206K72.0</t>
        </is>
      </c>
    </row>
    <row r="4186">
      <c r="A4186">
        <v>4185</v>
      </c>
      <c r="B4186">
        <f>GS91</f>
        <v>0</v>
      </c>
      <c r="C4186" t="inlineStr">
        <is>
          <t>+LS02</t>
        </is>
      </c>
      <c r="D4186" t="inlineStr">
        <is>
          <t>-206Q451.3</t>
        </is>
      </c>
      <c r="E4186" t="inlineStr">
        <is>
          <t>DILM-9-10</t>
        </is>
      </c>
      <c r="F4186" t="inlineStr">
        <is>
          <t>#KALK!</t>
        </is>
      </c>
      <c r="G4186" t="inlineStr">
        <is>
          <t>LASTSCHUETZ</t>
        </is>
      </c>
      <c r="H4186" t="inlineStr">
        <is>
          <t>4kW 1S Federzugkl.</t>
        </is>
      </c>
      <c r="I4186">
        <v>314</v>
      </c>
      <c r="J4186">
        <f>GS91/206.5</f>
        <v>0</v>
      </c>
      <c r="M4186" t="inlineStr">
        <is>
          <t>-206Q451.3</t>
        </is>
      </c>
    </row>
    <row r="4187">
      <c r="A4187">
        <v>4186</v>
      </c>
      <c r="B4187">
        <f>GS14</f>
        <v>0</v>
      </c>
      <c r="C4187" t="inlineStr">
        <is>
          <t>+LS4</t>
        </is>
      </c>
      <c r="D4187" t="inlineStr">
        <is>
          <t>-207K1</t>
        </is>
      </c>
      <c r="E4187" t="inlineStr">
        <is>
          <t>DIL_0AM</t>
        </is>
      </c>
      <c r="F4187" t="inlineStr">
        <is>
          <t>22_DIL-M</t>
        </is>
      </c>
      <c r="G4187" t="inlineStr">
        <is>
          <t>LASTSCHUETZ</t>
        </is>
      </c>
      <c r="H4187" t="inlineStr">
        <is>
          <t>11 kW</t>
        </is>
      </c>
      <c r="I4187">
        <v>333</v>
      </c>
      <c r="J4187">
        <f>GS14/207.2</f>
        <v>0</v>
      </c>
      <c r="K4187" t="inlineStr">
        <is>
          <t>DIL0AM</t>
        </is>
      </c>
      <c r="M4187" t="inlineStr">
        <is>
          <t>-207K1</t>
        </is>
      </c>
    </row>
    <row r="4188">
      <c r="A4188">
        <v>4187</v>
      </c>
      <c r="B4188">
        <f>GS14</f>
        <v>0</v>
      </c>
      <c r="C4188" t="inlineStr">
        <is>
          <t>+LS4</t>
        </is>
      </c>
      <c r="D4188" t="inlineStr">
        <is>
          <t>-207K1</t>
        </is>
      </c>
      <c r="E4188" t="inlineStr">
        <is>
          <t>22_DIL-M</t>
        </is>
      </c>
      <c r="F4188" t="inlineStr">
        <is>
          <t>22_DIL-M</t>
        </is>
      </c>
      <c r="G4188" t="inlineStr">
        <is>
          <t>HILFSKONTAKTBLOCK</t>
        </is>
      </c>
      <c r="H4188" t="inlineStr">
        <is>
          <t>2S 2OE Lastschuetz DIL M</t>
        </is>
      </c>
      <c r="I4188">
        <v>333</v>
      </c>
      <c r="J4188">
        <f>GS14/207.2</f>
        <v>0</v>
      </c>
      <c r="K4188" t="inlineStr">
        <is>
          <t>DIL0AM</t>
        </is>
      </c>
      <c r="M4188" t="inlineStr">
        <is>
          <t>-207K1</t>
        </is>
      </c>
    </row>
    <row r="4189">
      <c r="A4189">
        <v>4188</v>
      </c>
      <c r="B4189">
        <f>GS31</f>
        <v>0</v>
      </c>
      <c r="C4189" t="inlineStr">
        <is>
          <t>+LS3</t>
        </is>
      </c>
      <c r="D4189" t="inlineStr">
        <is>
          <t>-207K1</t>
        </is>
      </c>
      <c r="E4189" t="inlineStr">
        <is>
          <t>22_DIL-M</t>
        </is>
      </c>
      <c r="F4189" t="inlineStr">
        <is>
          <t>22_DIL-M</t>
        </is>
      </c>
      <c r="G4189" t="inlineStr">
        <is>
          <t>HILFSKONTAKTBLOCK</t>
        </is>
      </c>
      <c r="H4189" t="inlineStr">
        <is>
          <t>2S 2OE Lastschuetz DIL M</t>
        </is>
      </c>
      <c r="I4189">
        <v>494</v>
      </c>
      <c r="J4189">
        <f>GS31/207.2</f>
        <v>0</v>
      </c>
      <c r="K4189" t="inlineStr">
        <is>
          <t>DIL0AM</t>
        </is>
      </c>
      <c r="M4189" t="inlineStr">
        <is>
          <t>-207K1</t>
        </is>
      </c>
    </row>
    <row r="4190">
      <c r="A4190">
        <v>4189</v>
      </c>
      <c r="B4190">
        <f>GS31</f>
        <v>0</v>
      </c>
      <c r="C4190" t="inlineStr">
        <is>
          <t>+LS3</t>
        </is>
      </c>
      <c r="D4190" t="inlineStr">
        <is>
          <t>-207K1</t>
        </is>
      </c>
      <c r="E4190" t="inlineStr">
        <is>
          <t>DIL_0AM</t>
        </is>
      </c>
      <c r="F4190" t="inlineStr">
        <is>
          <t>22_DIL-M</t>
        </is>
      </c>
      <c r="G4190" t="inlineStr">
        <is>
          <t>LASTSCHUETZ</t>
        </is>
      </c>
      <c r="H4190" t="inlineStr">
        <is>
          <t>11 kW</t>
        </is>
      </c>
      <c r="I4190">
        <v>494</v>
      </c>
      <c r="J4190">
        <f>GS31/207.2</f>
        <v>0</v>
      </c>
      <c r="K4190" t="inlineStr">
        <is>
          <t>DIL0AM</t>
        </is>
      </c>
      <c r="M4190" t="inlineStr">
        <is>
          <t>-207K1</t>
        </is>
      </c>
    </row>
    <row r="4191">
      <c r="A4191">
        <v>4190</v>
      </c>
      <c r="B4191">
        <f>GS33</f>
        <v>0</v>
      </c>
      <c r="C4191" t="inlineStr">
        <is>
          <t>+LS4</t>
        </is>
      </c>
      <c r="D4191" t="inlineStr">
        <is>
          <t>-207K30.0</t>
        </is>
      </c>
      <c r="E4191" t="inlineStr">
        <is>
          <t>DIL_EM-10-G</t>
        </is>
      </c>
      <c r="F4191" t="inlineStr">
        <is>
          <t>#KALK!</t>
        </is>
      </c>
      <c r="G4191" t="inlineStr">
        <is>
          <t>LASTSCHUETZ</t>
        </is>
      </c>
      <c r="H4191" t="inlineStr">
        <is>
          <t>4kW 1S</t>
        </is>
      </c>
      <c r="I4191">
        <v>646</v>
      </c>
      <c r="J4191">
        <f>GS33/207.6</f>
        <v>0</v>
      </c>
      <c r="M4191" t="inlineStr">
        <is>
          <t>-207K30.0</t>
        </is>
      </c>
    </row>
    <row r="4192">
      <c r="A4192">
        <v>4191</v>
      </c>
      <c r="B4192">
        <f>GS33</f>
        <v>0</v>
      </c>
      <c r="C4192" t="inlineStr">
        <is>
          <t>+LS4</t>
        </is>
      </c>
      <c r="D4192" t="inlineStr">
        <is>
          <t>-207K30.1</t>
        </is>
      </c>
      <c r="E4192" t="inlineStr">
        <is>
          <t>DIL_EM-10-G</t>
        </is>
      </c>
      <c r="F4192" t="inlineStr">
        <is>
          <t>#KALK!</t>
        </is>
      </c>
      <c r="G4192" t="inlineStr">
        <is>
          <t>LASTSCHUETZ</t>
        </is>
      </c>
      <c r="H4192" t="inlineStr">
        <is>
          <t>4kW 1S</t>
        </is>
      </c>
      <c r="I4192">
        <v>646</v>
      </c>
      <c r="J4192">
        <f>GS33/207.6</f>
        <v>0</v>
      </c>
      <c r="M4192" t="inlineStr">
        <is>
          <t>-207K30.1</t>
        </is>
      </c>
    </row>
    <row r="4193">
      <c r="A4193">
        <v>4192</v>
      </c>
      <c r="B4193">
        <f>GS26</f>
        <v>0</v>
      </c>
      <c r="C4193" t="inlineStr">
        <is>
          <t>+LS3</t>
        </is>
      </c>
      <c r="D4193" t="inlineStr">
        <is>
          <t>-207K3522.4</t>
        </is>
      </c>
      <c r="E4193" t="inlineStr">
        <is>
          <t>DILM-9-01</t>
        </is>
      </c>
      <c r="F4193" t="inlineStr">
        <is>
          <t>#KALK!</t>
        </is>
      </c>
      <c r="G4193" t="inlineStr">
        <is>
          <t>LASTSCHUETZ</t>
        </is>
      </c>
      <c r="H4193" t="inlineStr">
        <is>
          <t>4kW 1Oe Federzugkl.</t>
        </is>
      </c>
      <c r="I4193">
        <v>609</v>
      </c>
      <c r="J4193">
        <f>GS26/207.6</f>
        <v>0</v>
      </c>
      <c r="M4193" t="inlineStr">
        <is>
          <t>-207K3522.4</t>
        </is>
      </c>
    </row>
    <row r="4194">
      <c r="A4194">
        <v>4193</v>
      </c>
      <c r="B4194">
        <f>GS26</f>
        <v>0</v>
      </c>
      <c r="C4194" t="inlineStr">
        <is>
          <t>+LS3</t>
        </is>
      </c>
      <c r="D4194" t="inlineStr">
        <is>
          <t>-207K3522.5</t>
        </is>
      </c>
      <c r="E4194" t="inlineStr">
        <is>
          <t>DILM-9-10</t>
        </is>
      </c>
      <c r="F4194" t="inlineStr">
        <is>
          <t>#KALK!</t>
        </is>
      </c>
      <c r="G4194" t="inlineStr">
        <is>
          <t>LASTSCHUETZ</t>
        </is>
      </c>
      <c r="H4194" t="inlineStr">
        <is>
          <t>4kW 1S Federzugkl.</t>
        </is>
      </c>
      <c r="I4194">
        <v>609</v>
      </c>
      <c r="J4194">
        <f>GS26/207.7</f>
        <v>0</v>
      </c>
      <c r="M4194" t="inlineStr">
        <is>
          <t>-207K3522.5</t>
        </is>
      </c>
    </row>
    <row r="4195">
      <c r="A4195">
        <v>4194</v>
      </c>
      <c r="B4195">
        <f>GS26</f>
        <v>0</v>
      </c>
      <c r="C4195" t="inlineStr">
        <is>
          <t>+LS3</t>
        </is>
      </c>
      <c r="D4195" t="inlineStr">
        <is>
          <t>-207K3524.6</t>
        </is>
      </c>
      <c r="E4195" t="inlineStr">
        <is>
          <t>DILM-9-01</t>
        </is>
      </c>
      <c r="F4195" t="inlineStr">
        <is>
          <t>#KALK!</t>
        </is>
      </c>
      <c r="G4195" t="inlineStr">
        <is>
          <t>LASTSCHUETZ</t>
        </is>
      </c>
      <c r="H4195" t="inlineStr">
        <is>
          <t>4kW 1Oe Federzugkl.</t>
        </is>
      </c>
      <c r="I4195">
        <v>609</v>
      </c>
      <c r="J4195">
        <f>GS26/207.6</f>
        <v>0</v>
      </c>
      <c r="M4195" t="inlineStr">
        <is>
          <t>-207K3524.6</t>
        </is>
      </c>
    </row>
    <row r="4196">
      <c r="A4196">
        <v>4195</v>
      </c>
      <c r="B4196">
        <f>GS16</f>
        <v>0</v>
      </c>
      <c r="C4196" t="inlineStr">
        <is>
          <t>+LS4</t>
        </is>
      </c>
      <c r="D4196" t="inlineStr">
        <is>
          <t>-207K3933.3</t>
        </is>
      </c>
      <c r="E4196" t="inlineStr">
        <is>
          <t>DIL_EM-10-G</t>
        </is>
      </c>
      <c r="F4196" t="inlineStr">
        <is>
          <t>#KALK!</t>
        </is>
      </c>
      <c r="G4196" t="inlineStr">
        <is>
          <t>LASTSCHUETZ</t>
        </is>
      </c>
      <c r="H4196" t="inlineStr">
        <is>
          <t>4kW 1S</t>
        </is>
      </c>
      <c r="I4196">
        <v>431</v>
      </c>
      <c r="J4196">
        <f>GS16/207.7</f>
        <v>0</v>
      </c>
      <c r="M4196" t="inlineStr">
        <is>
          <t>-207K3933.3</t>
        </is>
      </c>
    </row>
    <row r="4197">
      <c r="A4197">
        <v>4196</v>
      </c>
      <c r="B4197">
        <f>GS32</f>
        <v>0</v>
      </c>
      <c r="C4197" t="inlineStr">
        <is>
          <t>+LS4</t>
        </is>
      </c>
      <c r="D4197" t="inlineStr">
        <is>
          <t>-207K40.5</t>
        </is>
      </c>
      <c r="E4197" t="inlineStr">
        <is>
          <t>DIL_EM-10-G</t>
        </is>
      </c>
      <c r="F4197" t="inlineStr">
        <is>
          <t>#KALK!</t>
        </is>
      </c>
      <c r="G4197" t="inlineStr">
        <is>
          <t>LASTSCHUETZ</t>
        </is>
      </c>
      <c r="H4197" t="inlineStr">
        <is>
          <t>4kW 1S</t>
        </is>
      </c>
      <c r="I4197">
        <v>1044</v>
      </c>
      <c r="J4197">
        <f>GS32/207.7</f>
        <v>0</v>
      </c>
      <c r="M4197" t="inlineStr">
        <is>
          <t>-207K40.5</t>
        </is>
      </c>
    </row>
    <row r="4198">
      <c r="A4198">
        <v>4197</v>
      </c>
      <c r="B4198">
        <f>GS04</f>
        <v>0</v>
      </c>
      <c r="C4198" t="inlineStr">
        <is>
          <t>+LS4</t>
        </is>
      </c>
      <c r="D4198" t="inlineStr">
        <is>
          <t>-207K41.1</t>
        </is>
      </c>
      <c r="E4198" t="inlineStr">
        <is>
          <t>DIL_EM-10-G</t>
        </is>
      </c>
      <c r="F4198" t="inlineStr">
        <is>
          <t>#KALK!</t>
        </is>
      </c>
      <c r="G4198" t="inlineStr">
        <is>
          <t>LASTSCHUETZ</t>
        </is>
      </c>
      <c r="H4198" t="inlineStr">
        <is>
          <t>4kW 1S</t>
        </is>
      </c>
      <c r="I4198">
        <v>457</v>
      </c>
      <c r="J4198">
        <f>GS04/207.6</f>
        <v>0</v>
      </c>
      <c r="M4198" t="inlineStr">
        <is>
          <t>-207K41.1</t>
        </is>
      </c>
    </row>
    <row r="4199">
      <c r="A4199">
        <v>4198</v>
      </c>
      <c r="B4199">
        <f>GS11</f>
        <v>0</v>
      </c>
      <c r="C4199" t="inlineStr">
        <is>
          <t>+LS5</t>
        </is>
      </c>
      <c r="D4199" t="inlineStr">
        <is>
          <t>-207K48.2</t>
        </is>
      </c>
      <c r="E4199" t="inlineStr">
        <is>
          <t>DIL_EM-10-G</t>
        </is>
      </c>
      <c r="F4199" t="inlineStr">
        <is>
          <t>#KALK!</t>
        </is>
      </c>
      <c r="G4199" t="inlineStr">
        <is>
          <t>LASTSCHUETZ</t>
        </is>
      </c>
      <c r="H4199" t="inlineStr">
        <is>
          <t>4kW 1S</t>
        </is>
      </c>
      <c r="I4199">
        <v>318</v>
      </c>
      <c r="J4199">
        <f>GS11/207.6</f>
        <v>0</v>
      </c>
      <c r="M4199" t="inlineStr">
        <is>
          <t>-207K48.2</t>
        </is>
      </c>
    </row>
    <row r="4200">
      <c r="A4200">
        <v>4199</v>
      </c>
      <c r="B4200">
        <f>GS21</f>
        <v>0</v>
      </c>
      <c r="C4200" t="inlineStr">
        <is>
          <t>+LS5</t>
        </is>
      </c>
      <c r="D4200" t="inlineStr">
        <is>
          <t>-207K48.2</t>
        </is>
      </c>
      <c r="E4200" t="inlineStr">
        <is>
          <t>DIL_EM-10-G</t>
        </is>
      </c>
      <c r="F4200" t="inlineStr">
        <is>
          <t>#KALK!</t>
        </is>
      </c>
      <c r="G4200" t="inlineStr">
        <is>
          <t>LASTSCHUETZ</t>
        </is>
      </c>
      <c r="H4200" t="inlineStr">
        <is>
          <t>4kW 1S</t>
        </is>
      </c>
      <c r="I4200">
        <v>292</v>
      </c>
      <c r="J4200">
        <f>GS21/207.6</f>
        <v>0</v>
      </c>
      <c r="M4200" t="inlineStr">
        <is>
          <t>-207K48.2</t>
        </is>
      </c>
    </row>
    <row r="4201">
      <c r="A4201">
        <v>4200</v>
      </c>
      <c r="B4201">
        <f>GS11</f>
        <v>0</v>
      </c>
      <c r="C4201" t="inlineStr">
        <is>
          <t>+LS5</t>
        </is>
      </c>
      <c r="D4201" t="inlineStr">
        <is>
          <t>-207K52.2</t>
        </is>
      </c>
      <c r="E4201" t="inlineStr">
        <is>
          <t>DIL_EM-10-G</t>
        </is>
      </c>
      <c r="F4201" t="inlineStr">
        <is>
          <t>#KALK!</t>
        </is>
      </c>
      <c r="G4201" t="inlineStr">
        <is>
          <t>LASTSCHUETZ</t>
        </is>
      </c>
      <c r="H4201" t="inlineStr">
        <is>
          <t>4kW 1S</t>
        </is>
      </c>
      <c r="I4201">
        <v>318</v>
      </c>
      <c r="J4201">
        <f>GS11/207.6</f>
        <v>0</v>
      </c>
      <c r="M4201" t="inlineStr">
        <is>
          <t>-207K52.2</t>
        </is>
      </c>
    </row>
    <row r="4202">
      <c r="A4202">
        <v>4201</v>
      </c>
      <c r="B4202">
        <f>GS21</f>
        <v>0</v>
      </c>
      <c r="C4202" t="inlineStr">
        <is>
          <t>+LS5</t>
        </is>
      </c>
      <c r="D4202" t="inlineStr">
        <is>
          <t>-207K52.2</t>
        </is>
      </c>
      <c r="E4202" t="inlineStr">
        <is>
          <t>DIL_EM-10-G</t>
        </is>
      </c>
      <c r="F4202" t="inlineStr">
        <is>
          <t>#KALK!</t>
        </is>
      </c>
      <c r="G4202" t="inlineStr">
        <is>
          <t>LASTSCHUETZ</t>
        </is>
      </c>
      <c r="H4202" t="inlineStr">
        <is>
          <t>4kW 1S</t>
        </is>
      </c>
      <c r="I4202">
        <v>292</v>
      </c>
      <c r="J4202">
        <f>GS21/207.6</f>
        <v>0</v>
      </c>
      <c r="M4202" t="inlineStr">
        <is>
          <t>-207K52.2</t>
        </is>
      </c>
    </row>
    <row r="4203">
      <c r="A4203">
        <v>4202</v>
      </c>
      <c r="B4203">
        <f>GS62</f>
        <v>0</v>
      </c>
      <c r="C4203" t="inlineStr">
        <is>
          <t>+LS1</t>
        </is>
      </c>
      <c r="D4203" t="inlineStr">
        <is>
          <t>-207K59.4</t>
        </is>
      </c>
      <c r="E4203" t="inlineStr">
        <is>
          <t>DIL_EM-10-G</t>
        </is>
      </c>
      <c r="F4203" t="inlineStr">
        <is>
          <t>#KALK!</t>
        </is>
      </c>
      <c r="G4203" t="inlineStr">
        <is>
          <t>LASTSCHUETZ</t>
        </is>
      </c>
      <c r="H4203" t="inlineStr">
        <is>
          <t>4kW 1S</t>
        </is>
      </c>
      <c r="I4203">
        <v>173</v>
      </c>
      <c r="J4203">
        <f>GS62/207.6</f>
        <v>0</v>
      </c>
      <c r="M4203" t="inlineStr">
        <is>
          <t>-207K59.4</t>
        </is>
      </c>
    </row>
    <row r="4204">
      <c r="A4204">
        <v>4203</v>
      </c>
      <c r="B4204">
        <f>GS62</f>
        <v>0</v>
      </c>
      <c r="C4204" t="inlineStr">
        <is>
          <t>+LS1</t>
        </is>
      </c>
      <c r="D4204" t="inlineStr">
        <is>
          <t>-207K59.5</t>
        </is>
      </c>
      <c r="E4204" t="inlineStr">
        <is>
          <t>DIL_EM-10-G</t>
        </is>
      </c>
      <c r="F4204" t="inlineStr">
        <is>
          <t>#KALK!</t>
        </is>
      </c>
      <c r="G4204" t="inlineStr">
        <is>
          <t>LASTSCHUETZ</t>
        </is>
      </c>
      <c r="H4204" t="inlineStr">
        <is>
          <t>4kW 1S</t>
        </is>
      </c>
      <c r="I4204">
        <v>173</v>
      </c>
      <c r="J4204">
        <f>GS62/207.6</f>
        <v>0</v>
      </c>
      <c r="M4204" t="inlineStr">
        <is>
          <t>-207K59.5</t>
        </is>
      </c>
    </row>
    <row r="4205">
      <c r="A4205">
        <v>4204</v>
      </c>
      <c r="B4205">
        <f>GS15</f>
        <v>0</v>
      </c>
      <c r="C4205" t="inlineStr">
        <is>
          <t>+LS4</t>
        </is>
      </c>
      <c r="D4205" t="inlineStr">
        <is>
          <t>-207K70.0</t>
        </is>
      </c>
      <c r="E4205" t="inlineStr">
        <is>
          <t>DIL_EM-10-G</t>
        </is>
      </c>
      <c r="F4205" t="inlineStr">
        <is>
          <t>#KALK!</t>
        </is>
      </c>
      <c r="G4205" t="inlineStr">
        <is>
          <t>LASTSCHUETZ</t>
        </is>
      </c>
      <c r="H4205" t="inlineStr">
        <is>
          <t>4kW 1S</t>
        </is>
      </c>
      <c r="I4205">
        <v>700</v>
      </c>
      <c r="J4205">
        <f>GS15/207.6</f>
        <v>0</v>
      </c>
      <c r="M4205" t="inlineStr">
        <is>
          <t>-207K70.0</t>
        </is>
      </c>
    </row>
    <row r="4206">
      <c r="A4206">
        <v>4205</v>
      </c>
      <c r="B4206">
        <f>GS15</f>
        <v>0</v>
      </c>
      <c r="C4206" t="inlineStr">
        <is>
          <t>+LS4</t>
        </is>
      </c>
      <c r="D4206" t="inlineStr">
        <is>
          <t>-207K70.1</t>
        </is>
      </c>
      <c r="E4206" t="inlineStr">
        <is>
          <t>DIL_EM-10-G</t>
        </is>
      </c>
      <c r="F4206" t="inlineStr">
        <is>
          <t>#KALK!</t>
        </is>
      </c>
      <c r="G4206" t="inlineStr">
        <is>
          <t>LASTSCHUETZ</t>
        </is>
      </c>
      <c r="H4206" t="inlineStr">
        <is>
          <t>4kW 1S</t>
        </is>
      </c>
      <c r="I4206">
        <v>700</v>
      </c>
      <c r="J4206">
        <f>GS15/207.6</f>
        <v>0</v>
      </c>
      <c r="M4206" t="inlineStr">
        <is>
          <t>-207K70.1</t>
        </is>
      </c>
    </row>
    <row r="4207">
      <c r="A4207">
        <v>4206</v>
      </c>
      <c r="B4207">
        <f>GS36</f>
        <v>0</v>
      </c>
      <c r="C4207" t="inlineStr">
        <is>
          <t>+LS04</t>
        </is>
      </c>
      <c r="D4207" t="inlineStr">
        <is>
          <t>-223K1</t>
        </is>
      </c>
      <c r="E4207" t="inlineStr">
        <is>
          <t>DILM-9-01</t>
        </is>
      </c>
      <c r="F4207" t="inlineStr">
        <is>
          <t>#KALK!</t>
        </is>
      </c>
      <c r="G4207" t="inlineStr">
        <is>
          <t>LASTSCHUETZ</t>
        </is>
      </c>
      <c r="H4207" t="inlineStr">
        <is>
          <t>4kW 1Oe Federzugkl.</t>
        </is>
      </c>
      <c r="I4207">
        <v>396</v>
      </c>
      <c r="J4207">
        <f>GS36/223.6</f>
        <v>0</v>
      </c>
      <c r="L4207" t="inlineStr">
        <is>
          <t>Lichtvorhang KF</t>
        </is>
      </c>
      <c r="M4207" t="inlineStr">
        <is>
          <t>Lichtvorhang KF
-223K1</t>
        </is>
      </c>
    </row>
    <row r="4208">
      <c r="A4208">
        <v>4207</v>
      </c>
      <c r="B4208">
        <f>GS90</f>
        <v>0</v>
      </c>
      <c r="C4208" t="inlineStr">
        <is>
          <t>+LS03</t>
        </is>
      </c>
      <c r="D4208" t="inlineStr">
        <is>
          <t>-207Q158.2</t>
        </is>
      </c>
      <c r="E4208" t="inlineStr">
        <is>
          <t>DILM-9-10</t>
        </is>
      </c>
      <c r="F4208" t="inlineStr">
        <is>
          <t>#KALK!</t>
        </is>
      </c>
      <c r="G4208" t="inlineStr">
        <is>
          <t>LASTSCHUETZ</t>
        </is>
      </c>
      <c r="H4208" t="inlineStr">
        <is>
          <t>4kW 1S Federzugkl.</t>
        </is>
      </c>
      <c r="I4208">
        <v>1032</v>
      </c>
      <c r="J4208">
        <f>GS90/207.5</f>
        <v>0</v>
      </c>
      <c r="M4208" t="inlineStr">
        <is>
          <t>-207Q158.2</t>
        </is>
      </c>
    </row>
    <row r="4209">
      <c r="A4209">
        <v>4208</v>
      </c>
      <c r="B4209">
        <f>GS91</f>
        <v>0</v>
      </c>
      <c r="C4209" t="inlineStr">
        <is>
          <t>+LS02</t>
        </is>
      </c>
      <c r="D4209" t="inlineStr">
        <is>
          <t>-207Q451.4</t>
        </is>
      </c>
      <c r="E4209" t="inlineStr">
        <is>
          <t>DILM-9-10</t>
        </is>
      </c>
      <c r="F4209" t="inlineStr">
        <is>
          <t>#KALK!</t>
        </is>
      </c>
      <c r="G4209" t="inlineStr">
        <is>
          <t>LASTSCHUETZ</t>
        </is>
      </c>
      <c r="H4209" t="inlineStr">
        <is>
          <t>4kW 1S Federzugkl.</t>
        </is>
      </c>
      <c r="I4209">
        <v>315</v>
      </c>
      <c r="J4209">
        <f>GS91/207.5</f>
        <v>0</v>
      </c>
      <c r="M4209" t="inlineStr">
        <is>
          <t>-207Q451.4</t>
        </is>
      </c>
    </row>
    <row r="4210">
      <c r="A4210">
        <v>4209</v>
      </c>
      <c r="B4210">
        <f>GS33</f>
        <v>0</v>
      </c>
      <c r="C4210" t="inlineStr">
        <is>
          <t>+LS4</t>
        </is>
      </c>
      <c r="D4210" t="inlineStr">
        <is>
          <t>-208K30.2</t>
        </is>
      </c>
      <c r="E4210" t="inlineStr">
        <is>
          <t>DIL_EM-10-G</t>
        </is>
      </c>
      <c r="F4210" t="inlineStr">
        <is>
          <t>#KALK!</t>
        </is>
      </c>
      <c r="G4210" t="inlineStr">
        <is>
          <t>LASTSCHUETZ</t>
        </is>
      </c>
      <c r="H4210" t="inlineStr">
        <is>
          <t>4kW 1S</t>
        </is>
      </c>
      <c r="I4210">
        <v>647</v>
      </c>
      <c r="J4210">
        <f>GS33/208.6</f>
        <v>0</v>
      </c>
      <c r="M4210" t="inlineStr">
        <is>
          <t>-208K30.2</t>
        </is>
      </c>
    </row>
    <row r="4211">
      <c r="A4211">
        <v>4210</v>
      </c>
      <c r="B4211">
        <f>GS33</f>
        <v>0</v>
      </c>
      <c r="C4211" t="inlineStr">
        <is>
          <t>+LS4</t>
        </is>
      </c>
      <c r="D4211" t="inlineStr">
        <is>
          <t>-208K30.3</t>
        </is>
      </c>
      <c r="E4211" t="inlineStr">
        <is>
          <t>DIL_EM-10-G</t>
        </is>
      </c>
      <c r="F4211" t="inlineStr">
        <is>
          <t>#KALK!</t>
        </is>
      </c>
      <c r="G4211" t="inlineStr">
        <is>
          <t>LASTSCHUETZ</t>
        </is>
      </c>
      <c r="H4211" t="inlineStr">
        <is>
          <t>4kW 1S</t>
        </is>
      </c>
      <c r="I4211">
        <v>647</v>
      </c>
      <c r="J4211">
        <f>GS33/208.6</f>
        <v>0</v>
      </c>
      <c r="M4211" t="inlineStr">
        <is>
          <t>-208K30.3</t>
        </is>
      </c>
    </row>
    <row r="4212">
      <c r="A4212">
        <v>4211</v>
      </c>
      <c r="B4212">
        <f>GS26</f>
        <v>0</v>
      </c>
      <c r="C4212" t="inlineStr">
        <is>
          <t>+LS3</t>
        </is>
      </c>
      <c r="D4212" t="inlineStr">
        <is>
          <t>-208K3523.3</t>
        </is>
      </c>
      <c r="E4212" t="inlineStr">
        <is>
          <t>DILM-9-10</t>
        </is>
      </c>
      <c r="F4212" t="inlineStr">
        <is>
          <t>#KALK!</t>
        </is>
      </c>
      <c r="G4212" t="inlineStr">
        <is>
          <t>LASTSCHUETZ</t>
        </is>
      </c>
      <c r="H4212" t="inlineStr">
        <is>
          <t>4kW 1S Federzugkl.</t>
        </is>
      </c>
      <c r="I4212">
        <v>608</v>
      </c>
      <c r="J4212">
        <f>GS26/208.8</f>
        <v>0</v>
      </c>
      <c r="M4212" t="inlineStr">
        <is>
          <t>-208K3523.3</t>
        </is>
      </c>
    </row>
    <row r="4213">
      <c r="A4213">
        <v>4212</v>
      </c>
      <c r="B4213">
        <f>GS16</f>
        <v>0</v>
      </c>
      <c r="C4213" t="inlineStr">
        <is>
          <t>+LS4</t>
        </is>
      </c>
      <c r="D4213" t="inlineStr">
        <is>
          <t>-208K3934.1</t>
        </is>
      </c>
      <c r="E4213" t="inlineStr">
        <is>
          <t>DIL_EM-10-G</t>
        </is>
      </c>
      <c r="F4213" t="inlineStr">
        <is>
          <t>#KALK!</t>
        </is>
      </c>
      <c r="G4213" t="inlineStr">
        <is>
          <t>LASTSCHUETZ</t>
        </is>
      </c>
      <c r="H4213" t="inlineStr">
        <is>
          <t>4kW 1S</t>
        </is>
      </c>
      <c r="I4213">
        <v>432</v>
      </c>
      <c r="J4213">
        <f>GS16/208.7</f>
        <v>0</v>
      </c>
      <c r="M4213" t="inlineStr">
        <is>
          <t>-208K3934.1</t>
        </is>
      </c>
    </row>
    <row r="4214">
      <c r="A4214">
        <v>4213</v>
      </c>
      <c r="B4214">
        <f>GS32</f>
        <v>0</v>
      </c>
      <c r="C4214" t="inlineStr">
        <is>
          <t>+LS4</t>
        </is>
      </c>
      <c r="D4214" t="inlineStr">
        <is>
          <t>-208K40.6</t>
        </is>
      </c>
      <c r="E4214" t="inlineStr">
        <is>
          <t>DIL_EM-10-G</t>
        </is>
      </c>
      <c r="F4214" t="inlineStr">
        <is>
          <t>#KALK!</t>
        </is>
      </c>
      <c r="G4214" t="inlineStr">
        <is>
          <t>LASTSCHUETZ</t>
        </is>
      </c>
      <c r="H4214" t="inlineStr">
        <is>
          <t>4kW 1S</t>
        </is>
      </c>
      <c r="I4214">
        <v>1042</v>
      </c>
      <c r="J4214">
        <f>GS32/208.6</f>
        <v>0</v>
      </c>
      <c r="M4214" t="inlineStr">
        <is>
          <t>-208K40.6</t>
        </is>
      </c>
    </row>
    <row r="4215">
      <c r="A4215">
        <v>4214</v>
      </c>
      <c r="B4215">
        <f>GS32</f>
        <v>0</v>
      </c>
      <c r="C4215" t="inlineStr">
        <is>
          <t>+LS4</t>
        </is>
      </c>
      <c r="D4215" t="inlineStr">
        <is>
          <t>-208K40.7</t>
        </is>
      </c>
      <c r="E4215" t="inlineStr">
        <is>
          <t>DIL_EM-10-G</t>
        </is>
      </c>
      <c r="F4215" t="inlineStr">
        <is>
          <t>#KALK!</t>
        </is>
      </c>
      <c r="G4215" t="inlineStr">
        <is>
          <t>LASTSCHUETZ</t>
        </is>
      </c>
      <c r="H4215" t="inlineStr">
        <is>
          <t>4kW 1S</t>
        </is>
      </c>
      <c r="I4215">
        <v>1042</v>
      </c>
      <c r="J4215">
        <f>GS32/208.6</f>
        <v>0</v>
      </c>
      <c r="M4215" t="inlineStr">
        <is>
          <t>-208K40.7</t>
        </is>
      </c>
    </row>
    <row r="4216">
      <c r="A4216">
        <v>4215</v>
      </c>
      <c r="B4216">
        <f>GS04</f>
        <v>0</v>
      </c>
      <c r="C4216" t="inlineStr">
        <is>
          <t>+LS4</t>
        </is>
      </c>
      <c r="D4216" t="inlineStr">
        <is>
          <t>-208K41.6</t>
        </is>
      </c>
      <c r="E4216" t="inlineStr">
        <is>
          <t>DIL_EM-10-G</t>
        </is>
      </c>
      <c r="F4216" t="inlineStr">
        <is>
          <t>#KALK!</t>
        </is>
      </c>
      <c r="G4216" t="inlineStr">
        <is>
          <t>LASTSCHUETZ</t>
        </is>
      </c>
      <c r="H4216" t="inlineStr">
        <is>
          <t>4kW 1S</t>
        </is>
      </c>
      <c r="I4216">
        <v>458</v>
      </c>
      <c r="J4216">
        <f>GS04/208.6</f>
        <v>0</v>
      </c>
      <c r="M4216" t="inlineStr">
        <is>
          <t>-208K41.6</t>
        </is>
      </c>
    </row>
    <row r="4217">
      <c r="A4217">
        <v>4216</v>
      </c>
      <c r="B4217">
        <f>GS04</f>
        <v>0</v>
      </c>
      <c r="C4217" t="inlineStr">
        <is>
          <t>+LS4</t>
        </is>
      </c>
      <c r="D4217" t="inlineStr">
        <is>
          <t>-208K41.7</t>
        </is>
      </c>
      <c r="E4217" t="inlineStr">
        <is>
          <t>DIL_EM-10-G</t>
        </is>
      </c>
      <c r="F4217" t="inlineStr">
        <is>
          <t>#KALK!</t>
        </is>
      </c>
      <c r="G4217" t="inlineStr">
        <is>
          <t>LASTSCHUETZ</t>
        </is>
      </c>
      <c r="H4217" t="inlineStr">
        <is>
          <t>4kW 1S</t>
        </is>
      </c>
      <c r="I4217">
        <v>458</v>
      </c>
      <c r="J4217">
        <f>GS04/208.6</f>
        <v>0</v>
      </c>
      <c r="M4217" t="inlineStr">
        <is>
          <t>-208K41.7</t>
        </is>
      </c>
    </row>
    <row r="4218">
      <c r="A4218">
        <v>4217</v>
      </c>
      <c r="B4218">
        <f>GS11</f>
        <v>0</v>
      </c>
      <c r="C4218" t="inlineStr">
        <is>
          <t>+LS5</t>
        </is>
      </c>
      <c r="D4218" t="inlineStr">
        <is>
          <t>-208K48.3</t>
        </is>
      </c>
      <c r="E4218" t="inlineStr">
        <is>
          <t>DIL_EM-10-G</t>
        </is>
      </c>
      <c r="F4218" t="inlineStr">
        <is>
          <t>#KALK!</t>
        </is>
      </c>
      <c r="G4218" t="inlineStr">
        <is>
          <t>LASTSCHUETZ</t>
        </is>
      </c>
      <c r="H4218" t="inlineStr">
        <is>
          <t>4kW 1S</t>
        </is>
      </c>
      <c r="I4218">
        <v>319</v>
      </c>
      <c r="J4218">
        <f>GS11/208.6</f>
        <v>0</v>
      </c>
      <c r="M4218" t="inlineStr">
        <is>
          <t>-208K48.3</t>
        </is>
      </c>
    </row>
    <row r="4219">
      <c r="A4219">
        <v>4218</v>
      </c>
      <c r="B4219">
        <f>GS21</f>
        <v>0</v>
      </c>
      <c r="C4219" t="inlineStr">
        <is>
          <t>+LS5</t>
        </is>
      </c>
      <c r="D4219" t="inlineStr">
        <is>
          <t>-208K48.3</t>
        </is>
      </c>
      <c r="E4219" t="inlineStr">
        <is>
          <t>DIL_EM-10-G</t>
        </is>
      </c>
      <c r="F4219" t="inlineStr">
        <is>
          <t>#KALK!</t>
        </is>
      </c>
      <c r="G4219" t="inlineStr">
        <is>
          <t>LASTSCHUETZ</t>
        </is>
      </c>
      <c r="H4219" t="inlineStr">
        <is>
          <t>4kW 1S</t>
        </is>
      </c>
      <c r="I4219">
        <v>293</v>
      </c>
      <c r="J4219">
        <f>GS21/208.6</f>
        <v>0</v>
      </c>
      <c r="M4219" t="inlineStr">
        <is>
          <t>-208K48.3</t>
        </is>
      </c>
    </row>
    <row r="4220">
      <c r="A4220">
        <v>4219</v>
      </c>
      <c r="B4220">
        <f>GS11</f>
        <v>0</v>
      </c>
      <c r="C4220" t="inlineStr">
        <is>
          <t>+LS5</t>
        </is>
      </c>
      <c r="D4220" t="inlineStr">
        <is>
          <t>-208K52.3</t>
        </is>
      </c>
      <c r="E4220" t="inlineStr">
        <is>
          <t>DIL_EM-10-G</t>
        </is>
      </c>
      <c r="F4220" t="inlineStr">
        <is>
          <t>#KALK!</t>
        </is>
      </c>
      <c r="G4220" t="inlineStr">
        <is>
          <t>LASTSCHUETZ</t>
        </is>
      </c>
      <c r="H4220" t="inlineStr">
        <is>
          <t>4kW 1S</t>
        </is>
      </c>
      <c r="I4220">
        <v>319</v>
      </c>
      <c r="J4220">
        <f>GS11/208.6</f>
        <v>0</v>
      </c>
      <c r="M4220" t="inlineStr">
        <is>
          <t>-208K52.3</t>
        </is>
      </c>
    </row>
    <row r="4221">
      <c r="A4221">
        <v>4220</v>
      </c>
      <c r="B4221">
        <f>GS21</f>
        <v>0</v>
      </c>
      <c r="C4221" t="inlineStr">
        <is>
          <t>+LS5</t>
        </is>
      </c>
      <c r="D4221" t="inlineStr">
        <is>
          <t>-208K52.3</t>
        </is>
      </c>
      <c r="E4221" t="inlineStr">
        <is>
          <t>DIL_EM-10-G</t>
        </is>
      </c>
      <c r="F4221" t="inlineStr">
        <is>
          <t>#KALK!</t>
        </is>
      </c>
      <c r="G4221" t="inlineStr">
        <is>
          <t>LASTSCHUETZ</t>
        </is>
      </c>
      <c r="H4221" t="inlineStr">
        <is>
          <t>4kW 1S</t>
        </is>
      </c>
      <c r="I4221">
        <v>293</v>
      </c>
      <c r="J4221">
        <f>GS21/208.6</f>
        <v>0</v>
      </c>
      <c r="M4221" t="inlineStr">
        <is>
          <t>-208K52.3</t>
        </is>
      </c>
    </row>
    <row r="4222">
      <c r="A4222">
        <v>4221</v>
      </c>
      <c r="B4222">
        <f>GS62</f>
        <v>0</v>
      </c>
      <c r="C4222" t="inlineStr">
        <is>
          <t>+LS1</t>
        </is>
      </c>
      <c r="D4222" t="inlineStr">
        <is>
          <t>-208K59.6</t>
        </is>
      </c>
      <c r="E4222" t="inlineStr">
        <is>
          <t>DIL_EM-10-G</t>
        </is>
      </c>
      <c r="F4222" t="inlineStr">
        <is>
          <t>#KALK!</t>
        </is>
      </c>
      <c r="G4222" t="inlineStr">
        <is>
          <t>LASTSCHUETZ</t>
        </is>
      </c>
      <c r="H4222" t="inlineStr">
        <is>
          <t>4kW 1S</t>
        </is>
      </c>
      <c r="I4222">
        <v>453</v>
      </c>
      <c r="J4222">
        <f>GS62/208.6</f>
        <v>0</v>
      </c>
      <c r="M4222" t="inlineStr">
        <is>
          <t>-208K59.6</t>
        </is>
      </c>
    </row>
    <row r="4223">
      <c r="A4223">
        <v>4222</v>
      </c>
      <c r="B4223">
        <f>GS15</f>
        <v>0</v>
      </c>
      <c r="C4223" t="inlineStr">
        <is>
          <t>+LS4</t>
        </is>
      </c>
      <c r="D4223" t="inlineStr">
        <is>
          <t>-208K70.2</t>
        </is>
      </c>
      <c r="E4223" t="inlineStr">
        <is>
          <t>DIL_EM-10-G</t>
        </is>
      </c>
      <c r="F4223" t="inlineStr">
        <is>
          <t>#KALK!</t>
        </is>
      </c>
      <c r="G4223" t="inlineStr">
        <is>
          <t>LASTSCHUETZ</t>
        </is>
      </c>
      <c r="H4223" t="inlineStr">
        <is>
          <t>4kW 1S</t>
        </is>
      </c>
      <c r="I4223">
        <v>701</v>
      </c>
      <c r="J4223">
        <f>GS15/208.6</f>
        <v>0</v>
      </c>
      <c r="M4223" t="inlineStr">
        <is>
          <t>-208K70.2</t>
        </is>
      </c>
    </row>
    <row r="4224">
      <c r="A4224">
        <v>4223</v>
      </c>
      <c r="B4224">
        <f>GS15</f>
        <v>0</v>
      </c>
      <c r="C4224" t="inlineStr">
        <is>
          <t>+LS4</t>
        </is>
      </c>
      <c r="D4224" t="inlineStr">
        <is>
          <t>-208K70.3</t>
        </is>
      </c>
      <c r="E4224" t="inlineStr">
        <is>
          <t>DIL_EM-10-G</t>
        </is>
      </c>
      <c r="F4224" t="inlineStr">
        <is>
          <t>#KALK!</t>
        </is>
      </c>
      <c r="G4224" t="inlineStr">
        <is>
          <t>LASTSCHUETZ</t>
        </is>
      </c>
      <c r="H4224" t="inlineStr">
        <is>
          <t>4kW 1S</t>
        </is>
      </c>
      <c r="I4224">
        <v>701</v>
      </c>
      <c r="J4224">
        <f>GS15/208.6</f>
        <v>0</v>
      </c>
      <c r="M4224" t="inlineStr">
        <is>
          <t>-208K70.3</t>
        </is>
      </c>
    </row>
    <row r="4225">
      <c r="A4225">
        <v>4224</v>
      </c>
      <c r="B4225">
        <f>GS36</f>
        <v>0</v>
      </c>
      <c r="C4225" t="inlineStr">
        <is>
          <t>+LS04</t>
        </is>
      </c>
      <c r="D4225" t="inlineStr">
        <is>
          <t>-223K2</t>
        </is>
      </c>
      <c r="E4225" t="inlineStr">
        <is>
          <t>DILM-9-01</t>
        </is>
      </c>
      <c r="F4225" t="inlineStr">
        <is>
          <t>#KALK!</t>
        </is>
      </c>
      <c r="G4225" t="inlineStr">
        <is>
          <t>LASTSCHUETZ</t>
        </is>
      </c>
      <c r="H4225" t="inlineStr">
        <is>
          <t>4kW 1Oe Federzugkl.</t>
        </is>
      </c>
      <c r="I4225">
        <v>396</v>
      </c>
      <c r="J4225">
        <f>GS36/223.7</f>
        <v>0</v>
      </c>
      <c r="L4225" t="inlineStr">
        <is>
          <t>Lichtvorhang KF</t>
        </is>
      </c>
      <c r="M4225" t="inlineStr">
        <is>
          <t>Lichtvorhang KF
-223K2</t>
        </is>
      </c>
    </row>
    <row r="4226">
      <c r="A4226">
        <v>4225</v>
      </c>
      <c r="B4226">
        <f>GS90</f>
        <v>0</v>
      </c>
      <c r="C4226" t="inlineStr">
        <is>
          <t>+LS03</t>
        </is>
      </c>
      <c r="D4226" t="inlineStr">
        <is>
          <t>-208Q158.3</t>
        </is>
      </c>
      <c r="E4226" t="inlineStr">
        <is>
          <t>DILM-9-10</t>
        </is>
      </c>
      <c r="F4226" t="inlineStr">
        <is>
          <t>#KALK!</t>
        </is>
      </c>
      <c r="G4226" t="inlineStr">
        <is>
          <t>LASTSCHUETZ</t>
        </is>
      </c>
      <c r="H4226" t="inlineStr">
        <is>
          <t>4kW 1S Federzugkl.</t>
        </is>
      </c>
      <c r="I4226">
        <v>1031</v>
      </c>
      <c r="J4226">
        <f>GS90/208.5</f>
        <v>0</v>
      </c>
      <c r="M4226" t="inlineStr">
        <is>
          <t>-208Q158.3</t>
        </is>
      </c>
    </row>
    <row r="4227">
      <c r="A4227">
        <v>4226</v>
      </c>
      <c r="B4227">
        <f>GS91</f>
        <v>0</v>
      </c>
      <c r="C4227" t="inlineStr">
        <is>
          <t>+LS02</t>
        </is>
      </c>
      <c r="D4227" t="inlineStr">
        <is>
          <t>-208Q451.5</t>
        </is>
      </c>
      <c r="E4227" t="inlineStr">
        <is>
          <t>DILM-9-10</t>
        </is>
      </c>
      <c r="F4227" t="inlineStr">
        <is>
          <t>#KALK!</t>
        </is>
      </c>
      <c r="G4227" t="inlineStr">
        <is>
          <t>LASTSCHUETZ</t>
        </is>
      </c>
      <c r="H4227" t="inlineStr">
        <is>
          <t>4kW 1S Federzugkl.</t>
        </is>
      </c>
      <c r="I4227">
        <v>316</v>
      </c>
      <c r="J4227">
        <f>GS91/208.5</f>
        <v>0</v>
      </c>
      <c r="M4227" t="inlineStr">
        <is>
          <t>-208Q451.5</t>
        </is>
      </c>
    </row>
    <row r="4228">
      <c r="A4228">
        <v>4227</v>
      </c>
      <c r="B4228">
        <f>GS55</f>
        <v>0</v>
      </c>
      <c r="C4228" t="inlineStr">
        <is>
          <t>+LS34</t>
        </is>
      </c>
      <c r="D4228" t="inlineStr">
        <is>
          <t>-2095Q1</t>
        </is>
      </c>
      <c r="E4228" t="inlineStr">
        <is>
          <t>DILA-XHI22</t>
        </is>
      </c>
      <c r="F4228" t="inlineStr">
        <is>
          <t>DILA-XHI22</t>
        </is>
      </c>
      <c r="G4228" t="inlineStr">
        <is>
          <t>HILFSKONTAKTBLOCK</t>
        </is>
      </c>
      <c r="H4228" t="inlineStr">
        <is>
          <t>2S 2OE Last+Hilfssch. Cage</t>
        </is>
      </c>
      <c r="I4228">
        <v>2261</v>
      </c>
      <c r="J4228">
        <f>GS55/2095.6</f>
        <v>0</v>
      </c>
      <c r="K4228" t="inlineStr">
        <is>
          <t>DIL MC25</t>
        </is>
      </c>
      <c r="M4228" t="inlineStr">
        <is>
          <t>-2095Q1</t>
        </is>
      </c>
    </row>
    <row r="4229">
      <c r="A4229">
        <v>4228</v>
      </c>
      <c r="B4229">
        <f>GS55</f>
        <v>0</v>
      </c>
      <c r="C4229" t="inlineStr">
        <is>
          <t>+LS34</t>
        </is>
      </c>
      <c r="D4229" t="inlineStr">
        <is>
          <t>-2095Q1</t>
        </is>
      </c>
      <c r="E4229" t="inlineStr">
        <is>
          <t>DILMC25-10(RDC24)</t>
        </is>
      </c>
      <c r="F4229" t="inlineStr">
        <is>
          <t>DILA-XHI22</t>
        </is>
      </c>
      <c r="G4229" t="inlineStr">
        <is>
          <t>LASTSCHUETZ</t>
        </is>
      </c>
      <c r="H4229" t="inlineStr">
        <is>
          <t>11kW 1S Federzugkl.</t>
        </is>
      </c>
      <c r="I4229">
        <v>2261</v>
      </c>
      <c r="J4229">
        <f>GS55/2095.6</f>
        <v>0</v>
      </c>
      <c r="K4229" t="inlineStr">
        <is>
          <t>DIL MC25</t>
        </is>
      </c>
      <c r="M4229" t="inlineStr">
        <is>
          <t>-2095Q1</t>
        </is>
      </c>
    </row>
    <row r="4230">
      <c r="A4230">
        <v>4229</v>
      </c>
      <c r="B4230">
        <f>GS33</f>
        <v>0</v>
      </c>
      <c r="C4230" t="inlineStr">
        <is>
          <t>+LS4</t>
        </is>
      </c>
      <c r="D4230" t="inlineStr">
        <is>
          <t>-209K30.4</t>
        </is>
      </c>
      <c r="E4230" t="inlineStr">
        <is>
          <t>DIL_EM-10-G</t>
        </is>
      </c>
      <c r="F4230" t="inlineStr">
        <is>
          <t>#KALK!</t>
        </is>
      </c>
      <c r="G4230" t="inlineStr">
        <is>
          <t>LASTSCHUETZ</t>
        </is>
      </c>
      <c r="H4230" t="inlineStr">
        <is>
          <t>4kW 1S</t>
        </is>
      </c>
      <c r="I4230">
        <v>648</v>
      </c>
      <c r="J4230">
        <f>GS33/209.6</f>
        <v>0</v>
      </c>
      <c r="M4230" t="inlineStr">
        <is>
          <t>-209K30.4</t>
        </is>
      </c>
    </row>
    <row r="4231">
      <c r="A4231">
        <v>4230</v>
      </c>
      <c r="B4231">
        <f>GS26</f>
        <v>0</v>
      </c>
      <c r="C4231" t="inlineStr">
        <is>
          <t>+LS3</t>
        </is>
      </c>
      <c r="D4231" t="inlineStr">
        <is>
          <t>-209K3523.4</t>
        </is>
      </c>
      <c r="E4231" t="inlineStr">
        <is>
          <t>DILM-9-01</t>
        </is>
      </c>
      <c r="F4231" t="inlineStr">
        <is>
          <t>#KALK!</t>
        </is>
      </c>
      <c r="G4231" t="inlineStr">
        <is>
          <t>LASTSCHUETZ</t>
        </is>
      </c>
      <c r="H4231" t="inlineStr">
        <is>
          <t>4kW 1Oe Federzugkl.</t>
        </is>
      </c>
      <c r="I4231">
        <v>607</v>
      </c>
      <c r="J4231">
        <f>GS26/209.6</f>
        <v>0</v>
      </c>
      <c r="M4231" t="inlineStr">
        <is>
          <t>-209K3523.4</t>
        </is>
      </c>
    </row>
    <row r="4232">
      <c r="A4232">
        <v>4231</v>
      </c>
      <c r="B4232">
        <f>GS26</f>
        <v>0</v>
      </c>
      <c r="C4232" t="inlineStr">
        <is>
          <t>+LS3</t>
        </is>
      </c>
      <c r="D4232" t="inlineStr">
        <is>
          <t>-209K3523.5</t>
        </is>
      </c>
      <c r="E4232" t="inlineStr">
        <is>
          <t>DILM-9-10</t>
        </is>
      </c>
      <c r="F4232" t="inlineStr">
        <is>
          <t>#KALK!</t>
        </is>
      </c>
      <c r="G4232" t="inlineStr">
        <is>
          <t>LASTSCHUETZ</t>
        </is>
      </c>
      <c r="H4232" t="inlineStr">
        <is>
          <t>4kW 1S Federzugkl.</t>
        </is>
      </c>
      <c r="I4232">
        <v>607</v>
      </c>
      <c r="J4232">
        <f>GS26/209.7</f>
        <v>0</v>
      </c>
      <c r="M4232" t="inlineStr">
        <is>
          <t>-209K3523.5</t>
        </is>
      </c>
    </row>
    <row r="4233">
      <c r="A4233">
        <v>4232</v>
      </c>
      <c r="B4233">
        <f>GS26</f>
        <v>0</v>
      </c>
      <c r="C4233" t="inlineStr">
        <is>
          <t>+LS3</t>
        </is>
      </c>
      <c r="D4233" t="inlineStr">
        <is>
          <t>-209K3524.7</t>
        </is>
      </c>
      <c r="E4233" t="inlineStr">
        <is>
          <t>DILM-9-01</t>
        </is>
      </c>
      <c r="F4233" t="inlineStr">
        <is>
          <t>#KALK!</t>
        </is>
      </c>
      <c r="G4233" t="inlineStr">
        <is>
          <t>LASTSCHUETZ</t>
        </is>
      </c>
      <c r="H4233" t="inlineStr">
        <is>
          <t>4kW 1Oe Federzugkl.</t>
        </is>
      </c>
      <c r="I4233">
        <v>607</v>
      </c>
      <c r="J4233">
        <f>GS26/209.6</f>
        <v>0</v>
      </c>
      <c r="M4233" t="inlineStr">
        <is>
          <t>-209K3524.7</t>
        </is>
      </c>
    </row>
    <row r="4234">
      <c r="A4234">
        <v>4233</v>
      </c>
      <c r="B4234">
        <f>GS31</f>
        <v>0</v>
      </c>
      <c r="C4234" t="inlineStr">
        <is>
          <t>+LS3</t>
        </is>
      </c>
      <c r="D4234" t="inlineStr">
        <is>
          <t>-209K38.0</t>
        </is>
      </c>
      <c r="E4234" t="inlineStr">
        <is>
          <t>DIL_EM-10-G</t>
        </is>
      </c>
      <c r="F4234" t="inlineStr">
        <is>
          <t>#KALK!</t>
        </is>
      </c>
      <c r="G4234" t="inlineStr">
        <is>
          <t>LASTSCHUETZ</t>
        </is>
      </c>
      <c r="H4234" t="inlineStr">
        <is>
          <t>4kW 1S</t>
        </is>
      </c>
      <c r="I4234">
        <v>496</v>
      </c>
      <c r="J4234">
        <f>GS31/209.6</f>
        <v>0</v>
      </c>
      <c r="M4234" t="inlineStr">
        <is>
          <t>-209K38.0</t>
        </is>
      </c>
    </row>
    <row r="4235">
      <c r="A4235">
        <v>4234</v>
      </c>
      <c r="B4235">
        <f>GS31</f>
        <v>0</v>
      </c>
      <c r="C4235" t="inlineStr">
        <is>
          <t>+LS3</t>
        </is>
      </c>
      <c r="D4235" t="inlineStr">
        <is>
          <t>-209K38.1</t>
        </is>
      </c>
      <c r="E4235" t="inlineStr">
        <is>
          <t>DIL_EM-10-G</t>
        </is>
      </c>
      <c r="F4235" t="inlineStr">
        <is>
          <t>#KALK!</t>
        </is>
      </c>
      <c r="G4235" t="inlineStr">
        <is>
          <t>LASTSCHUETZ</t>
        </is>
      </c>
      <c r="H4235" t="inlineStr">
        <is>
          <t>4kW 1S</t>
        </is>
      </c>
      <c r="I4235">
        <v>496</v>
      </c>
      <c r="J4235">
        <f>GS31/209.6</f>
        <v>0</v>
      </c>
      <c r="M4235" t="inlineStr">
        <is>
          <t>-209K38.1</t>
        </is>
      </c>
    </row>
    <row r="4236">
      <c r="A4236">
        <v>4235</v>
      </c>
      <c r="B4236">
        <f>GS16</f>
        <v>0</v>
      </c>
      <c r="C4236" t="inlineStr">
        <is>
          <t>+LS4</t>
        </is>
      </c>
      <c r="D4236" t="inlineStr">
        <is>
          <t>-209K3934.4</t>
        </is>
      </c>
      <c r="E4236" t="inlineStr">
        <is>
          <t>DIL_EM-10-G</t>
        </is>
      </c>
      <c r="F4236" t="inlineStr">
        <is>
          <t>#KALK!</t>
        </is>
      </c>
      <c r="G4236" t="inlineStr">
        <is>
          <t>LASTSCHUETZ</t>
        </is>
      </c>
      <c r="H4236" t="inlineStr">
        <is>
          <t>4kW 1S</t>
        </is>
      </c>
      <c r="I4236">
        <v>433</v>
      </c>
      <c r="J4236">
        <f>GS16/209.6</f>
        <v>0</v>
      </c>
      <c r="M4236" t="inlineStr">
        <is>
          <t>-209K3934.4</t>
        </is>
      </c>
    </row>
    <row r="4237">
      <c r="A4237">
        <v>4236</v>
      </c>
      <c r="B4237">
        <f>GS04</f>
        <v>0</v>
      </c>
      <c r="C4237" t="inlineStr">
        <is>
          <t>+LS4</t>
        </is>
      </c>
      <c r="D4237" t="inlineStr">
        <is>
          <t>-209K42.0</t>
        </is>
      </c>
      <c r="E4237" t="inlineStr">
        <is>
          <t>DIL_EM-10-G</t>
        </is>
      </c>
      <c r="F4237" t="inlineStr">
        <is>
          <t>#KALK!</t>
        </is>
      </c>
      <c r="G4237" t="inlineStr">
        <is>
          <t>LASTSCHUETZ</t>
        </is>
      </c>
      <c r="H4237" t="inlineStr">
        <is>
          <t>4kW 1S</t>
        </is>
      </c>
      <c r="I4237">
        <v>459</v>
      </c>
      <c r="J4237">
        <f>GS04/209.6</f>
        <v>0</v>
      </c>
      <c r="M4237" t="inlineStr">
        <is>
          <t>-209K42.0</t>
        </is>
      </c>
    </row>
    <row r="4238">
      <c r="A4238">
        <v>4237</v>
      </c>
      <c r="B4238">
        <f>GS11</f>
        <v>0</v>
      </c>
      <c r="C4238" t="inlineStr">
        <is>
          <t>+LS5</t>
        </is>
      </c>
      <c r="D4238" t="inlineStr">
        <is>
          <t>-209K48.7</t>
        </is>
      </c>
      <c r="E4238" t="inlineStr">
        <is>
          <t>DIL_EM-10-G</t>
        </is>
      </c>
      <c r="F4238" t="inlineStr">
        <is>
          <t>#KALK!</t>
        </is>
      </c>
      <c r="G4238" t="inlineStr">
        <is>
          <t>LASTSCHUETZ</t>
        </is>
      </c>
      <c r="H4238" t="inlineStr">
        <is>
          <t>4kW 1S</t>
        </is>
      </c>
      <c r="I4238">
        <v>320</v>
      </c>
      <c r="J4238">
        <f>GS11/209.7</f>
        <v>0</v>
      </c>
      <c r="M4238" t="inlineStr">
        <is>
          <t>-209K48.7</t>
        </is>
      </c>
    </row>
    <row r="4239">
      <c r="A4239">
        <v>4238</v>
      </c>
      <c r="B4239">
        <f>GS21</f>
        <v>0</v>
      </c>
      <c r="C4239" t="inlineStr">
        <is>
          <t>+LS5</t>
        </is>
      </c>
      <c r="D4239" t="inlineStr">
        <is>
          <t>-209K48.7</t>
        </is>
      </c>
      <c r="E4239" t="inlineStr">
        <is>
          <t>DIL_EM-10-G</t>
        </is>
      </c>
      <c r="F4239" t="inlineStr">
        <is>
          <t>#KALK!</t>
        </is>
      </c>
      <c r="G4239" t="inlineStr">
        <is>
          <t>LASTSCHUETZ</t>
        </is>
      </c>
      <c r="H4239" t="inlineStr">
        <is>
          <t>4kW 1S</t>
        </is>
      </c>
      <c r="I4239">
        <v>294</v>
      </c>
      <c r="J4239">
        <f>GS21/209.7</f>
        <v>0</v>
      </c>
      <c r="M4239" t="inlineStr">
        <is>
          <t>-209K48.7</t>
        </is>
      </c>
    </row>
    <row r="4240">
      <c r="A4240">
        <v>4239</v>
      </c>
      <c r="B4240">
        <f>GS33</f>
        <v>0</v>
      </c>
      <c r="C4240" t="inlineStr">
        <is>
          <t>+LS4</t>
        </is>
      </c>
      <c r="D4240" t="inlineStr">
        <is>
          <t>-209K54.0</t>
        </is>
      </c>
      <c r="E4240" t="inlineStr">
        <is>
          <t>DIL_EM-10-G</t>
        </is>
      </c>
      <c r="F4240" t="inlineStr">
        <is>
          <t>#KALK!</t>
        </is>
      </c>
      <c r="G4240" t="inlineStr">
        <is>
          <t>LASTSCHUETZ</t>
        </is>
      </c>
      <c r="H4240" t="inlineStr">
        <is>
          <t>4kW 1S</t>
        </is>
      </c>
      <c r="I4240">
        <v>648</v>
      </c>
      <c r="J4240">
        <f>GS33/209.6</f>
        <v>0</v>
      </c>
      <c r="M4240" t="inlineStr">
        <is>
          <t>-209K54.0</t>
        </is>
      </c>
    </row>
    <row r="4241">
      <c r="A4241">
        <v>4240</v>
      </c>
      <c r="B4241">
        <f>GS62</f>
        <v>0</v>
      </c>
      <c r="C4241" t="inlineStr">
        <is>
          <t>+LS1</t>
        </is>
      </c>
      <c r="D4241" t="inlineStr">
        <is>
          <t>-209K60.3</t>
        </is>
      </c>
      <c r="E4241" t="inlineStr">
        <is>
          <t>DIL_EM-10-G</t>
        </is>
      </c>
      <c r="F4241" t="inlineStr">
        <is>
          <t>#KALK!</t>
        </is>
      </c>
      <c r="G4241" t="inlineStr">
        <is>
          <t>LASTSCHUETZ</t>
        </is>
      </c>
      <c r="H4241" t="inlineStr">
        <is>
          <t>4kW 1S</t>
        </is>
      </c>
      <c r="I4241">
        <v>455</v>
      </c>
      <c r="J4241">
        <f>GS62/209.7</f>
        <v>0</v>
      </c>
      <c r="M4241" t="inlineStr">
        <is>
          <t>-209K60.3</t>
        </is>
      </c>
    </row>
    <row r="4242">
      <c r="A4242">
        <v>4241</v>
      </c>
      <c r="B4242">
        <f>GS15</f>
        <v>0</v>
      </c>
      <c r="C4242" t="inlineStr">
        <is>
          <t>+LS4</t>
        </is>
      </c>
      <c r="D4242" t="inlineStr">
        <is>
          <t>-209K72.7</t>
        </is>
      </c>
      <c r="E4242" t="inlineStr">
        <is>
          <t>DIL_EM-10-G</t>
        </is>
      </c>
      <c r="F4242" t="inlineStr">
        <is>
          <t>#KALK!</t>
        </is>
      </c>
      <c r="G4242" t="inlineStr">
        <is>
          <t>LASTSCHUETZ</t>
        </is>
      </c>
      <c r="H4242" t="inlineStr">
        <is>
          <t>4kW 1S</t>
        </is>
      </c>
      <c r="I4242">
        <v>702</v>
      </c>
      <c r="J4242">
        <f>GS15/209.7</f>
        <v>0</v>
      </c>
      <c r="M4242" t="inlineStr">
        <is>
          <t>-209K72.7</t>
        </is>
      </c>
    </row>
    <row r="4243">
      <c r="A4243">
        <v>4242</v>
      </c>
      <c r="B4243">
        <f>GS14</f>
        <v>0</v>
      </c>
      <c r="C4243" t="inlineStr">
        <is>
          <t>+LS4</t>
        </is>
      </c>
      <c r="D4243" t="inlineStr">
        <is>
          <t>-209K74.0</t>
        </is>
      </c>
      <c r="E4243" t="inlineStr">
        <is>
          <t>DIL_EM-10-G</t>
        </is>
      </c>
      <c r="F4243" t="inlineStr">
        <is>
          <t>#KALK!</t>
        </is>
      </c>
      <c r="G4243" t="inlineStr">
        <is>
          <t>LASTSCHUETZ</t>
        </is>
      </c>
      <c r="H4243" t="inlineStr">
        <is>
          <t>4kW 1S</t>
        </is>
      </c>
      <c r="I4243">
        <v>335</v>
      </c>
      <c r="J4243">
        <f>GS14/209.6</f>
        <v>0</v>
      </c>
      <c r="M4243" t="inlineStr">
        <is>
          <t>-209K74.0</t>
        </is>
      </c>
    </row>
    <row r="4244">
      <c r="A4244">
        <v>4243</v>
      </c>
      <c r="B4244">
        <f>GS14</f>
        <v>0</v>
      </c>
      <c r="C4244" t="inlineStr">
        <is>
          <t>+LS4</t>
        </is>
      </c>
      <c r="D4244" t="inlineStr">
        <is>
          <t>-209K74.1</t>
        </is>
      </c>
      <c r="E4244" t="inlineStr">
        <is>
          <t>DIL_EM-10-G</t>
        </is>
      </c>
      <c r="F4244" t="inlineStr">
        <is>
          <t>#KALK!</t>
        </is>
      </c>
      <c r="G4244" t="inlineStr">
        <is>
          <t>LASTSCHUETZ</t>
        </is>
      </c>
      <c r="H4244" t="inlineStr">
        <is>
          <t>4kW 1S</t>
        </is>
      </c>
      <c r="I4244">
        <v>335</v>
      </c>
      <c r="J4244">
        <f>GS14/209.6</f>
        <v>0</v>
      </c>
      <c r="M4244" t="inlineStr">
        <is>
          <t>-209K74.1</t>
        </is>
      </c>
    </row>
    <row r="4245">
      <c r="A4245">
        <v>4244</v>
      </c>
      <c r="B4245">
        <f>GS06</f>
        <v>0</v>
      </c>
      <c r="C4245" t="inlineStr">
        <is>
          <t>+LS03</t>
        </is>
      </c>
      <c r="D4245" t="inlineStr">
        <is>
          <t>-209Q117.4</t>
        </is>
      </c>
      <c r="E4245" t="inlineStr">
        <is>
          <t>DILM-9-10</t>
        </is>
      </c>
      <c r="F4245" t="inlineStr">
        <is>
          <t>#KALK!</t>
        </is>
      </c>
      <c r="G4245" t="inlineStr">
        <is>
          <t>LASTSCHUETZ</t>
        </is>
      </c>
      <c r="H4245" t="inlineStr">
        <is>
          <t>4kW 1S Federzugkl.</t>
        </is>
      </c>
      <c r="I4245">
        <v>1781</v>
      </c>
      <c r="J4245">
        <f>GS06/209.5</f>
        <v>0</v>
      </c>
      <c r="M4245" t="inlineStr">
        <is>
          <t>-209Q117.4</t>
        </is>
      </c>
    </row>
    <row r="4246">
      <c r="A4246">
        <v>4245</v>
      </c>
      <c r="B4246">
        <f>GS90</f>
        <v>0</v>
      </c>
      <c r="C4246" t="inlineStr">
        <is>
          <t>+LS03</t>
        </is>
      </c>
      <c r="D4246" t="inlineStr">
        <is>
          <t>-209Q158.4</t>
        </is>
      </c>
      <c r="E4246" t="inlineStr">
        <is>
          <t>DILM-9-10</t>
        </is>
      </c>
      <c r="F4246" t="inlineStr">
        <is>
          <t>#KALK!</t>
        </is>
      </c>
      <c r="G4246" t="inlineStr">
        <is>
          <t>LASTSCHUETZ</t>
        </is>
      </c>
      <c r="H4246" t="inlineStr">
        <is>
          <t>4kW 1S Federzugkl.</t>
        </is>
      </c>
      <c r="I4246">
        <v>1030</v>
      </c>
      <c r="J4246">
        <f>GS90/209.5</f>
        <v>0</v>
      </c>
      <c r="M4246" t="inlineStr">
        <is>
          <t>-209Q158.4</t>
        </is>
      </c>
    </row>
    <row r="4247">
      <c r="A4247">
        <v>4246</v>
      </c>
      <c r="B4247">
        <f>GS94</f>
        <v>0</v>
      </c>
      <c r="C4247" t="inlineStr">
        <is>
          <t>+LS16</t>
        </is>
      </c>
      <c r="D4247" t="inlineStr">
        <is>
          <t>-209Q181.5</t>
        </is>
      </c>
      <c r="E4247" t="inlineStr">
        <is>
          <t>DILM-9-10</t>
        </is>
      </c>
      <c r="F4247" t="inlineStr">
        <is>
          <t>#KALK!</t>
        </is>
      </c>
      <c r="G4247" t="inlineStr">
        <is>
          <t>LASTSCHUETZ</t>
        </is>
      </c>
      <c r="H4247" t="inlineStr">
        <is>
          <t>4kW 1S Federzugkl.</t>
        </is>
      </c>
      <c r="I4247">
        <v>299</v>
      </c>
      <c r="J4247">
        <f>GS94/209.5</f>
        <v>0</v>
      </c>
      <c r="M4247" t="inlineStr">
        <is>
          <t>-209Q181.5</t>
        </is>
      </c>
    </row>
    <row r="4248">
      <c r="A4248">
        <v>4247</v>
      </c>
      <c r="B4248">
        <f>GS95</f>
        <v>0</v>
      </c>
      <c r="C4248" t="inlineStr">
        <is>
          <t>+LS16</t>
        </is>
      </c>
      <c r="D4248" t="inlineStr">
        <is>
          <t>-209Q181.5</t>
        </is>
      </c>
      <c r="E4248" t="inlineStr">
        <is>
          <t>DILM-9-10</t>
        </is>
      </c>
      <c r="F4248" t="inlineStr">
        <is>
          <t>#KALK!</t>
        </is>
      </c>
      <c r="G4248" t="inlineStr">
        <is>
          <t>LASTSCHUETZ</t>
        </is>
      </c>
      <c r="H4248" t="inlineStr">
        <is>
          <t>4kW 1S Federzugkl.</t>
        </is>
      </c>
      <c r="I4248">
        <v>299</v>
      </c>
      <c r="J4248">
        <f>GS95/209.5</f>
        <v>0</v>
      </c>
      <c r="M4248" t="inlineStr">
        <is>
          <t>-209Q181.5</t>
        </is>
      </c>
    </row>
    <row r="4249">
      <c r="A4249">
        <v>4248</v>
      </c>
      <c r="B4249">
        <f>GS96</f>
        <v>0</v>
      </c>
      <c r="C4249" t="inlineStr">
        <is>
          <t>+LS16</t>
        </is>
      </c>
      <c r="D4249" t="inlineStr">
        <is>
          <t>-209Q181.5</t>
        </is>
      </c>
      <c r="E4249" t="inlineStr">
        <is>
          <t>DILM-9-10</t>
        </is>
      </c>
      <c r="F4249" t="inlineStr">
        <is>
          <t>#KALK!</t>
        </is>
      </c>
      <c r="G4249" t="inlineStr">
        <is>
          <t>LASTSCHUETZ</t>
        </is>
      </c>
      <c r="H4249" t="inlineStr">
        <is>
          <t>4kW 1S Federzugkl.</t>
        </is>
      </c>
      <c r="I4249">
        <v>299</v>
      </c>
      <c r="J4249">
        <f>GS96/209.5</f>
        <v>0</v>
      </c>
      <c r="M4249" t="inlineStr">
        <is>
          <t>-209Q181.5</t>
        </is>
      </c>
    </row>
    <row r="4250">
      <c r="A4250">
        <v>4249</v>
      </c>
      <c r="B4250">
        <f>GS97</f>
        <v>0</v>
      </c>
      <c r="C4250" t="inlineStr">
        <is>
          <t>+LS16</t>
        </is>
      </c>
      <c r="D4250" t="inlineStr">
        <is>
          <t>-209Q181.5</t>
        </is>
      </c>
      <c r="E4250" t="inlineStr">
        <is>
          <t>DILM-9-10</t>
        </is>
      </c>
      <c r="F4250" t="inlineStr">
        <is>
          <t>#KALK!</t>
        </is>
      </c>
      <c r="G4250" t="inlineStr">
        <is>
          <t>LASTSCHUETZ</t>
        </is>
      </c>
      <c r="H4250" t="inlineStr">
        <is>
          <t>4kW 1S Federzugkl.</t>
        </is>
      </c>
      <c r="I4250">
        <v>299</v>
      </c>
      <c r="J4250">
        <f>GS97/209.5</f>
        <v>0</v>
      </c>
      <c r="M4250" t="inlineStr">
        <is>
          <t>-209Q181.5</t>
        </is>
      </c>
    </row>
    <row r="4251">
      <c r="A4251">
        <v>4250</v>
      </c>
      <c r="B4251">
        <f>GS91</f>
        <v>0</v>
      </c>
      <c r="C4251" t="inlineStr">
        <is>
          <t>+LS02</t>
        </is>
      </c>
      <c r="D4251" t="inlineStr">
        <is>
          <t>-209Q451.6</t>
        </is>
      </c>
      <c r="E4251" t="inlineStr">
        <is>
          <t>DILM-9-10</t>
        </is>
      </c>
      <c r="F4251" t="inlineStr">
        <is>
          <t>#KALK!</t>
        </is>
      </c>
      <c r="G4251" t="inlineStr">
        <is>
          <t>LASTSCHUETZ</t>
        </is>
      </c>
      <c r="H4251" t="inlineStr">
        <is>
          <t>4kW 1S Federzugkl.</t>
        </is>
      </c>
      <c r="I4251">
        <v>317</v>
      </c>
      <c r="J4251">
        <f>GS91/209.5</f>
        <v>0</v>
      </c>
      <c r="M4251" t="inlineStr">
        <is>
          <t>-209Q451.6</t>
        </is>
      </c>
    </row>
    <row r="4252">
      <c r="A4252">
        <v>4251</v>
      </c>
      <c r="B4252">
        <f>GS69</f>
        <v>0</v>
      </c>
      <c r="C4252" t="inlineStr">
        <is>
          <t>+LS[I1]</t>
        </is>
      </c>
      <c r="D4252" t="inlineStr">
        <is>
          <t>-20Q[a+13].0</t>
        </is>
      </c>
      <c r="E4252" t="inlineStr">
        <is>
          <t>DILM-9-10</t>
        </is>
      </c>
      <c r="F4252" t="inlineStr">
        <is>
          <t>#KALK!</t>
        </is>
      </c>
      <c r="G4252" t="inlineStr">
        <is>
          <t>LASTSCHUETZ</t>
        </is>
      </c>
      <c r="H4252" t="inlineStr">
        <is>
          <t>4kW 1S Federzugkl.</t>
        </is>
      </c>
      <c r="I4252">
        <v>613</v>
      </c>
      <c r="J4252">
        <f>GS69/20.7</f>
        <v>0</v>
      </c>
      <c r="M4252" t="inlineStr">
        <is>
          <t>-20Q[a+13].0</t>
        </is>
      </c>
    </row>
    <row r="4253">
      <c r="A4253">
        <v>4252</v>
      </c>
      <c r="B4253">
        <f>GS40</f>
        <v>0</v>
      </c>
      <c r="C4253" t="inlineStr">
        <is>
          <t>+LS[ll]</t>
        </is>
      </c>
      <c r="D4253" t="inlineStr">
        <is>
          <t>-20Q1</t>
        </is>
      </c>
      <c r="E4253" t="inlineStr">
        <is>
          <t>DILM-9-10</t>
        </is>
      </c>
      <c r="F4253" t="inlineStr">
        <is>
          <t>#KALK!</t>
        </is>
      </c>
      <c r="G4253" t="inlineStr">
        <is>
          <t>LASTSCHUETZ</t>
        </is>
      </c>
      <c r="H4253" t="inlineStr">
        <is>
          <t>4kW 1S Federzugkl.</t>
        </is>
      </c>
      <c r="I4253">
        <v>195</v>
      </c>
      <c r="J4253">
        <f>GS40/20.2</f>
        <v>0</v>
      </c>
      <c r="M4253" t="inlineStr">
        <is>
          <t>-20Q1</t>
        </is>
      </c>
    </row>
    <row r="4254">
      <c r="A4254">
        <v>4253</v>
      </c>
      <c r="B4254">
        <f>GS44</f>
        <v>0</v>
      </c>
      <c r="C4254" t="inlineStr">
        <is>
          <t>+LS[ll]</t>
        </is>
      </c>
      <c r="D4254" t="inlineStr">
        <is>
          <t>-20Q1</t>
        </is>
      </c>
      <c r="E4254" t="inlineStr">
        <is>
          <t>DILM-9-10</t>
        </is>
      </c>
      <c r="F4254" t="inlineStr">
        <is>
          <t>#KALK!</t>
        </is>
      </c>
      <c r="G4254" t="inlineStr">
        <is>
          <t>LASTSCHUETZ</t>
        </is>
      </c>
      <c r="H4254" t="inlineStr">
        <is>
          <t>4kW 1S Federzugkl.</t>
        </is>
      </c>
      <c r="I4254">
        <v>207</v>
      </c>
      <c r="J4254">
        <f>GS44/20.2</f>
        <v>0</v>
      </c>
      <c r="M4254" t="inlineStr">
        <is>
          <t>-20Q1</t>
        </is>
      </c>
    </row>
    <row r="4255">
      <c r="A4255">
        <v>4254</v>
      </c>
      <c r="B4255">
        <f>GS4x</f>
        <v>0</v>
      </c>
      <c r="C4255" t="inlineStr">
        <is>
          <t>+LS[ll]</t>
        </is>
      </c>
      <c r="D4255" t="inlineStr">
        <is>
          <t>-20Q1</t>
        </is>
      </c>
      <c r="E4255" t="inlineStr">
        <is>
          <t>DILM-9-10</t>
        </is>
      </c>
      <c r="F4255" t="inlineStr">
        <is>
          <t>#KALK!</t>
        </is>
      </c>
      <c r="G4255" t="inlineStr">
        <is>
          <t>LASTSCHUETZ</t>
        </is>
      </c>
      <c r="H4255" t="inlineStr">
        <is>
          <t>4kW 1S Federzugkl.</t>
        </is>
      </c>
      <c r="I4255">
        <v>196</v>
      </c>
      <c r="J4255">
        <f>GS4x/20.2</f>
        <v>0</v>
      </c>
      <c r="M4255" t="inlineStr">
        <is>
          <t>-20Q1</t>
        </is>
      </c>
    </row>
    <row r="4256">
      <c r="A4256">
        <v>4255</v>
      </c>
      <c r="B4256">
        <f>GS40</f>
        <v>0</v>
      </c>
      <c r="C4256" t="inlineStr">
        <is>
          <t>+LS[ll]</t>
        </is>
      </c>
      <c r="D4256" t="inlineStr">
        <is>
          <t>-20Q2</t>
        </is>
      </c>
      <c r="E4256" t="inlineStr">
        <is>
          <t>DILM-9-10</t>
        </is>
      </c>
      <c r="F4256" t="inlineStr">
        <is>
          <t>#KALK!</t>
        </is>
      </c>
      <c r="G4256" t="inlineStr">
        <is>
          <t>LASTSCHUETZ</t>
        </is>
      </c>
      <c r="H4256" t="inlineStr">
        <is>
          <t>4kW 1S Federzugkl.</t>
        </is>
      </c>
      <c r="I4256">
        <v>195</v>
      </c>
      <c r="J4256">
        <f>GS40/20.3</f>
        <v>0</v>
      </c>
      <c r="M4256" t="inlineStr">
        <is>
          <t>-20Q2</t>
        </is>
      </c>
    </row>
    <row r="4257">
      <c r="A4257">
        <v>4256</v>
      </c>
      <c r="B4257">
        <f>GS44</f>
        <v>0</v>
      </c>
      <c r="C4257" t="inlineStr">
        <is>
          <t>+LS[ll]</t>
        </is>
      </c>
      <c r="D4257" t="inlineStr">
        <is>
          <t>-20Q2</t>
        </is>
      </c>
      <c r="E4257" t="inlineStr">
        <is>
          <t>DILM-9-10</t>
        </is>
      </c>
      <c r="F4257" t="inlineStr">
        <is>
          <t>#KALK!</t>
        </is>
      </c>
      <c r="G4257" t="inlineStr">
        <is>
          <t>LASTSCHUETZ</t>
        </is>
      </c>
      <c r="H4257" t="inlineStr">
        <is>
          <t>4kW 1S Federzugkl.</t>
        </is>
      </c>
      <c r="I4257">
        <v>207</v>
      </c>
      <c r="J4257">
        <f>GS44/20.3</f>
        <v>0</v>
      </c>
      <c r="M4257" t="inlineStr">
        <is>
          <t>-20Q2</t>
        </is>
      </c>
    </row>
    <row r="4258">
      <c r="A4258">
        <v>4257</v>
      </c>
      <c r="B4258">
        <f>GS4x</f>
        <v>0</v>
      </c>
      <c r="C4258" t="inlineStr">
        <is>
          <t>+LS[ll]</t>
        </is>
      </c>
      <c r="D4258" t="inlineStr">
        <is>
          <t>-20Q2</t>
        </is>
      </c>
      <c r="E4258" t="inlineStr">
        <is>
          <t>DILM-9-10</t>
        </is>
      </c>
      <c r="F4258" t="inlineStr">
        <is>
          <t>#KALK!</t>
        </is>
      </c>
      <c r="G4258" t="inlineStr">
        <is>
          <t>LASTSCHUETZ</t>
        </is>
      </c>
      <c r="H4258" t="inlineStr">
        <is>
          <t>4kW 1S Federzugkl.</t>
        </is>
      </c>
      <c r="I4258">
        <v>196</v>
      </c>
      <c r="J4258">
        <f>GS4x/20.3</f>
        <v>0</v>
      </c>
      <c r="M4258" t="inlineStr">
        <is>
          <t>-20Q2</t>
        </is>
      </c>
    </row>
    <row r="4259">
      <c r="A4259">
        <v>4258</v>
      </c>
      <c r="B4259">
        <f>GS55</f>
        <v>0</v>
      </c>
      <c r="C4259" t="inlineStr">
        <is>
          <t>+LS34</t>
        </is>
      </c>
      <c r="D4259" t="inlineStr">
        <is>
          <t>-2105Q1</t>
        </is>
      </c>
      <c r="E4259" t="inlineStr">
        <is>
          <t>DILA-XHI22</t>
        </is>
      </c>
      <c r="F4259" t="inlineStr">
        <is>
          <t>DILA-XHI22</t>
        </is>
      </c>
      <c r="G4259" t="inlineStr">
        <is>
          <t>HILFSKONTAKTBLOCK</t>
        </is>
      </c>
      <c r="H4259" t="inlineStr">
        <is>
          <t>2S 2OE Last+Hilfssch. Cage</t>
        </is>
      </c>
      <c r="I4259">
        <v>2273</v>
      </c>
      <c r="J4259">
        <f>GS55/2105.6</f>
        <v>0</v>
      </c>
      <c r="K4259" t="inlineStr">
        <is>
          <t>DIL MC25</t>
        </is>
      </c>
      <c r="M4259" t="inlineStr">
        <is>
          <t>-2105Q1</t>
        </is>
      </c>
    </row>
    <row r="4260">
      <c r="A4260">
        <v>4259</v>
      </c>
      <c r="B4260">
        <f>GS55</f>
        <v>0</v>
      </c>
      <c r="C4260" t="inlineStr">
        <is>
          <t>+LS34</t>
        </is>
      </c>
      <c r="D4260" t="inlineStr">
        <is>
          <t>-2105Q1</t>
        </is>
      </c>
      <c r="E4260" t="inlineStr">
        <is>
          <t>DILMC25-10(RDC24)</t>
        </is>
      </c>
      <c r="F4260" t="inlineStr">
        <is>
          <t>DILA-XHI22</t>
        </is>
      </c>
      <c r="G4260" t="inlineStr">
        <is>
          <t>LASTSCHUETZ</t>
        </is>
      </c>
      <c r="H4260" t="inlineStr">
        <is>
          <t>11kW 1S Federzugkl.</t>
        </is>
      </c>
      <c r="I4260">
        <v>2273</v>
      </c>
      <c r="J4260">
        <f>GS55/2105.6</f>
        <v>0</v>
      </c>
      <c r="K4260" t="inlineStr">
        <is>
          <t>DIL MC25</t>
        </is>
      </c>
      <c r="M4260" t="inlineStr">
        <is>
          <t>-2105Q1</t>
        </is>
      </c>
    </row>
    <row r="4261">
      <c r="A4261">
        <v>4260</v>
      </c>
      <c r="B4261">
        <f>GC03</f>
        <v>0</v>
      </c>
      <c r="C4261" t="inlineStr">
        <is>
          <t>+LS4</t>
        </is>
      </c>
      <c r="D4261" t="inlineStr">
        <is>
          <t>-210K1</t>
        </is>
      </c>
      <c r="E4261" t="inlineStr">
        <is>
          <t>22_DIL-M</t>
        </is>
      </c>
      <c r="F4261" t="inlineStr">
        <is>
          <t>22_DIL-M</t>
        </is>
      </c>
      <c r="G4261" t="inlineStr">
        <is>
          <t>HILFSKONTAKTBLOCK</t>
        </is>
      </c>
      <c r="H4261" t="inlineStr">
        <is>
          <t>2S 2OE Lastschuetz DIL M</t>
        </is>
      </c>
      <c r="I4261">
        <v>2494</v>
      </c>
      <c r="J4261">
        <f>GC03/210.2</f>
        <v>0</v>
      </c>
      <c r="K4261" t="inlineStr">
        <is>
          <t>DIL0AM</t>
        </is>
      </c>
      <c r="M4261" t="inlineStr">
        <is>
          <t>-210K1</t>
        </is>
      </c>
    </row>
    <row r="4262">
      <c r="A4262">
        <v>4261</v>
      </c>
      <c r="B4262">
        <f>GC03</f>
        <v>0</v>
      </c>
      <c r="C4262" t="inlineStr">
        <is>
          <t>+LS4</t>
        </is>
      </c>
      <c r="D4262" t="inlineStr">
        <is>
          <t>-210K1</t>
        </is>
      </c>
      <c r="E4262" t="inlineStr">
        <is>
          <t>DIL_0AM</t>
        </is>
      </c>
      <c r="F4262" t="inlineStr">
        <is>
          <t>22_DIL-M</t>
        </is>
      </c>
      <c r="G4262" t="inlineStr">
        <is>
          <t>LASTSCHUETZ</t>
        </is>
      </c>
      <c r="H4262" t="inlineStr">
        <is>
          <t>11 kW</t>
        </is>
      </c>
      <c r="I4262">
        <v>2494</v>
      </c>
      <c r="J4262">
        <f>GC03/210.2</f>
        <v>0</v>
      </c>
      <c r="K4262" t="inlineStr">
        <is>
          <t>DIL0AM</t>
        </is>
      </c>
      <c r="M4262" t="inlineStr">
        <is>
          <t>-210K1</t>
        </is>
      </c>
    </row>
    <row r="4263">
      <c r="A4263">
        <v>4262</v>
      </c>
      <c r="B4263">
        <f>GS02</f>
        <v>0</v>
      </c>
      <c r="C4263" t="inlineStr">
        <is>
          <t>+LS3</t>
        </is>
      </c>
      <c r="D4263" t="inlineStr">
        <is>
          <t>-210K1</t>
        </is>
      </c>
      <c r="E4263" t="inlineStr">
        <is>
          <t>22_DIL-M</t>
        </is>
      </c>
      <c r="F4263" t="inlineStr">
        <is>
          <t>22_DIL-M</t>
        </is>
      </c>
      <c r="G4263" t="inlineStr">
        <is>
          <t>HILFSKONTAKTBLOCK</t>
        </is>
      </c>
      <c r="H4263" t="inlineStr">
        <is>
          <t>2S 2OE Lastschuetz DIL M</t>
        </is>
      </c>
      <c r="I4263">
        <v>614</v>
      </c>
      <c r="J4263">
        <f>GS02/210.2</f>
        <v>0</v>
      </c>
      <c r="K4263" t="inlineStr">
        <is>
          <t>DIL0AM</t>
        </is>
      </c>
      <c r="M4263" t="inlineStr">
        <is>
          <t>-210K1</t>
        </is>
      </c>
    </row>
    <row r="4264">
      <c r="A4264">
        <v>4263</v>
      </c>
      <c r="B4264">
        <f>GS02</f>
        <v>0</v>
      </c>
      <c r="C4264" t="inlineStr">
        <is>
          <t>+LS3</t>
        </is>
      </c>
      <c r="D4264" t="inlineStr">
        <is>
          <t>-210K1</t>
        </is>
      </c>
      <c r="E4264" t="inlineStr">
        <is>
          <t>DIL_0AM</t>
        </is>
      </c>
      <c r="F4264" t="inlineStr">
        <is>
          <t>22_DIL-M</t>
        </is>
      </c>
      <c r="G4264" t="inlineStr">
        <is>
          <t>LASTSCHUETZ</t>
        </is>
      </c>
      <c r="H4264" t="inlineStr">
        <is>
          <t>11 kW</t>
        </is>
      </c>
      <c r="I4264">
        <v>614</v>
      </c>
      <c r="J4264">
        <f>GS02/210.2</f>
        <v>0</v>
      </c>
      <c r="K4264" t="inlineStr">
        <is>
          <t>DIL0AM</t>
        </is>
      </c>
      <c r="M4264" t="inlineStr">
        <is>
          <t>-210K1</t>
        </is>
      </c>
    </row>
    <row r="4265">
      <c r="A4265">
        <v>4264</v>
      </c>
      <c r="B4265">
        <f>GS32</f>
        <v>0</v>
      </c>
      <c r="C4265" t="inlineStr">
        <is>
          <t>+LS4</t>
        </is>
      </c>
      <c r="D4265" t="inlineStr">
        <is>
          <t>-210K1</t>
        </is>
      </c>
      <c r="E4265" t="inlineStr">
        <is>
          <t>DIL_EM-10-G</t>
        </is>
      </c>
      <c r="F4265" t="inlineStr">
        <is>
          <t>#KALK!</t>
        </is>
      </c>
      <c r="G4265" t="inlineStr">
        <is>
          <t>LASTSCHUETZ</t>
        </is>
      </c>
      <c r="H4265" t="inlineStr">
        <is>
          <t>4kW 1S</t>
        </is>
      </c>
      <c r="I4265">
        <v>1040</v>
      </c>
      <c r="J4265">
        <f>GS32/210.5</f>
        <v>0</v>
      </c>
      <c r="M4265" t="inlineStr">
        <is>
          <t>-210K1</t>
        </is>
      </c>
    </row>
    <row r="4266">
      <c r="A4266">
        <v>4265</v>
      </c>
      <c r="B4266">
        <f>GS34</f>
        <v>0</v>
      </c>
      <c r="C4266" t="inlineStr">
        <is>
          <t>+LS4</t>
        </is>
      </c>
      <c r="D4266" t="inlineStr">
        <is>
          <t>-210K1</t>
        </is>
      </c>
      <c r="E4266" t="inlineStr">
        <is>
          <t>22_DIL-M</t>
        </is>
      </c>
      <c r="F4266" t="inlineStr">
        <is>
          <t>22_DIL-M</t>
        </is>
      </c>
      <c r="G4266" t="inlineStr">
        <is>
          <t>HILFSKONTAKTBLOCK</t>
        </is>
      </c>
      <c r="H4266" t="inlineStr">
        <is>
          <t>2S 2OE Lastschuetz DIL M</t>
        </is>
      </c>
      <c r="I4266">
        <v>334</v>
      </c>
      <c r="J4266">
        <f>GS34/210.2</f>
        <v>0</v>
      </c>
      <c r="K4266" t="inlineStr">
        <is>
          <t>DIL0AM</t>
        </is>
      </c>
      <c r="M4266" t="inlineStr">
        <is>
          <t>-210K1</t>
        </is>
      </c>
    </row>
    <row r="4267">
      <c r="A4267">
        <v>4266</v>
      </c>
      <c r="B4267">
        <f>GS34</f>
        <v>0</v>
      </c>
      <c r="C4267" t="inlineStr">
        <is>
          <t>+LS4</t>
        </is>
      </c>
      <c r="D4267" t="inlineStr">
        <is>
          <t>-210K1</t>
        </is>
      </c>
      <c r="E4267" t="inlineStr">
        <is>
          <t>DIL_0AM</t>
        </is>
      </c>
      <c r="F4267" t="inlineStr">
        <is>
          <t>22_DIL-M</t>
        </is>
      </c>
      <c r="G4267" t="inlineStr">
        <is>
          <t>LASTSCHUETZ</t>
        </is>
      </c>
      <c r="H4267" t="inlineStr">
        <is>
          <t>11 kW</t>
        </is>
      </c>
      <c r="I4267">
        <v>334</v>
      </c>
      <c r="J4267">
        <f>GS34/210.2</f>
        <v>0</v>
      </c>
      <c r="K4267" t="inlineStr">
        <is>
          <t>DIL0AM</t>
        </is>
      </c>
      <c r="M4267" t="inlineStr">
        <is>
          <t>-210K1</t>
        </is>
      </c>
    </row>
    <row r="4268">
      <c r="A4268">
        <v>4267</v>
      </c>
      <c r="B4268">
        <f>GS33</f>
        <v>0</v>
      </c>
      <c r="C4268" t="inlineStr">
        <is>
          <t>+LS4</t>
        </is>
      </c>
      <c r="D4268" t="inlineStr">
        <is>
          <t>-210K30.5</t>
        </is>
      </c>
      <c r="E4268" t="inlineStr">
        <is>
          <t>DIL_EM-10-G</t>
        </is>
      </c>
      <c r="F4268" t="inlineStr">
        <is>
          <t>#KALK!</t>
        </is>
      </c>
      <c r="G4268" t="inlineStr">
        <is>
          <t>LASTSCHUETZ</t>
        </is>
      </c>
      <c r="H4268" t="inlineStr">
        <is>
          <t>4kW 1S</t>
        </is>
      </c>
      <c r="I4268">
        <v>649</v>
      </c>
      <c r="J4268">
        <f>GS33/210.6</f>
        <v>0</v>
      </c>
      <c r="M4268" t="inlineStr">
        <is>
          <t>-210K30.5</t>
        </is>
      </c>
    </row>
    <row r="4269">
      <c r="A4269">
        <v>4268</v>
      </c>
      <c r="B4269">
        <f>GS26</f>
        <v>0</v>
      </c>
      <c r="C4269" t="inlineStr">
        <is>
          <t>+LS3</t>
        </is>
      </c>
      <c r="D4269" t="inlineStr">
        <is>
          <t>-210K3524.1</t>
        </is>
      </c>
      <c r="E4269" t="inlineStr">
        <is>
          <t>DILM-9-10</t>
        </is>
      </c>
      <c r="F4269" t="inlineStr">
        <is>
          <t>#KALK!</t>
        </is>
      </c>
      <c r="G4269" t="inlineStr">
        <is>
          <t>LASTSCHUETZ</t>
        </is>
      </c>
      <c r="H4269" t="inlineStr">
        <is>
          <t>4kW 1S Federzugkl.</t>
        </is>
      </c>
      <c r="I4269">
        <v>606</v>
      </c>
      <c r="J4269">
        <f>GS26/210.8</f>
        <v>0</v>
      </c>
      <c r="M4269" t="inlineStr">
        <is>
          <t>-210K3524.1</t>
        </is>
      </c>
    </row>
    <row r="4270">
      <c r="A4270">
        <v>4269</v>
      </c>
      <c r="B4270">
        <f>GS31</f>
        <v>0</v>
      </c>
      <c r="C4270" t="inlineStr">
        <is>
          <t>+LS3</t>
        </is>
      </c>
      <c r="D4270" t="inlineStr">
        <is>
          <t>-210K38.2</t>
        </is>
      </c>
      <c r="E4270" t="inlineStr">
        <is>
          <t>DIL_EM-10-G</t>
        </is>
      </c>
      <c r="F4270" t="inlineStr">
        <is>
          <t>#KALK!</t>
        </is>
      </c>
      <c r="G4270" t="inlineStr">
        <is>
          <t>LASTSCHUETZ</t>
        </is>
      </c>
      <c r="H4270" t="inlineStr">
        <is>
          <t>4kW 1S</t>
        </is>
      </c>
      <c r="I4270">
        <v>497</v>
      </c>
      <c r="J4270">
        <f>GS31/210.6</f>
        <v>0</v>
      </c>
      <c r="M4270" t="inlineStr">
        <is>
          <t>-210K38.2</t>
        </is>
      </c>
    </row>
    <row r="4271">
      <c r="A4271">
        <v>4270</v>
      </c>
      <c r="B4271">
        <f>GS31</f>
        <v>0</v>
      </c>
      <c r="C4271" t="inlineStr">
        <is>
          <t>+LS3</t>
        </is>
      </c>
      <c r="D4271" t="inlineStr">
        <is>
          <t>-210K38.3</t>
        </is>
      </c>
      <c r="E4271" t="inlineStr">
        <is>
          <t>DIL_EM-10-G</t>
        </is>
      </c>
      <c r="F4271" t="inlineStr">
        <is>
          <t>#KALK!</t>
        </is>
      </c>
      <c r="G4271" t="inlineStr">
        <is>
          <t>LASTSCHUETZ</t>
        </is>
      </c>
      <c r="H4271" t="inlineStr">
        <is>
          <t>4kW 1S</t>
        </is>
      </c>
      <c r="I4271">
        <v>497</v>
      </c>
      <c r="J4271">
        <f>GS31/210.6</f>
        <v>0</v>
      </c>
      <c r="M4271" t="inlineStr">
        <is>
          <t>-210K38.3</t>
        </is>
      </c>
    </row>
    <row r="4272">
      <c r="A4272">
        <v>4271</v>
      </c>
      <c r="B4272">
        <f>GS16</f>
        <v>0</v>
      </c>
      <c r="C4272" t="inlineStr">
        <is>
          <t>+LS4</t>
        </is>
      </c>
      <c r="D4272" t="inlineStr">
        <is>
          <t>-210K3935.3</t>
        </is>
      </c>
      <c r="E4272" t="inlineStr">
        <is>
          <t>DIL_EM-10-G</t>
        </is>
      </c>
      <c r="F4272" t="inlineStr">
        <is>
          <t>#KALK!</t>
        </is>
      </c>
      <c r="G4272" t="inlineStr">
        <is>
          <t>LASTSCHUETZ</t>
        </is>
      </c>
      <c r="H4272" t="inlineStr">
        <is>
          <t>4kW 1S</t>
        </is>
      </c>
      <c r="I4272">
        <v>434</v>
      </c>
      <c r="J4272">
        <f>GS16/210.6</f>
        <v>0</v>
      </c>
      <c r="M4272" t="inlineStr">
        <is>
          <t>-210K3935.3</t>
        </is>
      </c>
    </row>
    <row r="4273">
      <c r="A4273">
        <v>4272</v>
      </c>
      <c r="B4273">
        <f>GS16</f>
        <v>0</v>
      </c>
      <c r="C4273" t="inlineStr">
        <is>
          <t>+LS4</t>
        </is>
      </c>
      <c r="D4273" t="inlineStr">
        <is>
          <t>-210K3935.4</t>
        </is>
      </c>
      <c r="E4273" t="inlineStr">
        <is>
          <t>DIL_EM-10-G</t>
        </is>
      </c>
      <c r="F4273" t="inlineStr">
        <is>
          <t>#KALK!</t>
        </is>
      </c>
      <c r="G4273" t="inlineStr">
        <is>
          <t>LASTSCHUETZ</t>
        </is>
      </c>
      <c r="H4273" t="inlineStr">
        <is>
          <t>4kW 1S</t>
        </is>
      </c>
      <c r="I4273">
        <v>434</v>
      </c>
      <c r="J4273">
        <f>GS16/210.6</f>
        <v>0</v>
      </c>
      <c r="M4273" t="inlineStr">
        <is>
          <t>-210K3935.4</t>
        </is>
      </c>
    </row>
    <row r="4274">
      <c r="A4274">
        <v>4273</v>
      </c>
      <c r="B4274">
        <f>GS04</f>
        <v>0</v>
      </c>
      <c r="C4274" t="inlineStr">
        <is>
          <t>+LS4</t>
        </is>
      </c>
      <c r="D4274" t="inlineStr">
        <is>
          <t>-210K42.1</t>
        </is>
      </c>
      <c r="E4274" t="inlineStr">
        <is>
          <t>DIL_EM-10-G</t>
        </is>
      </c>
      <c r="F4274" t="inlineStr">
        <is>
          <t>#KALK!</t>
        </is>
      </c>
      <c r="G4274" t="inlineStr">
        <is>
          <t>LASTSCHUETZ</t>
        </is>
      </c>
      <c r="H4274" t="inlineStr">
        <is>
          <t>4kW 1S</t>
        </is>
      </c>
      <c r="I4274">
        <v>460</v>
      </c>
      <c r="J4274">
        <f>GS04/210.6</f>
        <v>0</v>
      </c>
      <c r="M4274" t="inlineStr">
        <is>
          <t>-210K42.1</t>
        </is>
      </c>
    </row>
    <row r="4275">
      <c r="A4275">
        <v>4274</v>
      </c>
      <c r="B4275">
        <f>GS04</f>
        <v>0</v>
      </c>
      <c r="C4275" t="inlineStr">
        <is>
          <t>+LS4</t>
        </is>
      </c>
      <c r="D4275" t="inlineStr">
        <is>
          <t>-210K42.2</t>
        </is>
      </c>
      <c r="E4275" t="inlineStr">
        <is>
          <t>DIL_EM-10-G</t>
        </is>
      </c>
      <c r="F4275" t="inlineStr">
        <is>
          <t>#KALK!</t>
        </is>
      </c>
      <c r="G4275" t="inlineStr">
        <is>
          <t>LASTSCHUETZ</t>
        </is>
      </c>
      <c r="H4275" t="inlineStr">
        <is>
          <t>4kW 1S</t>
        </is>
      </c>
      <c r="I4275">
        <v>460</v>
      </c>
      <c r="J4275">
        <f>GS04/210.6</f>
        <v>0</v>
      </c>
      <c r="M4275" t="inlineStr">
        <is>
          <t>-210K42.2</t>
        </is>
      </c>
    </row>
    <row r="4276">
      <c r="A4276">
        <v>4275</v>
      </c>
      <c r="B4276">
        <f>GS11</f>
        <v>0</v>
      </c>
      <c r="C4276" t="inlineStr">
        <is>
          <t>+LS5</t>
        </is>
      </c>
      <c r="D4276" t="inlineStr">
        <is>
          <t>-210K49.0</t>
        </is>
      </c>
      <c r="E4276" t="inlineStr">
        <is>
          <t>DIL_EM-10-G</t>
        </is>
      </c>
      <c r="F4276" t="inlineStr">
        <is>
          <t>#KALK!</t>
        </is>
      </c>
      <c r="G4276" t="inlineStr">
        <is>
          <t>LASTSCHUETZ</t>
        </is>
      </c>
      <c r="H4276" t="inlineStr">
        <is>
          <t>4kW 1S</t>
        </is>
      </c>
      <c r="I4276">
        <v>321</v>
      </c>
      <c r="J4276">
        <f>GS11/210.6</f>
        <v>0</v>
      </c>
      <c r="M4276" t="inlineStr">
        <is>
          <t>-210K49.0</t>
        </is>
      </c>
    </row>
    <row r="4277">
      <c r="A4277">
        <v>4276</v>
      </c>
      <c r="B4277">
        <f>GS21</f>
        <v>0</v>
      </c>
      <c r="C4277" t="inlineStr">
        <is>
          <t>+LS5</t>
        </is>
      </c>
      <c r="D4277" t="inlineStr">
        <is>
          <t>-210K49.0</t>
        </is>
      </c>
      <c r="E4277" t="inlineStr">
        <is>
          <t>DIL_EM-10-G</t>
        </is>
      </c>
      <c r="F4277" t="inlineStr">
        <is>
          <t>#KALK!</t>
        </is>
      </c>
      <c r="G4277" t="inlineStr">
        <is>
          <t>LASTSCHUETZ</t>
        </is>
      </c>
      <c r="H4277" t="inlineStr">
        <is>
          <t>4kW 1S</t>
        </is>
      </c>
      <c r="I4277">
        <v>295</v>
      </c>
      <c r="J4277">
        <f>GS21/210.6</f>
        <v>0</v>
      </c>
      <c r="M4277" t="inlineStr">
        <is>
          <t>-210K49.0</t>
        </is>
      </c>
    </row>
    <row r="4278">
      <c r="A4278">
        <v>4277</v>
      </c>
      <c r="B4278">
        <f>GS33</f>
        <v>0</v>
      </c>
      <c r="C4278" t="inlineStr">
        <is>
          <t>+LS4</t>
        </is>
      </c>
      <c r="D4278" t="inlineStr">
        <is>
          <t>-210K54.1</t>
        </is>
      </c>
      <c r="E4278" t="inlineStr">
        <is>
          <t>DIL_EM-10-G</t>
        </is>
      </c>
      <c r="F4278" t="inlineStr">
        <is>
          <t>#KALK!</t>
        </is>
      </c>
      <c r="G4278" t="inlineStr">
        <is>
          <t>LASTSCHUETZ</t>
        </is>
      </c>
      <c r="H4278" t="inlineStr">
        <is>
          <t>4kW 1S</t>
        </is>
      </c>
      <c r="I4278">
        <v>649</v>
      </c>
      <c r="J4278">
        <f>GS33/210.6</f>
        <v>0</v>
      </c>
      <c r="M4278" t="inlineStr">
        <is>
          <t>-210K54.1</t>
        </is>
      </c>
    </row>
    <row r="4279">
      <c r="A4279">
        <v>4278</v>
      </c>
      <c r="B4279">
        <f>GS15</f>
        <v>0</v>
      </c>
      <c r="C4279" t="inlineStr">
        <is>
          <t>+LS4</t>
        </is>
      </c>
      <c r="D4279" t="inlineStr">
        <is>
          <t>-210K70.6</t>
        </is>
      </c>
      <c r="E4279" t="inlineStr">
        <is>
          <t>DIL_EM-10-G</t>
        </is>
      </c>
      <c r="F4279" t="inlineStr">
        <is>
          <t>#KALK!</t>
        </is>
      </c>
      <c r="G4279" t="inlineStr">
        <is>
          <t>LASTSCHUETZ</t>
        </is>
      </c>
      <c r="H4279" t="inlineStr">
        <is>
          <t>4kW 1S</t>
        </is>
      </c>
      <c r="I4279">
        <v>703</v>
      </c>
      <c r="J4279">
        <f>GS15/210.6</f>
        <v>0</v>
      </c>
      <c r="M4279" t="inlineStr">
        <is>
          <t>-210K70.6</t>
        </is>
      </c>
    </row>
    <row r="4280">
      <c r="A4280">
        <v>4279</v>
      </c>
      <c r="B4280">
        <f>GS69</f>
        <v>0</v>
      </c>
      <c r="C4280" t="inlineStr">
        <is>
          <t>+LS03</t>
        </is>
      </c>
      <c r="D4280" t="inlineStr">
        <is>
          <t>-210Q1</t>
        </is>
      </c>
      <c r="E4280" t="inlineStr">
        <is>
          <t>DILA-XHI22</t>
        </is>
      </c>
      <c r="F4280" t="inlineStr">
        <is>
          <t>DILA-XHI22</t>
        </is>
      </c>
      <c r="G4280" t="inlineStr">
        <is>
          <t>HILFSKONTAKTBLOCK</t>
        </is>
      </c>
      <c r="H4280" t="inlineStr">
        <is>
          <t>2S 2OE Last+Hilfssch. Cage</t>
        </is>
      </c>
      <c r="I4280">
        <v>367</v>
      </c>
      <c r="J4280">
        <f>GS69/210.6</f>
        <v>0</v>
      </c>
      <c r="K4280" t="inlineStr">
        <is>
          <t>DIL MC25</t>
        </is>
      </c>
      <c r="M4280" t="inlineStr">
        <is>
          <t>-210Q1</t>
        </is>
      </c>
    </row>
    <row r="4281">
      <c r="A4281">
        <v>4280</v>
      </c>
      <c r="B4281">
        <f>GS69</f>
        <v>0</v>
      </c>
      <c r="C4281" t="inlineStr">
        <is>
          <t>+LS03</t>
        </is>
      </c>
      <c r="D4281" t="inlineStr">
        <is>
          <t>-210Q1</t>
        </is>
      </c>
      <c r="E4281" t="inlineStr">
        <is>
          <t>DILMC25-10(RDC24)</t>
        </is>
      </c>
      <c r="F4281" t="inlineStr">
        <is>
          <t>DILA-XHI22</t>
        </is>
      </c>
      <c r="G4281" t="inlineStr">
        <is>
          <t>LASTSCHUETZ</t>
        </is>
      </c>
      <c r="H4281" t="inlineStr">
        <is>
          <t>11kW 1S Federzugkl.</t>
        </is>
      </c>
      <c r="I4281">
        <v>367</v>
      </c>
      <c r="J4281">
        <f>GS69/210.6</f>
        <v>0</v>
      </c>
      <c r="K4281" t="inlineStr">
        <is>
          <t>DIL MC25</t>
        </is>
      </c>
      <c r="M4281" t="inlineStr">
        <is>
          <t>-210Q1</t>
        </is>
      </c>
    </row>
    <row r="4282">
      <c r="A4282">
        <v>4281</v>
      </c>
      <c r="B4282">
        <f>GS90</f>
        <v>0</v>
      </c>
      <c r="C4282" t="inlineStr">
        <is>
          <t>+LS03</t>
        </is>
      </c>
      <c r="D4282" t="inlineStr">
        <is>
          <t>-210Q158.5</t>
        </is>
      </c>
      <c r="E4282" t="inlineStr">
        <is>
          <t>DILM-9-10</t>
        </is>
      </c>
      <c r="F4282" t="inlineStr">
        <is>
          <t>#KALK!</t>
        </is>
      </c>
      <c r="G4282" t="inlineStr">
        <is>
          <t>LASTSCHUETZ</t>
        </is>
      </c>
      <c r="H4282" t="inlineStr">
        <is>
          <t>4kW 1S Federzugkl.</t>
        </is>
      </c>
      <c r="I4282">
        <v>1029</v>
      </c>
      <c r="J4282">
        <f>GS90/210.5</f>
        <v>0</v>
      </c>
      <c r="M4282" t="inlineStr">
        <is>
          <t>-210Q158.5</t>
        </is>
      </c>
    </row>
    <row r="4283">
      <c r="A4283">
        <v>4282</v>
      </c>
      <c r="B4283">
        <f>GS91</f>
        <v>0</v>
      </c>
      <c r="C4283" t="inlineStr">
        <is>
          <t>+LS02</t>
        </is>
      </c>
      <c r="D4283" t="inlineStr">
        <is>
          <t>-210Q451.7</t>
        </is>
      </c>
      <c r="E4283" t="inlineStr">
        <is>
          <t>DILM-9-10</t>
        </is>
      </c>
      <c r="F4283" t="inlineStr">
        <is>
          <t>#KALK!</t>
        </is>
      </c>
      <c r="G4283" t="inlineStr">
        <is>
          <t>LASTSCHUETZ</t>
        </is>
      </c>
      <c r="H4283" t="inlineStr">
        <is>
          <t>4kW 1S Federzugkl.</t>
        </is>
      </c>
      <c r="I4283">
        <v>318</v>
      </c>
      <c r="J4283">
        <f>GS91/210.5</f>
        <v>0</v>
      </c>
      <c r="M4283" t="inlineStr">
        <is>
          <t>-210Q451.7</t>
        </is>
      </c>
    </row>
    <row r="4284">
      <c r="A4284">
        <v>4283</v>
      </c>
      <c r="B4284">
        <f>GS55</f>
        <v>0</v>
      </c>
      <c r="C4284" t="inlineStr">
        <is>
          <t>+LS34</t>
        </is>
      </c>
      <c r="D4284" t="inlineStr">
        <is>
          <t>-2115Q1</t>
        </is>
      </c>
      <c r="E4284" t="inlineStr">
        <is>
          <t>DILMC25-10(RDC24)</t>
        </is>
      </c>
      <c r="F4284" t="inlineStr">
        <is>
          <t>DILA-XHI22</t>
        </is>
      </c>
      <c r="G4284" t="inlineStr">
        <is>
          <t>LASTSCHUETZ</t>
        </is>
      </c>
      <c r="H4284" t="inlineStr">
        <is>
          <t>11kW 1S Federzugkl.</t>
        </is>
      </c>
      <c r="I4284">
        <v>2284</v>
      </c>
      <c r="J4284">
        <f>GS55/2115.6</f>
        <v>0</v>
      </c>
      <c r="K4284" t="inlineStr">
        <is>
          <t>DIL MC25</t>
        </is>
      </c>
      <c r="M4284" t="inlineStr">
        <is>
          <t>-2115Q1</t>
        </is>
      </c>
    </row>
    <row r="4285">
      <c r="A4285">
        <v>4284</v>
      </c>
      <c r="B4285">
        <f>GS55</f>
        <v>0</v>
      </c>
      <c r="C4285" t="inlineStr">
        <is>
          <t>+LS34</t>
        </is>
      </c>
      <c r="D4285" t="inlineStr">
        <is>
          <t>-2115Q1</t>
        </is>
      </c>
      <c r="E4285" t="inlineStr">
        <is>
          <t>DILA-XHI22</t>
        </is>
      </c>
      <c r="F4285" t="inlineStr">
        <is>
          <t>DILA-XHI22</t>
        </is>
      </c>
      <c r="G4285" t="inlineStr">
        <is>
          <t>HILFSKONTAKTBLOCK</t>
        </is>
      </c>
      <c r="H4285" t="inlineStr">
        <is>
          <t>2S 2OE Last+Hilfssch. Cage</t>
        </is>
      </c>
      <c r="I4285">
        <v>2284</v>
      </c>
      <c r="J4285">
        <f>GS55/2115.6</f>
        <v>0</v>
      </c>
      <c r="K4285" t="inlineStr">
        <is>
          <t>DIL MC25</t>
        </is>
      </c>
      <c r="M4285" t="inlineStr">
        <is>
          <t>-2115Q1</t>
        </is>
      </c>
    </row>
    <row r="4286">
      <c r="A4286">
        <v>4285</v>
      </c>
      <c r="B4286">
        <f>GS33</f>
        <v>0</v>
      </c>
      <c r="C4286" t="inlineStr">
        <is>
          <t>+LS4</t>
        </is>
      </c>
      <c r="D4286" t="inlineStr">
        <is>
          <t>-211K30.6</t>
        </is>
      </c>
      <c r="E4286" t="inlineStr">
        <is>
          <t>DIL_EM-10-G</t>
        </is>
      </c>
      <c r="F4286" t="inlineStr">
        <is>
          <t>#KALK!</t>
        </is>
      </c>
      <c r="G4286" t="inlineStr">
        <is>
          <t>LASTSCHUETZ</t>
        </is>
      </c>
      <c r="H4286" t="inlineStr">
        <is>
          <t>4kW 1S</t>
        </is>
      </c>
      <c r="I4286">
        <v>650</v>
      </c>
      <c r="J4286">
        <f>GS33/211.6</f>
        <v>0</v>
      </c>
      <c r="M4286" t="inlineStr">
        <is>
          <t>-211K30.6</t>
        </is>
      </c>
    </row>
    <row r="4287">
      <c r="A4287">
        <v>4286</v>
      </c>
      <c r="B4287">
        <f>GS02</f>
        <v>0</v>
      </c>
      <c r="C4287" t="inlineStr">
        <is>
          <t>+LS3</t>
        </is>
      </c>
      <c r="D4287" t="inlineStr">
        <is>
          <t>-211K33.3</t>
        </is>
      </c>
      <c r="E4287" t="inlineStr">
        <is>
          <t>DIL_EM-10-G</t>
        </is>
      </c>
      <c r="F4287" t="inlineStr">
        <is>
          <t>#KALK!</t>
        </is>
      </c>
      <c r="G4287" t="inlineStr">
        <is>
          <t>LASTSCHUETZ</t>
        </is>
      </c>
      <c r="H4287" t="inlineStr">
        <is>
          <t>4kW 1S</t>
        </is>
      </c>
      <c r="I4287">
        <v>615</v>
      </c>
      <c r="J4287">
        <f>GS02/211.7</f>
        <v>0</v>
      </c>
      <c r="M4287" t="inlineStr">
        <is>
          <t>-211K33.3</t>
        </is>
      </c>
    </row>
    <row r="4288">
      <c r="A4288">
        <v>4287</v>
      </c>
      <c r="B4288">
        <f>GS31</f>
        <v>0</v>
      </c>
      <c r="C4288" t="inlineStr">
        <is>
          <t>+LS3</t>
        </is>
      </c>
      <c r="D4288" t="inlineStr">
        <is>
          <t>-211K38.7</t>
        </is>
      </c>
      <c r="E4288" t="inlineStr">
        <is>
          <t>DIL_EM-10-G</t>
        </is>
      </c>
      <c r="F4288" t="inlineStr">
        <is>
          <t>#KALK!</t>
        </is>
      </c>
      <c r="G4288" t="inlineStr">
        <is>
          <t>LASTSCHUETZ</t>
        </is>
      </c>
      <c r="H4288" t="inlineStr">
        <is>
          <t>4kW 1S</t>
        </is>
      </c>
      <c r="I4288">
        <v>498</v>
      </c>
      <c r="J4288">
        <f>GS31/211.7</f>
        <v>0</v>
      </c>
      <c r="M4288" t="inlineStr">
        <is>
          <t>-211K38.7</t>
        </is>
      </c>
    </row>
    <row r="4289">
      <c r="A4289">
        <v>4288</v>
      </c>
      <c r="B4289">
        <f>GS16</f>
        <v>0</v>
      </c>
      <c r="C4289" t="inlineStr">
        <is>
          <t>+LS4</t>
        </is>
      </c>
      <c r="D4289" t="inlineStr">
        <is>
          <t>-211K3935.5</t>
        </is>
      </c>
      <c r="E4289" t="inlineStr">
        <is>
          <t>DIL_EM-10-G</t>
        </is>
      </c>
      <c r="F4289" t="inlineStr">
        <is>
          <t>#KALK!</t>
        </is>
      </c>
      <c r="G4289" t="inlineStr">
        <is>
          <t>LASTSCHUETZ</t>
        </is>
      </c>
      <c r="H4289" t="inlineStr">
        <is>
          <t>4kW 1S</t>
        </is>
      </c>
      <c r="I4289">
        <v>435</v>
      </c>
      <c r="J4289">
        <f>GS16/211.6</f>
        <v>0</v>
      </c>
      <c r="M4289" t="inlineStr">
        <is>
          <t>-211K3935.5</t>
        </is>
      </c>
    </row>
    <row r="4290">
      <c r="A4290">
        <v>4289</v>
      </c>
      <c r="B4290">
        <f>GS16</f>
        <v>0</v>
      </c>
      <c r="C4290" t="inlineStr">
        <is>
          <t>+LS4</t>
        </is>
      </c>
      <c r="D4290" t="inlineStr">
        <is>
          <t>-211K3935.6</t>
        </is>
      </c>
      <c r="E4290" t="inlineStr">
        <is>
          <t>DIL_EM-10-G</t>
        </is>
      </c>
      <c r="F4290" t="inlineStr">
        <is>
          <t>#KALK!</t>
        </is>
      </c>
      <c r="G4290" t="inlineStr">
        <is>
          <t>LASTSCHUETZ</t>
        </is>
      </c>
      <c r="H4290" t="inlineStr">
        <is>
          <t>4kW 1S</t>
        </is>
      </c>
      <c r="I4290">
        <v>435</v>
      </c>
      <c r="J4290">
        <f>GS16/211.6</f>
        <v>0</v>
      </c>
      <c r="M4290" t="inlineStr">
        <is>
          <t>-211K3935.6</t>
        </is>
      </c>
    </row>
    <row r="4291">
      <c r="A4291">
        <v>4290</v>
      </c>
      <c r="B4291">
        <f>GS04</f>
        <v>0</v>
      </c>
      <c r="C4291" t="inlineStr">
        <is>
          <t>+LS4</t>
        </is>
      </c>
      <c r="D4291" t="inlineStr">
        <is>
          <t>-211K42.7</t>
        </is>
      </c>
      <c r="E4291" t="inlineStr">
        <is>
          <t>DIL_EM-10-G</t>
        </is>
      </c>
      <c r="F4291" t="inlineStr">
        <is>
          <t>#KALK!</t>
        </is>
      </c>
      <c r="G4291" t="inlineStr">
        <is>
          <t>LASTSCHUETZ</t>
        </is>
      </c>
      <c r="H4291" t="inlineStr">
        <is>
          <t>4kW 1S</t>
        </is>
      </c>
      <c r="I4291">
        <v>461</v>
      </c>
      <c r="J4291">
        <f>GS04/211.6</f>
        <v>0</v>
      </c>
      <c r="M4291" t="inlineStr">
        <is>
          <t>-211K42.7</t>
        </is>
      </c>
    </row>
    <row r="4292">
      <c r="A4292">
        <v>4291</v>
      </c>
      <c r="B4292">
        <f>GS11</f>
        <v>0</v>
      </c>
      <c r="C4292" t="inlineStr">
        <is>
          <t>+LS5</t>
        </is>
      </c>
      <c r="D4292" t="inlineStr">
        <is>
          <t>-211K49.5</t>
        </is>
      </c>
      <c r="E4292" t="inlineStr">
        <is>
          <t>DIL_EM-10-G</t>
        </is>
      </c>
      <c r="F4292" t="inlineStr">
        <is>
          <t>#KALK!</t>
        </is>
      </c>
      <c r="G4292" t="inlineStr">
        <is>
          <t>LASTSCHUETZ</t>
        </is>
      </c>
      <c r="H4292" t="inlineStr">
        <is>
          <t>4kW 1S</t>
        </is>
      </c>
      <c r="I4292">
        <v>322</v>
      </c>
      <c r="J4292">
        <f>GS11/211.7</f>
        <v>0</v>
      </c>
      <c r="M4292" t="inlineStr">
        <is>
          <t>-211K49.5</t>
        </is>
      </c>
    </row>
    <row r="4293">
      <c r="A4293">
        <v>4292</v>
      </c>
      <c r="B4293">
        <f>GS21</f>
        <v>0</v>
      </c>
      <c r="C4293" t="inlineStr">
        <is>
          <t>+LS5</t>
        </is>
      </c>
      <c r="D4293" t="inlineStr">
        <is>
          <t>-211K49.5</t>
        </is>
      </c>
      <c r="E4293" t="inlineStr">
        <is>
          <t>DIL_EM-10-G</t>
        </is>
      </c>
      <c r="F4293" t="inlineStr">
        <is>
          <t>#KALK!</t>
        </is>
      </c>
      <c r="G4293" t="inlineStr">
        <is>
          <t>LASTSCHUETZ</t>
        </is>
      </c>
      <c r="H4293" t="inlineStr">
        <is>
          <t>4kW 1S</t>
        </is>
      </c>
      <c r="I4293">
        <v>296</v>
      </c>
      <c r="J4293">
        <f>GS21/211.7</f>
        <v>0</v>
      </c>
      <c r="M4293" t="inlineStr">
        <is>
          <t>-211K49.5</t>
        </is>
      </c>
    </row>
    <row r="4294">
      <c r="A4294">
        <v>4293</v>
      </c>
      <c r="B4294">
        <f>GS33</f>
        <v>0</v>
      </c>
      <c r="C4294" t="inlineStr">
        <is>
          <t>+LS4</t>
        </is>
      </c>
      <c r="D4294" t="inlineStr">
        <is>
          <t>-211K54.2</t>
        </is>
      </c>
      <c r="E4294" t="inlineStr">
        <is>
          <t>DIL_EM-10-G</t>
        </is>
      </c>
      <c r="F4294" t="inlineStr">
        <is>
          <t>#KALK!</t>
        </is>
      </c>
      <c r="G4294" t="inlineStr">
        <is>
          <t>LASTSCHUETZ</t>
        </is>
      </c>
      <c r="H4294" t="inlineStr">
        <is>
          <t>4kW 1S</t>
        </is>
      </c>
      <c r="I4294">
        <v>650</v>
      </c>
      <c r="J4294">
        <f>GS33/211.6</f>
        <v>0</v>
      </c>
      <c r="M4294" t="inlineStr">
        <is>
          <t>-211K54.2</t>
        </is>
      </c>
    </row>
    <row r="4295">
      <c r="A4295">
        <v>4294</v>
      </c>
      <c r="B4295">
        <f>GS15</f>
        <v>0</v>
      </c>
      <c r="C4295" t="inlineStr">
        <is>
          <t>+LS4</t>
        </is>
      </c>
      <c r="D4295" t="inlineStr">
        <is>
          <t>-211K71.2</t>
        </is>
      </c>
      <c r="E4295" t="inlineStr">
        <is>
          <t>DIL_EM-10-G</t>
        </is>
      </c>
      <c r="F4295" t="inlineStr">
        <is>
          <t>#KALK!</t>
        </is>
      </c>
      <c r="G4295" t="inlineStr">
        <is>
          <t>LASTSCHUETZ</t>
        </is>
      </c>
      <c r="H4295" t="inlineStr">
        <is>
          <t>4kW 1S</t>
        </is>
      </c>
      <c r="I4295">
        <v>704</v>
      </c>
      <c r="J4295">
        <f>GS15/211.7</f>
        <v>0</v>
      </c>
      <c r="M4295" t="inlineStr">
        <is>
          <t>-211K71.2</t>
        </is>
      </c>
    </row>
    <row r="4296">
      <c r="A4296">
        <v>4295</v>
      </c>
      <c r="B4296">
        <f>GS14</f>
        <v>0</v>
      </c>
      <c r="C4296" t="inlineStr">
        <is>
          <t>+LS4</t>
        </is>
      </c>
      <c r="D4296" t="inlineStr">
        <is>
          <t>-211K74.7</t>
        </is>
      </c>
      <c r="E4296" t="inlineStr">
        <is>
          <t>DIL_EM-10-G</t>
        </is>
      </c>
      <c r="F4296" t="inlineStr">
        <is>
          <t>#KALK!</t>
        </is>
      </c>
      <c r="G4296" t="inlineStr">
        <is>
          <t>LASTSCHUETZ</t>
        </is>
      </c>
      <c r="H4296" t="inlineStr">
        <is>
          <t>4kW 1S</t>
        </is>
      </c>
      <c r="I4296">
        <v>337</v>
      </c>
      <c r="J4296">
        <f>GS14/211.5</f>
        <v>0</v>
      </c>
      <c r="M4296" t="inlineStr">
        <is>
          <t>-211K74.7</t>
        </is>
      </c>
    </row>
    <row r="4297">
      <c r="A4297">
        <v>4296</v>
      </c>
      <c r="B4297">
        <f>GS14</f>
        <v>0</v>
      </c>
      <c r="C4297" t="inlineStr">
        <is>
          <t>+LS4</t>
        </is>
      </c>
      <c r="D4297" t="inlineStr">
        <is>
          <t>-211K75.0</t>
        </is>
      </c>
      <c r="E4297" t="inlineStr">
        <is>
          <t>DIL_EM-10-G</t>
        </is>
      </c>
      <c r="F4297" t="inlineStr">
        <is>
          <t>#KALK!</t>
        </is>
      </c>
      <c r="G4297" t="inlineStr">
        <is>
          <t>LASTSCHUETZ</t>
        </is>
      </c>
      <c r="H4297" t="inlineStr">
        <is>
          <t>4kW 1S</t>
        </is>
      </c>
      <c r="I4297">
        <v>337</v>
      </c>
      <c r="J4297">
        <f>GS14/211.6</f>
        <v>0</v>
      </c>
      <c r="M4297" t="inlineStr">
        <is>
          <t>-211K75.0</t>
        </is>
      </c>
    </row>
    <row r="4298">
      <c r="A4298">
        <v>4297</v>
      </c>
      <c r="B4298">
        <f>GS14</f>
        <v>0</v>
      </c>
      <c r="C4298" t="inlineStr">
        <is>
          <t>+LS4</t>
        </is>
      </c>
      <c r="D4298" t="inlineStr">
        <is>
          <t>-211K75.1</t>
        </is>
      </c>
      <c r="E4298" t="inlineStr">
        <is>
          <t>DIL_EM-01-G</t>
        </is>
      </c>
      <c r="F4298" t="inlineStr">
        <is>
          <t>#KALK!</t>
        </is>
      </c>
      <c r="G4298" t="inlineStr">
        <is>
          <t>LASTSCHUETZ</t>
        </is>
      </c>
      <c r="H4298" t="inlineStr">
        <is>
          <t>4kW 1OE</t>
        </is>
      </c>
      <c r="I4298">
        <v>337</v>
      </c>
      <c r="J4298">
        <f>GS14/211.7</f>
        <v>0</v>
      </c>
      <c r="M4298" t="inlineStr">
        <is>
          <t>-211K75.1</t>
        </is>
      </c>
    </row>
    <row r="4299">
      <c r="A4299">
        <v>4298</v>
      </c>
      <c r="B4299">
        <f>GS14</f>
        <v>0</v>
      </c>
      <c r="C4299" t="inlineStr">
        <is>
          <t>+LS4</t>
        </is>
      </c>
      <c r="D4299" t="inlineStr">
        <is>
          <t>-211K75.2</t>
        </is>
      </c>
      <c r="E4299" t="inlineStr">
        <is>
          <t>DIL_EM-01-G</t>
        </is>
      </c>
      <c r="F4299" t="inlineStr">
        <is>
          <t>#KALK!</t>
        </is>
      </c>
      <c r="G4299" t="inlineStr">
        <is>
          <t>LASTSCHUETZ</t>
        </is>
      </c>
      <c r="H4299" t="inlineStr">
        <is>
          <t>4kW 1OE</t>
        </is>
      </c>
      <c r="I4299">
        <v>337</v>
      </c>
      <c r="J4299">
        <f>GS14/211.8</f>
        <v>0</v>
      </c>
      <c r="M4299" t="inlineStr">
        <is>
          <t>-211K75.2</t>
        </is>
      </c>
    </row>
    <row r="4300">
      <c r="A4300">
        <v>4299</v>
      </c>
      <c r="B4300">
        <f>GS35</f>
        <v>0</v>
      </c>
      <c r="C4300" t="inlineStr">
        <is>
          <t>+LS04</t>
        </is>
      </c>
      <c r="D4300" t="inlineStr">
        <is>
          <t>-211Q123.3</t>
        </is>
      </c>
      <c r="E4300" t="inlineStr">
        <is>
          <t>DILM-9-10</t>
        </is>
      </c>
      <c r="F4300" t="inlineStr">
        <is>
          <t>#KALK!</t>
        </is>
      </c>
      <c r="G4300" t="inlineStr">
        <is>
          <t>LASTSCHUETZ</t>
        </is>
      </c>
      <c r="H4300" t="inlineStr">
        <is>
          <t>4kW 1S Federzugkl.</t>
        </is>
      </c>
      <c r="I4300">
        <v>370</v>
      </c>
      <c r="J4300">
        <f>GS35/211.6</f>
        <v>0</v>
      </c>
      <c r="M4300" t="inlineStr">
        <is>
          <t>-211Q123.3</t>
        </is>
      </c>
    </row>
    <row r="4301">
      <c r="A4301">
        <v>4300</v>
      </c>
      <c r="B4301">
        <f>GS90</f>
        <v>0</v>
      </c>
      <c r="C4301" t="inlineStr">
        <is>
          <t>+LS03</t>
        </is>
      </c>
      <c r="D4301" t="inlineStr">
        <is>
          <t>-211Q158.6</t>
        </is>
      </c>
      <c r="E4301" t="inlineStr">
        <is>
          <t>DILM-9-10</t>
        </is>
      </c>
      <c r="F4301" t="inlineStr">
        <is>
          <t>#KALK!</t>
        </is>
      </c>
      <c r="G4301" t="inlineStr">
        <is>
          <t>LASTSCHUETZ</t>
        </is>
      </c>
      <c r="H4301" t="inlineStr">
        <is>
          <t>4kW 1S Federzugkl.</t>
        </is>
      </c>
      <c r="I4301">
        <v>1028</v>
      </c>
      <c r="J4301">
        <f>GS90/211.5</f>
        <v>0</v>
      </c>
      <c r="M4301" t="inlineStr">
        <is>
          <t>-211Q158.6</t>
        </is>
      </c>
    </row>
    <row r="4302">
      <c r="A4302">
        <v>4301</v>
      </c>
      <c r="B4302">
        <f>GS13</f>
        <v>0</v>
      </c>
      <c r="C4302" t="inlineStr">
        <is>
          <t>+LS4</t>
        </is>
      </c>
      <c r="D4302" t="inlineStr">
        <is>
          <t>-21266.0</t>
        </is>
      </c>
      <c r="E4302" t="inlineStr">
        <is>
          <t>DIL_EM-10-G</t>
        </is>
      </c>
      <c r="F4302" t="inlineStr">
        <is>
          <t>#KALK!</t>
        </is>
      </c>
      <c r="G4302" t="inlineStr">
        <is>
          <t>LASTSCHUETZ</t>
        </is>
      </c>
      <c r="H4302" t="inlineStr">
        <is>
          <t>4kW 1S</t>
        </is>
      </c>
      <c r="I4302">
        <v>454</v>
      </c>
      <c r="J4302">
        <f>GS13/212.6</f>
        <v>0</v>
      </c>
      <c r="M4302" t="inlineStr">
        <is>
          <t>-21266.0</t>
        </is>
      </c>
    </row>
    <row r="4303">
      <c r="A4303">
        <v>4302</v>
      </c>
      <c r="B4303">
        <f>GS34</f>
        <v>0</v>
      </c>
      <c r="C4303" t="inlineStr">
        <is>
          <t>+LS4</t>
        </is>
      </c>
      <c r="D4303" t="inlineStr">
        <is>
          <t>-212K30.0</t>
        </is>
      </c>
      <c r="E4303" t="inlineStr">
        <is>
          <t>DIL_EM-10-G</t>
        </is>
      </c>
      <c r="F4303" t="inlineStr">
        <is>
          <t>#KALK!</t>
        </is>
      </c>
      <c r="G4303" t="inlineStr">
        <is>
          <t>LASTSCHUETZ</t>
        </is>
      </c>
      <c r="H4303" t="inlineStr">
        <is>
          <t>4kW 1S</t>
        </is>
      </c>
      <c r="I4303">
        <v>336</v>
      </c>
      <c r="J4303">
        <f>GS34/212.6</f>
        <v>0</v>
      </c>
      <c r="M4303" t="inlineStr">
        <is>
          <t>-212K30.0</t>
        </is>
      </c>
    </row>
    <row r="4304">
      <c r="A4304">
        <v>4303</v>
      </c>
      <c r="B4304">
        <f>GS34</f>
        <v>0</v>
      </c>
      <c r="C4304" t="inlineStr">
        <is>
          <t>+LS4</t>
        </is>
      </c>
      <c r="D4304" t="inlineStr">
        <is>
          <t>-212K30.1</t>
        </is>
      </c>
      <c r="E4304" t="inlineStr">
        <is>
          <t>DIL_EM-10-G</t>
        </is>
      </c>
      <c r="F4304" t="inlineStr">
        <is>
          <t>#KALK!</t>
        </is>
      </c>
      <c r="G4304" t="inlineStr">
        <is>
          <t>LASTSCHUETZ</t>
        </is>
      </c>
      <c r="H4304" t="inlineStr">
        <is>
          <t>4kW 1S</t>
        </is>
      </c>
      <c r="I4304">
        <v>336</v>
      </c>
      <c r="J4304">
        <f>GS34/212.6</f>
        <v>0</v>
      </c>
      <c r="M4304" t="inlineStr">
        <is>
          <t>-212K30.1</t>
        </is>
      </c>
    </row>
    <row r="4305">
      <c r="A4305">
        <v>4304</v>
      </c>
      <c r="B4305">
        <f>GS02</f>
        <v>0</v>
      </c>
      <c r="C4305" t="inlineStr">
        <is>
          <t>+LS3</t>
        </is>
      </c>
      <c r="D4305" t="inlineStr">
        <is>
          <t>-212K33.4</t>
        </is>
      </c>
      <c r="E4305" t="inlineStr">
        <is>
          <t>DIL_EM-10-G</t>
        </is>
      </c>
      <c r="F4305" t="inlineStr">
        <is>
          <t>#KALK!</t>
        </is>
      </c>
      <c r="G4305" t="inlineStr">
        <is>
          <t>LASTSCHUETZ</t>
        </is>
      </c>
      <c r="H4305" t="inlineStr">
        <is>
          <t>4kW 1S</t>
        </is>
      </c>
      <c r="I4305">
        <v>616</v>
      </c>
      <c r="J4305">
        <f>GS02/212.6</f>
        <v>0</v>
      </c>
      <c r="M4305" t="inlineStr">
        <is>
          <t>-212K33.4</t>
        </is>
      </c>
    </row>
    <row r="4306">
      <c r="A4306">
        <v>4305</v>
      </c>
      <c r="B4306">
        <f>GS31</f>
        <v>0</v>
      </c>
      <c r="C4306" t="inlineStr">
        <is>
          <t>+LS3</t>
        </is>
      </c>
      <c r="D4306" t="inlineStr">
        <is>
          <t>-212K39.1</t>
        </is>
      </c>
      <c r="E4306" t="inlineStr">
        <is>
          <t>DIL_EM-10-G</t>
        </is>
      </c>
      <c r="F4306" t="inlineStr">
        <is>
          <t>#KALK!</t>
        </is>
      </c>
      <c r="G4306" t="inlineStr">
        <is>
          <t>LASTSCHUETZ</t>
        </is>
      </c>
      <c r="H4306" t="inlineStr">
        <is>
          <t>4kW 1S</t>
        </is>
      </c>
      <c r="I4306">
        <v>499</v>
      </c>
      <c r="J4306">
        <f>GS31/212.7</f>
        <v>0</v>
      </c>
      <c r="M4306" t="inlineStr">
        <is>
          <t>-212K39.1</t>
        </is>
      </c>
    </row>
    <row r="4307">
      <c r="A4307">
        <v>4306</v>
      </c>
      <c r="B4307">
        <f>GS16</f>
        <v>0</v>
      </c>
      <c r="C4307" t="inlineStr">
        <is>
          <t>+LS4</t>
        </is>
      </c>
      <c r="D4307" t="inlineStr">
        <is>
          <t>-212K3936.2</t>
        </is>
      </c>
      <c r="E4307" t="inlineStr">
        <is>
          <t>DIL_EM-10-G</t>
        </is>
      </c>
      <c r="F4307" t="inlineStr">
        <is>
          <t>#KALK!</t>
        </is>
      </c>
      <c r="G4307" t="inlineStr">
        <is>
          <t>LASTSCHUETZ</t>
        </is>
      </c>
      <c r="H4307" t="inlineStr">
        <is>
          <t>4kW 1S</t>
        </is>
      </c>
      <c r="I4307">
        <v>436</v>
      </c>
      <c r="J4307">
        <f>GS16/212.7</f>
        <v>0</v>
      </c>
      <c r="M4307" t="inlineStr">
        <is>
          <t>-212K3936.2</t>
        </is>
      </c>
    </row>
    <row r="4308">
      <c r="A4308">
        <v>4307</v>
      </c>
      <c r="B4308">
        <f>GS32</f>
        <v>0</v>
      </c>
      <c r="C4308" t="inlineStr">
        <is>
          <t>+LS4</t>
        </is>
      </c>
      <c r="D4308" t="inlineStr">
        <is>
          <t>-212K41.7</t>
        </is>
      </c>
      <c r="E4308" t="inlineStr">
        <is>
          <t>DIL_EM-10-G</t>
        </is>
      </c>
      <c r="F4308" t="inlineStr">
        <is>
          <t>#KALK!</t>
        </is>
      </c>
      <c r="G4308" t="inlineStr">
        <is>
          <t>LASTSCHUETZ</t>
        </is>
      </c>
      <c r="H4308" t="inlineStr">
        <is>
          <t>4kW 1S</t>
        </is>
      </c>
      <c r="I4308">
        <v>1038</v>
      </c>
      <c r="J4308">
        <f>GS32/212.6</f>
        <v>0</v>
      </c>
      <c r="M4308" t="inlineStr">
        <is>
          <t>-212K41.7</t>
        </is>
      </c>
    </row>
    <row r="4309">
      <c r="A4309">
        <v>4308</v>
      </c>
      <c r="B4309">
        <f>GS04</f>
        <v>0</v>
      </c>
      <c r="C4309" t="inlineStr">
        <is>
          <t>+LS4</t>
        </is>
      </c>
      <c r="D4309" t="inlineStr">
        <is>
          <t>-212K43.0</t>
        </is>
      </c>
      <c r="E4309" t="inlineStr">
        <is>
          <t>DIL_EM-10-G</t>
        </is>
      </c>
      <c r="F4309" t="inlineStr">
        <is>
          <t>#KALK!</t>
        </is>
      </c>
      <c r="G4309" t="inlineStr">
        <is>
          <t>LASTSCHUETZ</t>
        </is>
      </c>
      <c r="H4309" t="inlineStr">
        <is>
          <t>4kW 1S</t>
        </is>
      </c>
      <c r="I4309">
        <v>462</v>
      </c>
      <c r="J4309">
        <f>GS04/212.6</f>
        <v>0</v>
      </c>
      <c r="M4309" t="inlineStr">
        <is>
          <t>-212K43.0</t>
        </is>
      </c>
    </row>
    <row r="4310">
      <c r="A4310">
        <v>4309</v>
      </c>
      <c r="B4310">
        <f>GS04</f>
        <v>0</v>
      </c>
      <c r="C4310" t="inlineStr">
        <is>
          <t>+LS4</t>
        </is>
      </c>
      <c r="D4310" t="inlineStr">
        <is>
          <t>-212K43.1</t>
        </is>
      </c>
      <c r="E4310" t="inlineStr">
        <is>
          <t>DIL_EM-10-G</t>
        </is>
      </c>
      <c r="F4310" t="inlineStr">
        <is>
          <t>#KALK!</t>
        </is>
      </c>
      <c r="G4310" t="inlineStr">
        <is>
          <t>LASTSCHUETZ</t>
        </is>
      </c>
      <c r="H4310" t="inlineStr">
        <is>
          <t>4kW 1S</t>
        </is>
      </c>
      <c r="I4310">
        <v>462</v>
      </c>
      <c r="J4310">
        <f>GS04/212.6</f>
        <v>0</v>
      </c>
      <c r="M4310" t="inlineStr">
        <is>
          <t>-212K43.1</t>
        </is>
      </c>
    </row>
    <row r="4311">
      <c r="A4311">
        <v>4310</v>
      </c>
      <c r="B4311">
        <f>GS11</f>
        <v>0</v>
      </c>
      <c r="C4311" t="inlineStr">
        <is>
          <t>+LS5</t>
        </is>
      </c>
      <c r="D4311" t="inlineStr">
        <is>
          <t>-212K50.1</t>
        </is>
      </c>
      <c r="E4311" t="inlineStr">
        <is>
          <t>DIL_EM-10-G</t>
        </is>
      </c>
      <c r="F4311" t="inlineStr">
        <is>
          <t>#KALK!</t>
        </is>
      </c>
      <c r="G4311" t="inlineStr">
        <is>
          <t>LASTSCHUETZ</t>
        </is>
      </c>
      <c r="H4311" t="inlineStr">
        <is>
          <t>4kW 1S</t>
        </is>
      </c>
      <c r="I4311">
        <v>323</v>
      </c>
      <c r="J4311">
        <f>GS11/212.7</f>
        <v>0</v>
      </c>
      <c r="M4311" t="inlineStr">
        <is>
          <t>-212K50.1</t>
        </is>
      </c>
    </row>
    <row r="4312">
      <c r="A4312">
        <v>4311</v>
      </c>
      <c r="B4312">
        <f>GS21</f>
        <v>0</v>
      </c>
      <c r="C4312" t="inlineStr">
        <is>
          <t>+LS5</t>
        </is>
      </c>
      <c r="D4312" t="inlineStr">
        <is>
          <t>-212K50.1</t>
        </is>
      </c>
      <c r="E4312" t="inlineStr">
        <is>
          <t>DIL_EM-10-G</t>
        </is>
      </c>
      <c r="F4312" t="inlineStr">
        <is>
          <t>#KALK!</t>
        </is>
      </c>
      <c r="G4312" t="inlineStr">
        <is>
          <t>LASTSCHUETZ</t>
        </is>
      </c>
      <c r="H4312" t="inlineStr">
        <is>
          <t>4kW 1S</t>
        </is>
      </c>
      <c r="I4312">
        <v>297</v>
      </c>
      <c r="J4312">
        <f>GS21/212.7</f>
        <v>0</v>
      </c>
      <c r="M4312" t="inlineStr">
        <is>
          <t>-212K50.1</t>
        </is>
      </c>
    </row>
    <row r="4313">
      <c r="A4313">
        <v>4312</v>
      </c>
      <c r="B4313">
        <f>GS23</f>
        <v>0</v>
      </c>
      <c r="C4313" t="inlineStr">
        <is>
          <t>+LS4</t>
        </is>
      </c>
      <c r="D4313" t="inlineStr">
        <is>
          <t>-212K66.0</t>
        </is>
      </c>
      <c r="E4313" t="inlineStr">
        <is>
          <t>DIL_EM-10-G</t>
        </is>
      </c>
      <c r="F4313" t="inlineStr">
        <is>
          <t>#KALK!</t>
        </is>
      </c>
      <c r="G4313" t="inlineStr">
        <is>
          <t>LASTSCHUETZ</t>
        </is>
      </c>
      <c r="H4313" t="inlineStr">
        <is>
          <t>4kW 1S</t>
        </is>
      </c>
      <c r="I4313">
        <v>513</v>
      </c>
      <c r="J4313">
        <f>GS23/212.6</f>
        <v>0</v>
      </c>
      <c r="M4313" t="inlineStr">
        <is>
          <t>-212K66.0</t>
        </is>
      </c>
    </row>
    <row r="4314">
      <c r="A4314">
        <v>4313</v>
      </c>
      <c r="B4314">
        <f>GC03</f>
        <v>0</v>
      </c>
      <c r="C4314" t="inlineStr">
        <is>
          <t>+LS4</t>
        </is>
      </c>
      <c r="D4314" t="inlineStr">
        <is>
          <t>-212K68.0</t>
        </is>
      </c>
      <c r="E4314" t="inlineStr">
        <is>
          <t>DIL_EM-10-G</t>
        </is>
      </c>
      <c r="F4314" t="inlineStr">
        <is>
          <t>#KALK!</t>
        </is>
      </c>
      <c r="G4314" t="inlineStr">
        <is>
          <t>LASTSCHUETZ</t>
        </is>
      </c>
      <c r="H4314" t="inlineStr">
        <is>
          <t>4kW 1S</t>
        </is>
      </c>
      <c r="I4314">
        <v>700</v>
      </c>
      <c r="J4314">
        <f>GC03/212.6</f>
        <v>0</v>
      </c>
      <c r="M4314" t="inlineStr">
        <is>
          <t>-212K68.0</t>
        </is>
      </c>
    </row>
    <row r="4315">
      <c r="A4315">
        <v>4314</v>
      </c>
      <c r="B4315">
        <f>GC03</f>
        <v>0</v>
      </c>
      <c r="C4315" t="inlineStr">
        <is>
          <t>+LS4</t>
        </is>
      </c>
      <c r="D4315" t="inlineStr">
        <is>
          <t>-212K68.1</t>
        </is>
      </c>
      <c r="E4315" t="inlineStr">
        <is>
          <t>DIL_EM-10-G</t>
        </is>
      </c>
      <c r="F4315" t="inlineStr">
        <is>
          <t>#KALK!</t>
        </is>
      </c>
      <c r="G4315" t="inlineStr">
        <is>
          <t>LASTSCHUETZ</t>
        </is>
      </c>
      <c r="H4315" t="inlineStr">
        <is>
          <t>4kW 1S</t>
        </is>
      </c>
      <c r="I4315">
        <v>700</v>
      </c>
      <c r="J4315">
        <f>GC03/212.6</f>
        <v>0</v>
      </c>
      <c r="M4315" t="inlineStr">
        <is>
          <t>-212K68.1</t>
        </is>
      </c>
    </row>
    <row r="4316">
      <c r="A4316">
        <v>4315</v>
      </c>
      <c r="B4316">
        <f>GS15</f>
        <v>0</v>
      </c>
      <c r="C4316" t="inlineStr">
        <is>
          <t>+LS4</t>
        </is>
      </c>
      <c r="D4316" t="inlineStr">
        <is>
          <t>-212K71.3</t>
        </is>
      </c>
      <c r="E4316" t="inlineStr">
        <is>
          <t>DIL_EM-10-G</t>
        </is>
      </c>
      <c r="F4316" t="inlineStr">
        <is>
          <t>#KALK!</t>
        </is>
      </c>
      <c r="G4316" t="inlineStr">
        <is>
          <t>LASTSCHUETZ</t>
        </is>
      </c>
      <c r="H4316" t="inlineStr">
        <is>
          <t>4kW 1S</t>
        </is>
      </c>
      <c r="I4316">
        <v>705</v>
      </c>
      <c r="J4316">
        <f>GS15/212.6</f>
        <v>0</v>
      </c>
      <c r="M4316" t="inlineStr">
        <is>
          <t>-212K71.3</t>
        </is>
      </c>
    </row>
    <row r="4317">
      <c r="A4317">
        <v>4316</v>
      </c>
      <c r="B4317">
        <f>GS15</f>
        <v>0</v>
      </c>
      <c r="C4317" t="inlineStr">
        <is>
          <t>+LS4</t>
        </is>
      </c>
      <c r="D4317" t="inlineStr">
        <is>
          <t>-212K71.4</t>
        </is>
      </c>
      <c r="E4317" t="inlineStr">
        <is>
          <t>DIL_EM-10-G</t>
        </is>
      </c>
      <c r="F4317" t="inlineStr">
        <is>
          <t>#KALK!</t>
        </is>
      </c>
      <c r="G4317" t="inlineStr">
        <is>
          <t>LASTSCHUETZ</t>
        </is>
      </c>
      <c r="H4317" t="inlineStr">
        <is>
          <t>4kW 1S</t>
        </is>
      </c>
      <c r="I4317">
        <v>705</v>
      </c>
      <c r="J4317">
        <f>GS15/212.6</f>
        <v>0</v>
      </c>
      <c r="M4317" t="inlineStr">
        <is>
          <t>-212K71.4</t>
        </is>
      </c>
    </row>
    <row r="4318">
      <c r="A4318">
        <v>4317</v>
      </c>
      <c r="B4318">
        <f>GS90</f>
        <v>0</v>
      </c>
      <c r="C4318" t="inlineStr">
        <is>
          <t>+LS03</t>
        </is>
      </c>
      <c r="D4318" t="inlineStr">
        <is>
          <t>-212Q158.7</t>
        </is>
      </c>
      <c r="E4318" t="inlineStr">
        <is>
          <t>DILM-9-10</t>
        </is>
      </c>
      <c r="F4318" t="inlineStr">
        <is>
          <t>#KALK!</t>
        </is>
      </c>
      <c r="G4318" t="inlineStr">
        <is>
          <t>LASTSCHUETZ</t>
        </is>
      </c>
      <c r="H4318" t="inlineStr">
        <is>
          <t>4kW 1S Federzugkl.</t>
        </is>
      </c>
      <c r="I4318">
        <v>1027</v>
      </c>
      <c r="J4318">
        <f>GS90/212.5</f>
        <v>0</v>
      </c>
      <c r="M4318" t="inlineStr">
        <is>
          <t>-212Q158.7</t>
        </is>
      </c>
    </row>
    <row r="4319">
      <c r="A4319">
        <v>4318</v>
      </c>
      <c r="B4319">
        <f>GS91</f>
        <v>0</v>
      </c>
      <c r="C4319" t="inlineStr">
        <is>
          <t>+LS02</t>
        </is>
      </c>
      <c r="D4319" t="inlineStr">
        <is>
          <t>-212Q452.1</t>
        </is>
      </c>
      <c r="E4319" t="inlineStr">
        <is>
          <t>DILM-9-10</t>
        </is>
      </c>
      <c r="F4319" t="inlineStr">
        <is>
          <t>#KALK!</t>
        </is>
      </c>
      <c r="G4319" t="inlineStr">
        <is>
          <t>LASTSCHUETZ</t>
        </is>
      </c>
      <c r="H4319" t="inlineStr">
        <is>
          <t>4kW 1S Federzugkl.</t>
        </is>
      </c>
      <c r="I4319">
        <v>320</v>
      </c>
      <c r="J4319">
        <f>GS91/212.5</f>
        <v>0</v>
      </c>
      <c r="M4319" t="inlineStr">
        <is>
          <t>-212Q452.1</t>
        </is>
      </c>
    </row>
    <row r="4320">
      <c r="A4320">
        <v>4319</v>
      </c>
      <c r="B4320">
        <f>GS13</f>
        <v>0</v>
      </c>
      <c r="C4320" t="inlineStr">
        <is>
          <t>+LS4</t>
        </is>
      </c>
      <c r="D4320" t="inlineStr">
        <is>
          <t>-21367.6</t>
        </is>
      </c>
      <c r="E4320" t="inlineStr">
        <is>
          <t>DIL_EM-10-G</t>
        </is>
      </c>
      <c r="F4320" t="inlineStr">
        <is>
          <t>#KALK!</t>
        </is>
      </c>
      <c r="G4320" t="inlineStr">
        <is>
          <t>LASTSCHUETZ</t>
        </is>
      </c>
      <c r="H4320" t="inlineStr">
        <is>
          <t>4kW 1S</t>
        </is>
      </c>
      <c r="I4320">
        <v>455</v>
      </c>
      <c r="J4320">
        <f>GS13/213.6</f>
        <v>0</v>
      </c>
      <c r="M4320" t="inlineStr">
        <is>
          <t>-21367.6</t>
        </is>
      </c>
    </row>
    <row r="4321">
      <c r="A4321">
        <v>4320</v>
      </c>
      <c r="B4321">
        <f>GS36</f>
        <v>0</v>
      </c>
      <c r="C4321" t="inlineStr">
        <is>
          <t>+LS04</t>
        </is>
      </c>
      <c r="D4321" t="inlineStr">
        <is>
          <t>-225K1</t>
        </is>
      </c>
      <c r="E4321" t="inlineStr">
        <is>
          <t>DILA-40</t>
        </is>
      </c>
      <c r="F4321" t="inlineStr">
        <is>
          <t>#KALK!</t>
        </is>
      </c>
      <c r="G4321" t="inlineStr">
        <is>
          <t>HILFSSCHUETZ</t>
        </is>
      </c>
      <c r="H4321" t="inlineStr">
        <is>
          <t>4S Federzugkl.</t>
        </is>
      </c>
      <c r="I4321">
        <v>398</v>
      </c>
      <c r="J4321">
        <f>GS36/225.5</f>
        <v>0</v>
      </c>
      <c r="M4321" t="inlineStr">
        <is>
          <t>-225K1</t>
        </is>
      </c>
    </row>
    <row r="4322">
      <c r="A4322">
        <v>4321</v>
      </c>
      <c r="B4322">
        <f>GS36</f>
        <v>0</v>
      </c>
      <c r="C4322" t="inlineStr">
        <is>
          <t>+LS04</t>
        </is>
      </c>
      <c r="D4322" t="inlineStr">
        <is>
          <t>-225K150.0</t>
        </is>
      </c>
      <c r="E4322" t="inlineStr">
        <is>
          <t>DILA-40</t>
        </is>
      </c>
      <c r="F4322" t="inlineStr">
        <is>
          <t>#KALK!</t>
        </is>
      </c>
      <c r="G4322" t="inlineStr">
        <is>
          <t>HILFSSCHUETZ</t>
        </is>
      </c>
      <c r="H4322" t="inlineStr">
        <is>
          <t>4S Federzugkl.</t>
        </is>
      </c>
      <c r="I4322">
        <v>398</v>
      </c>
      <c r="J4322">
        <f>GS36/225.7</f>
        <v>0</v>
      </c>
      <c r="M4322" t="inlineStr">
        <is>
          <t>-225K150.0</t>
        </is>
      </c>
    </row>
    <row r="4323">
      <c r="A4323">
        <v>4322</v>
      </c>
      <c r="B4323">
        <f>GS34</f>
        <v>0</v>
      </c>
      <c r="C4323" t="inlineStr">
        <is>
          <t>+LS4</t>
        </is>
      </c>
      <c r="D4323" t="inlineStr">
        <is>
          <t>-213K30.2</t>
        </is>
      </c>
      <c r="E4323" t="inlineStr">
        <is>
          <t>DIL_EM-10-G</t>
        </is>
      </c>
      <c r="F4323" t="inlineStr">
        <is>
          <t>#KALK!</t>
        </is>
      </c>
      <c r="G4323" t="inlineStr">
        <is>
          <t>LASTSCHUETZ</t>
        </is>
      </c>
      <c r="H4323" t="inlineStr">
        <is>
          <t>4kW 1S</t>
        </is>
      </c>
      <c r="I4323">
        <v>337</v>
      </c>
      <c r="J4323">
        <f>GS34/213.6</f>
        <v>0</v>
      </c>
      <c r="M4323" t="inlineStr">
        <is>
          <t>-213K30.2</t>
        </is>
      </c>
    </row>
    <row r="4324">
      <c r="A4324">
        <v>4323</v>
      </c>
      <c r="B4324">
        <f>GS34</f>
        <v>0</v>
      </c>
      <c r="C4324" t="inlineStr">
        <is>
          <t>+LS4</t>
        </is>
      </c>
      <c r="D4324" t="inlineStr">
        <is>
          <t>-213K30.3</t>
        </is>
      </c>
      <c r="E4324" t="inlineStr">
        <is>
          <t>DIL_EM-10-G</t>
        </is>
      </c>
      <c r="F4324" t="inlineStr">
        <is>
          <t>#KALK!</t>
        </is>
      </c>
      <c r="G4324" t="inlineStr">
        <is>
          <t>LASTSCHUETZ</t>
        </is>
      </c>
      <c r="H4324" t="inlineStr">
        <is>
          <t>4kW 1S</t>
        </is>
      </c>
      <c r="I4324">
        <v>337</v>
      </c>
      <c r="J4324">
        <f>GS34/213.6</f>
        <v>0</v>
      </c>
      <c r="M4324" t="inlineStr">
        <is>
          <t>-213K30.3</t>
        </is>
      </c>
    </row>
    <row r="4325">
      <c r="A4325">
        <v>4324</v>
      </c>
      <c r="B4325">
        <f>GS02</f>
        <v>0</v>
      </c>
      <c r="C4325" t="inlineStr">
        <is>
          <t>+LS3</t>
        </is>
      </c>
      <c r="D4325" t="inlineStr">
        <is>
          <t>-213K33.6</t>
        </is>
      </c>
      <c r="E4325" t="inlineStr">
        <is>
          <t>DIL_EM-10-G</t>
        </is>
      </c>
      <c r="F4325" t="inlineStr">
        <is>
          <t>#KALK!</t>
        </is>
      </c>
      <c r="G4325" t="inlineStr">
        <is>
          <t>LASTSCHUETZ</t>
        </is>
      </c>
      <c r="H4325" t="inlineStr">
        <is>
          <t>4kW 1S</t>
        </is>
      </c>
      <c r="I4325">
        <v>617</v>
      </c>
      <c r="J4325">
        <f>GS02/213.6</f>
        <v>0</v>
      </c>
      <c r="M4325" t="inlineStr">
        <is>
          <t>-213K33.6</t>
        </is>
      </c>
    </row>
    <row r="4326">
      <c r="A4326">
        <v>4325</v>
      </c>
      <c r="B4326">
        <f>GS31</f>
        <v>0</v>
      </c>
      <c r="C4326" t="inlineStr">
        <is>
          <t>+LS3</t>
        </is>
      </c>
      <c r="D4326" t="inlineStr">
        <is>
          <t>-213K39.2</t>
        </is>
      </c>
      <c r="E4326" t="inlineStr">
        <is>
          <t>DIL_EM-10-G</t>
        </is>
      </c>
      <c r="F4326" t="inlineStr">
        <is>
          <t>#KALK!</t>
        </is>
      </c>
      <c r="G4326" t="inlineStr">
        <is>
          <t>LASTSCHUETZ</t>
        </is>
      </c>
      <c r="H4326" t="inlineStr">
        <is>
          <t>4kW 1S</t>
        </is>
      </c>
      <c r="I4326">
        <v>500</v>
      </c>
      <c r="J4326">
        <f>GS31/213.6</f>
        <v>0</v>
      </c>
      <c r="M4326" t="inlineStr">
        <is>
          <t>-213K39.2</t>
        </is>
      </c>
    </row>
    <row r="4327">
      <c r="A4327">
        <v>4326</v>
      </c>
      <c r="B4327">
        <f>GS16</f>
        <v>0</v>
      </c>
      <c r="C4327" t="inlineStr">
        <is>
          <t>+LS4</t>
        </is>
      </c>
      <c r="D4327" t="inlineStr">
        <is>
          <t>-213K3937.0</t>
        </is>
      </c>
      <c r="E4327" t="inlineStr">
        <is>
          <t>DIL_EM-10-G</t>
        </is>
      </c>
      <c r="F4327" t="inlineStr">
        <is>
          <t>#KALK!</t>
        </is>
      </c>
      <c r="G4327" t="inlineStr">
        <is>
          <t>LASTSCHUETZ</t>
        </is>
      </c>
      <c r="H4327" t="inlineStr">
        <is>
          <t>4kW 1S</t>
        </is>
      </c>
      <c r="I4327">
        <v>437</v>
      </c>
      <c r="J4327">
        <f>GS16/213.7</f>
        <v>0</v>
      </c>
      <c r="M4327" t="inlineStr">
        <is>
          <t>-213K3937.0</t>
        </is>
      </c>
    </row>
    <row r="4328">
      <c r="A4328">
        <v>4327</v>
      </c>
      <c r="B4328">
        <f>GS04</f>
        <v>0</v>
      </c>
      <c r="C4328" t="inlineStr">
        <is>
          <t>+LS4</t>
        </is>
      </c>
      <c r="D4328" t="inlineStr">
        <is>
          <t>-213K44.6</t>
        </is>
      </c>
      <c r="E4328" t="inlineStr">
        <is>
          <t>DIL_EM-10-G</t>
        </is>
      </c>
      <c r="F4328" t="inlineStr">
        <is>
          <t>#KALK!</t>
        </is>
      </c>
      <c r="G4328" t="inlineStr">
        <is>
          <t>LASTSCHUETZ</t>
        </is>
      </c>
      <c r="H4328" t="inlineStr">
        <is>
          <t>4kW 1S</t>
        </is>
      </c>
      <c r="I4328">
        <v>463</v>
      </c>
      <c r="J4328">
        <f>GS04/213.6</f>
        <v>0</v>
      </c>
      <c r="M4328" t="inlineStr">
        <is>
          <t>-213K44.6</t>
        </is>
      </c>
    </row>
    <row r="4329">
      <c r="A4329">
        <v>4328</v>
      </c>
      <c r="B4329">
        <f>GS11</f>
        <v>0</v>
      </c>
      <c r="C4329" t="inlineStr">
        <is>
          <t>+LS5</t>
        </is>
      </c>
      <c r="D4329" t="inlineStr">
        <is>
          <t>-213K50.5</t>
        </is>
      </c>
      <c r="E4329" t="inlineStr">
        <is>
          <t>DIL_EM-10-G</t>
        </is>
      </c>
      <c r="F4329" t="inlineStr">
        <is>
          <t>#KALK!</t>
        </is>
      </c>
      <c r="G4329" t="inlineStr">
        <is>
          <t>LASTSCHUETZ</t>
        </is>
      </c>
      <c r="H4329" t="inlineStr">
        <is>
          <t>4kW 1S</t>
        </is>
      </c>
      <c r="I4329">
        <v>324</v>
      </c>
      <c r="J4329">
        <f>GS11/213.7</f>
        <v>0</v>
      </c>
      <c r="M4329" t="inlineStr">
        <is>
          <t>-213K50.5</t>
        </is>
      </c>
    </row>
    <row r="4330">
      <c r="A4330">
        <v>4329</v>
      </c>
      <c r="B4330">
        <f>GS21</f>
        <v>0</v>
      </c>
      <c r="C4330" t="inlineStr">
        <is>
          <t>+LS5</t>
        </is>
      </c>
      <c r="D4330" t="inlineStr">
        <is>
          <t>-213K50.5</t>
        </is>
      </c>
      <c r="E4330" t="inlineStr">
        <is>
          <t>DIL_EM-10-G</t>
        </is>
      </c>
      <c r="F4330" t="inlineStr">
        <is>
          <t>#KALK!</t>
        </is>
      </c>
      <c r="G4330" t="inlineStr">
        <is>
          <t>LASTSCHUETZ</t>
        </is>
      </c>
      <c r="H4330" t="inlineStr">
        <is>
          <t>4kW 1S</t>
        </is>
      </c>
      <c r="I4330">
        <v>298</v>
      </c>
      <c r="J4330">
        <f>GS21/213.7</f>
        <v>0</v>
      </c>
      <c r="M4330" t="inlineStr">
        <is>
          <t>-213K50.5</t>
        </is>
      </c>
    </row>
    <row r="4331">
      <c r="A4331">
        <v>4330</v>
      </c>
      <c r="B4331">
        <f>GS98</f>
        <v>0</v>
      </c>
      <c r="C4331" t="inlineStr">
        <is>
          <t>+LS06</t>
        </is>
      </c>
      <c r="D4331" t="inlineStr">
        <is>
          <t>-213K60.0</t>
        </is>
      </c>
      <c r="E4331" t="inlineStr">
        <is>
          <t>DILA-40</t>
        </is>
      </c>
      <c r="F4331" t="inlineStr">
        <is>
          <t>#KALK!</t>
        </is>
      </c>
      <c r="G4331" t="inlineStr">
        <is>
          <t>HILFSSCHUETZ</t>
        </is>
      </c>
      <c r="H4331" t="inlineStr">
        <is>
          <t>4S Federzugkl.</t>
        </is>
      </c>
      <c r="I4331">
        <v>221</v>
      </c>
      <c r="J4331">
        <f>GS98/213.5</f>
        <v>0</v>
      </c>
      <c r="M4331" t="inlineStr">
        <is>
          <t>-213K60.0</t>
        </is>
      </c>
    </row>
    <row r="4332">
      <c r="A4332">
        <v>4331</v>
      </c>
      <c r="B4332">
        <f>GS23</f>
        <v>0</v>
      </c>
      <c r="C4332" t="inlineStr">
        <is>
          <t>+LS4</t>
        </is>
      </c>
      <c r="D4332" t="inlineStr">
        <is>
          <t>-213K67.6</t>
        </is>
      </c>
      <c r="E4332" t="inlineStr">
        <is>
          <t>DIL_EM-10-G</t>
        </is>
      </c>
      <c r="F4332" t="inlineStr">
        <is>
          <t>#KALK!</t>
        </is>
      </c>
      <c r="G4332" t="inlineStr">
        <is>
          <t>LASTSCHUETZ</t>
        </is>
      </c>
      <c r="H4332" t="inlineStr">
        <is>
          <t>4kW 1S</t>
        </is>
      </c>
      <c r="I4332">
        <v>514</v>
      </c>
      <c r="J4332">
        <f>GS23/213.6</f>
        <v>0</v>
      </c>
      <c r="M4332" t="inlineStr">
        <is>
          <t>-213K67.6</t>
        </is>
      </c>
    </row>
    <row r="4333">
      <c r="A4333">
        <v>4332</v>
      </c>
      <c r="B4333">
        <f>GC03</f>
        <v>0</v>
      </c>
      <c r="C4333" t="inlineStr">
        <is>
          <t>+LS4</t>
        </is>
      </c>
      <c r="D4333" t="inlineStr">
        <is>
          <t>-213K68.2</t>
        </is>
      </c>
      <c r="E4333" t="inlineStr">
        <is>
          <t>DIL_EM-10-G</t>
        </is>
      </c>
      <c r="F4333" t="inlineStr">
        <is>
          <t>#KALK!</t>
        </is>
      </c>
      <c r="G4333" t="inlineStr">
        <is>
          <t>LASTSCHUETZ</t>
        </is>
      </c>
      <c r="H4333" t="inlineStr">
        <is>
          <t>4kW 1S</t>
        </is>
      </c>
      <c r="I4333">
        <v>699</v>
      </c>
      <c r="J4333">
        <f>GC03/213.6</f>
        <v>0</v>
      </c>
      <c r="M4333" t="inlineStr">
        <is>
          <t>-213K68.2</t>
        </is>
      </c>
    </row>
    <row r="4334">
      <c r="A4334">
        <v>4333</v>
      </c>
      <c r="B4334">
        <f>GC03</f>
        <v>0</v>
      </c>
      <c r="C4334" t="inlineStr">
        <is>
          <t>+LS4</t>
        </is>
      </c>
      <c r="D4334" t="inlineStr">
        <is>
          <t>-213K68.3</t>
        </is>
      </c>
      <c r="E4334" t="inlineStr">
        <is>
          <t>DIL_EM-10-G</t>
        </is>
      </c>
      <c r="F4334" t="inlineStr">
        <is>
          <t>#KALK!</t>
        </is>
      </c>
      <c r="G4334" t="inlineStr">
        <is>
          <t>LASTSCHUETZ</t>
        </is>
      </c>
      <c r="H4334" t="inlineStr">
        <is>
          <t>4kW 1S</t>
        </is>
      </c>
      <c r="I4334">
        <v>699</v>
      </c>
      <c r="J4334">
        <f>GC03/213.6</f>
        <v>0</v>
      </c>
      <c r="M4334" t="inlineStr">
        <is>
          <t>-213K68.3</t>
        </is>
      </c>
    </row>
    <row r="4335">
      <c r="A4335">
        <v>4334</v>
      </c>
      <c r="B4335">
        <f>GS15</f>
        <v>0</v>
      </c>
      <c r="C4335" t="inlineStr">
        <is>
          <t>+LS4</t>
        </is>
      </c>
      <c r="D4335" t="inlineStr">
        <is>
          <t>-213K71.5</t>
        </is>
      </c>
      <c r="E4335" t="inlineStr">
        <is>
          <t>DIL_EM-10-G</t>
        </is>
      </c>
      <c r="F4335" t="inlineStr">
        <is>
          <t>#KALK!</t>
        </is>
      </c>
      <c r="G4335" t="inlineStr">
        <is>
          <t>LASTSCHUETZ</t>
        </is>
      </c>
      <c r="H4335" t="inlineStr">
        <is>
          <t>4kW 1S</t>
        </is>
      </c>
      <c r="I4335">
        <v>706</v>
      </c>
      <c r="J4335">
        <f>GS15/213.6</f>
        <v>0</v>
      </c>
      <c r="M4335" t="inlineStr">
        <is>
          <t>-213K71.5</t>
        </is>
      </c>
    </row>
    <row r="4336">
      <c r="A4336">
        <v>4335</v>
      </c>
      <c r="B4336">
        <f>GS15</f>
        <v>0</v>
      </c>
      <c r="C4336" t="inlineStr">
        <is>
          <t>+LS4</t>
        </is>
      </c>
      <c r="D4336" t="inlineStr">
        <is>
          <t>-213K71.6</t>
        </is>
      </c>
      <c r="E4336" t="inlineStr">
        <is>
          <t>DIL_EM-10-G</t>
        </is>
      </c>
      <c r="F4336" t="inlineStr">
        <is>
          <t>#KALK!</t>
        </is>
      </c>
      <c r="G4336" t="inlineStr">
        <is>
          <t>LASTSCHUETZ</t>
        </is>
      </c>
      <c r="H4336" t="inlineStr">
        <is>
          <t>4kW 1S</t>
        </is>
      </c>
      <c r="I4336">
        <v>706</v>
      </c>
      <c r="J4336">
        <f>GS15/213.6</f>
        <v>0</v>
      </c>
      <c r="M4336" t="inlineStr">
        <is>
          <t>-213K71.6</t>
        </is>
      </c>
    </row>
    <row r="4337">
      <c r="A4337">
        <v>4336</v>
      </c>
      <c r="B4337">
        <f>GS14</f>
        <v>0</v>
      </c>
      <c r="C4337" t="inlineStr">
        <is>
          <t>+LS4</t>
        </is>
      </c>
      <c r="D4337" t="inlineStr">
        <is>
          <t>-213K76.1</t>
        </is>
      </c>
      <c r="E4337" t="inlineStr">
        <is>
          <t>DIL_EM-10-G</t>
        </is>
      </c>
      <c r="F4337" t="inlineStr">
        <is>
          <t>#KALK!</t>
        </is>
      </c>
      <c r="G4337" t="inlineStr">
        <is>
          <t>LASTSCHUETZ</t>
        </is>
      </c>
      <c r="H4337" t="inlineStr">
        <is>
          <t>4kW 1S</t>
        </is>
      </c>
      <c r="I4337">
        <v>339</v>
      </c>
      <c r="J4337">
        <f>GS14/213.5</f>
        <v>0</v>
      </c>
      <c r="M4337" t="inlineStr">
        <is>
          <t>-213K76.1</t>
        </is>
      </c>
    </row>
    <row r="4338">
      <c r="A4338">
        <v>4337</v>
      </c>
      <c r="B4338">
        <f>GS14</f>
        <v>0</v>
      </c>
      <c r="C4338" t="inlineStr">
        <is>
          <t>+LS4</t>
        </is>
      </c>
      <c r="D4338" t="inlineStr">
        <is>
          <t>-213K76.2</t>
        </is>
      </c>
      <c r="E4338" t="inlineStr">
        <is>
          <t>DIL_EM-10-G</t>
        </is>
      </c>
      <c r="F4338" t="inlineStr">
        <is>
          <t>#KALK!</t>
        </is>
      </c>
      <c r="G4338" t="inlineStr">
        <is>
          <t>LASTSCHUETZ</t>
        </is>
      </c>
      <c r="H4338" t="inlineStr">
        <is>
          <t>4kW 1S</t>
        </is>
      </c>
      <c r="I4338">
        <v>339</v>
      </c>
      <c r="J4338">
        <f>GS14/213.6</f>
        <v>0</v>
      </c>
      <c r="M4338" t="inlineStr">
        <is>
          <t>-213K76.2</t>
        </is>
      </c>
    </row>
    <row r="4339">
      <c r="A4339">
        <v>4338</v>
      </c>
      <c r="B4339">
        <f>GS14</f>
        <v>0</v>
      </c>
      <c r="C4339" t="inlineStr">
        <is>
          <t>+LS4</t>
        </is>
      </c>
      <c r="D4339" t="inlineStr">
        <is>
          <t>-213K76.3</t>
        </is>
      </c>
      <c r="E4339" t="inlineStr">
        <is>
          <t>DIL_EM-01-G</t>
        </is>
      </c>
      <c r="F4339" t="inlineStr">
        <is>
          <t>#KALK!</t>
        </is>
      </c>
      <c r="G4339" t="inlineStr">
        <is>
          <t>LASTSCHUETZ</t>
        </is>
      </c>
      <c r="H4339" t="inlineStr">
        <is>
          <t>4kW 1OE</t>
        </is>
      </c>
      <c r="I4339">
        <v>339</v>
      </c>
      <c r="J4339">
        <f>GS14/213.7</f>
        <v>0</v>
      </c>
      <c r="M4339" t="inlineStr">
        <is>
          <t>-213K76.3</t>
        </is>
      </c>
    </row>
    <row r="4340">
      <c r="A4340">
        <v>4339</v>
      </c>
      <c r="B4340">
        <f>GS14</f>
        <v>0</v>
      </c>
      <c r="C4340" t="inlineStr">
        <is>
          <t>+LS4</t>
        </is>
      </c>
      <c r="D4340" t="inlineStr">
        <is>
          <t>-213K76.4</t>
        </is>
      </c>
      <c r="E4340" t="inlineStr">
        <is>
          <t>DIL_EM-01-G</t>
        </is>
      </c>
      <c r="F4340" t="inlineStr">
        <is>
          <t>#KALK!</t>
        </is>
      </c>
      <c r="G4340" t="inlineStr">
        <is>
          <t>LASTSCHUETZ</t>
        </is>
      </c>
      <c r="H4340" t="inlineStr">
        <is>
          <t>4kW 1OE</t>
        </is>
      </c>
      <c r="I4340">
        <v>339</v>
      </c>
      <c r="J4340">
        <f>GS14/213.8</f>
        <v>0</v>
      </c>
      <c r="M4340" t="inlineStr">
        <is>
          <t>-213K76.4</t>
        </is>
      </c>
    </row>
    <row r="4341">
      <c r="A4341">
        <v>4340</v>
      </c>
      <c r="B4341">
        <f>GS90</f>
        <v>0</v>
      </c>
      <c r="C4341" t="inlineStr">
        <is>
          <t>+LS03</t>
        </is>
      </c>
      <c r="D4341" t="inlineStr">
        <is>
          <t>-213Q159.0</t>
        </is>
      </c>
      <c r="E4341" t="inlineStr">
        <is>
          <t>DILM-9-10</t>
        </is>
      </c>
      <c r="F4341" t="inlineStr">
        <is>
          <t>#KALK!</t>
        </is>
      </c>
      <c r="G4341" t="inlineStr">
        <is>
          <t>LASTSCHUETZ</t>
        </is>
      </c>
      <c r="H4341" t="inlineStr">
        <is>
          <t>4kW 1S Federzugkl.</t>
        </is>
      </c>
      <c r="I4341">
        <v>999</v>
      </c>
      <c r="J4341">
        <f>GS90/213.5</f>
        <v>0</v>
      </c>
      <c r="M4341" t="inlineStr">
        <is>
          <t>-213Q159.0</t>
        </is>
      </c>
    </row>
    <row r="4342">
      <c r="A4342">
        <v>4341</v>
      </c>
      <c r="B4342">
        <f>GS55</f>
        <v>0</v>
      </c>
      <c r="C4342" t="inlineStr">
        <is>
          <t>+LS35</t>
        </is>
      </c>
      <c r="D4342" t="inlineStr">
        <is>
          <t>-2145Q1</t>
        </is>
      </c>
      <c r="E4342" t="inlineStr">
        <is>
          <t>DILMC25-10(RDC24)</t>
        </is>
      </c>
      <c r="F4342" t="inlineStr">
        <is>
          <t>DILA-XHI22</t>
        </is>
      </c>
      <c r="G4342" t="inlineStr">
        <is>
          <t>LASTSCHUETZ</t>
        </is>
      </c>
      <c r="H4342" t="inlineStr">
        <is>
          <t>11kW 1S Federzugkl.</t>
        </is>
      </c>
      <c r="I4342">
        <v>2312</v>
      </c>
      <c r="J4342">
        <f>GS55/2145.6</f>
        <v>0</v>
      </c>
      <c r="K4342" t="inlineStr">
        <is>
          <t>DIL MC25</t>
        </is>
      </c>
      <c r="M4342" t="inlineStr">
        <is>
          <t>-2145Q1</t>
        </is>
      </c>
    </row>
    <row r="4343">
      <c r="A4343">
        <v>4342</v>
      </c>
      <c r="B4343">
        <f>GS55</f>
        <v>0</v>
      </c>
      <c r="C4343" t="inlineStr">
        <is>
          <t>+LS35</t>
        </is>
      </c>
      <c r="D4343" t="inlineStr">
        <is>
          <t>-2145Q1</t>
        </is>
      </c>
      <c r="E4343" t="inlineStr">
        <is>
          <t>DILA-XHI22</t>
        </is>
      </c>
      <c r="F4343" t="inlineStr">
        <is>
          <t>DILA-XHI22</t>
        </is>
      </c>
      <c r="G4343" t="inlineStr">
        <is>
          <t>HILFSKONTAKTBLOCK</t>
        </is>
      </c>
      <c r="H4343" t="inlineStr">
        <is>
          <t>2S 2OE Last+Hilfssch. Cage</t>
        </is>
      </c>
      <c r="I4343">
        <v>2312</v>
      </c>
      <c r="J4343">
        <f>GS55/2145.6</f>
        <v>0</v>
      </c>
      <c r="K4343" t="inlineStr">
        <is>
          <t>DIL MC25</t>
        </is>
      </c>
      <c r="M4343" t="inlineStr">
        <is>
          <t>-2145Q1</t>
        </is>
      </c>
    </row>
    <row r="4344">
      <c r="A4344">
        <v>4343</v>
      </c>
      <c r="B4344">
        <f>GS13</f>
        <v>0</v>
      </c>
      <c r="C4344" t="inlineStr">
        <is>
          <t>+LS4</t>
        </is>
      </c>
      <c r="D4344" t="inlineStr">
        <is>
          <t>-21468.4</t>
        </is>
      </c>
      <c r="E4344" t="inlineStr">
        <is>
          <t>DIL_EM-10-G</t>
        </is>
      </c>
      <c r="F4344" t="inlineStr">
        <is>
          <t>#KALK!</t>
        </is>
      </c>
      <c r="G4344" t="inlineStr">
        <is>
          <t>LASTSCHUETZ</t>
        </is>
      </c>
      <c r="H4344" t="inlineStr">
        <is>
          <t>4kW 1S</t>
        </is>
      </c>
      <c r="I4344">
        <v>456</v>
      </c>
      <c r="J4344">
        <f>GS13/214.6</f>
        <v>0</v>
      </c>
      <c r="M4344" t="inlineStr">
        <is>
          <t>-21468.4</t>
        </is>
      </c>
    </row>
    <row r="4345">
      <c r="A4345">
        <v>4344</v>
      </c>
      <c r="B4345">
        <f>GS13</f>
        <v>0</v>
      </c>
      <c r="C4345" t="inlineStr">
        <is>
          <t>+LS4</t>
        </is>
      </c>
      <c r="D4345" t="inlineStr">
        <is>
          <t>-21468.5</t>
        </is>
      </c>
      <c r="E4345" t="inlineStr">
        <is>
          <t>DIL_EM-10-G</t>
        </is>
      </c>
      <c r="F4345" t="inlineStr">
        <is>
          <t>#KALK!</t>
        </is>
      </c>
      <c r="G4345" t="inlineStr">
        <is>
          <t>LASTSCHUETZ</t>
        </is>
      </c>
      <c r="H4345" t="inlineStr">
        <is>
          <t>4kW 1S</t>
        </is>
      </c>
      <c r="I4345">
        <v>456</v>
      </c>
      <c r="J4345">
        <f>GS13/214.6</f>
        <v>0</v>
      </c>
      <c r="M4345" t="inlineStr">
        <is>
          <t>-21468.5</t>
        </is>
      </c>
    </row>
    <row r="4346">
      <c r="A4346">
        <v>4345</v>
      </c>
      <c r="B4346">
        <f>GS34</f>
        <v>0</v>
      </c>
      <c r="C4346" t="inlineStr">
        <is>
          <t>+LS4</t>
        </is>
      </c>
      <c r="D4346" t="inlineStr">
        <is>
          <t>-214K30.7</t>
        </is>
      </c>
      <c r="E4346" t="inlineStr">
        <is>
          <t>DIL_EM-10-G</t>
        </is>
      </c>
      <c r="F4346" t="inlineStr">
        <is>
          <t>#KALK!</t>
        </is>
      </c>
      <c r="G4346" t="inlineStr">
        <is>
          <t>LASTSCHUETZ</t>
        </is>
      </c>
      <c r="H4346" t="inlineStr">
        <is>
          <t>4kW 1S</t>
        </is>
      </c>
      <c r="I4346">
        <v>338</v>
      </c>
      <c r="J4346">
        <f>GS34/214.7</f>
        <v>0</v>
      </c>
      <c r="M4346" t="inlineStr">
        <is>
          <t>-214K30.7</t>
        </is>
      </c>
    </row>
    <row r="4347">
      <c r="A4347">
        <v>4346</v>
      </c>
      <c r="B4347">
        <f>GS16</f>
        <v>0</v>
      </c>
      <c r="C4347" t="inlineStr">
        <is>
          <t>+LS4</t>
        </is>
      </c>
      <c r="D4347" t="inlineStr">
        <is>
          <t>-214K3937.3</t>
        </is>
      </c>
      <c r="E4347" t="inlineStr">
        <is>
          <t>DIL_EM-10-G</t>
        </is>
      </c>
      <c r="F4347" t="inlineStr">
        <is>
          <t>#KALK!</t>
        </is>
      </c>
      <c r="G4347" t="inlineStr">
        <is>
          <t>LASTSCHUETZ</t>
        </is>
      </c>
      <c r="H4347" t="inlineStr">
        <is>
          <t>4kW 1S</t>
        </is>
      </c>
      <c r="I4347">
        <v>438</v>
      </c>
      <c r="J4347">
        <f>GS16/214.6</f>
        <v>0</v>
      </c>
      <c r="M4347" t="inlineStr">
        <is>
          <t>-214K3937.3</t>
        </is>
      </c>
    </row>
    <row r="4348">
      <c r="A4348">
        <v>4347</v>
      </c>
      <c r="B4348">
        <f>GS04</f>
        <v>0</v>
      </c>
      <c r="C4348" t="inlineStr">
        <is>
          <t>+LS4</t>
        </is>
      </c>
      <c r="D4348" t="inlineStr">
        <is>
          <t>-214K44.7</t>
        </is>
      </c>
      <c r="E4348" t="inlineStr">
        <is>
          <t>DIL_EM-10-G</t>
        </is>
      </c>
      <c r="F4348" t="inlineStr">
        <is>
          <t>#KALK!</t>
        </is>
      </c>
      <c r="G4348" t="inlineStr">
        <is>
          <t>LASTSCHUETZ</t>
        </is>
      </c>
      <c r="H4348" t="inlineStr">
        <is>
          <t>4kW 1S</t>
        </is>
      </c>
      <c r="I4348">
        <v>464</v>
      </c>
      <c r="J4348">
        <f>GS04/214.6</f>
        <v>0</v>
      </c>
      <c r="M4348" t="inlineStr">
        <is>
          <t>-214K44.7</t>
        </is>
      </c>
    </row>
    <row r="4349">
      <c r="A4349">
        <v>4348</v>
      </c>
      <c r="B4349">
        <f>GS04</f>
        <v>0</v>
      </c>
      <c r="C4349" t="inlineStr">
        <is>
          <t>+LS4</t>
        </is>
      </c>
      <c r="D4349" t="inlineStr">
        <is>
          <t>-214K45.0</t>
        </is>
      </c>
      <c r="E4349" t="inlineStr">
        <is>
          <t>DIL_EM-10-G</t>
        </is>
      </c>
      <c r="F4349" t="inlineStr">
        <is>
          <t>#KALK!</t>
        </is>
      </c>
      <c r="G4349" t="inlineStr">
        <is>
          <t>LASTSCHUETZ</t>
        </is>
      </c>
      <c r="H4349" t="inlineStr">
        <is>
          <t>4kW 1S</t>
        </is>
      </c>
      <c r="I4349">
        <v>464</v>
      </c>
      <c r="J4349">
        <f>GS04/214.6</f>
        <v>0</v>
      </c>
      <c r="M4349" t="inlineStr">
        <is>
          <t>-214K45.0</t>
        </is>
      </c>
    </row>
    <row r="4350">
      <c r="A4350">
        <v>4349</v>
      </c>
      <c r="B4350">
        <f>GS11</f>
        <v>0</v>
      </c>
      <c r="C4350" t="inlineStr">
        <is>
          <t>+LS5</t>
        </is>
      </c>
      <c r="D4350" t="inlineStr">
        <is>
          <t>-214K50.6</t>
        </is>
      </c>
      <c r="E4350" t="inlineStr">
        <is>
          <t>DIL_EM-10-G</t>
        </is>
      </c>
      <c r="F4350" t="inlineStr">
        <is>
          <t>#KALK!</t>
        </is>
      </c>
      <c r="G4350" t="inlineStr">
        <is>
          <t>LASTSCHUETZ</t>
        </is>
      </c>
      <c r="H4350" t="inlineStr">
        <is>
          <t>4kW 1S</t>
        </is>
      </c>
      <c r="I4350">
        <v>325</v>
      </c>
      <c r="J4350">
        <f>GS11/214.6</f>
        <v>0</v>
      </c>
      <c r="M4350" t="inlineStr">
        <is>
          <t>-214K50.6</t>
        </is>
      </c>
    </row>
    <row r="4351">
      <c r="A4351">
        <v>4350</v>
      </c>
      <c r="B4351">
        <f>GS21</f>
        <v>0</v>
      </c>
      <c r="C4351" t="inlineStr">
        <is>
          <t>+LS5</t>
        </is>
      </c>
      <c r="D4351" t="inlineStr">
        <is>
          <t>-214K50.6</t>
        </is>
      </c>
      <c r="E4351" t="inlineStr">
        <is>
          <t>DIL_EM-10-G</t>
        </is>
      </c>
      <c r="F4351" t="inlineStr">
        <is>
          <t>#KALK!</t>
        </is>
      </c>
      <c r="G4351" t="inlineStr">
        <is>
          <t>LASTSCHUETZ</t>
        </is>
      </c>
      <c r="H4351" t="inlineStr">
        <is>
          <t>4kW 1S</t>
        </is>
      </c>
      <c r="I4351">
        <v>299</v>
      </c>
      <c r="J4351">
        <f>GS21/214.6</f>
        <v>0</v>
      </c>
      <c r="M4351" t="inlineStr">
        <is>
          <t>-214K50.6</t>
        </is>
      </c>
    </row>
    <row r="4352">
      <c r="A4352">
        <v>4351</v>
      </c>
      <c r="B4352">
        <f>GC03</f>
        <v>0</v>
      </c>
      <c r="C4352" t="inlineStr">
        <is>
          <t>+LS4</t>
        </is>
      </c>
      <c r="D4352" t="inlineStr">
        <is>
          <t>-214K68.4</t>
        </is>
      </c>
      <c r="E4352" t="inlineStr">
        <is>
          <t>DIL_EM-10-G</t>
        </is>
      </c>
      <c r="F4352" t="inlineStr">
        <is>
          <t>#KALK!</t>
        </is>
      </c>
      <c r="G4352" t="inlineStr">
        <is>
          <t>LASTSCHUETZ</t>
        </is>
      </c>
      <c r="H4352" t="inlineStr">
        <is>
          <t>4kW 1S</t>
        </is>
      </c>
      <c r="I4352">
        <v>698</v>
      </c>
      <c r="J4352">
        <f>GC03/214.6</f>
        <v>0</v>
      </c>
      <c r="M4352" t="inlineStr">
        <is>
          <t>-214K68.4</t>
        </is>
      </c>
    </row>
    <row r="4353">
      <c r="A4353">
        <v>4352</v>
      </c>
      <c r="B4353">
        <f>GS23</f>
        <v>0</v>
      </c>
      <c r="C4353" t="inlineStr">
        <is>
          <t>+LS4</t>
        </is>
      </c>
      <c r="D4353" t="inlineStr">
        <is>
          <t>-214K68.4</t>
        </is>
      </c>
      <c r="E4353" t="inlineStr">
        <is>
          <t>DIL_EM-10-G</t>
        </is>
      </c>
      <c r="F4353" t="inlineStr">
        <is>
          <t>#KALK!</t>
        </is>
      </c>
      <c r="G4353" t="inlineStr">
        <is>
          <t>LASTSCHUETZ</t>
        </is>
      </c>
      <c r="H4353" t="inlineStr">
        <is>
          <t>4kW 1S</t>
        </is>
      </c>
      <c r="I4353">
        <v>515</v>
      </c>
      <c r="J4353">
        <f>GS23/214.6</f>
        <v>0</v>
      </c>
      <c r="M4353" t="inlineStr">
        <is>
          <t>-214K68.4</t>
        </is>
      </c>
    </row>
    <row r="4354">
      <c r="A4354">
        <v>4353</v>
      </c>
      <c r="B4354">
        <f>GC03</f>
        <v>0</v>
      </c>
      <c r="C4354" t="inlineStr">
        <is>
          <t>+LS4</t>
        </is>
      </c>
      <c r="D4354" t="inlineStr">
        <is>
          <t>-214K68.5</t>
        </is>
      </c>
      <c r="E4354" t="inlineStr">
        <is>
          <t>DIL_EM-10-G</t>
        </is>
      </c>
      <c r="F4354" t="inlineStr">
        <is>
          <t>#KALK!</t>
        </is>
      </c>
      <c r="G4354" t="inlineStr">
        <is>
          <t>LASTSCHUETZ</t>
        </is>
      </c>
      <c r="H4354" t="inlineStr">
        <is>
          <t>4kW 1S</t>
        </is>
      </c>
      <c r="I4354">
        <v>698</v>
      </c>
      <c r="J4354">
        <f>GC03/214.6</f>
        <v>0</v>
      </c>
      <c r="M4354" t="inlineStr">
        <is>
          <t>-214K68.5</t>
        </is>
      </c>
    </row>
    <row r="4355">
      <c r="A4355">
        <v>4354</v>
      </c>
      <c r="B4355">
        <f>GS23</f>
        <v>0</v>
      </c>
      <c r="C4355" t="inlineStr">
        <is>
          <t>+LS4</t>
        </is>
      </c>
      <c r="D4355" t="inlineStr">
        <is>
          <t>-214K68.5</t>
        </is>
      </c>
      <c r="E4355" t="inlineStr">
        <is>
          <t>DIL_EM-10-G</t>
        </is>
      </c>
      <c r="F4355" t="inlineStr">
        <is>
          <t>#KALK!</t>
        </is>
      </c>
      <c r="G4355" t="inlineStr">
        <is>
          <t>LASTSCHUETZ</t>
        </is>
      </c>
      <c r="H4355" t="inlineStr">
        <is>
          <t>4kW 1S</t>
        </is>
      </c>
      <c r="I4355">
        <v>515</v>
      </c>
      <c r="J4355">
        <f>GS23/214.6</f>
        <v>0</v>
      </c>
      <c r="M4355" t="inlineStr">
        <is>
          <t>-214K68.5</t>
        </is>
      </c>
    </row>
    <row r="4356">
      <c r="A4356">
        <v>4355</v>
      </c>
      <c r="B4356">
        <f>GS15</f>
        <v>0</v>
      </c>
      <c r="C4356" t="inlineStr">
        <is>
          <t>+LS4</t>
        </is>
      </c>
      <c r="D4356" t="inlineStr">
        <is>
          <t>-214K71.7</t>
        </is>
      </c>
      <c r="E4356" t="inlineStr">
        <is>
          <t>DIL_EM-10-G</t>
        </is>
      </c>
      <c r="F4356" t="inlineStr">
        <is>
          <t>#KALK!</t>
        </is>
      </c>
      <c r="G4356" t="inlineStr">
        <is>
          <t>LASTSCHUETZ</t>
        </is>
      </c>
      <c r="H4356" t="inlineStr">
        <is>
          <t>4kW 1S</t>
        </is>
      </c>
      <c r="I4356">
        <v>707</v>
      </c>
      <c r="J4356">
        <f>GS15/214.6</f>
        <v>0</v>
      </c>
      <c r="M4356" t="inlineStr">
        <is>
          <t>-214K71.7</t>
        </is>
      </c>
    </row>
    <row r="4357">
      <c r="A4357">
        <v>4356</v>
      </c>
      <c r="B4357">
        <f>GS15</f>
        <v>0</v>
      </c>
      <c r="C4357" t="inlineStr">
        <is>
          <t>+LS4</t>
        </is>
      </c>
      <c r="D4357" t="inlineStr">
        <is>
          <t>-214K72.0</t>
        </is>
      </c>
      <c r="E4357" t="inlineStr">
        <is>
          <t>DIL_EM-10-G</t>
        </is>
      </c>
      <c r="F4357" t="inlineStr">
        <is>
          <t>#KALK!</t>
        </is>
      </c>
      <c r="G4357" t="inlineStr">
        <is>
          <t>LASTSCHUETZ</t>
        </is>
      </c>
      <c r="H4357" t="inlineStr">
        <is>
          <t>4kW 1S</t>
        </is>
      </c>
      <c r="I4357">
        <v>707</v>
      </c>
      <c r="J4357">
        <f>GS15/214.6</f>
        <v>0</v>
      </c>
      <c r="M4357" t="inlineStr">
        <is>
          <t>-214K72.0</t>
        </is>
      </c>
    </row>
    <row r="4358">
      <c r="A4358">
        <v>4357</v>
      </c>
      <c r="B4358">
        <f>GS14</f>
        <v>0</v>
      </c>
      <c r="C4358" t="inlineStr">
        <is>
          <t>+LS4</t>
        </is>
      </c>
      <c r="D4358" t="inlineStr">
        <is>
          <t>-214K76.5</t>
        </is>
      </c>
      <c r="E4358" t="inlineStr">
        <is>
          <t>DIL_EM-10-G</t>
        </is>
      </c>
      <c r="F4358" t="inlineStr">
        <is>
          <t>#KALK!</t>
        </is>
      </c>
      <c r="G4358" t="inlineStr">
        <is>
          <t>LASTSCHUETZ</t>
        </is>
      </c>
      <c r="H4358" t="inlineStr">
        <is>
          <t>4kW 1S</t>
        </is>
      </c>
      <c r="I4358">
        <v>340</v>
      </c>
      <c r="J4358">
        <f>GS14/214.6</f>
        <v>0</v>
      </c>
      <c r="M4358" t="inlineStr">
        <is>
          <t>-214K76.5</t>
        </is>
      </c>
    </row>
    <row r="4359">
      <c r="A4359">
        <v>4358</v>
      </c>
      <c r="B4359">
        <f>GS14</f>
        <v>0</v>
      </c>
      <c r="C4359" t="inlineStr">
        <is>
          <t>+LS4</t>
        </is>
      </c>
      <c r="D4359" t="inlineStr">
        <is>
          <t>-214K76.6</t>
        </is>
      </c>
      <c r="E4359" t="inlineStr">
        <is>
          <t>DIL_EM-10-G</t>
        </is>
      </c>
      <c r="F4359" t="inlineStr">
        <is>
          <t>#KALK!</t>
        </is>
      </c>
      <c r="G4359" t="inlineStr">
        <is>
          <t>LASTSCHUETZ</t>
        </is>
      </c>
      <c r="H4359" t="inlineStr">
        <is>
          <t>4kW 1S</t>
        </is>
      </c>
      <c r="I4359">
        <v>340</v>
      </c>
      <c r="J4359">
        <f>GS14/214.6</f>
        <v>0</v>
      </c>
      <c r="M4359" t="inlineStr">
        <is>
          <t>-214K76.6</t>
        </is>
      </c>
    </row>
    <row r="4360">
      <c r="A4360">
        <v>4359</v>
      </c>
      <c r="B4360">
        <f>GS55</f>
        <v>0</v>
      </c>
      <c r="C4360" t="inlineStr">
        <is>
          <t>+LS35</t>
        </is>
      </c>
      <c r="D4360" t="inlineStr">
        <is>
          <t>-2155Q1</t>
        </is>
      </c>
      <c r="E4360" t="inlineStr">
        <is>
          <t>DILMC25-10(RDC24)</t>
        </is>
      </c>
      <c r="F4360" t="inlineStr">
        <is>
          <t>DILA-XHI22</t>
        </is>
      </c>
      <c r="G4360" t="inlineStr">
        <is>
          <t>LASTSCHUETZ</t>
        </is>
      </c>
      <c r="H4360" t="inlineStr">
        <is>
          <t>11kW 1S Federzugkl.</t>
        </is>
      </c>
      <c r="I4360">
        <v>2323</v>
      </c>
      <c r="J4360">
        <f>GS55/2155.6</f>
        <v>0</v>
      </c>
      <c r="K4360" t="inlineStr">
        <is>
          <t>DIL MC25</t>
        </is>
      </c>
      <c r="M4360" t="inlineStr">
        <is>
          <t>-2155Q1</t>
        </is>
      </c>
    </row>
    <row r="4361">
      <c r="A4361">
        <v>4360</v>
      </c>
      <c r="B4361">
        <f>GS55</f>
        <v>0</v>
      </c>
      <c r="C4361" t="inlineStr">
        <is>
          <t>+LS35</t>
        </is>
      </c>
      <c r="D4361" t="inlineStr">
        <is>
          <t>-2155Q1</t>
        </is>
      </c>
      <c r="E4361" t="inlineStr">
        <is>
          <t>DILA-XHI22</t>
        </is>
      </c>
      <c r="F4361" t="inlineStr">
        <is>
          <t>DILA-XHI22</t>
        </is>
      </c>
      <c r="G4361" t="inlineStr">
        <is>
          <t>HILFSKONTAKTBLOCK</t>
        </is>
      </c>
      <c r="H4361" t="inlineStr">
        <is>
          <t>2S 2OE Last+Hilfssch. Cage</t>
        </is>
      </c>
      <c r="I4361">
        <v>2323</v>
      </c>
      <c r="J4361">
        <f>GS55/2155.6</f>
        <v>0</v>
      </c>
      <c r="K4361" t="inlineStr">
        <is>
          <t>DIL MC25</t>
        </is>
      </c>
      <c r="M4361" t="inlineStr">
        <is>
          <t>-2155Q1</t>
        </is>
      </c>
    </row>
    <row r="4362">
      <c r="A4362">
        <v>4361</v>
      </c>
      <c r="B4362">
        <f>GS13</f>
        <v>0</v>
      </c>
      <c r="C4362" t="inlineStr">
        <is>
          <t>+LS4</t>
        </is>
      </c>
      <c r="D4362" t="inlineStr">
        <is>
          <t>-21569.6</t>
        </is>
      </c>
      <c r="E4362" t="inlineStr">
        <is>
          <t>DIL_EM-10-G</t>
        </is>
      </c>
      <c r="F4362" t="inlineStr">
        <is>
          <t>#KALK!</t>
        </is>
      </c>
      <c r="G4362" t="inlineStr">
        <is>
          <t>LASTSCHUETZ</t>
        </is>
      </c>
      <c r="H4362" t="inlineStr">
        <is>
          <t>4kW 1S</t>
        </is>
      </c>
      <c r="I4362">
        <v>457</v>
      </c>
      <c r="J4362">
        <f>GS13/215.6</f>
        <v>0</v>
      </c>
      <c r="M4362" t="inlineStr">
        <is>
          <t>-21569.6</t>
        </is>
      </c>
    </row>
    <row r="4363">
      <c r="A4363">
        <v>4362</v>
      </c>
      <c r="B4363">
        <f>GS55</f>
        <v>0</v>
      </c>
      <c r="C4363" t="inlineStr">
        <is>
          <t>+LS35</t>
        </is>
      </c>
      <c r="D4363" t="inlineStr">
        <is>
          <t>-2158Q1941.2</t>
        </is>
      </c>
      <c r="E4363" t="inlineStr">
        <is>
          <t>DILM-9-10</t>
        </is>
      </c>
      <c r="F4363" t="inlineStr">
        <is>
          <t>#KALK!</t>
        </is>
      </c>
      <c r="G4363" t="inlineStr">
        <is>
          <t>LASTSCHUETZ</t>
        </is>
      </c>
      <c r="H4363" t="inlineStr">
        <is>
          <t>4kW 1S Federzugkl.</t>
        </is>
      </c>
      <c r="I4363">
        <v>2326</v>
      </c>
      <c r="J4363">
        <f>GS55/2158.6</f>
        <v>0</v>
      </c>
      <c r="K4363" t="inlineStr">
        <is>
          <t>DIL MC9</t>
        </is>
      </c>
      <c r="M4363" t="inlineStr">
        <is>
          <t>-2158Q1941.2</t>
        </is>
      </c>
    </row>
    <row r="4364">
      <c r="A4364">
        <v>4363</v>
      </c>
      <c r="B4364">
        <f>GS55</f>
        <v>0</v>
      </c>
      <c r="C4364" t="inlineStr">
        <is>
          <t>+LS35</t>
        </is>
      </c>
      <c r="D4364" t="inlineStr">
        <is>
          <t>-2159Q1941.3</t>
        </is>
      </c>
      <c r="E4364" t="inlineStr">
        <is>
          <t>DILM-9-10</t>
        </is>
      </c>
      <c r="F4364" t="inlineStr">
        <is>
          <t>#KALK!</t>
        </is>
      </c>
      <c r="G4364" t="inlineStr">
        <is>
          <t>LASTSCHUETZ</t>
        </is>
      </c>
      <c r="H4364" t="inlineStr">
        <is>
          <t>4kW 1S Federzugkl.</t>
        </is>
      </c>
      <c r="I4364">
        <v>2327</v>
      </c>
      <c r="J4364">
        <f>GS55/2159.6</f>
        <v>0</v>
      </c>
      <c r="K4364" t="inlineStr">
        <is>
          <t>DIL MC9</t>
        </is>
      </c>
      <c r="M4364" t="inlineStr">
        <is>
          <t>-2159Q1941.3</t>
        </is>
      </c>
    </row>
    <row r="4365">
      <c r="A4365">
        <v>4364</v>
      </c>
      <c r="B4365">
        <f>GS16</f>
        <v>0</v>
      </c>
      <c r="C4365" t="inlineStr">
        <is>
          <t>+LS4</t>
        </is>
      </c>
      <c r="D4365" t="inlineStr">
        <is>
          <t>-215K1</t>
        </is>
      </c>
      <c r="E4365" t="inlineStr">
        <is>
          <t>DIL_EM-01-G</t>
        </is>
      </c>
      <c r="F4365" t="inlineStr">
        <is>
          <t>#KALK!</t>
        </is>
      </c>
      <c r="G4365" t="inlineStr">
        <is>
          <t>LASTSCHUETZ</t>
        </is>
      </c>
      <c r="H4365" t="inlineStr">
        <is>
          <t>4kW 1OE</t>
        </is>
      </c>
      <c r="I4365">
        <v>439</v>
      </c>
      <c r="J4365">
        <f>GS16/215.7</f>
        <v>0</v>
      </c>
      <c r="M4365" t="inlineStr">
        <is>
          <t>-215K1</t>
        </is>
      </c>
    </row>
    <row r="4366">
      <c r="A4366">
        <v>4365</v>
      </c>
      <c r="B4366">
        <f>GS24</f>
        <v>0</v>
      </c>
      <c r="C4366" t="inlineStr">
        <is>
          <t>+LS5</t>
        </is>
      </c>
      <c r="D4366" t="inlineStr">
        <is>
          <t>-215K1</t>
        </is>
      </c>
      <c r="E4366" t="inlineStr">
        <is>
          <t>22_DIL-M</t>
        </is>
      </c>
      <c r="F4366" t="inlineStr">
        <is>
          <t>22_DIL-M</t>
        </is>
      </c>
      <c r="G4366" t="inlineStr">
        <is>
          <t>HILFSKONTAKTBLOCK</t>
        </is>
      </c>
      <c r="H4366" t="inlineStr">
        <is>
          <t>2S 2OE Lastschuetz DIL M</t>
        </is>
      </c>
      <c r="I4366">
        <v>864</v>
      </c>
      <c r="J4366">
        <f>GS24/215.2</f>
        <v>0</v>
      </c>
      <c r="K4366" t="inlineStr">
        <is>
          <t>DIL0AM</t>
        </is>
      </c>
      <c r="M4366" t="inlineStr">
        <is>
          <t>-215K1</t>
        </is>
      </c>
    </row>
    <row r="4367">
      <c r="A4367">
        <v>4366</v>
      </c>
      <c r="B4367">
        <f>GS24</f>
        <v>0</v>
      </c>
      <c r="C4367" t="inlineStr">
        <is>
          <t>+LS5</t>
        </is>
      </c>
      <c r="D4367" t="inlineStr">
        <is>
          <t>-215K1</t>
        </is>
      </c>
      <c r="E4367" t="inlineStr">
        <is>
          <t>DIL_0AM</t>
        </is>
      </c>
      <c r="F4367" t="inlineStr">
        <is>
          <t>22_DIL-M</t>
        </is>
      </c>
      <c r="G4367" t="inlineStr">
        <is>
          <t>LASTSCHUETZ</t>
        </is>
      </c>
      <c r="H4367" t="inlineStr">
        <is>
          <t>11 kW</t>
        </is>
      </c>
      <c r="I4367">
        <v>864</v>
      </c>
      <c r="J4367">
        <f>GS24/215.2</f>
        <v>0</v>
      </c>
      <c r="K4367" t="inlineStr">
        <is>
          <t>DIL0AM</t>
        </is>
      </c>
      <c r="M4367" t="inlineStr">
        <is>
          <t>-215K1</t>
        </is>
      </c>
    </row>
    <row r="4368">
      <c r="A4368">
        <v>4367</v>
      </c>
      <c r="B4368">
        <f>GS37</f>
        <v>0</v>
      </c>
      <c r="C4368" t="inlineStr">
        <is>
          <t>+LS04</t>
        </is>
      </c>
      <c r="D4368" t="inlineStr">
        <is>
          <t>-215K1</t>
        </is>
      </c>
      <c r="E4368" t="inlineStr">
        <is>
          <t>DILA-31</t>
        </is>
      </c>
      <c r="F4368" t="inlineStr">
        <is>
          <t>#KALK!</t>
        </is>
      </c>
      <c r="G4368" t="inlineStr">
        <is>
          <t>HILFSSCHUETZ</t>
        </is>
      </c>
      <c r="H4368" t="inlineStr">
        <is>
          <t>3S 1Oe Federzugkl.</t>
        </is>
      </c>
      <c r="I4368">
        <v>397</v>
      </c>
      <c r="J4368">
        <f>GS37/215.5</f>
        <v>0</v>
      </c>
      <c r="M4368" t="inlineStr">
        <is>
          <t>-215K1</t>
        </is>
      </c>
    </row>
    <row r="4369">
      <c r="A4369">
        <v>4368</v>
      </c>
      <c r="B4369">
        <f>GS38</f>
        <v>0</v>
      </c>
      <c r="C4369" t="inlineStr">
        <is>
          <t>+LS04</t>
        </is>
      </c>
      <c r="D4369" t="inlineStr">
        <is>
          <t>-215K1</t>
        </is>
      </c>
      <c r="E4369" t="inlineStr">
        <is>
          <t>DILA-XHIC40</t>
        </is>
      </c>
      <c r="F4369" t="inlineStr">
        <is>
          <t>DILA-XHIC40</t>
        </is>
      </c>
      <c r="G4369" t="inlineStr">
        <is>
          <t>HILFSKONTAKTBLOCK</t>
        </is>
      </c>
      <c r="H4369" t="inlineStr">
        <is>
          <t>4S Last+Hilfssch. Cage</t>
        </is>
      </c>
      <c r="I4369">
        <v>385</v>
      </c>
      <c r="J4369">
        <f>GS38/215.5</f>
        <v>0</v>
      </c>
      <c r="M4369" t="inlineStr">
        <is>
          <t>-215K1</t>
        </is>
      </c>
    </row>
    <row r="4370">
      <c r="A4370">
        <v>4369</v>
      </c>
      <c r="B4370">
        <f>GS38</f>
        <v>0</v>
      </c>
      <c r="C4370" t="inlineStr">
        <is>
          <t>+LS04</t>
        </is>
      </c>
      <c r="D4370" t="inlineStr">
        <is>
          <t>-215K1</t>
        </is>
      </c>
      <c r="E4370" t="inlineStr">
        <is>
          <t>DILA-40</t>
        </is>
      </c>
      <c r="F4370" t="inlineStr">
        <is>
          <t>DILA-XHIC40</t>
        </is>
      </c>
      <c r="G4370" t="inlineStr">
        <is>
          <t>HILFSSCHUETZ</t>
        </is>
      </c>
      <c r="H4370" t="inlineStr">
        <is>
          <t>4S Federzugkl.</t>
        </is>
      </c>
      <c r="I4370">
        <v>385</v>
      </c>
      <c r="J4370">
        <f>GS38/215.5</f>
        <v>0</v>
      </c>
      <c r="M4370" t="inlineStr">
        <is>
          <t>-215K1</t>
        </is>
      </c>
    </row>
    <row r="4371">
      <c r="A4371">
        <v>4370</v>
      </c>
      <c r="B4371">
        <f>GS39</f>
        <v>0</v>
      </c>
      <c r="C4371" t="inlineStr">
        <is>
          <t>+LS04</t>
        </is>
      </c>
      <c r="D4371" t="inlineStr">
        <is>
          <t>-215K1</t>
        </is>
      </c>
      <c r="E4371" t="inlineStr">
        <is>
          <t>DILA-40</t>
        </is>
      </c>
      <c r="F4371" t="inlineStr">
        <is>
          <t>DILA-XHIC40</t>
        </is>
      </c>
      <c r="G4371" t="inlineStr">
        <is>
          <t>HILFSSCHUETZ</t>
        </is>
      </c>
      <c r="H4371" t="inlineStr">
        <is>
          <t>4S Federzugkl.</t>
        </is>
      </c>
      <c r="I4371">
        <v>410</v>
      </c>
      <c r="J4371">
        <f>GS39/215.5</f>
        <v>0</v>
      </c>
      <c r="M4371" t="inlineStr">
        <is>
          <t>-215K1</t>
        </is>
      </c>
    </row>
    <row r="4372">
      <c r="A4372">
        <v>4371</v>
      </c>
      <c r="B4372">
        <f>GS39</f>
        <v>0</v>
      </c>
      <c r="C4372" t="inlineStr">
        <is>
          <t>+LS04</t>
        </is>
      </c>
      <c r="D4372" t="inlineStr">
        <is>
          <t>-215K1</t>
        </is>
      </c>
      <c r="E4372" t="inlineStr">
        <is>
          <t>DILA-XHIC40</t>
        </is>
      </c>
      <c r="F4372" t="inlineStr">
        <is>
          <t>DILA-XHIC40</t>
        </is>
      </c>
      <c r="G4372" t="inlineStr">
        <is>
          <t>HILFSKONTAKTBLOCK</t>
        </is>
      </c>
      <c r="H4372" t="inlineStr">
        <is>
          <t>4S Last+Hilfssch. Cage</t>
        </is>
      </c>
      <c r="I4372">
        <v>410</v>
      </c>
      <c r="J4372">
        <f>GS39/215.5</f>
        <v>0</v>
      </c>
      <c r="M4372" t="inlineStr">
        <is>
          <t>-215K1</t>
        </is>
      </c>
    </row>
    <row r="4373">
      <c r="A4373">
        <v>4372</v>
      </c>
      <c r="B4373">
        <f>GS35</f>
        <v>0</v>
      </c>
      <c r="C4373" t="inlineStr">
        <is>
          <t>+LS04</t>
        </is>
      </c>
      <c r="D4373" t="inlineStr">
        <is>
          <t>-215K127.4</t>
        </is>
      </c>
      <c r="E4373" t="inlineStr">
        <is>
          <t>DILA-40</t>
        </is>
      </c>
      <c r="F4373" t="inlineStr">
        <is>
          <t>#KALK!</t>
        </is>
      </c>
      <c r="G4373" t="inlineStr">
        <is>
          <t>HILFSSCHUETZ</t>
        </is>
      </c>
      <c r="H4373" t="inlineStr">
        <is>
          <t>4S Federzugkl.</t>
        </is>
      </c>
      <c r="I4373">
        <v>377</v>
      </c>
      <c r="J4373">
        <f>GS35/215.7</f>
        <v>0</v>
      </c>
      <c r="M4373" t="inlineStr">
        <is>
          <t>-215K127.4</t>
        </is>
      </c>
    </row>
    <row r="4374">
      <c r="A4374">
        <v>4373</v>
      </c>
      <c r="B4374">
        <f>GS36</f>
        <v>0</v>
      </c>
      <c r="C4374" t="inlineStr">
        <is>
          <t>+LS04</t>
        </is>
      </c>
      <c r="D4374" t="inlineStr">
        <is>
          <t>-228Q150.4</t>
        </is>
      </c>
      <c r="E4374" t="inlineStr">
        <is>
          <t>DILM-9-10</t>
        </is>
      </c>
      <c r="F4374" t="inlineStr">
        <is>
          <t>#KALK!</t>
        </is>
      </c>
      <c r="G4374" t="inlineStr">
        <is>
          <t>LASTSCHUETZ</t>
        </is>
      </c>
      <c r="H4374" t="inlineStr">
        <is>
          <t>4kW 1S Federzugkl.</t>
        </is>
      </c>
      <c r="I4374">
        <v>401</v>
      </c>
      <c r="J4374">
        <f>GS36/228.6</f>
        <v>0</v>
      </c>
      <c r="L4374" t="inlineStr">
        <is>
          <t>KF_2503</t>
        </is>
      </c>
      <c r="M4374" t="inlineStr">
        <is>
          <t>KF_2503
-228Q150.4</t>
        </is>
      </c>
      <c r="N4374" t="inlineStr">
        <is>
          <t>P</t>
        </is>
      </c>
    </row>
    <row r="4375">
      <c r="A4375">
        <v>4374</v>
      </c>
      <c r="B4375">
        <f>GS92</f>
        <v>0</v>
      </c>
      <c r="C4375" t="inlineStr">
        <is>
          <t>+LS03</t>
        </is>
      </c>
      <c r="D4375" t="inlineStr">
        <is>
          <t>-215K170.0</t>
        </is>
      </c>
      <c r="E4375" t="inlineStr">
        <is>
          <t>DILA-40</t>
        </is>
      </c>
      <c r="F4375" t="inlineStr">
        <is>
          <t>#KALK!</t>
        </is>
      </c>
      <c r="G4375" t="inlineStr">
        <is>
          <t>HILFSSCHUETZ</t>
        </is>
      </c>
      <c r="H4375" t="inlineStr">
        <is>
          <t>4S Federzugkl.</t>
        </is>
      </c>
      <c r="I4375">
        <v>362</v>
      </c>
      <c r="J4375">
        <f>GS92/215.7</f>
        <v>0</v>
      </c>
      <c r="M4375" t="inlineStr">
        <is>
          <t>-215K170.0</t>
        </is>
      </c>
    </row>
    <row r="4376">
      <c r="A4376">
        <v>4375</v>
      </c>
      <c r="B4376">
        <f>GS93</f>
        <v>0</v>
      </c>
      <c r="C4376" t="inlineStr">
        <is>
          <t>+LS03</t>
        </is>
      </c>
      <c r="D4376" t="inlineStr">
        <is>
          <t>-215K170.0</t>
        </is>
      </c>
      <c r="E4376" t="inlineStr">
        <is>
          <t>DILA-40</t>
        </is>
      </c>
      <c r="F4376" t="inlineStr">
        <is>
          <t>#KALK!</t>
        </is>
      </c>
      <c r="G4376" t="inlineStr">
        <is>
          <t>HILFSSCHUETZ</t>
        </is>
      </c>
      <c r="H4376" t="inlineStr">
        <is>
          <t>4S Federzugkl.</t>
        </is>
      </c>
      <c r="I4376">
        <v>769</v>
      </c>
      <c r="J4376">
        <f>GS93/215.7</f>
        <v>0</v>
      </c>
      <c r="M4376" t="inlineStr">
        <is>
          <t>-215K170.0</t>
        </is>
      </c>
    </row>
    <row r="4377">
      <c r="A4377">
        <v>4376</v>
      </c>
      <c r="B4377">
        <f>GS94</f>
        <v>0</v>
      </c>
      <c r="C4377" t="inlineStr">
        <is>
          <t>+LS16</t>
        </is>
      </c>
      <c r="D4377" t="inlineStr">
        <is>
          <t>-215K183.7</t>
        </is>
      </c>
      <c r="E4377" t="inlineStr">
        <is>
          <t>DILA-40</t>
        </is>
      </c>
      <c r="F4377" t="inlineStr">
        <is>
          <t>#KALK!</t>
        </is>
      </c>
      <c r="G4377" t="inlineStr">
        <is>
          <t>HILFSSCHUETZ</t>
        </is>
      </c>
      <c r="H4377" t="inlineStr">
        <is>
          <t>4S Federzugkl.</t>
        </is>
      </c>
      <c r="I4377">
        <v>305</v>
      </c>
      <c r="J4377">
        <f>GS94/215.7</f>
        <v>0</v>
      </c>
      <c r="M4377" t="inlineStr">
        <is>
          <t>-215K183.7</t>
        </is>
      </c>
    </row>
    <row r="4378">
      <c r="A4378">
        <v>4377</v>
      </c>
      <c r="B4378">
        <f>GS95</f>
        <v>0</v>
      </c>
      <c r="C4378" t="inlineStr">
        <is>
          <t>+LS16</t>
        </is>
      </c>
      <c r="D4378" t="inlineStr">
        <is>
          <t>-215K183.7</t>
        </is>
      </c>
      <c r="E4378" t="inlineStr">
        <is>
          <t>DILA-40</t>
        </is>
      </c>
      <c r="F4378" t="inlineStr">
        <is>
          <t>#KALK!</t>
        </is>
      </c>
      <c r="G4378" t="inlineStr">
        <is>
          <t>HILFSSCHUETZ</t>
        </is>
      </c>
      <c r="H4378" t="inlineStr">
        <is>
          <t>4S Federzugkl.</t>
        </is>
      </c>
      <c r="I4378">
        <v>305</v>
      </c>
      <c r="J4378">
        <f>GS95/215.7</f>
        <v>0</v>
      </c>
      <c r="M4378" t="inlineStr">
        <is>
          <t>-215K183.7</t>
        </is>
      </c>
    </row>
    <row r="4379">
      <c r="A4379">
        <v>4378</v>
      </c>
      <c r="B4379">
        <f>GS96</f>
        <v>0</v>
      </c>
      <c r="C4379" t="inlineStr">
        <is>
          <t>+LS16</t>
        </is>
      </c>
      <c r="D4379" t="inlineStr">
        <is>
          <t>-215K183.7</t>
        </is>
      </c>
      <c r="E4379" t="inlineStr">
        <is>
          <t>DILA-40</t>
        </is>
      </c>
      <c r="F4379" t="inlineStr">
        <is>
          <t>#KALK!</t>
        </is>
      </c>
      <c r="G4379" t="inlineStr">
        <is>
          <t>HILFSSCHUETZ</t>
        </is>
      </c>
      <c r="H4379" t="inlineStr">
        <is>
          <t>4S Federzugkl.</t>
        </is>
      </c>
      <c r="I4379">
        <v>305</v>
      </c>
      <c r="J4379">
        <f>GS96/215.7</f>
        <v>0</v>
      </c>
      <c r="M4379" t="inlineStr">
        <is>
          <t>-215K183.7</t>
        </is>
      </c>
    </row>
    <row r="4380">
      <c r="A4380">
        <v>4379</v>
      </c>
      <c r="B4380">
        <f>GS97</f>
        <v>0</v>
      </c>
      <c r="C4380" t="inlineStr">
        <is>
          <t>+LS16</t>
        </is>
      </c>
      <c r="D4380" t="inlineStr">
        <is>
          <t>-215K183.7</t>
        </is>
      </c>
      <c r="E4380" t="inlineStr">
        <is>
          <t>DILA-40</t>
        </is>
      </c>
      <c r="F4380" t="inlineStr">
        <is>
          <t>#KALK!</t>
        </is>
      </c>
      <c r="G4380" t="inlineStr">
        <is>
          <t>HILFSSCHUETZ</t>
        </is>
      </c>
      <c r="H4380" t="inlineStr">
        <is>
          <t>4S Federzugkl.</t>
        </is>
      </c>
      <c r="I4380">
        <v>305</v>
      </c>
      <c r="J4380">
        <f>GS97/215.7</f>
        <v>0</v>
      </c>
      <c r="M4380" t="inlineStr">
        <is>
          <t>-215K183.7</t>
        </is>
      </c>
    </row>
    <row r="4381">
      <c r="A4381">
        <v>4380</v>
      </c>
      <c r="B4381">
        <f>GS16</f>
        <v>0</v>
      </c>
      <c r="C4381" t="inlineStr">
        <is>
          <t>+LS4</t>
        </is>
      </c>
      <c r="D4381" t="inlineStr">
        <is>
          <t>-215K2</t>
        </is>
      </c>
      <c r="E4381" t="inlineStr">
        <is>
          <t>DIL_EM-01-G</t>
        </is>
      </c>
      <c r="F4381" t="inlineStr">
        <is>
          <t>#KALK!</t>
        </is>
      </c>
      <c r="G4381" t="inlineStr">
        <is>
          <t>LASTSCHUETZ</t>
        </is>
      </c>
      <c r="H4381" t="inlineStr">
        <is>
          <t>4kW 1OE</t>
        </is>
      </c>
      <c r="I4381">
        <v>439</v>
      </c>
      <c r="J4381">
        <f>GS16/215.7</f>
        <v>0</v>
      </c>
      <c r="M4381" t="inlineStr">
        <is>
          <t>-215K2</t>
        </is>
      </c>
    </row>
    <row r="4382">
      <c r="A4382">
        <v>4381</v>
      </c>
      <c r="B4382">
        <f>GS34</f>
        <v>0</v>
      </c>
      <c r="C4382" t="inlineStr">
        <is>
          <t>+LS4</t>
        </is>
      </c>
      <c r="D4382" t="inlineStr">
        <is>
          <t>-215K31.0</t>
        </is>
      </c>
      <c r="E4382" t="inlineStr">
        <is>
          <t>DIL_EM-10-G</t>
        </is>
      </c>
      <c r="F4382" t="inlineStr">
        <is>
          <t>#KALK!</t>
        </is>
      </c>
      <c r="G4382" t="inlineStr">
        <is>
          <t>LASTSCHUETZ</t>
        </is>
      </c>
      <c r="H4382" t="inlineStr">
        <is>
          <t>4kW 1S</t>
        </is>
      </c>
      <c r="I4382">
        <v>339</v>
      </c>
      <c r="J4382">
        <f>GS34/215.6</f>
        <v>0</v>
      </c>
      <c r="M4382" t="inlineStr">
        <is>
          <t>-215K31.0</t>
        </is>
      </c>
    </row>
    <row r="4383">
      <c r="A4383">
        <v>4382</v>
      </c>
      <c r="B4383">
        <f>GS38</f>
        <v>0</v>
      </c>
      <c r="C4383" t="inlineStr">
        <is>
          <t>+LS04</t>
        </is>
      </c>
      <c r="D4383" t="inlineStr">
        <is>
          <t>-215K403.4</t>
        </is>
      </c>
      <c r="E4383" t="inlineStr">
        <is>
          <t>DILA-40</t>
        </is>
      </c>
      <c r="F4383" t="inlineStr">
        <is>
          <t>#KALK!</t>
        </is>
      </c>
      <c r="G4383" t="inlineStr">
        <is>
          <t>HILFSSCHUETZ</t>
        </is>
      </c>
      <c r="H4383" t="inlineStr">
        <is>
          <t>4S Federzugkl.</t>
        </is>
      </c>
      <c r="I4383">
        <v>385</v>
      </c>
      <c r="J4383">
        <f>GS38/215.7</f>
        <v>0</v>
      </c>
      <c r="M4383" t="inlineStr">
        <is>
          <t>-215K403.4</t>
        </is>
      </c>
    </row>
    <row r="4384">
      <c r="A4384">
        <v>4383</v>
      </c>
      <c r="B4384">
        <f>GS39</f>
        <v>0</v>
      </c>
      <c r="C4384" t="inlineStr">
        <is>
          <t>+LS04</t>
        </is>
      </c>
      <c r="D4384" t="inlineStr">
        <is>
          <t>-215K403.4</t>
        </is>
      </c>
      <c r="E4384" t="inlineStr">
        <is>
          <t>DILA-40</t>
        </is>
      </c>
      <c r="F4384" t="inlineStr">
        <is>
          <t>#KALK!</t>
        </is>
      </c>
      <c r="G4384" t="inlineStr">
        <is>
          <t>HILFSSCHUETZ</t>
        </is>
      </c>
      <c r="H4384" t="inlineStr">
        <is>
          <t>4S Federzugkl.</t>
        </is>
      </c>
      <c r="I4384">
        <v>410</v>
      </c>
      <c r="J4384">
        <f>GS39/215.7</f>
        <v>0</v>
      </c>
      <c r="M4384" t="inlineStr">
        <is>
          <t>-215K403.4</t>
        </is>
      </c>
    </row>
    <row r="4385">
      <c r="A4385">
        <v>4384</v>
      </c>
      <c r="B4385">
        <f>GS37</f>
        <v>0</v>
      </c>
      <c r="C4385" t="inlineStr">
        <is>
          <t>+LS04</t>
        </is>
      </c>
      <c r="D4385" t="inlineStr">
        <is>
          <t>-215K434.4</t>
        </is>
      </c>
      <c r="E4385" t="inlineStr">
        <is>
          <t>DILA-40</t>
        </is>
      </c>
      <c r="F4385" t="inlineStr">
        <is>
          <t>#KALK!</t>
        </is>
      </c>
      <c r="G4385" t="inlineStr">
        <is>
          <t>HILFSSCHUETZ</t>
        </is>
      </c>
      <c r="H4385" t="inlineStr">
        <is>
          <t>4S Federzugkl.</t>
        </is>
      </c>
      <c r="I4385">
        <v>397</v>
      </c>
      <c r="J4385">
        <f>GS37/215.7</f>
        <v>0</v>
      </c>
      <c r="M4385" t="inlineStr">
        <is>
          <t>-215K434.4</t>
        </is>
      </c>
    </row>
    <row r="4386">
      <c r="A4386">
        <v>4385</v>
      </c>
      <c r="B4386">
        <f>GS04</f>
        <v>0</v>
      </c>
      <c r="C4386" t="inlineStr">
        <is>
          <t>+LS4</t>
        </is>
      </c>
      <c r="D4386" t="inlineStr">
        <is>
          <t>-215K45.4</t>
        </is>
      </c>
      <c r="E4386" t="inlineStr">
        <is>
          <t>DIL_EM-10-G</t>
        </is>
      </c>
      <c r="F4386" t="inlineStr">
        <is>
          <t>#KALK!</t>
        </is>
      </c>
      <c r="G4386" t="inlineStr">
        <is>
          <t>LASTSCHUETZ</t>
        </is>
      </c>
      <c r="H4386" t="inlineStr">
        <is>
          <t>4kW 1S</t>
        </is>
      </c>
      <c r="I4386">
        <v>465</v>
      </c>
      <c r="J4386">
        <f>GS04/215.7</f>
        <v>0</v>
      </c>
      <c r="M4386" t="inlineStr">
        <is>
          <t>-215K45.4</t>
        </is>
      </c>
    </row>
    <row r="4387">
      <c r="A4387">
        <v>4386</v>
      </c>
      <c r="B4387">
        <f>GS11</f>
        <v>0</v>
      </c>
      <c r="C4387" t="inlineStr">
        <is>
          <t>+LS5</t>
        </is>
      </c>
      <c r="D4387" t="inlineStr">
        <is>
          <t>-215K51.3</t>
        </is>
      </c>
      <c r="E4387" t="inlineStr">
        <is>
          <t>DIL_EM-10-G</t>
        </is>
      </c>
      <c r="F4387" t="inlineStr">
        <is>
          <t>#KALK!</t>
        </is>
      </c>
      <c r="G4387" t="inlineStr">
        <is>
          <t>LASTSCHUETZ</t>
        </is>
      </c>
      <c r="H4387" t="inlineStr">
        <is>
          <t>4kW 1S</t>
        </is>
      </c>
      <c r="I4387">
        <v>326</v>
      </c>
      <c r="J4387">
        <f>GS11/215.7</f>
        <v>0</v>
      </c>
      <c r="M4387" t="inlineStr">
        <is>
          <t>-215K51.3</t>
        </is>
      </c>
    </row>
    <row r="4388">
      <c r="A4388">
        <v>4387</v>
      </c>
      <c r="B4388">
        <f>GS21</f>
        <v>0</v>
      </c>
      <c r="C4388" t="inlineStr">
        <is>
          <t>+LS5</t>
        </is>
      </c>
      <c r="D4388" t="inlineStr">
        <is>
          <t>-215K51.3</t>
        </is>
      </c>
      <c r="E4388" t="inlineStr">
        <is>
          <t>DIL_EM-10-G</t>
        </is>
      </c>
      <c r="F4388" t="inlineStr">
        <is>
          <t>#KALK!</t>
        </is>
      </c>
      <c r="G4388" t="inlineStr">
        <is>
          <t>LASTSCHUETZ</t>
        </is>
      </c>
      <c r="H4388" t="inlineStr">
        <is>
          <t>4kW 1S</t>
        </is>
      </c>
      <c r="I4388">
        <v>300</v>
      </c>
      <c r="J4388">
        <f>GS21/215.7</f>
        <v>0</v>
      </c>
      <c r="M4388" t="inlineStr">
        <is>
          <t>-215K51.3</t>
        </is>
      </c>
    </row>
    <row r="4389">
      <c r="A4389">
        <v>4388</v>
      </c>
      <c r="B4389">
        <f>GC03</f>
        <v>0</v>
      </c>
      <c r="C4389" t="inlineStr">
        <is>
          <t>+LS4</t>
        </is>
      </c>
      <c r="D4389" t="inlineStr">
        <is>
          <t>-215K68.6</t>
        </is>
      </c>
      <c r="E4389" t="inlineStr">
        <is>
          <t>DIL_EM-10-G</t>
        </is>
      </c>
      <c r="F4389" t="inlineStr">
        <is>
          <t>#KALK!</t>
        </is>
      </c>
      <c r="G4389" t="inlineStr">
        <is>
          <t>LASTSCHUETZ</t>
        </is>
      </c>
      <c r="H4389" t="inlineStr">
        <is>
          <t>4kW 1S</t>
        </is>
      </c>
      <c r="I4389">
        <v>697</v>
      </c>
      <c r="J4389">
        <f>GC03/215.6</f>
        <v>0</v>
      </c>
      <c r="M4389" t="inlineStr">
        <is>
          <t>-215K68.6</t>
        </is>
      </c>
    </row>
    <row r="4390">
      <c r="A4390">
        <v>4389</v>
      </c>
      <c r="B4390">
        <f>GC03</f>
        <v>0</v>
      </c>
      <c r="C4390" t="inlineStr">
        <is>
          <t>+LS4</t>
        </is>
      </c>
      <c r="D4390" t="inlineStr">
        <is>
          <t>-215K68.7</t>
        </is>
      </c>
      <c r="E4390" t="inlineStr">
        <is>
          <t>DIL_EM-10-G</t>
        </is>
      </c>
      <c r="F4390" t="inlineStr">
        <is>
          <t>#KALK!</t>
        </is>
      </c>
      <c r="G4390" t="inlineStr">
        <is>
          <t>LASTSCHUETZ</t>
        </is>
      </c>
      <c r="H4390" t="inlineStr">
        <is>
          <t>4kW 1S</t>
        </is>
      </c>
      <c r="I4390">
        <v>697</v>
      </c>
      <c r="J4390">
        <f>GC03/215.6</f>
        <v>0</v>
      </c>
      <c r="M4390" t="inlineStr">
        <is>
          <t>-215K68.7</t>
        </is>
      </c>
    </row>
    <row r="4391">
      <c r="A4391">
        <v>4390</v>
      </c>
      <c r="B4391">
        <f>GS23</f>
        <v>0</v>
      </c>
      <c r="C4391" t="inlineStr">
        <is>
          <t>+LS4</t>
        </is>
      </c>
      <c r="D4391" t="inlineStr">
        <is>
          <t>-215K69.6</t>
        </is>
      </c>
      <c r="E4391" t="inlineStr">
        <is>
          <t>DIL_EM-10-G</t>
        </is>
      </c>
      <c r="F4391" t="inlineStr">
        <is>
          <t>#KALK!</t>
        </is>
      </c>
      <c r="G4391" t="inlineStr">
        <is>
          <t>LASTSCHUETZ</t>
        </is>
      </c>
      <c r="H4391" t="inlineStr">
        <is>
          <t>4kW 1S</t>
        </is>
      </c>
      <c r="I4391">
        <v>516</v>
      </c>
      <c r="J4391">
        <f>GS23/215.6</f>
        <v>0</v>
      </c>
      <c r="M4391" t="inlineStr">
        <is>
          <t>-215K69.6</t>
        </is>
      </c>
    </row>
    <row r="4392">
      <c r="A4392">
        <v>4391</v>
      </c>
      <c r="B4392">
        <f>GS08</f>
        <v>0</v>
      </c>
      <c r="C4392" t="inlineStr">
        <is>
          <t>+LS03</t>
        </is>
      </c>
      <c r="D4392" t="inlineStr">
        <is>
          <t>-215Q1</t>
        </is>
      </c>
      <c r="E4392" t="inlineStr">
        <is>
          <t>DILA-XHI22</t>
        </is>
      </c>
      <c r="F4392" t="inlineStr">
        <is>
          <t>DILA-XHI22</t>
        </is>
      </c>
      <c r="G4392" t="inlineStr">
        <is>
          <t>HILFSKONTAKTBLOCK</t>
        </is>
      </c>
      <c r="H4392" t="inlineStr">
        <is>
          <t>2S 2OE Last+Hilfssch. Cage</t>
        </is>
      </c>
      <c r="I4392">
        <v>2046</v>
      </c>
      <c r="J4392">
        <f>GS08/215.6</f>
        <v>0</v>
      </c>
      <c r="K4392" t="inlineStr">
        <is>
          <t>DIL MC25</t>
        </is>
      </c>
      <c r="M4392" t="inlineStr">
        <is>
          <t>-215Q1</t>
        </is>
      </c>
    </row>
    <row r="4393">
      <c r="A4393">
        <v>4392</v>
      </c>
      <c r="B4393">
        <f>GS08</f>
        <v>0</v>
      </c>
      <c r="C4393" t="inlineStr">
        <is>
          <t>+LS03</t>
        </is>
      </c>
      <c r="D4393" t="inlineStr">
        <is>
          <t>-215Q1</t>
        </is>
      </c>
      <c r="E4393" t="inlineStr">
        <is>
          <t>DILMC25-10(RDC24)</t>
        </is>
      </c>
      <c r="F4393" t="inlineStr">
        <is>
          <t>DILA-XHI22</t>
        </is>
      </c>
      <c r="G4393" t="inlineStr">
        <is>
          <t>LASTSCHUETZ</t>
        </is>
      </c>
      <c r="H4393" t="inlineStr">
        <is>
          <t>11kW 1S Federzugkl.</t>
        </is>
      </c>
      <c r="I4393">
        <v>2046</v>
      </c>
      <c r="J4393">
        <f>GS08/215.6</f>
        <v>0</v>
      </c>
      <c r="K4393" t="inlineStr">
        <is>
          <t>DIL MC25</t>
        </is>
      </c>
      <c r="M4393" t="inlineStr">
        <is>
          <t>-215Q1</t>
        </is>
      </c>
    </row>
    <row r="4394">
      <c r="A4394">
        <v>4393</v>
      </c>
      <c r="B4394">
        <f>GS35</f>
        <v>0</v>
      </c>
      <c r="C4394" t="inlineStr">
        <is>
          <t>+LS04</t>
        </is>
      </c>
      <c r="D4394" t="inlineStr">
        <is>
          <t>-215Q1</t>
        </is>
      </c>
      <c r="E4394" t="inlineStr">
        <is>
          <t>DILA-XHI22</t>
        </is>
      </c>
      <c r="F4394" t="inlineStr">
        <is>
          <t>DILA-XHI22</t>
        </is>
      </c>
      <c r="G4394" t="inlineStr">
        <is>
          <t>HILFSKONTAKTBLOCK</t>
        </is>
      </c>
      <c r="H4394" t="inlineStr">
        <is>
          <t>2S 2OE Last+Hilfssch. Cage</t>
        </is>
      </c>
      <c r="I4394">
        <v>377</v>
      </c>
      <c r="J4394">
        <f>GS35/215.4</f>
        <v>0</v>
      </c>
      <c r="K4394" t="inlineStr">
        <is>
          <t>DIL MC25</t>
        </is>
      </c>
      <c r="M4394" t="inlineStr">
        <is>
          <t>-215Q1</t>
        </is>
      </c>
    </row>
    <row r="4395">
      <c r="A4395">
        <v>4394</v>
      </c>
      <c r="B4395">
        <f>GS35</f>
        <v>0</v>
      </c>
      <c r="C4395" t="inlineStr">
        <is>
          <t>+LS04</t>
        </is>
      </c>
      <c r="D4395" t="inlineStr">
        <is>
          <t>-215Q1</t>
        </is>
      </c>
      <c r="E4395" t="inlineStr">
        <is>
          <t>DILM-25-10</t>
        </is>
      </c>
      <c r="F4395" t="inlineStr">
        <is>
          <t>DILA-XHI22</t>
        </is>
      </c>
      <c r="G4395" t="inlineStr">
        <is>
          <t>LASTSCHUETZ</t>
        </is>
      </c>
      <c r="H4395" t="inlineStr">
        <is>
          <t>11kW 1S Federzugkl.</t>
        </is>
      </c>
      <c r="I4395">
        <v>377</v>
      </c>
      <c r="J4395">
        <f>GS35/215.4</f>
        <v>0</v>
      </c>
      <c r="K4395" t="inlineStr">
        <is>
          <t>DIL MC25</t>
        </is>
      </c>
      <c r="M4395" t="inlineStr">
        <is>
          <t>-215Q1</t>
        </is>
      </c>
    </row>
    <row r="4396">
      <c r="A4396">
        <v>4395</v>
      </c>
      <c r="B4396">
        <f>GS36</f>
        <v>0</v>
      </c>
      <c r="C4396" t="inlineStr">
        <is>
          <t>+LS04</t>
        </is>
      </c>
      <c r="D4396" t="inlineStr">
        <is>
          <t>-215Q1</t>
        </is>
      </c>
      <c r="E4396" t="inlineStr">
        <is>
          <t>DILA-XHI22</t>
        </is>
      </c>
      <c r="F4396" t="inlineStr">
        <is>
          <t>DILA-XHI22</t>
        </is>
      </c>
      <c r="G4396" t="inlineStr">
        <is>
          <t>HILFSKONTAKTBLOCK</t>
        </is>
      </c>
      <c r="H4396" t="inlineStr">
        <is>
          <t>2S 2OE Last+Hilfssch. Cage</t>
        </is>
      </c>
      <c r="I4396">
        <v>388</v>
      </c>
      <c r="J4396">
        <f>GS36/215.4</f>
        <v>0</v>
      </c>
      <c r="K4396" t="inlineStr">
        <is>
          <t>DIL MC25</t>
        </is>
      </c>
      <c r="L4396" t="inlineStr">
        <is>
          <t>HVO 24</t>
        </is>
      </c>
      <c r="M4396" t="inlineStr">
        <is>
          <t>HVO 24
-215Q1</t>
        </is>
      </c>
      <c r="N4396" t="inlineStr">
        <is>
          <t>P</t>
        </is>
      </c>
    </row>
    <row r="4397">
      <c r="A4397">
        <v>4396</v>
      </c>
      <c r="B4397">
        <f>GS36</f>
        <v>0</v>
      </c>
      <c r="C4397" t="inlineStr">
        <is>
          <t>+LS04</t>
        </is>
      </c>
      <c r="D4397" t="inlineStr">
        <is>
          <t>-215Q1</t>
        </is>
      </c>
      <c r="E4397" t="inlineStr">
        <is>
          <t>DILMC25-10(RDC24)</t>
        </is>
      </c>
      <c r="F4397" t="inlineStr">
        <is>
          <t>DILA-XHI22</t>
        </is>
      </c>
      <c r="G4397" t="inlineStr">
        <is>
          <t>LASTSCHUETZ</t>
        </is>
      </c>
      <c r="H4397" t="inlineStr">
        <is>
          <t>11kW 1S Federzugkl.</t>
        </is>
      </c>
      <c r="I4397">
        <v>388</v>
      </c>
      <c r="J4397">
        <f>GS36/215.4</f>
        <v>0</v>
      </c>
      <c r="K4397" t="inlineStr">
        <is>
          <t>DIL MC25</t>
        </is>
      </c>
      <c r="L4397" t="inlineStr">
        <is>
          <t>HVO 24</t>
        </is>
      </c>
      <c r="M4397" t="inlineStr">
        <is>
          <t>HVO 24
-215Q1</t>
        </is>
      </c>
      <c r="N4397" t="inlineStr">
        <is>
          <t>P</t>
        </is>
      </c>
    </row>
    <row r="4398">
      <c r="A4398">
        <v>4397</v>
      </c>
      <c r="B4398">
        <f>GS37</f>
        <v>0</v>
      </c>
      <c r="C4398" t="inlineStr">
        <is>
          <t>+LS04</t>
        </is>
      </c>
      <c r="D4398" t="inlineStr">
        <is>
          <t>-215Q1</t>
        </is>
      </c>
      <c r="E4398" t="inlineStr">
        <is>
          <t>DILMC25-10(RDC24)</t>
        </is>
      </c>
      <c r="F4398" t="inlineStr">
        <is>
          <t>DILA-XHI22</t>
        </is>
      </c>
      <c r="G4398" t="inlineStr">
        <is>
          <t>LASTSCHUETZ</t>
        </is>
      </c>
      <c r="H4398" t="inlineStr">
        <is>
          <t>11kW 1S Federzugkl.</t>
        </is>
      </c>
      <c r="I4398">
        <v>397</v>
      </c>
      <c r="J4398">
        <f>GS37/215.3</f>
        <v>0</v>
      </c>
      <c r="K4398" t="inlineStr">
        <is>
          <t>DIL MC25</t>
        </is>
      </c>
      <c r="M4398" t="inlineStr">
        <is>
          <t>-215Q1</t>
        </is>
      </c>
    </row>
    <row r="4399">
      <c r="A4399">
        <v>4398</v>
      </c>
      <c r="B4399">
        <f>GS37</f>
        <v>0</v>
      </c>
      <c r="C4399" t="inlineStr">
        <is>
          <t>+LS04</t>
        </is>
      </c>
      <c r="D4399" t="inlineStr">
        <is>
          <t>-215Q1</t>
        </is>
      </c>
      <c r="E4399" t="inlineStr">
        <is>
          <t>DILA-XHI22</t>
        </is>
      </c>
      <c r="F4399" t="inlineStr">
        <is>
          <t>DILA-XHI22</t>
        </is>
      </c>
      <c r="G4399" t="inlineStr">
        <is>
          <t>HILFSKONTAKTBLOCK</t>
        </is>
      </c>
      <c r="H4399" t="inlineStr">
        <is>
          <t>2S 2OE Last+Hilfssch. Cage</t>
        </is>
      </c>
      <c r="I4399">
        <v>397</v>
      </c>
      <c r="J4399">
        <f>GS37/215.3</f>
        <v>0</v>
      </c>
      <c r="K4399" t="inlineStr">
        <is>
          <t>DIL MC25</t>
        </is>
      </c>
      <c r="M4399" t="inlineStr">
        <is>
          <t>-215Q1</t>
        </is>
      </c>
    </row>
    <row r="4400">
      <c r="A4400">
        <v>4399</v>
      </c>
      <c r="B4400">
        <f>GS38</f>
        <v>0</v>
      </c>
      <c r="C4400" t="inlineStr">
        <is>
          <t>+LS04</t>
        </is>
      </c>
      <c r="D4400" t="inlineStr">
        <is>
          <t>-215Q1</t>
        </is>
      </c>
      <c r="E4400" t="inlineStr">
        <is>
          <t>DILA-XHI22</t>
        </is>
      </c>
      <c r="F4400" t="inlineStr">
        <is>
          <t>DILA-XHI22</t>
        </is>
      </c>
      <c r="G4400" t="inlineStr">
        <is>
          <t>HILFSKONTAKTBLOCK</t>
        </is>
      </c>
      <c r="H4400" t="inlineStr">
        <is>
          <t>2S 2OE Last+Hilfssch. Cage</t>
        </is>
      </c>
      <c r="I4400">
        <v>385</v>
      </c>
      <c r="J4400">
        <f>GS38/215.3</f>
        <v>0</v>
      </c>
      <c r="K4400" t="inlineStr">
        <is>
          <t>DIL MC25</t>
        </is>
      </c>
      <c r="M4400" t="inlineStr">
        <is>
          <t>-215Q1</t>
        </is>
      </c>
    </row>
    <row r="4401">
      <c r="A4401">
        <v>4400</v>
      </c>
      <c r="B4401">
        <f>GS38</f>
        <v>0</v>
      </c>
      <c r="C4401" t="inlineStr">
        <is>
          <t>+LS04</t>
        </is>
      </c>
      <c r="D4401" t="inlineStr">
        <is>
          <t>-215Q1</t>
        </is>
      </c>
      <c r="E4401" t="inlineStr">
        <is>
          <t>DILMC25-10(RDC24)</t>
        </is>
      </c>
      <c r="F4401" t="inlineStr">
        <is>
          <t>DILA-XHI22</t>
        </is>
      </c>
      <c r="G4401" t="inlineStr">
        <is>
          <t>LASTSCHUETZ</t>
        </is>
      </c>
      <c r="H4401" t="inlineStr">
        <is>
          <t>11kW 1S Federzugkl.</t>
        </is>
      </c>
      <c r="I4401">
        <v>385</v>
      </c>
      <c r="J4401">
        <f>GS38/215.3</f>
        <v>0</v>
      </c>
      <c r="K4401" t="inlineStr">
        <is>
          <t>DIL MC25</t>
        </is>
      </c>
      <c r="M4401" t="inlineStr">
        <is>
          <t>-215Q1</t>
        </is>
      </c>
    </row>
    <row r="4402">
      <c r="A4402">
        <v>4401</v>
      </c>
      <c r="B4402">
        <f>GS39</f>
        <v>0</v>
      </c>
      <c r="C4402" t="inlineStr">
        <is>
          <t>+LS04</t>
        </is>
      </c>
      <c r="D4402" t="inlineStr">
        <is>
          <t>-215Q1</t>
        </is>
      </c>
      <c r="E4402" t="inlineStr">
        <is>
          <t>DILMC25-10(RDC24)</t>
        </is>
      </c>
      <c r="F4402" t="inlineStr">
        <is>
          <t>DILA-XHI22</t>
        </is>
      </c>
      <c r="G4402" t="inlineStr">
        <is>
          <t>LASTSCHUETZ</t>
        </is>
      </c>
      <c r="H4402" t="inlineStr">
        <is>
          <t>11kW 1S Federzugkl.</t>
        </is>
      </c>
      <c r="I4402">
        <v>410</v>
      </c>
      <c r="J4402">
        <f>GS39/215.3</f>
        <v>0</v>
      </c>
      <c r="K4402" t="inlineStr">
        <is>
          <t>DIL MC25</t>
        </is>
      </c>
      <c r="M4402" t="inlineStr">
        <is>
          <t>-215Q1</t>
        </is>
      </c>
    </row>
    <row r="4403">
      <c r="A4403">
        <v>4402</v>
      </c>
      <c r="B4403">
        <f>GS39</f>
        <v>0</v>
      </c>
      <c r="C4403" t="inlineStr">
        <is>
          <t>+LS04</t>
        </is>
      </c>
      <c r="D4403" t="inlineStr">
        <is>
          <t>-215Q1</t>
        </is>
      </c>
      <c r="E4403" t="inlineStr">
        <is>
          <t>DILA-XHI22</t>
        </is>
      </c>
      <c r="F4403" t="inlineStr">
        <is>
          <t>DILA-XHI22</t>
        </is>
      </c>
      <c r="G4403" t="inlineStr">
        <is>
          <t>HILFSKONTAKTBLOCK</t>
        </is>
      </c>
      <c r="H4403" t="inlineStr">
        <is>
          <t>2S 2OE Last+Hilfssch. Cage</t>
        </is>
      </c>
      <c r="I4403">
        <v>410</v>
      </c>
      <c r="J4403">
        <f>GS39/215.3</f>
        <v>0</v>
      </c>
      <c r="K4403" t="inlineStr">
        <is>
          <t>DIL MC25</t>
        </is>
      </c>
      <c r="M4403" t="inlineStr">
        <is>
          <t>-215Q1</t>
        </is>
      </c>
    </row>
    <row r="4404">
      <c r="A4404">
        <v>4403</v>
      </c>
      <c r="B4404">
        <f>GS52</f>
        <v>0</v>
      </c>
      <c r="C4404" t="inlineStr">
        <is>
          <t>+LS03</t>
        </is>
      </c>
      <c r="D4404" t="inlineStr">
        <is>
          <t>-215Q1</t>
        </is>
      </c>
      <c r="E4404" t="inlineStr">
        <is>
          <t>DILA-XHI22</t>
        </is>
      </c>
      <c r="F4404" t="inlineStr">
        <is>
          <t>DILA-XHI22</t>
        </is>
      </c>
      <c r="G4404" t="inlineStr">
        <is>
          <t>HILFSKONTAKTBLOCK</t>
        </is>
      </c>
      <c r="H4404" t="inlineStr">
        <is>
          <t>2S 2OE Last+Hilfssch. Cage</t>
        </is>
      </c>
      <c r="I4404">
        <v>1680</v>
      </c>
      <c r="J4404">
        <f>GS52/215.6</f>
        <v>0</v>
      </c>
      <c r="K4404" t="inlineStr">
        <is>
          <t>DIL MC25</t>
        </is>
      </c>
      <c r="M4404" t="inlineStr">
        <is>
          <t>-215Q1</t>
        </is>
      </c>
    </row>
    <row r="4405">
      <c r="A4405">
        <v>4404</v>
      </c>
      <c r="B4405">
        <f>GS52</f>
        <v>0</v>
      </c>
      <c r="C4405" t="inlineStr">
        <is>
          <t>+LS03</t>
        </is>
      </c>
      <c r="D4405" t="inlineStr">
        <is>
          <t>-215Q1</t>
        </is>
      </c>
      <c r="E4405" t="inlineStr">
        <is>
          <t>DILMC25-10(RDC24)</t>
        </is>
      </c>
      <c r="F4405" t="inlineStr">
        <is>
          <t>DILA-XHI22</t>
        </is>
      </c>
      <c r="G4405" t="inlineStr">
        <is>
          <t>LASTSCHUETZ</t>
        </is>
      </c>
      <c r="H4405" t="inlineStr">
        <is>
          <t>11kW 1S Federzugkl.</t>
        </is>
      </c>
      <c r="I4405">
        <v>1680</v>
      </c>
      <c r="J4405">
        <f>GS52/215.6</f>
        <v>0</v>
      </c>
      <c r="K4405" t="inlineStr">
        <is>
          <t>DIL MC25</t>
        </is>
      </c>
      <c r="M4405" t="inlineStr">
        <is>
          <t>-215Q1</t>
        </is>
      </c>
    </row>
    <row r="4406">
      <c r="A4406">
        <v>4405</v>
      </c>
      <c r="B4406">
        <f>GS69</f>
        <v>0</v>
      </c>
      <c r="C4406" t="inlineStr">
        <is>
          <t>+LS03</t>
        </is>
      </c>
      <c r="D4406" t="inlineStr">
        <is>
          <t>-215Q1</t>
        </is>
      </c>
      <c r="E4406" t="inlineStr">
        <is>
          <t>DILA-XHI22</t>
        </is>
      </c>
      <c r="F4406" t="inlineStr">
        <is>
          <t>DILA-XHI22</t>
        </is>
      </c>
      <c r="G4406" t="inlineStr">
        <is>
          <t>HILFSKONTAKTBLOCK</t>
        </is>
      </c>
      <c r="H4406" t="inlineStr">
        <is>
          <t>2S 2OE Last+Hilfssch. Cage</t>
        </is>
      </c>
      <c r="I4406">
        <v>362</v>
      </c>
      <c r="J4406">
        <f>GS69/215.6</f>
        <v>0</v>
      </c>
      <c r="K4406" t="inlineStr">
        <is>
          <t>DIL MC25</t>
        </is>
      </c>
      <c r="M4406" t="inlineStr">
        <is>
          <t>-215Q1</t>
        </is>
      </c>
    </row>
    <row r="4407">
      <c r="A4407">
        <v>4406</v>
      </c>
      <c r="B4407">
        <f>GS69</f>
        <v>0</v>
      </c>
      <c r="C4407" t="inlineStr">
        <is>
          <t>+LS03</t>
        </is>
      </c>
      <c r="D4407" t="inlineStr">
        <is>
          <t>-215Q1</t>
        </is>
      </c>
      <c r="E4407" t="inlineStr">
        <is>
          <t>DILMC25-10(RDC24)</t>
        </is>
      </c>
      <c r="F4407" t="inlineStr">
        <is>
          <t>DILA-XHI22</t>
        </is>
      </c>
      <c r="G4407" t="inlineStr">
        <is>
          <t>LASTSCHUETZ</t>
        </is>
      </c>
      <c r="H4407" t="inlineStr">
        <is>
          <t>11kW 1S Federzugkl.</t>
        </is>
      </c>
      <c r="I4407">
        <v>362</v>
      </c>
      <c r="J4407">
        <f>GS69/215.6</f>
        <v>0</v>
      </c>
      <c r="K4407" t="inlineStr">
        <is>
          <t>DIL MC25</t>
        </is>
      </c>
      <c r="M4407" t="inlineStr">
        <is>
          <t>-215Q1</t>
        </is>
      </c>
    </row>
    <row r="4408">
      <c r="A4408">
        <v>4407</v>
      </c>
      <c r="B4408">
        <f>GS92</f>
        <v>0</v>
      </c>
      <c r="C4408" t="inlineStr">
        <is>
          <t>+LS03</t>
        </is>
      </c>
      <c r="D4408" t="inlineStr">
        <is>
          <t>-215Q1</t>
        </is>
      </c>
      <c r="E4408" t="inlineStr">
        <is>
          <t>DILMC25-10(RDC24)</t>
        </is>
      </c>
      <c r="F4408" t="inlineStr">
        <is>
          <t>DILA-XHI22</t>
        </is>
      </c>
      <c r="G4408" t="inlineStr">
        <is>
          <t>LASTSCHUETZ</t>
        </is>
      </c>
      <c r="H4408" t="inlineStr">
        <is>
          <t>11kW 1S Federzugkl.</t>
        </is>
      </c>
      <c r="I4408">
        <v>362</v>
      </c>
      <c r="J4408">
        <f>GS92/215.4</f>
        <v>0</v>
      </c>
      <c r="K4408" t="inlineStr">
        <is>
          <t>DIL MC25</t>
        </is>
      </c>
      <c r="M4408" t="inlineStr">
        <is>
          <t>-215Q1</t>
        </is>
      </c>
    </row>
    <row r="4409">
      <c r="A4409">
        <v>4408</v>
      </c>
      <c r="B4409">
        <f>GS92</f>
        <v>0</v>
      </c>
      <c r="C4409" t="inlineStr">
        <is>
          <t>+LS03</t>
        </is>
      </c>
      <c r="D4409" t="inlineStr">
        <is>
          <t>-215Q1</t>
        </is>
      </c>
      <c r="E4409" t="inlineStr">
        <is>
          <t>DILA-XHI22</t>
        </is>
      </c>
      <c r="F4409" t="inlineStr">
        <is>
          <t>DILA-XHI22</t>
        </is>
      </c>
      <c r="G4409" t="inlineStr">
        <is>
          <t>HILFSKONTAKTBLOCK</t>
        </is>
      </c>
      <c r="H4409" t="inlineStr">
        <is>
          <t>2S 2OE Last+Hilfssch. Cage</t>
        </is>
      </c>
      <c r="I4409">
        <v>362</v>
      </c>
      <c r="J4409">
        <f>GS92/215.4</f>
        <v>0</v>
      </c>
      <c r="K4409" t="inlineStr">
        <is>
          <t>DIL MC25</t>
        </is>
      </c>
      <c r="M4409" t="inlineStr">
        <is>
          <t>-215Q1</t>
        </is>
      </c>
    </row>
    <row r="4410">
      <c r="A4410">
        <v>4409</v>
      </c>
      <c r="B4410">
        <f>GS93</f>
        <v>0</v>
      </c>
      <c r="C4410" t="inlineStr">
        <is>
          <t>+LS03</t>
        </is>
      </c>
      <c r="D4410" t="inlineStr">
        <is>
          <t>-215Q1</t>
        </is>
      </c>
      <c r="E4410" t="inlineStr">
        <is>
          <t>DILMC25-10(RDC24)</t>
        </is>
      </c>
      <c r="F4410" t="inlineStr">
        <is>
          <t>DILA-XHI22</t>
        </is>
      </c>
      <c r="G4410" t="inlineStr">
        <is>
          <t>LASTSCHUETZ</t>
        </is>
      </c>
      <c r="H4410" t="inlineStr">
        <is>
          <t>11kW 1S Federzugkl.</t>
        </is>
      </c>
      <c r="I4410">
        <v>769</v>
      </c>
      <c r="J4410">
        <f>GS93/215.4</f>
        <v>0</v>
      </c>
      <c r="K4410" t="inlineStr">
        <is>
          <t>DIL MC25</t>
        </is>
      </c>
      <c r="M4410" t="inlineStr">
        <is>
          <t>-215Q1</t>
        </is>
      </c>
    </row>
    <row r="4411">
      <c r="A4411">
        <v>4410</v>
      </c>
      <c r="B4411">
        <f>GS93</f>
        <v>0</v>
      </c>
      <c r="C4411" t="inlineStr">
        <is>
          <t>+LS03</t>
        </is>
      </c>
      <c r="D4411" t="inlineStr">
        <is>
          <t>-215Q1</t>
        </is>
      </c>
      <c r="E4411" t="inlineStr">
        <is>
          <t>DILA-XHI22</t>
        </is>
      </c>
      <c r="F4411" t="inlineStr">
        <is>
          <t>DILA-XHI22</t>
        </is>
      </c>
      <c r="G4411" t="inlineStr">
        <is>
          <t>HILFSKONTAKTBLOCK</t>
        </is>
      </c>
      <c r="H4411" t="inlineStr">
        <is>
          <t>2S 2OE Last+Hilfssch. Cage</t>
        </is>
      </c>
      <c r="I4411">
        <v>769</v>
      </c>
      <c r="J4411">
        <f>GS93/215.4</f>
        <v>0</v>
      </c>
      <c r="K4411" t="inlineStr">
        <is>
          <t>DIL MC25</t>
        </is>
      </c>
      <c r="M4411" t="inlineStr">
        <is>
          <t>-215Q1</t>
        </is>
      </c>
    </row>
    <row r="4412">
      <c r="A4412">
        <v>4411</v>
      </c>
      <c r="B4412">
        <f>GS94</f>
        <v>0</v>
      </c>
      <c r="C4412" t="inlineStr">
        <is>
          <t>+LS16</t>
        </is>
      </c>
      <c r="D4412" t="inlineStr">
        <is>
          <t>-215Q1</t>
        </is>
      </c>
      <c r="E4412" t="inlineStr">
        <is>
          <t>DILMC25-10(RDC24)</t>
        </is>
      </c>
      <c r="F4412" t="inlineStr">
        <is>
          <t>DILA-XHI22</t>
        </is>
      </c>
      <c r="G4412" t="inlineStr">
        <is>
          <t>LASTSCHUETZ</t>
        </is>
      </c>
      <c r="H4412" t="inlineStr">
        <is>
          <t>11kW 1S Federzugkl.</t>
        </is>
      </c>
      <c r="I4412">
        <v>305</v>
      </c>
      <c r="J4412">
        <f>GS94/215.4</f>
        <v>0</v>
      </c>
      <c r="K4412" t="inlineStr">
        <is>
          <t>DIL MC25</t>
        </is>
      </c>
      <c r="M4412" t="inlineStr">
        <is>
          <t>-215Q1</t>
        </is>
      </c>
    </row>
    <row r="4413">
      <c r="A4413">
        <v>4412</v>
      </c>
      <c r="B4413">
        <f>GS94</f>
        <v>0</v>
      </c>
      <c r="C4413" t="inlineStr">
        <is>
          <t>+LS16</t>
        </is>
      </c>
      <c r="D4413" t="inlineStr">
        <is>
          <t>-215Q1</t>
        </is>
      </c>
      <c r="E4413" t="inlineStr">
        <is>
          <t>DILA-XHI22</t>
        </is>
      </c>
      <c r="F4413" t="inlineStr">
        <is>
          <t>DILA-XHI22</t>
        </is>
      </c>
      <c r="G4413" t="inlineStr">
        <is>
          <t>HILFSKONTAKTBLOCK</t>
        </is>
      </c>
      <c r="H4413" t="inlineStr">
        <is>
          <t>2S 2OE Last+Hilfssch. Cage</t>
        </is>
      </c>
      <c r="I4413">
        <v>305</v>
      </c>
      <c r="J4413">
        <f>GS94/215.4</f>
        <v>0</v>
      </c>
      <c r="K4413" t="inlineStr">
        <is>
          <t>DIL MC25</t>
        </is>
      </c>
      <c r="M4413" t="inlineStr">
        <is>
          <t>-215Q1</t>
        </is>
      </c>
    </row>
    <row r="4414">
      <c r="A4414">
        <v>4413</v>
      </c>
      <c r="B4414">
        <f>GS95</f>
        <v>0</v>
      </c>
      <c r="C4414" t="inlineStr">
        <is>
          <t>+LS16</t>
        </is>
      </c>
      <c r="D4414" t="inlineStr">
        <is>
          <t>-215Q1</t>
        </is>
      </c>
      <c r="E4414" t="inlineStr">
        <is>
          <t>DILA-XHI22</t>
        </is>
      </c>
      <c r="F4414" t="inlineStr">
        <is>
          <t>DILA-XHI22</t>
        </is>
      </c>
      <c r="G4414" t="inlineStr">
        <is>
          <t>HILFSKONTAKTBLOCK</t>
        </is>
      </c>
      <c r="H4414" t="inlineStr">
        <is>
          <t>2S 2OE Last+Hilfssch. Cage</t>
        </is>
      </c>
      <c r="I4414">
        <v>305</v>
      </c>
      <c r="J4414">
        <f>GS95/215.4</f>
        <v>0</v>
      </c>
      <c r="K4414" t="inlineStr">
        <is>
          <t>DIL MC25</t>
        </is>
      </c>
      <c r="M4414" t="inlineStr">
        <is>
          <t>-215Q1</t>
        </is>
      </c>
    </row>
    <row r="4415">
      <c r="A4415">
        <v>4414</v>
      </c>
      <c r="B4415">
        <f>GS95</f>
        <v>0</v>
      </c>
      <c r="C4415" t="inlineStr">
        <is>
          <t>+LS16</t>
        </is>
      </c>
      <c r="D4415" t="inlineStr">
        <is>
          <t>-215Q1</t>
        </is>
      </c>
      <c r="E4415" t="inlineStr">
        <is>
          <t>DILMC25-10(RDC24)</t>
        </is>
      </c>
      <c r="F4415" t="inlineStr">
        <is>
          <t>DILA-XHI22</t>
        </is>
      </c>
      <c r="G4415" t="inlineStr">
        <is>
          <t>LASTSCHUETZ</t>
        </is>
      </c>
      <c r="H4415" t="inlineStr">
        <is>
          <t>11kW 1S Federzugkl.</t>
        </is>
      </c>
      <c r="I4415">
        <v>305</v>
      </c>
      <c r="J4415">
        <f>GS95/215.4</f>
        <v>0</v>
      </c>
      <c r="K4415" t="inlineStr">
        <is>
          <t>DIL MC25</t>
        </is>
      </c>
      <c r="M4415" t="inlineStr">
        <is>
          <t>-215Q1</t>
        </is>
      </c>
    </row>
    <row r="4416">
      <c r="A4416">
        <v>4415</v>
      </c>
      <c r="B4416">
        <f>GS96</f>
        <v>0</v>
      </c>
      <c r="C4416" t="inlineStr">
        <is>
          <t>+LS16</t>
        </is>
      </c>
      <c r="D4416" t="inlineStr">
        <is>
          <t>-215Q1</t>
        </is>
      </c>
      <c r="E4416" t="inlineStr">
        <is>
          <t>DILMC25-10(RDC24)</t>
        </is>
      </c>
      <c r="F4416" t="inlineStr">
        <is>
          <t>DILA-XHI22</t>
        </is>
      </c>
      <c r="G4416" t="inlineStr">
        <is>
          <t>LASTSCHUETZ</t>
        </is>
      </c>
      <c r="H4416" t="inlineStr">
        <is>
          <t>11kW 1S Federzugkl.</t>
        </is>
      </c>
      <c r="I4416">
        <v>305</v>
      </c>
      <c r="J4416">
        <f>GS96/215.4</f>
        <v>0</v>
      </c>
      <c r="K4416" t="inlineStr">
        <is>
          <t>DIL MC25</t>
        </is>
      </c>
      <c r="M4416" t="inlineStr">
        <is>
          <t>-215Q1</t>
        </is>
      </c>
    </row>
    <row r="4417">
      <c r="A4417">
        <v>4416</v>
      </c>
      <c r="B4417">
        <f>GS96</f>
        <v>0</v>
      </c>
      <c r="C4417" t="inlineStr">
        <is>
          <t>+LS16</t>
        </is>
      </c>
      <c r="D4417" t="inlineStr">
        <is>
          <t>-215Q1</t>
        </is>
      </c>
      <c r="E4417" t="inlineStr">
        <is>
          <t>DILA-XHI22</t>
        </is>
      </c>
      <c r="F4417" t="inlineStr">
        <is>
          <t>DILA-XHI22</t>
        </is>
      </c>
      <c r="G4417" t="inlineStr">
        <is>
          <t>HILFSKONTAKTBLOCK</t>
        </is>
      </c>
      <c r="H4417" t="inlineStr">
        <is>
          <t>2S 2OE Last+Hilfssch. Cage</t>
        </is>
      </c>
      <c r="I4417">
        <v>305</v>
      </c>
      <c r="J4417">
        <f>GS96/215.4</f>
        <v>0</v>
      </c>
      <c r="K4417" t="inlineStr">
        <is>
          <t>DIL MC25</t>
        </is>
      </c>
      <c r="M4417" t="inlineStr">
        <is>
          <t>-215Q1</t>
        </is>
      </c>
    </row>
    <row r="4418">
      <c r="A4418">
        <v>4417</v>
      </c>
      <c r="B4418">
        <f>GS97</f>
        <v>0</v>
      </c>
      <c r="C4418" t="inlineStr">
        <is>
          <t>+LS16</t>
        </is>
      </c>
      <c r="D4418" t="inlineStr">
        <is>
          <t>-215Q1</t>
        </is>
      </c>
      <c r="E4418" t="inlineStr">
        <is>
          <t>DILMC25-10(RDC24)</t>
        </is>
      </c>
      <c r="F4418" t="inlineStr">
        <is>
          <t>DILA-XHI22</t>
        </is>
      </c>
      <c r="G4418" t="inlineStr">
        <is>
          <t>LASTSCHUETZ</t>
        </is>
      </c>
      <c r="H4418" t="inlineStr">
        <is>
          <t>11kW 1S Federzugkl.</t>
        </is>
      </c>
      <c r="I4418">
        <v>305</v>
      </c>
      <c r="J4418">
        <f>GS97/215.4</f>
        <v>0</v>
      </c>
      <c r="K4418" t="inlineStr">
        <is>
          <t>DIL MC25</t>
        </is>
      </c>
      <c r="M4418" t="inlineStr">
        <is>
          <t>-215Q1</t>
        </is>
      </c>
    </row>
    <row r="4419">
      <c r="A4419">
        <v>4418</v>
      </c>
      <c r="B4419">
        <f>GS97</f>
        <v>0</v>
      </c>
      <c r="C4419" t="inlineStr">
        <is>
          <t>+LS16</t>
        </is>
      </c>
      <c r="D4419" t="inlineStr">
        <is>
          <t>-215Q1</t>
        </is>
      </c>
      <c r="E4419" t="inlineStr">
        <is>
          <t>DILA-XHI22</t>
        </is>
      </c>
      <c r="F4419" t="inlineStr">
        <is>
          <t>DILA-XHI22</t>
        </is>
      </c>
      <c r="G4419" t="inlineStr">
        <is>
          <t>HILFSKONTAKTBLOCK</t>
        </is>
      </c>
      <c r="H4419" t="inlineStr">
        <is>
          <t>2S 2OE Last+Hilfssch. Cage</t>
        </is>
      </c>
      <c r="I4419">
        <v>305</v>
      </c>
      <c r="J4419">
        <f>GS97/215.4</f>
        <v>0</v>
      </c>
      <c r="K4419" t="inlineStr">
        <is>
          <t>DIL MC25</t>
        </is>
      </c>
      <c r="M4419" t="inlineStr">
        <is>
          <t>-215Q1</t>
        </is>
      </c>
    </row>
    <row r="4420">
      <c r="A4420">
        <v>4419</v>
      </c>
      <c r="B4420">
        <f>GS08</f>
        <v>0</v>
      </c>
      <c r="C4420" t="inlineStr">
        <is>
          <t>+LS03</t>
        </is>
      </c>
      <c r="D4420" t="inlineStr">
        <is>
          <t>-215Q3</t>
        </is>
      </c>
      <c r="E4420" t="inlineStr">
        <is>
          <t>DILA-XHI22</t>
        </is>
      </c>
      <c r="F4420" t="inlineStr">
        <is>
          <t>DILA-XHI22</t>
        </is>
      </c>
      <c r="G4420" t="inlineStr">
        <is>
          <t>HILFSKONTAKTBLOCK</t>
        </is>
      </c>
      <c r="H4420" t="inlineStr">
        <is>
          <t>2S 2OE Last+Hilfssch. Cage</t>
        </is>
      </c>
      <c r="I4420">
        <v>2046</v>
      </c>
      <c r="J4420">
        <f>GS08/215.7</f>
        <v>0</v>
      </c>
      <c r="K4420" t="inlineStr">
        <is>
          <t>DIL MC25</t>
        </is>
      </c>
      <c r="M4420" t="inlineStr">
        <is>
          <t>-215Q3</t>
        </is>
      </c>
    </row>
    <row r="4421">
      <c r="A4421">
        <v>4420</v>
      </c>
      <c r="B4421">
        <f>GS08</f>
        <v>0</v>
      </c>
      <c r="C4421" t="inlineStr">
        <is>
          <t>+LS03</t>
        </is>
      </c>
      <c r="D4421" t="inlineStr">
        <is>
          <t>-215Q3</t>
        </is>
      </c>
      <c r="E4421" t="inlineStr">
        <is>
          <t>DILMC25-10(RDC24)</t>
        </is>
      </c>
      <c r="F4421" t="inlineStr">
        <is>
          <t>DILA-XHI22</t>
        </is>
      </c>
      <c r="G4421" t="inlineStr">
        <is>
          <t>LASTSCHUETZ</t>
        </is>
      </c>
      <c r="H4421" t="inlineStr">
        <is>
          <t>11kW 1S Federzugkl.</t>
        </is>
      </c>
      <c r="I4421">
        <v>2046</v>
      </c>
      <c r="J4421">
        <f>GS08/215.7</f>
        <v>0</v>
      </c>
      <c r="K4421" t="inlineStr">
        <is>
          <t>DIL MC25</t>
        </is>
      </c>
      <c r="M4421" t="inlineStr">
        <is>
          <t>-215Q3</t>
        </is>
      </c>
    </row>
    <row r="4422">
      <c r="A4422">
        <v>4421</v>
      </c>
      <c r="B4422">
        <f>GS55</f>
        <v>0</v>
      </c>
      <c r="C4422" t="inlineStr">
        <is>
          <t>+LS35</t>
        </is>
      </c>
      <c r="D4422" t="inlineStr">
        <is>
          <t>-2160Q1941.4</t>
        </is>
      </c>
      <c r="E4422" t="inlineStr">
        <is>
          <t>DILM-9-10</t>
        </is>
      </c>
      <c r="F4422" t="inlineStr">
        <is>
          <t>#KALK!</t>
        </is>
      </c>
      <c r="G4422" t="inlineStr">
        <is>
          <t>LASTSCHUETZ</t>
        </is>
      </c>
      <c r="H4422" t="inlineStr">
        <is>
          <t>4kW 1S Federzugkl.</t>
        </is>
      </c>
      <c r="I4422">
        <v>2328</v>
      </c>
      <c r="J4422">
        <f>GS55/2160.6</f>
        <v>0</v>
      </c>
      <c r="K4422" t="inlineStr">
        <is>
          <t>DIL MC9</t>
        </is>
      </c>
      <c r="M4422" t="inlineStr">
        <is>
          <t>-2160Q1941.4</t>
        </is>
      </c>
    </row>
    <row r="4423">
      <c r="A4423">
        <v>4422</v>
      </c>
      <c r="B4423">
        <f>GS55</f>
        <v>0</v>
      </c>
      <c r="C4423" t="inlineStr">
        <is>
          <t>+LS35</t>
        </is>
      </c>
      <c r="D4423" t="inlineStr">
        <is>
          <t>-2162Q1941.5</t>
        </is>
      </c>
      <c r="E4423" t="inlineStr">
        <is>
          <t>DILM-9-10</t>
        </is>
      </c>
      <c r="F4423" t="inlineStr">
        <is>
          <t>#KALK!</t>
        </is>
      </c>
      <c r="G4423" t="inlineStr">
        <is>
          <t>LASTSCHUETZ</t>
        </is>
      </c>
      <c r="H4423" t="inlineStr">
        <is>
          <t>4kW 1S Federzugkl.</t>
        </is>
      </c>
      <c r="I4423">
        <v>2335</v>
      </c>
      <c r="J4423">
        <f>GS55/2162.6</f>
        <v>0</v>
      </c>
      <c r="K4423" t="inlineStr">
        <is>
          <t>DIL MC9</t>
        </is>
      </c>
      <c r="M4423" t="inlineStr">
        <is>
          <t>-2162Q1941.5</t>
        </is>
      </c>
    </row>
    <row r="4424">
      <c r="A4424">
        <v>4423</v>
      </c>
      <c r="B4424">
        <f>GS55</f>
        <v>0</v>
      </c>
      <c r="C4424" t="inlineStr">
        <is>
          <t>+LS35</t>
        </is>
      </c>
      <c r="D4424" t="inlineStr">
        <is>
          <t>-2166Q1941.7</t>
        </is>
      </c>
      <c r="E4424" t="inlineStr">
        <is>
          <t>DILM-9-10</t>
        </is>
      </c>
      <c r="F4424" t="inlineStr">
        <is>
          <t>#KALK!</t>
        </is>
      </c>
      <c r="G4424" t="inlineStr">
        <is>
          <t>LASTSCHUETZ</t>
        </is>
      </c>
      <c r="H4424" t="inlineStr">
        <is>
          <t>4kW 1S Federzugkl.</t>
        </is>
      </c>
      <c r="I4424">
        <v>2337</v>
      </c>
      <c r="J4424">
        <f>GS55/2166.6</f>
        <v>0</v>
      </c>
      <c r="K4424" t="inlineStr">
        <is>
          <t>DIL MC9</t>
        </is>
      </c>
      <c r="M4424" t="inlineStr">
        <is>
          <t>-2166Q1941.7</t>
        </is>
      </c>
    </row>
    <row r="4425">
      <c r="A4425">
        <v>4424</v>
      </c>
      <c r="B4425">
        <f>GS13</f>
        <v>0</v>
      </c>
      <c r="C4425" t="inlineStr">
        <is>
          <t>+LS4</t>
        </is>
      </c>
      <c r="D4425" t="inlineStr">
        <is>
          <t>-21670.0</t>
        </is>
      </c>
      <c r="E4425" t="inlineStr">
        <is>
          <t>DIL_EM-10-G</t>
        </is>
      </c>
      <c r="F4425" t="inlineStr">
        <is>
          <t>#KALK!</t>
        </is>
      </c>
      <c r="G4425" t="inlineStr">
        <is>
          <t>LASTSCHUETZ</t>
        </is>
      </c>
      <c r="H4425" t="inlineStr">
        <is>
          <t>4kW 1S</t>
        </is>
      </c>
      <c r="I4425">
        <v>458</v>
      </c>
      <c r="J4425">
        <f>GS13/216.6</f>
        <v>0</v>
      </c>
      <c r="M4425" t="inlineStr">
        <is>
          <t>-21670.0</t>
        </is>
      </c>
    </row>
    <row r="4426">
      <c r="A4426">
        <v>4425</v>
      </c>
      <c r="B4426">
        <f>GS13</f>
        <v>0</v>
      </c>
      <c r="C4426" t="inlineStr">
        <is>
          <t>+LS4</t>
        </is>
      </c>
      <c r="D4426" t="inlineStr">
        <is>
          <t>-21670.1</t>
        </is>
      </c>
      <c r="E4426" t="inlineStr">
        <is>
          <t>DIL_EM-10-G</t>
        </is>
      </c>
      <c r="F4426" t="inlineStr">
        <is>
          <t>#KALK!</t>
        </is>
      </c>
      <c r="G4426" t="inlineStr">
        <is>
          <t>LASTSCHUETZ</t>
        </is>
      </c>
      <c r="H4426" t="inlineStr">
        <is>
          <t>4kW 1S</t>
        </is>
      </c>
      <c r="I4426">
        <v>458</v>
      </c>
      <c r="J4426">
        <f>GS13/216.6</f>
        <v>0</v>
      </c>
      <c r="M4426" t="inlineStr">
        <is>
          <t>-21670.1</t>
        </is>
      </c>
    </row>
    <row r="4427">
      <c r="A4427">
        <v>4426</v>
      </c>
      <c r="B4427">
        <f>GS55</f>
        <v>0</v>
      </c>
      <c r="C4427" t="inlineStr">
        <is>
          <t>+LS02</t>
        </is>
      </c>
      <c r="D4427" t="inlineStr">
        <is>
          <t>-216K1</t>
        </is>
      </c>
      <c r="E4427" t="inlineStr">
        <is>
          <t>DILM-9-01</t>
        </is>
      </c>
      <c r="F4427" t="inlineStr">
        <is>
          <t>#KALK!</t>
        </is>
      </c>
      <c r="G4427" t="inlineStr">
        <is>
          <t>LASTSCHUETZ</t>
        </is>
      </c>
      <c r="H4427" t="inlineStr">
        <is>
          <t>4kW 1Oe Federzugkl.</t>
        </is>
      </c>
      <c r="I4427">
        <v>487</v>
      </c>
      <c r="J4427">
        <f>GS55/216.6</f>
        <v>0</v>
      </c>
      <c r="M4427" t="inlineStr">
        <is>
          <t>-216K1</t>
        </is>
      </c>
    </row>
    <row r="4428">
      <c r="A4428">
        <v>4427</v>
      </c>
      <c r="B4428">
        <f>GS55</f>
        <v>0</v>
      </c>
      <c r="C4428" t="inlineStr">
        <is>
          <t>+LS02</t>
        </is>
      </c>
      <c r="D4428" t="inlineStr">
        <is>
          <t>-216K2</t>
        </is>
      </c>
      <c r="E4428" t="inlineStr">
        <is>
          <t>DILM-9-01</t>
        </is>
      </c>
      <c r="F4428" t="inlineStr">
        <is>
          <t>#KALK!</t>
        </is>
      </c>
      <c r="G4428" t="inlineStr">
        <is>
          <t>LASTSCHUETZ</t>
        </is>
      </c>
      <c r="H4428" t="inlineStr">
        <is>
          <t>4kW 1Oe Federzugkl.</t>
        </is>
      </c>
      <c r="I4428">
        <v>487</v>
      </c>
      <c r="J4428">
        <f>GS55/216.7</f>
        <v>0</v>
      </c>
      <c r="M4428" t="inlineStr">
        <is>
          <t>-216K2</t>
        </is>
      </c>
    </row>
    <row r="4429">
      <c r="A4429">
        <v>4428</v>
      </c>
      <c r="B4429">
        <f>GS34</f>
        <v>0</v>
      </c>
      <c r="C4429" t="inlineStr">
        <is>
          <t>+LS4</t>
        </is>
      </c>
      <c r="D4429" t="inlineStr">
        <is>
          <t>-216K31.4</t>
        </is>
      </c>
      <c r="E4429" t="inlineStr">
        <is>
          <t>DIL_EM-10-G</t>
        </is>
      </c>
      <c r="F4429" t="inlineStr">
        <is>
          <t>#KALK!</t>
        </is>
      </c>
      <c r="G4429" t="inlineStr">
        <is>
          <t>LASTSCHUETZ</t>
        </is>
      </c>
      <c r="H4429" t="inlineStr">
        <is>
          <t>4kW 1S</t>
        </is>
      </c>
      <c r="I4429">
        <v>340</v>
      </c>
      <c r="J4429">
        <f>GS34/216.7</f>
        <v>0</v>
      </c>
      <c r="M4429" t="inlineStr">
        <is>
          <t>-216K31.4</t>
        </is>
      </c>
    </row>
    <row r="4430">
      <c r="A4430">
        <v>4429</v>
      </c>
      <c r="B4430">
        <f>GS16</f>
        <v>0</v>
      </c>
      <c r="C4430" t="inlineStr">
        <is>
          <t>+LS4</t>
        </is>
      </c>
      <c r="D4430" t="inlineStr">
        <is>
          <t>-216K3930.7</t>
        </is>
      </c>
      <c r="E4430" t="inlineStr">
        <is>
          <t>DIL_EM-01-G</t>
        </is>
      </c>
      <c r="F4430" t="inlineStr">
        <is>
          <t>#KALK!</t>
        </is>
      </c>
      <c r="G4430" t="inlineStr">
        <is>
          <t>LASTSCHUETZ</t>
        </is>
      </c>
      <c r="H4430" t="inlineStr">
        <is>
          <t>4kW 1OE</t>
        </is>
      </c>
      <c r="I4430">
        <v>440</v>
      </c>
      <c r="J4430">
        <f>GS16/216.3</f>
        <v>0</v>
      </c>
      <c r="M4430" t="inlineStr">
        <is>
          <t>-216K3930.7</t>
        </is>
      </c>
    </row>
    <row r="4431">
      <c r="A4431">
        <v>4430</v>
      </c>
      <c r="B4431">
        <f>GS04</f>
        <v>0</v>
      </c>
      <c r="C4431" t="inlineStr">
        <is>
          <t>+LS4</t>
        </is>
      </c>
      <c r="D4431" t="inlineStr">
        <is>
          <t>-216K45.5</t>
        </is>
      </c>
      <c r="E4431" t="inlineStr">
        <is>
          <t>DIL_EM-10-G</t>
        </is>
      </c>
      <c r="F4431" t="inlineStr">
        <is>
          <t>#KALK!</t>
        </is>
      </c>
      <c r="G4431" t="inlineStr">
        <is>
          <t>LASTSCHUETZ</t>
        </is>
      </c>
      <c r="H4431" t="inlineStr">
        <is>
          <t>4kW 1S</t>
        </is>
      </c>
      <c r="I4431">
        <v>466</v>
      </c>
      <c r="J4431">
        <f>GS04/216.6</f>
        <v>0</v>
      </c>
      <c r="M4431" t="inlineStr">
        <is>
          <t>-216K45.5</t>
        </is>
      </c>
    </row>
    <row r="4432">
      <c r="A4432">
        <v>4431</v>
      </c>
      <c r="B4432">
        <f>GS04</f>
        <v>0</v>
      </c>
      <c r="C4432" t="inlineStr">
        <is>
          <t>+LS4</t>
        </is>
      </c>
      <c r="D4432" t="inlineStr">
        <is>
          <t>-216K45.6</t>
        </is>
      </c>
      <c r="E4432" t="inlineStr">
        <is>
          <t>DIL_EM-10-G</t>
        </is>
      </c>
      <c r="F4432" t="inlineStr">
        <is>
          <t>#KALK!</t>
        </is>
      </c>
      <c r="G4432" t="inlineStr">
        <is>
          <t>LASTSCHUETZ</t>
        </is>
      </c>
      <c r="H4432" t="inlineStr">
        <is>
          <t>4kW 1S</t>
        </is>
      </c>
      <c r="I4432">
        <v>466</v>
      </c>
      <c r="J4432">
        <f>GS04/216.6</f>
        <v>0</v>
      </c>
      <c r="M4432" t="inlineStr">
        <is>
          <t>-216K45.6</t>
        </is>
      </c>
    </row>
    <row r="4433">
      <c r="A4433">
        <v>4432</v>
      </c>
      <c r="B4433">
        <f>GS11</f>
        <v>0</v>
      </c>
      <c r="C4433" t="inlineStr">
        <is>
          <t>+LS5</t>
        </is>
      </c>
      <c r="D4433" t="inlineStr">
        <is>
          <t>-216K51.7</t>
        </is>
      </c>
      <c r="E4433" t="inlineStr">
        <is>
          <t>DIL_EM-10-G</t>
        </is>
      </c>
      <c r="F4433" t="inlineStr">
        <is>
          <t>#KALK!</t>
        </is>
      </c>
      <c r="G4433" t="inlineStr">
        <is>
          <t>LASTSCHUETZ</t>
        </is>
      </c>
      <c r="H4433" t="inlineStr">
        <is>
          <t>4kW 1S</t>
        </is>
      </c>
      <c r="I4433">
        <v>327</v>
      </c>
      <c r="J4433">
        <f>GS11/216.7</f>
        <v>0</v>
      </c>
      <c r="M4433" t="inlineStr">
        <is>
          <t>-216K51.7</t>
        </is>
      </c>
    </row>
    <row r="4434">
      <c r="A4434">
        <v>4433</v>
      </c>
      <c r="B4434">
        <f>GS21</f>
        <v>0</v>
      </c>
      <c r="C4434" t="inlineStr">
        <is>
          <t>+LS5</t>
        </is>
      </c>
      <c r="D4434" t="inlineStr">
        <is>
          <t>-216K51.7</t>
        </is>
      </c>
      <c r="E4434" t="inlineStr">
        <is>
          <t>DIL_EM-10-G</t>
        </is>
      </c>
      <c r="F4434" t="inlineStr">
        <is>
          <t>#KALK!</t>
        </is>
      </c>
      <c r="G4434" t="inlineStr">
        <is>
          <t>LASTSCHUETZ</t>
        </is>
      </c>
      <c r="H4434" t="inlineStr">
        <is>
          <t>4kW 1S</t>
        </is>
      </c>
      <c r="I4434">
        <v>301</v>
      </c>
      <c r="J4434">
        <f>GS21/216.7</f>
        <v>0</v>
      </c>
      <c r="M4434" t="inlineStr">
        <is>
          <t>-216K51.7</t>
        </is>
      </c>
    </row>
    <row r="4435">
      <c r="A4435">
        <v>4434</v>
      </c>
      <c r="B4435">
        <f>GS23</f>
        <v>0</v>
      </c>
      <c r="C4435" t="inlineStr">
        <is>
          <t>+LS4</t>
        </is>
      </c>
      <c r="D4435" t="inlineStr">
        <is>
          <t>-216K70.0</t>
        </is>
      </c>
      <c r="E4435" t="inlineStr">
        <is>
          <t>DIL_EM-10-G</t>
        </is>
      </c>
      <c r="F4435" t="inlineStr">
        <is>
          <t>#KALK!</t>
        </is>
      </c>
      <c r="G4435" t="inlineStr">
        <is>
          <t>LASTSCHUETZ</t>
        </is>
      </c>
      <c r="H4435" t="inlineStr">
        <is>
          <t>4kW 1S</t>
        </is>
      </c>
      <c r="I4435">
        <v>517</v>
      </c>
      <c r="J4435">
        <f>GS23/216.6</f>
        <v>0</v>
      </c>
      <c r="M4435" t="inlineStr">
        <is>
          <t>-216K70.0</t>
        </is>
      </c>
    </row>
    <row r="4436">
      <c r="A4436">
        <v>4435</v>
      </c>
      <c r="B4436">
        <f>GS23</f>
        <v>0</v>
      </c>
      <c r="C4436" t="inlineStr">
        <is>
          <t>+LS4</t>
        </is>
      </c>
      <c r="D4436" t="inlineStr">
        <is>
          <t>-216K70.1</t>
        </is>
      </c>
      <c r="E4436" t="inlineStr">
        <is>
          <t>DIL_EM-10-G</t>
        </is>
      </c>
      <c r="F4436" t="inlineStr">
        <is>
          <t>#KALK!</t>
        </is>
      </c>
      <c r="G4436" t="inlineStr">
        <is>
          <t>LASTSCHUETZ</t>
        </is>
      </c>
      <c r="H4436" t="inlineStr">
        <is>
          <t>4kW 1S</t>
        </is>
      </c>
      <c r="I4436">
        <v>517</v>
      </c>
      <c r="J4436">
        <f>GS23/216.6</f>
        <v>0</v>
      </c>
      <c r="M4436" t="inlineStr">
        <is>
          <t>-216K70.1</t>
        </is>
      </c>
    </row>
    <row r="4437">
      <c r="A4437">
        <v>4436</v>
      </c>
      <c r="B4437">
        <f>GS52</f>
        <v>0</v>
      </c>
      <c r="C4437" t="inlineStr">
        <is>
          <t>+LS03</t>
        </is>
      </c>
      <c r="D4437" t="inlineStr">
        <is>
          <t>-216Q122.1</t>
        </is>
      </c>
      <c r="E4437" t="inlineStr">
        <is>
          <t>DILM-9-10</t>
        </is>
      </c>
      <c r="F4437" t="inlineStr">
        <is>
          <t>DILA-XHI22</t>
        </is>
      </c>
      <c r="G4437" t="inlineStr">
        <is>
          <t>LASTSCHUETZ</t>
        </is>
      </c>
      <c r="H4437" t="inlineStr">
        <is>
          <t>4kW 1S Federzugkl.</t>
        </is>
      </c>
      <c r="I4437">
        <v>1681</v>
      </c>
      <c r="J4437">
        <f>GS52/216.6</f>
        <v>0</v>
      </c>
      <c r="K4437" t="inlineStr">
        <is>
          <t>DIL MC9</t>
        </is>
      </c>
      <c r="M4437" t="inlineStr">
        <is>
          <t>-216Q122.1</t>
        </is>
      </c>
    </row>
    <row r="4438">
      <c r="A4438">
        <v>4437</v>
      </c>
      <c r="B4438">
        <f>GS52</f>
        <v>0</v>
      </c>
      <c r="C4438" t="inlineStr">
        <is>
          <t>+LS03</t>
        </is>
      </c>
      <c r="D4438" t="inlineStr">
        <is>
          <t>-216Q122.1</t>
        </is>
      </c>
      <c r="E4438" t="inlineStr">
        <is>
          <t>DILA-XHI22</t>
        </is>
      </c>
      <c r="F4438" t="inlineStr">
        <is>
          <t>DILA-XHI22</t>
        </is>
      </c>
      <c r="G4438" t="inlineStr">
        <is>
          <t>HILFSKONTAKTBLOCK</t>
        </is>
      </c>
      <c r="H4438" t="inlineStr">
        <is>
          <t>2S 2OE Last+Hilfssch. Cage</t>
        </is>
      </c>
      <c r="I4438">
        <v>1681</v>
      </c>
      <c r="J4438">
        <f>GS52/216.6</f>
        <v>0</v>
      </c>
      <c r="K4438" t="inlineStr">
        <is>
          <t>DIL MC9</t>
        </is>
      </c>
      <c r="M4438" t="inlineStr">
        <is>
          <t>-216Q122.1</t>
        </is>
      </c>
    </row>
    <row r="4439">
      <c r="A4439">
        <v>4438</v>
      </c>
      <c r="B4439">
        <f>GS52</f>
        <v>0</v>
      </c>
      <c r="C4439" t="inlineStr">
        <is>
          <t>+LS03</t>
        </is>
      </c>
      <c r="D4439" t="inlineStr">
        <is>
          <t>-216Q122.2</t>
        </is>
      </c>
      <c r="E4439" t="inlineStr">
        <is>
          <t>DILM-9-10</t>
        </is>
      </c>
      <c r="F4439" t="inlineStr">
        <is>
          <t>DILA-XHI22</t>
        </is>
      </c>
      <c r="G4439" t="inlineStr">
        <is>
          <t>LASTSCHUETZ</t>
        </is>
      </c>
      <c r="H4439" t="inlineStr">
        <is>
          <t>4kW 1S Federzugkl.</t>
        </is>
      </c>
      <c r="I4439">
        <v>1681</v>
      </c>
      <c r="J4439">
        <f>GS52/216.7</f>
        <v>0</v>
      </c>
      <c r="K4439" t="inlineStr">
        <is>
          <t>DIL MC9</t>
        </is>
      </c>
      <c r="M4439" t="inlineStr">
        <is>
          <t>-216Q122.2</t>
        </is>
      </c>
    </row>
    <row r="4440">
      <c r="A4440">
        <v>4439</v>
      </c>
      <c r="B4440">
        <f>GS52</f>
        <v>0</v>
      </c>
      <c r="C4440" t="inlineStr">
        <is>
          <t>+LS03</t>
        </is>
      </c>
      <c r="D4440" t="inlineStr">
        <is>
          <t>-216Q122.2</t>
        </is>
      </c>
      <c r="E4440" t="inlineStr">
        <is>
          <t>DILA-XHI22</t>
        </is>
      </c>
      <c r="F4440" t="inlineStr">
        <is>
          <t>DILA-XHI22</t>
        </is>
      </c>
      <c r="G4440" t="inlineStr">
        <is>
          <t>HILFSKONTAKTBLOCK</t>
        </is>
      </c>
      <c r="H4440" t="inlineStr">
        <is>
          <t>2S 2OE Last+Hilfssch. Cage</t>
        </is>
      </c>
      <c r="I4440">
        <v>1681</v>
      </c>
      <c r="J4440">
        <f>GS52/216.7</f>
        <v>0</v>
      </c>
      <c r="K4440" t="inlineStr">
        <is>
          <t>DIL MC9</t>
        </is>
      </c>
      <c r="M4440" t="inlineStr">
        <is>
          <t>-216Q122.2</t>
        </is>
      </c>
    </row>
    <row r="4441">
      <c r="A4441">
        <v>4440</v>
      </c>
      <c r="B4441">
        <f>GS92</f>
        <v>0</v>
      </c>
      <c r="C4441" t="inlineStr">
        <is>
          <t>+LS03</t>
        </is>
      </c>
      <c r="D4441" t="inlineStr">
        <is>
          <t>-216Q170.1</t>
        </is>
      </c>
      <c r="E4441" t="inlineStr">
        <is>
          <t>DILM-9-10</t>
        </is>
      </c>
      <c r="F4441" t="inlineStr">
        <is>
          <t>DILA-XHI22</t>
        </is>
      </c>
      <c r="G4441" t="inlineStr">
        <is>
          <t>LASTSCHUETZ</t>
        </is>
      </c>
      <c r="H4441" t="inlineStr">
        <is>
          <t>4kW 1S Federzugkl.</t>
        </is>
      </c>
      <c r="I4441">
        <v>363</v>
      </c>
      <c r="J4441">
        <f>GS92/216.5</f>
        <v>0</v>
      </c>
      <c r="M4441" t="inlineStr">
        <is>
          <t>-216Q170.1</t>
        </is>
      </c>
    </row>
    <row r="4442">
      <c r="A4442">
        <v>4441</v>
      </c>
      <c r="B4442">
        <f>GS92</f>
        <v>0</v>
      </c>
      <c r="C4442" t="inlineStr">
        <is>
          <t>+LS03</t>
        </is>
      </c>
      <c r="D4442" t="inlineStr">
        <is>
          <t>-216Q170.1</t>
        </is>
      </c>
      <c r="E4442" t="inlineStr">
        <is>
          <t>DILA-XHI22</t>
        </is>
      </c>
      <c r="F4442" t="inlineStr">
        <is>
          <t>DILA-XHI22</t>
        </is>
      </c>
      <c r="G4442" t="inlineStr">
        <is>
          <t>HILFSKONTAKTBLOCK</t>
        </is>
      </c>
      <c r="H4442" t="inlineStr">
        <is>
          <t>2S 2OE Last+Hilfssch. Cage</t>
        </is>
      </c>
      <c r="I4442">
        <v>363</v>
      </c>
      <c r="J4442">
        <f>GS92/216.5</f>
        <v>0</v>
      </c>
      <c r="M4442" t="inlineStr">
        <is>
          <t>-216Q170.1</t>
        </is>
      </c>
    </row>
    <row r="4443">
      <c r="A4443">
        <v>4442</v>
      </c>
      <c r="B4443">
        <f>GS93</f>
        <v>0</v>
      </c>
      <c r="C4443" t="inlineStr">
        <is>
          <t>+LS03</t>
        </is>
      </c>
      <c r="D4443" t="inlineStr">
        <is>
          <t>-216Q170.1</t>
        </is>
      </c>
      <c r="E4443" t="inlineStr">
        <is>
          <t>DILM-9-10</t>
        </is>
      </c>
      <c r="F4443" t="inlineStr">
        <is>
          <t>DILA-XHI22</t>
        </is>
      </c>
      <c r="G4443" t="inlineStr">
        <is>
          <t>LASTSCHUETZ</t>
        </is>
      </c>
      <c r="H4443" t="inlineStr">
        <is>
          <t>4kW 1S Federzugkl.</t>
        </is>
      </c>
      <c r="I4443">
        <v>770</v>
      </c>
      <c r="J4443">
        <f>GS93/216.5</f>
        <v>0</v>
      </c>
      <c r="M4443" t="inlineStr">
        <is>
          <t>-216Q170.1</t>
        </is>
      </c>
    </row>
    <row r="4444">
      <c r="A4444">
        <v>4443</v>
      </c>
      <c r="B4444">
        <f>GS93</f>
        <v>0</v>
      </c>
      <c r="C4444" t="inlineStr">
        <is>
          <t>+LS03</t>
        </is>
      </c>
      <c r="D4444" t="inlineStr">
        <is>
          <t>-216Q170.1</t>
        </is>
      </c>
      <c r="E4444" t="inlineStr">
        <is>
          <t>DILA-XHI22</t>
        </is>
      </c>
      <c r="F4444" t="inlineStr">
        <is>
          <t>DILA-XHI22</t>
        </is>
      </c>
      <c r="G4444" t="inlineStr">
        <is>
          <t>HILFSKONTAKTBLOCK</t>
        </is>
      </c>
      <c r="H4444" t="inlineStr">
        <is>
          <t>2S 2OE Last+Hilfssch. Cage</t>
        </is>
      </c>
      <c r="I4444">
        <v>770</v>
      </c>
      <c r="J4444">
        <f>GS93/216.5</f>
        <v>0</v>
      </c>
      <c r="M4444" t="inlineStr">
        <is>
          <t>-216Q170.1</t>
        </is>
      </c>
    </row>
    <row r="4445">
      <c r="A4445">
        <v>4444</v>
      </c>
      <c r="B4445">
        <f>GS92</f>
        <v>0</v>
      </c>
      <c r="C4445" t="inlineStr">
        <is>
          <t>+LS03</t>
        </is>
      </c>
      <c r="D4445" t="inlineStr">
        <is>
          <t>-216Q170.2</t>
        </is>
      </c>
      <c r="E4445" t="inlineStr">
        <is>
          <t>DILM-9-10</t>
        </is>
      </c>
      <c r="F4445" t="inlineStr">
        <is>
          <t>DILA-XHI22</t>
        </is>
      </c>
      <c r="G4445" t="inlineStr">
        <is>
          <t>LASTSCHUETZ</t>
        </is>
      </c>
      <c r="H4445" t="inlineStr">
        <is>
          <t>4kW 1S Federzugkl.</t>
        </is>
      </c>
      <c r="I4445">
        <v>363</v>
      </c>
      <c r="J4445">
        <f>GS92/216.6</f>
        <v>0</v>
      </c>
      <c r="M4445" t="inlineStr">
        <is>
          <t>-216Q170.2</t>
        </is>
      </c>
    </row>
    <row r="4446">
      <c r="A4446">
        <v>4445</v>
      </c>
      <c r="B4446">
        <f>GS92</f>
        <v>0</v>
      </c>
      <c r="C4446" t="inlineStr">
        <is>
          <t>+LS03</t>
        </is>
      </c>
      <c r="D4446" t="inlineStr">
        <is>
          <t>-216Q170.2</t>
        </is>
      </c>
      <c r="E4446" t="inlineStr">
        <is>
          <t>DILA-XHI22</t>
        </is>
      </c>
      <c r="F4446" t="inlineStr">
        <is>
          <t>DILA-XHI22</t>
        </is>
      </c>
      <c r="G4446" t="inlineStr">
        <is>
          <t>HILFSKONTAKTBLOCK</t>
        </is>
      </c>
      <c r="H4446" t="inlineStr">
        <is>
          <t>2S 2OE Last+Hilfssch. Cage</t>
        </is>
      </c>
      <c r="I4446">
        <v>363</v>
      </c>
      <c r="J4446">
        <f>GS92/216.6</f>
        <v>0</v>
      </c>
      <c r="M4446" t="inlineStr">
        <is>
          <t>-216Q170.2</t>
        </is>
      </c>
    </row>
    <row r="4447">
      <c r="A4447">
        <v>4446</v>
      </c>
      <c r="B4447">
        <f>GS93</f>
        <v>0</v>
      </c>
      <c r="C4447" t="inlineStr">
        <is>
          <t>+LS03</t>
        </is>
      </c>
      <c r="D4447" t="inlineStr">
        <is>
          <t>-216Q170.2</t>
        </is>
      </c>
      <c r="E4447" t="inlineStr">
        <is>
          <t>DILM-9-10</t>
        </is>
      </c>
      <c r="F4447" t="inlineStr">
        <is>
          <t>DILA-XHI22</t>
        </is>
      </c>
      <c r="G4447" t="inlineStr">
        <is>
          <t>LASTSCHUETZ</t>
        </is>
      </c>
      <c r="H4447" t="inlineStr">
        <is>
          <t>4kW 1S Federzugkl.</t>
        </is>
      </c>
      <c r="I4447">
        <v>770</v>
      </c>
      <c r="J4447">
        <f>GS93/216.6</f>
        <v>0</v>
      </c>
      <c r="M4447" t="inlineStr">
        <is>
          <t>-216Q170.2</t>
        </is>
      </c>
    </row>
    <row r="4448">
      <c r="A4448">
        <v>4447</v>
      </c>
      <c r="B4448">
        <f>GS93</f>
        <v>0</v>
      </c>
      <c r="C4448" t="inlineStr">
        <is>
          <t>+LS03</t>
        </is>
      </c>
      <c r="D4448" t="inlineStr">
        <is>
          <t>-216Q170.2</t>
        </is>
      </c>
      <c r="E4448" t="inlineStr">
        <is>
          <t>DILA-XHI22</t>
        </is>
      </c>
      <c r="F4448" t="inlineStr">
        <is>
          <t>DILA-XHI22</t>
        </is>
      </c>
      <c r="G4448" t="inlineStr">
        <is>
          <t>HILFSKONTAKTBLOCK</t>
        </is>
      </c>
      <c r="H4448" t="inlineStr">
        <is>
          <t>2S 2OE Last+Hilfssch. Cage</t>
        </is>
      </c>
      <c r="I4448">
        <v>770</v>
      </c>
      <c r="J4448">
        <f>GS93/216.6</f>
        <v>0</v>
      </c>
      <c r="M4448" t="inlineStr">
        <is>
          <t>-216Q170.2</t>
        </is>
      </c>
    </row>
    <row r="4449">
      <c r="A4449">
        <v>4448</v>
      </c>
      <c r="B4449">
        <f>GS37</f>
        <v>0</v>
      </c>
      <c r="C4449" t="inlineStr">
        <is>
          <t>+LS04</t>
        </is>
      </c>
      <c r="D4449" t="inlineStr">
        <is>
          <t>-216Q434.6</t>
        </is>
      </c>
      <c r="E4449" t="inlineStr">
        <is>
          <t>DILM-9-10</t>
        </is>
      </c>
      <c r="F4449" t="inlineStr">
        <is>
          <t>#KALK!</t>
        </is>
      </c>
      <c r="G4449" t="inlineStr">
        <is>
          <t>LASTSCHUETZ</t>
        </is>
      </c>
      <c r="H4449" t="inlineStr">
        <is>
          <t>4kW 1S Federzugkl.</t>
        </is>
      </c>
      <c r="I4449">
        <v>396</v>
      </c>
      <c r="J4449">
        <f>GS37/216.6</f>
        <v>0</v>
      </c>
      <c r="M4449" t="inlineStr">
        <is>
          <t>-216Q434.6</t>
        </is>
      </c>
    </row>
    <row r="4450">
      <c r="A4450">
        <v>4449</v>
      </c>
      <c r="B4450">
        <f>GS11</f>
        <v>0</v>
      </c>
      <c r="C4450" t="inlineStr">
        <is>
          <t>+LS5</t>
        </is>
      </c>
      <c r="D4450" t="inlineStr">
        <is>
          <t>-217.1K53.0</t>
        </is>
      </c>
      <c r="E4450" t="inlineStr">
        <is>
          <t>DIL_EM-10-G</t>
        </is>
      </c>
      <c r="F4450" t="inlineStr">
        <is>
          <t>#KALK!</t>
        </is>
      </c>
      <c r="G4450" t="inlineStr">
        <is>
          <t>LASTSCHUETZ</t>
        </is>
      </c>
      <c r="H4450" t="inlineStr">
        <is>
          <t>4kW 1S</t>
        </is>
      </c>
      <c r="I4450">
        <v>1072</v>
      </c>
      <c r="J4450">
        <f>GS11/217.1.6</f>
        <v>0</v>
      </c>
      <c r="M4450" t="inlineStr">
        <is>
          <t>-217.1K53.0</t>
        </is>
      </c>
    </row>
    <row r="4451">
      <c r="A4451">
        <v>4450</v>
      </c>
      <c r="B4451">
        <f>GS21</f>
        <v>0</v>
      </c>
      <c r="C4451" t="inlineStr">
        <is>
          <t>+LS5</t>
        </is>
      </c>
      <c r="D4451" t="inlineStr">
        <is>
          <t>-217.1K53.0</t>
        </is>
      </c>
      <c r="E4451" t="inlineStr">
        <is>
          <t>DIL_EM-10-G</t>
        </is>
      </c>
      <c r="F4451" t="inlineStr">
        <is>
          <t>#KALK!</t>
        </is>
      </c>
      <c r="G4451" t="inlineStr">
        <is>
          <t>LASTSCHUETZ</t>
        </is>
      </c>
      <c r="H4451" t="inlineStr">
        <is>
          <t>4kW 1S</t>
        </is>
      </c>
      <c r="I4451">
        <v>1150</v>
      </c>
      <c r="J4451">
        <f>GS21/217.1.6</f>
        <v>0</v>
      </c>
      <c r="M4451" t="inlineStr">
        <is>
          <t>-217.1K53.0</t>
        </is>
      </c>
    </row>
    <row r="4452">
      <c r="A4452">
        <v>4451</v>
      </c>
      <c r="B4452">
        <f>GS13</f>
        <v>0</v>
      </c>
      <c r="C4452" t="inlineStr">
        <is>
          <t>+LS4</t>
        </is>
      </c>
      <c r="D4452" t="inlineStr">
        <is>
          <t>-21770.2</t>
        </is>
      </c>
      <c r="E4452" t="inlineStr">
        <is>
          <t>DIL_EM-10-G</t>
        </is>
      </c>
      <c r="F4452" t="inlineStr">
        <is>
          <t>#KALK!</t>
        </is>
      </c>
      <c r="G4452" t="inlineStr">
        <is>
          <t>LASTSCHUETZ</t>
        </is>
      </c>
      <c r="H4452" t="inlineStr">
        <is>
          <t>4kW 1S</t>
        </is>
      </c>
      <c r="I4452">
        <v>459</v>
      </c>
      <c r="J4452">
        <f>GS13/217.6</f>
        <v>0</v>
      </c>
      <c r="M4452" t="inlineStr">
        <is>
          <t>-21770.2</t>
        </is>
      </c>
    </row>
    <row r="4453">
      <c r="A4453">
        <v>4452</v>
      </c>
      <c r="B4453">
        <f>GS13</f>
        <v>0</v>
      </c>
      <c r="C4453" t="inlineStr">
        <is>
          <t>+LS4</t>
        </is>
      </c>
      <c r="D4453" t="inlineStr">
        <is>
          <t>-21770.3</t>
        </is>
      </c>
      <c r="E4453" t="inlineStr">
        <is>
          <t>DIL_EM-10-G</t>
        </is>
      </c>
      <c r="F4453" t="inlineStr">
        <is>
          <t>#KALK!</t>
        </is>
      </c>
      <c r="G4453" t="inlineStr">
        <is>
          <t>LASTSCHUETZ</t>
        </is>
      </c>
      <c r="H4453" t="inlineStr">
        <is>
          <t>4kW 1S</t>
        </is>
      </c>
      <c r="I4453">
        <v>459</v>
      </c>
      <c r="J4453">
        <f>GS13/217.6</f>
        <v>0</v>
      </c>
      <c r="M4453" t="inlineStr">
        <is>
          <t>-21770.3</t>
        </is>
      </c>
    </row>
    <row r="4454">
      <c r="A4454">
        <v>4453</v>
      </c>
      <c r="B4454">
        <f>GS34</f>
        <v>0</v>
      </c>
      <c r="C4454" t="inlineStr">
        <is>
          <t>+LS4</t>
        </is>
      </c>
      <c r="D4454" t="inlineStr">
        <is>
          <t>-217K32.0</t>
        </is>
      </c>
      <c r="E4454" t="inlineStr">
        <is>
          <t>DIL_EM-10-G</t>
        </is>
      </c>
      <c r="F4454" t="inlineStr">
        <is>
          <t>#KALK!</t>
        </is>
      </c>
      <c r="G4454" t="inlineStr">
        <is>
          <t>LASTSCHUETZ</t>
        </is>
      </c>
      <c r="H4454" t="inlineStr">
        <is>
          <t>4kW 1S</t>
        </is>
      </c>
      <c r="I4454">
        <v>341</v>
      </c>
      <c r="J4454">
        <f>GS34/217.7</f>
        <v>0</v>
      </c>
      <c r="M4454" t="inlineStr">
        <is>
          <t>-217K32.0</t>
        </is>
      </c>
    </row>
    <row r="4455">
      <c r="A4455">
        <v>4454</v>
      </c>
      <c r="B4455">
        <f>GS04</f>
        <v>0</v>
      </c>
      <c r="C4455" t="inlineStr">
        <is>
          <t>+LS4</t>
        </is>
      </c>
      <c r="D4455" t="inlineStr">
        <is>
          <t>-217K46.0</t>
        </is>
      </c>
      <c r="E4455" t="inlineStr">
        <is>
          <t>DIL_EM-10-G</t>
        </is>
      </c>
      <c r="F4455" t="inlineStr">
        <is>
          <t>#KALK!</t>
        </is>
      </c>
      <c r="G4455" t="inlineStr">
        <is>
          <t>LASTSCHUETZ</t>
        </is>
      </c>
      <c r="H4455" t="inlineStr">
        <is>
          <t>4kW 1S</t>
        </is>
      </c>
      <c r="I4455">
        <v>467</v>
      </c>
      <c r="J4455">
        <f>GS04/217.6</f>
        <v>0</v>
      </c>
      <c r="M4455" t="inlineStr">
        <is>
          <t>-217K46.0</t>
        </is>
      </c>
    </row>
    <row r="4456">
      <c r="A4456">
        <v>4455</v>
      </c>
      <c r="B4456">
        <f>GS11</f>
        <v>0</v>
      </c>
      <c r="C4456" t="inlineStr">
        <is>
          <t>+LS5</t>
        </is>
      </c>
      <c r="D4456" t="inlineStr">
        <is>
          <t>-217K53.1</t>
        </is>
      </c>
      <c r="E4456" t="inlineStr">
        <is>
          <t>DIL_EM-10-G</t>
        </is>
      </c>
      <c r="F4456" t="inlineStr">
        <is>
          <t>#KALK!</t>
        </is>
      </c>
      <c r="G4456" t="inlineStr">
        <is>
          <t>LASTSCHUETZ</t>
        </is>
      </c>
      <c r="H4456" t="inlineStr">
        <is>
          <t>4kW 1S</t>
        </is>
      </c>
      <c r="I4456">
        <v>328</v>
      </c>
      <c r="J4456">
        <f>GS11/217.6</f>
        <v>0</v>
      </c>
      <c r="M4456" t="inlineStr">
        <is>
          <t>-217K53.1</t>
        </is>
      </c>
    </row>
    <row r="4457">
      <c r="A4457">
        <v>4456</v>
      </c>
      <c r="B4457">
        <f>GS21</f>
        <v>0</v>
      </c>
      <c r="C4457" t="inlineStr">
        <is>
          <t>+LS5</t>
        </is>
      </c>
      <c r="D4457" t="inlineStr">
        <is>
          <t>-217K53.1</t>
        </is>
      </c>
      <c r="E4457" t="inlineStr">
        <is>
          <t>DIL_EM-10-G</t>
        </is>
      </c>
      <c r="F4457" t="inlineStr">
        <is>
          <t>#KALK!</t>
        </is>
      </c>
      <c r="G4457" t="inlineStr">
        <is>
          <t>LASTSCHUETZ</t>
        </is>
      </c>
      <c r="H4457" t="inlineStr">
        <is>
          <t>4kW 1S</t>
        </is>
      </c>
      <c r="I4457">
        <v>302</v>
      </c>
      <c r="J4457">
        <f>GS21/217.6</f>
        <v>0</v>
      </c>
      <c r="M4457" t="inlineStr">
        <is>
          <t>-217K53.1</t>
        </is>
      </c>
    </row>
    <row r="4458">
      <c r="A4458">
        <v>4457</v>
      </c>
      <c r="B4458">
        <f>GS11</f>
        <v>0</v>
      </c>
      <c r="C4458" t="inlineStr">
        <is>
          <t>+LS5</t>
        </is>
      </c>
      <c r="D4458" t="inlineStr">
        <is>
          <t>-217K53.2</t>
        </is>
      </c>
      <c r="E4458" t="inlineStr">
        <is>
          <t>DIL_EM-10-G</t>
        </is>
      </c>
      <c r="F4458" t="inlineStr">
        <is>
          <t>#KALK!</t>
        </is>
      </c>
      <c r="G4458" t="inlineStr">
        <is>
          <t>LASTSCHUETZ</t>
        </is>
      </c>
      <c r="H4458" t="inlineStr">
        <is>
          <t>4kW 1S</t>
        </is>
      </c>
      <c r="I4458">
        <v>328</v>
      </c>
      <c r="J4458">
        <f>GS11/217.6</f>
        <v>0</v>
      </c>
      <c r="M4458" t="inlineStr">
        <is>
          <t>-217K53.2</t>
        </is>
      </c>
    </row>
    <row r="4459">
      <c r="A4459">
        <v>4458</v>
      </c>
      <c r="B4459">
        <f>GS21</f>
        <v>0</v>
      </c>
      <c r="C4459" t="inlineStr">
        <is>
          <t>+LS5</t>
        </is>
      </c>
      <c r="D4459" t="inlineStr">
        <is>
          <t>-217K53.2</t>
        </is>
      </c>
      <c r="E4459" t="inlineStr">
        <is>
          <t>DIL_EM-10-G</t>
        </is>
      </c>
      <c r="F4459" t="inlineStr">
        <is>
          <t>#KALK!</t>
        </is>
      </c>
      <c r="G4459" t="inlineStr">
        <is>
          <t>LASTSCHUETZ</t>
        </is>
      </c>
      <c r="H4459" t="inlineStr">
        <is>
          <t>4kW 1S</t>
        </is>
      </c>
      <c r="I4459">
        <v>302</v>
      </c>
      <c r="J4459">
        <f>GS21/217.6</f>
        <v>0</v>
      </c>
      <c r="M4459" t="inlineStr">
        <is>
          <t>-217K53.2</t>
        </is>
      </c>
    </row>
    <row r="4460">
      <c r="A4460">
        <v>4459</v>
      </c>
      <c r="B4460">
        <f>GS23</f>
        <v>0</v>
      </c>
      <c r="C4460" t="inlineStr">
        <is>
          <t>+LS4</t>
        </is>
      </c>
      <c r="D4460" t="inlineStr">
        <is>
          <t>-217K70.2</t>
        </is>
      </c>
      <c r="E4460" t="inlineStr">
        <is>
          <t>DIL_EM-10-G</t>
        </is>
      </c>
      <c r="F4460" t="inlineStr">
        <is>
          <t>#KALK!</t>
        </is>
      </c>
      <c r="G4460" t="inlineStr">
        <is>
          <t>LASTSCHUETZ</t>
        </is>
      </c>
      <c r="H4460" t="inlineStr">
        <is>
          <t>4kW 1S</t>
        </is>
      </c>
      <c r="I4460">
        <v>518</v>
      </c>
      <c r="J4460">
        <f>GS23/217.6</f>
        <v>0</v>
      </c>
      <c r="M4460" t="inlineStr">
        <is>
          <t>-217K70.2</t>
        </is>
      </c>
    </row>
    <row r="4461">
      <c r="A4461">
        <v>4460</v>
      </c>
      <c r="B4461">
        <f>GS23</f>
        <v>0</v>
      </c>
      <c r="C4461" t="inlineStr">
        <is>
          <t>+LS4</t>
        </is>
      </c>
      <c r="D4461" t="inlineStr">
        <is>
          <t>-217K70.3</t>
        </is>
      </c>
      <c r="E4461" t="inlineStr">
        <is>
          <t>DIL_EM-10-G</t>
        </is>
      </c>
      <c r="F4461" t="inlineStr">
        <is>
          <t>#KALK!</t>
        </is>
      </c>
      <c r="G4461" t="inlineStr">
        <is>
          <t>LASTSCHUETZ</t>
        </is>
      </c>
      <c r="H4461" t="inlineStr">
        <is>
          <t>4kW 1S</t>
        </is>
      </c>
      <c r="I4461">
        <v>518</v>
      </c>
      <c r="J4461">
        <f>GS23/217.6</f>
        <v>0</v>
      </c>
      <c r="M4461" t="inlineStr">
        <is>
          <t>-217K70.3</t>
        </is>
      </c>
    </row>
    <row r="4462">
      <c r="A4462">
        <v>4461</v>
      </c>
      <c r="B4462">
        <f>GS92</f>
        <v>0</v>
      </c>
      <c r="C4462" t="inlineStr">
        <is>
          <t>+LS03</t>
        </is>
      </c>
      <c r="D4462" t="inlineStr">
        <is>
          <t>-217Q170.3</t>
        </is>
      </c>
      <c r="E4462" t="inlineStr">
        <is>
          <t>DILM-9-10</t>
        </is>
      </c>
      <c r="F4462" t="inlineStr">
        <is>
          <t>#KALK!</t>
        </is>
      </c>
      <c r="G4462" t="inlineStr">
        <is>
          <t>LASTSCHUETZ</t>
        </is>
      </c>
      <c r="H4462" t="inlineStr">
        <is>
          <t>4kW 1S Federzugkl.</t>
        </is>
      </c>
      <c r="I4462">
        <v>364</v>
      </c>
      <c r="J4462">
        <f>GS92/217.5</f>
        <v>0</v>
      </c>
      <c r="M4462" t="inlineStr">
        <is>
          <t>-217Q170.3</t>
        </is>
      </c>
    </row>
    <row r="4463">
      <c r="A4463">
        <v>4462</v>
      </c>
      <c r="B4463">
        <f>GS93</f>
        <v>0</v>
      </c>
      <c r="C4463" t="inlineStr">
        <is>
          <t>+LS03</t>
        </is>
      </c>
      <c r="D4463" t="inlineStr">
        <is>
          <t>-217Q170.3</t>
        </is>
      </c>
      <c r="E4463" t="inlineStr">
        <is>
          <t>DILM-9-10</t>
        </is>
      </c>
      <c r="F4463" t="inlineStr">
        <is>
          <t>#KALK!</t>
        </is>
      </c>
      <c r="G4463" t="inlineStr">
        <is>
          <t>LASTSCHUETZ</t>
        </is>
      </c>
      <c r="H4463" t="inlineStr">
        <is>
          <t>4kW 1S Federzugkl.</t>
        </is>
      </c>
      <c r="I4463">
        <v>771</v>
      </c>
      <c r="J4463">
        <f>GS93/217.5</f>
        <v>0</v>
      </c>
      <c r="M4463" t="inlineStr">
        <is>
          <t>-217Q170.3</t>
        </is>
      </c>
    </row>
    <row r="4464">
      <c r="A4464">
        <v>4463</v>
      </c>
      <c r="B4464">
        <f>GS08</f>
        <v>0</v>
      </c>
      <c r="C4464" t="inlineStr">
        <is>
          <t>+LS03</t>
        </is>
      </c>
      <c r="D4464" t="inlineStr">
        <is>
          <t>-217Q216.5</t>
        </is>
      </c>
      <c r="E4464" t="inlineStr">
        <is>
          <t>DILA-XHI22</t>
        </is>
      </c>
      <c r="F4464" t="inlineStr">
        <is>
          <t>DILA-XHI22</t>
        </is>
      </c>
      <c r="G4464" t="inlineStr">
        <is>
          <t>HILFSKONTAKTBLOCK</t>
        </is>
      </c>
      <c r="H4464" t="inlineStr">
        <is>
          <t>2S 2OE Last+Hilfssch. Cage</t>
        </is>
      </c>
      <c r="I4464">
        <v>1967</v>
      </c>
      <c r="J4464">
        <f>GS08/217.6</f>
        <v>0</v>
      </c>
      <c r="M4464" t="inlineStr">
        <is>
          <t>-217Q216.5</t>
        </is>
      </c>
    </row>
    <row r="4465">
      <c r="A4465">
        <v>4464</v>
      </c>
      <c r="B4465">
        <f>GS08</f>
        <v>0</v>
      </c>
      <c r="C4465" t="inlineStr">
        <is>
          <t>+LS03</t>
        </is>
      </c>
      <c r="D4465" t="inlineStr">
        <is>
          <t>-217Q216.5</t>
        </is>
      </c>
      <c r="E4465" t="inlineStr">
        <is>
          <t>DILM-9-01</t>
        </is>
      </c>
      <c r="F4465" t="inlineStr">
        <is>
          <t>DILA-XHI22</t>
        </is>
      </c>
      <c r="G4465" t="inlineStr">
        <is>
          <t>LASTSCHUETZ</t>
        </is>
      </c>
      <c r="H4465" t="inlineStr">
        <is>
          <t>4kW 1Oe Federzugkl.</t>
        </is>
      </c>
      <c r="I4465">
        <v>1967</v>
      </c>
      <c r="J4465">
        <f>GS08/217.6</f>
        <v>0</v>
      </c>
      <c r="M4465" t="inlineStr">
        <is>
          <t>-217Q216.5</t>
        </is>
      </c>
    </row>
    <row r="4466">
      <c r="A4466">
        <v>4465</v>
      </c>
      <c r="B4466">
        <f>GS08</f>
        <v>0</v>
      </c>
      <c r="C4466" t="inlineStr">
        <is>
          <t>+LS03</t>
        </is>
      </c>
      <c r="D4466" t="inlineStr">
        <is>
          <t>-217Q216.6</t>
        </is>
      </c>
      <c r="E4466" t="inlineStr">
        <is>
          <t>DILA-XHI22</t>
        </is>
      </c>
      <c r="F4466" t="inlineStr">
        <is>
          <t>DILA-XHI22</t>
        </is>
      </c>
      <c r="G4466" t="inlineStr">
        <is>
          <t>HILFSKONTAKTBLOCK</t>
        </is>
      </c>
      <c r="H4466" t="inlineStr">
        <is>
          <t>2S 2OE Last+Hilfssch. Cage</t>
        </is>
      </c>
      <c r="I4466">
        <v>1967</v>
      </c>
      <c r="J4466">
        <f>GS08/217.7</f>
        <v>0</v>
      </c>
      <c r="M4466" t="inlineStr">
        <is>
          <t>-217Q216.6</t>
        </is>
      </c>
    </row>
    <row r="4467">
      <c r="A4467">
        <v>4466</v>
      </c>
      <c r="B4467">
        <f>GS08</f>
        <v>0</v>
      </c>
      <c r="C4467" t="inlineStr">
        <is>
          <t>+LS03</t>
        </is>
      </c>
      <c r="D4467" t="inlineStr">
        <is>
          <t>-217Q216.6</t>
        </is>
      </c>
      <c r="E4467" t="inlineStr">
        <is>
          <t>DILM-9-01</t>
        </is>
      </c>
      <c r="F4467" t="inlineStr">
        <is>
          <t>DILA-XHI22</t>
        </is>
      </c>
      <c r="G4467" t="inlineStr">
        <is>
          <t>LASTSCHUETZ</t>
        </is>
      </c>
      <c r="H4467" t="inlineStr">
        <is>
          <t>4kW 1Oe Federzugkl.</t>
        </is>
      </c>
      <c r="I4467">
        <v>1967</v>
      </c>
      <c r="J4467">
        <f>GS08/217.7</f>
        <v>0</v>
      </c>
      <c r="M4467" t="inlineStr">
        <is>
          <t>-217Q216.6</t>
        </is>
      </c>
    </row>
    <row r="4468">
      <c r="A4468">
        <v>4467</v>
      </c>
      <c r="B4468">
        <f>GS37</f>
        <v>0</v>
      </c>
      <c r="C4468" t="inlineStr">
        <is>
          <t>+LS04</t>
        </is>
      </c>
      <c r="D4468" t="inlineStr">
        <is>
          <t>-217Q435.0</t>
        </is>
      </c>
      <c r="E4468" t="inlineStr">
        <is>
          <t>DILM-9-10</t>
        </is>
      </c>
      <c r="F4468" t="inlineStr">
        <is>
          <t>#KALK!</t>
        </is>
      </c>
      <c r="G4468" t="inlineStr">
        <is>
          <t>LASTSCHUETZ</t>
        </is>
      </c>
      <c r="H4468" t="inlineStr">
        <is>
          <t>4kW 1S Federzugkl.</t>
        </is>
      </c>
      <c r="I4468">
        <v>395</v>
      </c>
      <c r="J4468">
        <f>GS37/217.6</f>
        <v>0</v>
      </c>
      <c r="M4468" t="inlineStr">
        <is>
          <t>-217Q435.0</t>
        </is>
      </c>
    </row>
    <row r="4469">
      <c r="A4469">
        <v>4468</v>
      </c>
      <c r="B4469">
        <f>GS33</f>
        <v>0</v>
      </c>
      <c r="C4469" t="inlineStr">
        <is>
          <t>+LS4</t>
        </is>
      </c>
      <c r="D4469" t="inlineStr">
        <is>
          <t>-218K1</t>
        </is>
      </c>
      <c r="E4469" t="inlineStr">
        <is>
          <t>DIL_0AM</t>
        </is>
      </c>
      <c r="F4469" t="inlineStr">
        <is>
          <t>22_DIL-M</t>
        </is>
      </c>
      <c r="G4469" t="inlineStr">
        <is>
          <t>LASTSCHUETZ</t>
        </is>
      </c>
      <c r="H4469" t="inlineStr">
        <is>
          <t>11 kW</t>
        </is>
      </c>
      <c r="I4469">
        <v>657</v>
      </c>
      <c r="J4469">
        <f>GS33/218.2</f>
        <v>0</v>
      </c>
      <c r="K4469" t="inlineStr">
        <is>
          <t>DIL0AM</t>
        </is>
      </c>
      <c r="M4469" t="inlineStr">
        <is>
          <t>-218K1</t>
        </is>
      </c>
    </row>
    <row r="4470">
      <c r="A4470">
        <v>4469</v>
      </c>
      <c r="B4470">
        <f>GS33</f>
        <v>0</v>
      </c>
      <c r="C4470" t="inlineStr">
        <is>
          <t>+LS4</t>
        </is>
      </c>
      <c r="D4470" t="inlineStr">
        <is>
          <t>-218K1</t>
        </is>
      </c>
      <c r="E4470" t="inlineStr">
        <is>
          <t>22_DIL-M</t>
        </is>
      </c>
      <c r="F4470" t="inlineStr">
        <is>
          <t>22_DIL-M</t>
        </is>
      </c>
      <c r="G4470" t="inlineStr">
        <is>
          <t>HILFSKONTAKTBLOCK</t>
        </is>
      </c>
      <c r="H4470" t="inlineStr">
        <is>
          <t>2S 2OE Lastschuetz DIL M</t>
        </is>
      </c>
      <c r="I4470">
        <v>657</v>
      </c>
      <c r="J4470">
        <f>GS33/218.2</f>
        <v>0</v>
      </c>
      <c r="K4470" t="inlineStr">
        <is>
          <t>DIL0AM</t>
        </is>
      </c>
      <c r="M4470" t="inlineStr">
        <is>
          <t>-218K1</t>
        </is>
      </c>
    </row>
    <row r="4471">
      <c r="A4471">
        <v>4470</v>
      </c>
      <c r="B4471">
        <f>GS34</f>
        <v>0</v>
      </c>
      <c r="C4471" t="inlineStr">
        <is>
          <t>+LS4</t>
        </is>
      </c>
      <c r="D4471" t="inlineStr">
        <is>
          <t>-218K32.1</t>
        </is>
      </c>
      <c r="E4471" t="inlineStr">
        <is>
          <t>DIL_EM-10-G</t>
        </is>
      </c>
      <c r="F4471" t="inlineStr">
        <is>
          <t>#KALK!</t>
        </is>
      </c>
      <c r="G4471" t="inlineStr">
        <is>
          <t>LASTSCHUETZ</t>
        </is>
      </c>
      <c r="H4471" t="inlineStr">
        <is>
          <t>4kW 1S</t>
        </is>
      </c>
      <c r="I4471">
        <v>342</v>
      </c>
      <c r="J4471">
        <f>GS34/218.6</f>
        <v>0</v>
      </c>
      <c r="M4471" t="inlineStr">
        <is>
          <t>-218K32.1</t>
        </is>
      </c>
    </row>
    <row r="4472">
      <c r="A4472">
        <v>4471</v>
      </c>
      <c r="B4472">
        <f>GS34</f>
        <v>0</v>
      </c>
      <c r="C4472" t="inlineStr">
        <is>
          <t>+LS4</t>
        </is>
      </c>
      <c r="D4472" t="inlineStr">
        <is>
          <t>-218K32.2</t>
        </is>
      </c>
      <c r="E4472" t="inlineStr">
        <is>
          <t>DIL_EM-10-G</t>
        </is>
      </c>
      <c r="F4472" t="inlineStr">
        <is>
          <t>#KALK!</t>
        </is>
      </c>
      <c r="G4472" t="inlineStr">
        <is>
          <t>LASTSCHUETZ</t>
        </is>
      </c>
      <c r="H4472" t="inlineStr">
        <is>
          <t>4kW 1S</t>
        </is>
      </c>
      <c r="I4472">
        <v>342</v>
      </c>
      <c r="J4472">
        <f>GS34/218.6</f>
        <v>0</v>
      </c>
      <c r="M4472" t="inlineStr">
        <is>
          <t>-218K32.2</t>
        </is>
      </c>
    </row>
    <row r="4473">
      <c r="A4473">
        <v>4472</v>
      </c>
      <c r="B4473">
        <f>GS04</f>
        <v>0</v>
      </c>
      <c r="C4473" t="inlineStr">
        <is>
          <t>+LS4</t>
        </is>
      </c>
      <c r="D4473" t="inlineStr">
        <is>
          <t>-218K46.5</t>
        </is>
      </c>
      <c r="E4473" t="inlineStr">
        <is>
          <t>DIL_EM-10-G</t>
        </is>
      </c>
      <c r="F4473" t="inlineStr">
        <is>
          <t>#KALK!</t>
        </is>
      </c>
      <c r="G4473" t="inlineStr">
        <is>
          <t>LASTSCHUETZ</t>
        </is>
      </c>
      <c r="H4473" t="inlineStr">
        <is>
          <t>4kW 1S</t>
        </is>
      </c>
      <c r="I4473">
        <v>468</v>
      </c>
      <c r="J4473">
        <f>GS04/218.6</f>
        <v>0</v>
      </c>
      <c r="M4473" t="inlineStr">
        <is>
          <t>-218K46.5</t>
        </is>
      </c>
    </row>
    <row r="4474">
      <c r="A4474">
        <v>4473</v>
      </c>
      <c r="B4474">
        <f>GS04</f>
        <v>0</v>
      </c>
      <c r="C4474" t="inlineStr">
        <is>
          <t>+LS4</t>
        </is>
      </c>
      <c r="D4474" t="inlineStr">
        <is>
          <t>-218K46.6</t>
        </is>
      </c>
      <c r="E4474" t="inlineStr">
        <is>
          <t>DIL_EM-10-G</t>
        </is>
      </c>
      <c r="F4474" t="inlineStr">
        <is>
          <t>#KALK!</t>
        </is>
      </c>
      <c r="G4474" t="inlineStr">
        <is>
          <t>LASTSCHUETZ</t>
        </is>
      </c>
      <c r="H4474" t="inlineStr">
        <is>
          <t>4kW 1S</t>
        </is>
      </c>
      <c r="I4474">
        <v>468</v>
      </c>
      <c r="J4474">
        <f>GS04/218.6</f>
        <v>0</v>
      </c>
      <c r="M4474" t="inlineStr">
        <is>
          <t>-218K46.6</t>
        </is>
      </c>
    </row>
    <row r="4475">
      <c r="A4475">
        <v>4474</v>
      </c>
      <c r="B4475">
        <f>GS92</f>
        <v>0</v>
      </c>
      <c r="C4475" t="inlineStr">
        <is>
          <t>+LS03</t>
        </is>
      </c>
      <c r="D4475" t="inlineStr">
        <is>
          <t>-218Q170.4</t>
        </is>
      </c>
      <c r="E4475" t="inlineStr">
        <is>
          <t>DILM-9-10</t>
        </is>
      </c>
      <c r="F4475" t="inlineStr">
        <is>
          <t>#KALK!</t>
        </is>
      </c>
      <c r="G4475" t="inlineStr">
        <is>
          <t>LASTSCHUETZ</t>
        </is>
      </c>
      <c r="H4475" t="inlineStr">
        <is>
          <t>4kW 1S Federzugkl.</t>
        </is>
      </c>
      <c r="I4475">
        <v>365</v>
      </c>
      <c r="J4475">
        <f>GS92/218.5</f>
        <v>0</v>
      </c>
      <c r="M4475" t="inlineStr">
        <is>
          <t>-218Q170.4</t>
        </is>
      </c>
    </row>
    <row r="4476">
      <c r="A4476">
        <v>4475</v>
      </c>
      <c r="B4476">
        <f>GS93</f>
        <v>0</v>
      </c>
      <c r="C4476" t="inlineStr">
        <is>
          <t>+LS03</t>
        </is>
      </c>
      <c r="D4476" t="inlineStr">
        <is>
          <t>-218Q170.4</t>
        </is>
      </c>
      <c r="E4476" t="inlineStr">
        <is>
          <t>DILM-9-10</t>
        </is>
      </c>
      <c r="F4476" t="inlineStr">
        <is>
          <t>#KALK!</t>
        </is>
      </c>
      <c r="G4476" t="inlineStr">
        <is>
          <t>LASTSCHUETZ</t>
        </is>
      </c>
      <c r="H4476" t="inlineStr">
        <is>
          <t>4kW 1S Federzugkl.</t>
        </is>
      </c>
      <c r="I4476">
        <v>772</v>
      </c>
      <c r="J4476">
        <f>GS93/218.5</f>
        <v>0</v>
      </c>
      <c r="M4476" t="inlineStr">
        <is>
          <t>-218Q170.4</t>
        </is>
      </c>
    </row>
    <row r="4477">
      <c r="A4477">
        <v>4476</v>
      </c>
      <c r="B4477">
        <f>GS38</f>
        <v>0</v>
      </c>
      <c r="C4477" t="inlineStr">
        <is>
          <t>+LS04</t>
        </is>
      </c>
      <c r="D4477" t="inlineStr">
        <is>
          <t>-218Q403.7</t>
        </is>
      </c>
      <c r="E4477" t="inlineStr">
        <is>
          <t>DILMC12-10(24VDC)</t>
        </is>
      </c>
      <c r="F4477" t="inlineStr">
        <is>
          <t>#KALK!</t>
        </is>
      </c>
      <c r="G4477" t="inlineStr">
        <is>
          <t>LASTSCHUETZ</t>
        </is>
      </c>
      <c r="H4477" t="inlineStr">
        <is>
          <t>5,5kW 1S Federzugkl.</t>
        </is>
      </c>
      <c r="I4477">
        <v>388</v>
      </c>
      <c r="J4477">
        <f>GS38/218.5</f>
        <v>0</v>
      </c>
      <c r="K4477" t="inlineStr">
        <is>
          <t>DIL MC12</t>
        </is>
      </c>
      <c r="M4477" t="inlineStr">
        <is>
          <t>-218Q403.7</t>
        </is>
      </c>
    </row>
    <row r="4478">
      <c r="A4478">
        <v>4477</v>
      </c>
      <c r="B4478">
        <f>GS39</f>
        <v>0</v>
      </c>
      <c r="C4478" t="inlineStr">
        <is>
          <t>+LS04</t>
        </is>
      </c>
      <c r="D4478" t="inlineStr">
        <is>
          <t>-218Q403.7</t>
        </is>
      </c>
      <c r="E4478" t="inlineStr">
        <is>
          <t>DILMC12-10(24VDC)</t>
        </is>
      </c>
      <c r="F4478" t="inlineStr">
        <is>
          <t>#KALK!</t>
        </is>
      </c>
      <c r="G4478" t="inlineStr">
        <is>
          <t>LASTSCHUETZ</t>
        </is>
      </c>
      <c r="H4478" t="inlineStr">
        <is>
          <t>5,5kW 1S Federzugkl.</t>
        </is>
      </c>
      <c r="I4478">
        <v>413</v>
      </c>
      <c r="J4478">
        <f>GS39/218.5</f>
        <v>0</v>
      </c>
      <c r="K4478" t="inlineStr">
        <is>
          <t>DIL MC12</t>
        </is>
      </c>
      <c r="M4478" t="inlineStr">
        <is>
          <t>-218Q403.7</t>
        </is>
      </c>
    </row>
    <row r="4479">
      <c r="A4479">
        <v>4478</v>
      </c>
      <c r="B4479">
        <f>GS02</f>
        <v>0</v>
      </c>
      <c r="C4479" t="inlineStr">
        <is>
          <t>+LS3</t>
        </is>
      </c>
      <c r="D4479" t="inlineStr">
        <is>
          <t>-219K1</t>
        </is>
      </c>
      <c r="E4479" t="inlineStr">
        <is>
          <t>22_DIL-M</t>
        </is>
      </c>
      <c r="F4479" t="inlineStr">
        <is>
          <t>22_DIL-M</t>
        </is>
      </c>
      <c r="G4479" t="inlineStr">
        <is>
          <t>HILFSKONTAKTBLOCK</t>
        </is>
      </c>
      <c r="H4479" t="inlineStr">
        <is>
          <t>2S 2OE Lastschuetz DIL M</t>
        </is>
      </c>
      <c r="I4479">
        <v>623</v>
      </c>
      <c r="J4479">
        <f>GS02/219.2</f>
        <v>0</v>
      </c>
      <c r="K4479" t="inlineStr">
        <is>
          <t>DIL0AM</t>
        </is>
      </c>
      <c r="M4479" t="inlineStr">
        <is>
          <t>-219K1</t>
        </is>
      </c>
    </row>
    <row r="4480">
      <c r="A4480">
        <v>4479</v>
      </c>
      <c r="B4480">
        <f>GS02</f>
        <v>0</v>
      </c>
      <c r="C4480" t="inlineStr">
        <is>
          <t>+LS3</t>
        </is>
      </c>
      <c r="D4480" t="inlineStr">
        <is>
          <t>-219K1</t>
        </is>
      </c>
      <c r="E4480" t="inlineStr">
        <is>
          <t>DIL_0AM</t>
        </is>
      </c>
      <c r="F4480" t="inlineStr">
        <is>
          <t>22_DIL-M</t>
        </is>
      </c>
      <c r="G4480" t="inlineStr">
        <is>
          <t>LASTSCHUETZ</t>
        </is>
      </c>
      <c r="H4480" t="inlineStr">
        <is>
          <t>11 kW</t>
        </is>
      </c>
      <c r="I4480">
        <v>623</v>
      </c>
      <c r="J4480">
        <f>GS02/219.2</f>
        <v>0</v>
      </c>
      <c r="K4480" t="inlineStr">
        <is>
          <t>DIL0AM</t>
        </is>
      </c>
      <c r="M4480" t="inlineStr">
        <is>
          <t>-219K1</t>
        </is>
      </c>
    </row>
    <row r="4481">
      <c r="A4481">
        <v>4480</v>
      </c>
      <c r="B4481">
        <f>GS06</f>
        <v>0</v>
      </c>
      <c r="C4481" t="inlineStr">
        <is>
          <t>+LS03</t>
        </is>
      </c>
      <c r="D4481" t="inlineStr">
        <is>
          <t>-219K117.6</t>
        </is>
      </c>
      <c r="E4481" t="inlineStr">
        <is>
          <t>DILA-31</t>
        </is>
      </c>
      <c r="F4481" t="inlineStr">
        <is>
          <t>#KALK!</t>
        </is>
      </c>
      <c r="G4481" t="inlineStr">
        <is>
          <t>HILFSSCHUETZ</t>
        </is>
      </c>
      <c r="H4481" t="inlineStr">
        <is>
          <t>3S 1Oe Federzugkl.</t>
        </is>
      </c>
      <c r="I4481">
        <v>1791</v>
      </c>
      <c r="J4481">
        <f>GS06/219.6</f>
        <v>0</v>
      </c>
      <c r="M4481" t="inlineStr">
        <is>
          <t>-219K117.6</t>
        </is>
      </c>
    </row>
    <row r="4482">
      <c r="A4482">
        <v>4481</v>
      </c>
      <c r="B4482">
        <f>GS34</f>
        <v>0</v>
      </c>
      <c r="C4482" t="inlineStr">
        <is>
          <t>+LS4</t>
        </is>
      </c>
      <c r="D4482" t="inlineStr">
        <is>
          <t>-219K32.3</t>
        </is>
      </c>
      <c r="E4482" t="inlineStr">
        <is>
          <t>DIL_EM-10-G</t>
        </is>
      </c>
      <c r="F4482" t="inlineStr">
        <is>
          <t>#KALK!</t>
        </is>
      </c>
      <c r="G4482" t="inlineStr">
        <is>
          <t>LASTSCHUETZ</t>
        </is>
      </c>
      <c r="H4482" t="inlineStr">
        <is>
          <t>4kW 1S</t>
        </is>
      </c>
      <c r="I4482">
        <v>343</v>
      </c>
      <c r="J4482">
        <f>GS34/219.6</f>
        <v>0</v>
      </c>
      <c r="M4482" t="inlineStr">
        <is>
          <t>-219K32.3</t>
        </is>
      </c>
    </row>
    <row r="4483">
      <c r="A4483">
        <v>4482</v>
      </c>
      <c r="B4483">
        <f>GS34</f>
        <v>0</v>
      </c>
      <c r="C4483" t="inlineStr">
        <is>
          <t>+LS4</t>
        </is>
      </c>
      <c r="D4483" t="inlineStr">
        <is>
          <t>-219K32.4</t>
        </is>
      </c>
      <c r="E4483" t="inlineStr">
        <is>
          <t>DIL_EM-10-G</t>
        </is>
      </c>
      <c r="F4483" t="inlineStr">
        <is>
          <t>#KALK!</t>
        </is>
      </c>
      <c r="G4483" t="inlineStr">
        <is>
          <t>LASTSCHUETZ</t>
        </is>
      </c>
      <c r="H4483" t="inlineStr">
        <is>
          <t>4kW 1S</t>
        </is>
      </c>
      <c r="I4483">
        <v>343</v>
      </c>
      <c r="J4483">
        <f>GS34/219.6</f>
        <v>0</v>
      </c>
      <c r="M4483" t="inlineStr">
        <is>
          <t>-219K32.4</t>
        </is>
      </c>
    </row>
    <row r="4484">
      <c r="A4484">
        <v>4483</v>
      </c>
      <c r="B4484">
        <f>GS04</f>
        <v>0</v>
      </c>
      <c r="C4484" t="inlineStr">
        <is>
          <t>+LS4</t>
        </is>
      </c>
      <c r="D4484" t="inlineStr">
        <is>
          <t>-219K46.7</t>
        </is>
      </c>
      <c r="E4484" t="inlineStr">
        <is>
          <t>DIL_EM-10-G</t>
        </is>
      </c>
      <c r="F4484" t="inlineStr">
        <is>
          <t>#KALK!</t>
        </is>
      </c>
      <c r="G4484" t="inlineStr">
        <is>
          <t>LASTSCHUETZ</t>
        </is>
      </c>
      <c r="H4484" t="inlineStr">
        <is>
          <t>4kW 1S</t>
        </is>
      </c>
      <c r="I4484">
        <v>469</v>
      </c>
      <c r="J4484">
        <f>GS04/219.6</f>
        <v>0</v>
      </c>
      <c r="M4484" t="inlineStr">
        <is>
          <t>-219K46.7</t>
        </is>
      </c>
    </row>
    <row r="4485">
      <c r="A4485">
        <v>4484</v>
      </c>
      <c r="B4485">
        <f>GS94</f>
        <v>0</v>
      </c>
      <c r="C4485" t="inlineStr">
        <is>
          <t>+LS16</t>
        </is>
      </c>
      <c r="D4485" t="inlineStr">
        <is>
          <t>-219Q183.5</t>
        </is>
      </c>
      <c r="E4485" t="inlineStr">
        <is>
          <t>DILM-9-10</t>
        </is>
      </c>
      <c r="F4485" t="inlineStr">
        <is>
          <t>#KALK!</t>
        </is>
      </c>
      <c r="G4485" t="inlineStr">
        <is>
          <t>LASTSCHUETZ</t>
        </is>
      </c>
      <c r="H4485" t="inlineStr">
        <is>
          <t>4kW 1S Federzugkl.</t>
        </is>
      </c>
      <c r="I4485">
        <v>309</v>
      </c>
      <c r="J4485">
        <f>GS94/219.5</f>
        <v>0</v>
      </c>
      <c r="M4485" t="inlineStr">
        <is>
          <t>-219Q183.5</t>
        </is>
      </c>
    </row>
    <row r="4486">
      <c r="A4486">
        <v>4485</v>
      </c>
      <c r="B4486">
        <f>GS95</f>
        <v>0</v>
      </c>
      <c r="C4486" t="inlineStr">
        <is>
          <t>+LS16</t>
        </is>
      </c>
      <c r="D4486" t="inlineStr">
        <is>
          <t>-219Q183.5</t>
        </is>
      </c>
      <c r="E4486" t="inlineStr">
        <is>
          <t>DILM-9-10</t>
        </is>
      </c>
      <c r="F4486" t="inlineStr">
        <is>
          <t>#KALK!</t>
        </is>
      </c>
      <c r="G4486" t="inlineStr">
        <is>
          <t>LASTSCHUETZ</t>
        </is>
      </c>
      <c r="H4486" t="inlineStr">
        <is>
          <t>4kW 1S Federzugkl.</t>
        </is>
      </c>
      <c r="I4486">
        <v>309</v>
      </c>
      <c r="J4486">
        <f>GS95/219.5</f>
        <v>0</v>
      </c>
      <c r="M4486" t="inlineStr">
        <is>
          <t>-219Q183.5</t>
        </is>
      </c>
    </row>
    <row r="4487">
      <c r="A4487">
        <v>4486</v>
      </c>
      <c r="B4487">
        <f>GS96</f>
        <v>0</v>
      </c>
      <c r="C4487" t="inlineStr">
        <is>
          <t>+LS16</t>
        </is>
      </c>
      <c r="D4487" t="inlineStr">
        <is>
          <t>-219Q183.5</t>
        </is>
      </c>
      <c r="E4487" t="inlineStr">
        <is>
          <t>DILM-9-10</t>
        </is>
      </c>
      <c r="F4487" t="inlineStr">
        <is>
          <t>#KALK!</t>
        </is>
      </c>
      <c r="G4487" t="inlineStr">
        <is>
          <t>LASTSCHUETZ</t>
        </is>
      </c>
      <c r="H4487" t="inlineStr">
        <is>
          <t>4kW 1S Federzugkl.</t>
        </is>
      </c>
      <c r="I4487">
        <v>309</v>
      </c>
      <c r="J4487">
        <f>GS96/219.5</f>
        <v>0</v>
      </c>
      <c r="M4487" t="inlineStr">
        <is>
          <t>-219Q183.5</t>
        </is>
      </c>
    </row>
    <row r="4488">
      <c r="A4488">
        <v>4487</v>
      </c>
      <c r="B4488">
        <f>GS97</f>
        <v>0</v>
      </c>
      <c r="C4488" t="inlineStr">
        <is>
          <t>+LS16</t>
        </is>
      </c>
      <c r="D4488" t="inlineStr">
        <is>
          <t>-219Q183.5</t>
        </is>
      </c>
      <c r="E4488" t="inlineStr">
        <is>
          <t>DILM-9-10</t>
        </is>
      </c>
      <c r="F4488" t="inlineStr">
        <is>
          <t>#KALK!</t>
        </is>
      </c>
      <c r="G4488" t="inlineStr">
        <is>
          <t>LASTSCHUETZ</t>
        </is>
      </c>
      <c r="H4488" t="inlineStr">
        <is>
          <t>4kW 1S Federzugkl.</t>
        </is>
      </c>
      <c r="I4488">
        <v>309</v>
      </c>
      <c r="J4488">
        <f>GS97/219.5</f>
        <v>0</v>
      </c>
      <c r="M4488" t="inlineStr">
        <is>
          <t>-219Q183.5</t>
        </is>
      </c>
    </row>
    <row r="4489">
      <c r="A4489">
        <v>4488</v>
      </c>
      <c r="B4489">
        <f>GS08</f>
        <v>0</v>
      </c>
      <c r="C4489" t="inlineStr">
        <is>
          <t>+LS03</t>
        </is>
      </c>
      <c r="D4489" t="inlineStr">
        <is>
          <t>-219Q216.7</t>
        </is>
      </c>
      <c r="E4489" t="inlineStr">
        <is>
          <t>DILA-XHI22</t>
        </is>
      </c>
      <c r="F4489" t="inlineStr">
        <is>
          <t>DILA-XHI22</t>
        </is>
      </c>
      <c r="G4489" t="inlineStr">
        <is>
          <t>HILFSKONTAKTBLOCK</t>
        </is>
      </c>
      <c r="H4489" t="inlineStr">
        <is>
          <t>2S 2OE Last+Hilfssch. Cage</t>
        </is>
      </c>
      <c r="I4489">
        <v>473</v>
      </c>
      <c r="J4489">
        <f>GS08/219.6</f>
        <v>0</v>
      </c>
      <c r="M4489" t="inlineStr">
        <is>
          <t>-219Q216.7</t>
        </is>
      </c>
    </row>
    <row r="4490">
      <c r="A4490">
        <v>4489</v>
      </c>
      <c r="B4490">
        <f>GS08</f>
        <v>0</v>
      </c>
      <c r="C4490" t="inlineStr">
        <is>
          <t>+LS03</t>
        </is>
      </c>
      <c r="D4490" t="inlineStr">
        <is>
          <t>-219Q216.7</t>
        </is>
      </c>
      <c r="E4490" t="inlineStr">
        <is>
          <t>DILM-9-01</t>
        </is>
      </c>
      <c r="F4490" t="inlineStr">
        <is>
          <t>DILA-XHI22</t>
        </is>
      </c>
      <c r="G4490" t="inlineStr">
        <is>
          <t>LASTSCHUETZ</t>
        </is>
      </c>
      <c r="H4490" t="inlineStr">
        <is>
          <t>4kW 1Oe Federzugkl.</t>
        </is>
      </c>
      <c r="I4490">
        <v>473</v>
      </c>
      <c r="J4490">
        <f>GS08/219.6</f>
        <v>0</v>
      </c>
      <c r="M4490" t="inlineStr">
        <is>
          <t>-219Q216.7</t>
        </is>
      </c>
    </row>
    <row r="4491">
      <c r="A4491">
        <v>4490</v>
      </c>
      <c r="B4491">
        <f>GS08</f>
        <v>0</v>
      </c>
      <c r="C4491" t="inlineStr">
        <is>
          <t>+LS03</t>
        </is>
      </c>
      <c r="D4491" t="inlineStr">
        <is>
          <t>-219Q217.0</t>
        </is>
      </c>
      <c r="E4491" t="inlineStr">
        <is>
          <t>DILA-XHI22</t>
        </is>
      </c>
      <c r="F4491" t="inlineStr">
        <is>
          <t>DILA-XHI22</t>
        </is>
      </c>
      <c r="G4491" t="inlineStr">
        <is>
          <t>HILFSKONTAKTBLOCK</t>
        </is>
      </c>
      <c r="H4491" t="inlineStr">
        <is>
          <t>2S 2OE Last+Hilfssch. Cage</t>
        </is>
      </c>
      <c r="I4491">
        <v>473</v>
      </c>
      <c r="J4491">
        <f>GS08/219.7</f>
        <v>0</v>
      </c>
      <c r="M4491" t="inlineStr">
        <is>
          <t>-219Q217.0</t>
        </is>
      </c>
    </row>
    <row r="4492">
      <c r="A4492">
        <v>4491</v>
      </c>
      <c r="B4492">
        <f>GS08</f>
        <v>0</v>
      </c>
      <c r="C4492" t="inlineStr">
        <is>
          <t>+LS03</t>
        </is>
      </c>
      <c r="D4492" t="inlineStr">
        <is>
          <t>-219Q217.0</t>
        </is>
      </c>
      <c r="E4492" t="inlineStr">
        <is>
          <t>DILM-9-01</t>
        </is>
      </c>
      <c r="F4492" t="inlineStr">
        <is>
          <t>DILA-XHI22</t>
        </is>
      </c>
      <c r="G4492" t="inlineStr">
        <is>
          <t>LASTSCHUETZ</t>
        </is>
      </c>
      <c r="H4492" t="inlineStr">
        <is>
          <t>4kW 1Oe Federzugkl.</t>
        </is>
      </c>
      <c r="I4492">
        <v>473</v>
      </c>
      <c r="J4492">
        <f>GS08/219.7</f>
        <v>0</v>
      </c>
      <c r="M4492" t="inlineStr">
        <is>
          <t>-219Q217.0</t>
        </is>
      </c>
    </row>
    <row r="4493">
      <c r="A4493">
        <v>4492</v>
      </c>
      <c r="B4493">
        <f>GS38</f>
        <v>0</v>
      </c>
      <c r="C4493" t="inlineStr">
        <is>
          <t>+LS04</t>
        </is>
      </c>
      <c r="D4493" t="inlineStr">
        <is>
          <t>-219Q404.1</t>
        </is>
      </c>
      <c r="E4493" t="inlineStr">
        <is>
          <t>DILM-9-10</t>
        </is>
      </c>
      <c r="F4493" t="inlineStr">
        <is>
          <t>#KALK!</t>
        </is>
      </c>
      <c r="G4493" t="inlineStr">
        <is>
          <t>LASTSCHUETZ</t>
        </is>
      </c>
      <c r="H4493" t="inlineStr">
        <is>
          <t>4kW 1S Federzugkl.</t>
        </is>
      </c>
      <c r="I4493">
        <v>389</v>
      </c>
      <c r="J4493">
        <f>GS38/219.6</f>
        <v>0</v>
      </c>
      <c r="M4493" t="inlineStr">
        <is>
          <t>-219Q404.1</t>
        </is>
      </c>
    </row>
    <row r="4494">
      <c r="A4494">
        <v>4493</v>
      </c>
      <c r="B4494">
        <f>GS39</f>
        <v>0</v>
      </c>
      <c r="C4494" t="inlineStr">
        <is>
          <t>+LS04</t>
        </is>
      </c>
      <c r="D4494" t="inlineStr">
        <is>
          <t>-219Q404.1</t>
        </is>
      </c>
      <c r="E4494" t="inlineStr">
        <is>
          <t>DILM-9-10</t>
        </is>
      </c>
      <c r="F4494" t="inlineStr">
        <is>
          <t>#KALK!</t>
        </is>
      </c>
      <c r="G4494" t="inlineStr">
        <is>
          <t>LASTSCHUETZ</t>
        </is>
      </c>
      <c r="H4494" t="inlineStr">
        <is>
          <t>4kW 1S Federzugkl.</t>
        </is>
      </c>
      <c r="I4494">
        <v>414</v>
      </c>
      <c r="J4494">
        <f>GS39/219.6</f>
        <v>0</v>
      </c>
      <c r="M4494" t="inlineStr">
        <is>
          <t>-219Q404.1</t>
        </is>
      </c>
    </row>
    <row r="4495">
      <c r="A4495">
        <v>4494</v>
      </c>
      <c r="B4495">
        <f>EPP</f>
        <v>0</v>
      </c>
      <c r="C4495" t="inlineStr">
        <is>
          <t>+LS</t>
        </is>
      </c>
      <c r="D4495" t="inlineStr">
        <is>
          <t>-21K1</t>
        </is>
      </c>
      <c r="E4495" t="inlineStr">
        <is>
          <t>DIL_EM-10-G</t>
        </is>
      </c>
      <c r="F4495" t="inlineStr">
        <is>
          <t>22_DIL-E</t>
        </is>
      </c>
      <c r="G4495" t="inlineStr">
        <is>
          <t>LASTSCHUETZ</t>
        </is>
      </c>
      <c r="H4495" t="inlineStr">
        <is>
          <t>4kW 1S</t>
        </is>
      </c>
      <c r="I4495">
        <v>119</v>
      </c>
      <c r="J4495">
        <f>EPP/21.7</f>
        <v>0</v>
      </c>
      <c r="M4495" t="inlineStr">
        <is>
          <t>-21K1</t>
        </is>
      </c>
    </row>
    <row r="4496">
      <c r="A4496">
        <v>4495</v>
      </c>
      <c r="B4496">
        <f>EPP</f>
        <v>0</v>
      </c>
      <c r="C4496" t="inlineStr">
        <is>
          <t>+LS</t>
        </is>
      </c>
      <c r="D4496" t="inlineStr">
        <is>
          <t>-21K1</t>
        </is>
      </c>
      <c r="E4496" t="inlineStr">
        <is>
          <t>22_DIL-E</t>
        </is>
      </c>
      <c r="F4496" t="inlineStr">
        <is>
          <t>22_DIL-E</t>
        </is>
      </c>
      <c r="G4496" t="inlineStr">
        <is>
          <t>HILFSKONTAKTBLOCK</t>
        </is>
      </c>
      <c r="H4496" t="inlineStr">
        <is>
          <t>2S 2OE Last+Hilfsschuetz</t>
        </is>
      </c>
      <c r="I4496">
        <v>119</v>
      </c>
      <c r="J4496">
        <f>EPP/21.7</f>
        <v>0</v>
      </c>
      <c r="M4496" t="inlineStr">
        <is>
          <t>-21K1</t>
        </is>
      </c>
    </row>
    <row r="4497">
      <c r="A4497">
        <v>4496</v>
      </c>
      <c r="B4497">
        <f>GS45</f>
        <v>0</v>
      </c>
      <c r="C4497" t="inlineStr">
        <is>
          <t>+LS</t>
        </is>
      </c>
      <c r="D4497" t="inlineStr">
        <is>
          <t>-21Q2</t>
        </is>
      </c>
      <c r="E4497" t="inlineStr">
        <is>
          <t>DILM-9-10</t>
        </is>
      </c>
      <c r="F4497" t="inlineStr">
        <is>
          <t>#KALK!</t>
        </is>
      </c>
      <c r="G4497" t="inlineStr">
        <is>
          <t>LASTSCHUETZ</t>
        </is>
      </c>
      <c r="H4497" t="inlineStr">
        <is>
          <t>4kW 1S Federzugkl.</t>
        </is>
      </c>
      <c r="I4497">
        <v>168</v>
      </c>
      <c r="J4497">
        <f>GS45/21.8</f>
        <v>0</v>
      </c>
      <c r="M4497" t="inlineStr">
        <is>
          <t>-21Q2</t>
        </is>
      </c>
    </row>
    <row r="4498">
      <c r="A4498">
        <v>4497</v>
      </c>
      <c r="B4498">
        <f>GS66</f>
        <v>0</v>
      </c>
      <c r="C4498" t="inlineStr">
        <is>
          <t>+LS[ll]</t>
        </is>
      </c>
      <c r="D4498" t="inlineStr">
        <is>
          <t>-21Q2</t>
        </is>
      </c>
      <c r="E4498" t="inlineStr">
        <is>
          <t>DILM-9-10</t>
        </is>
      </c>
      <c r="F4498" t="inlineStr">
        <is>
          <t>#KALK!</t>
        </is>
      </c>
      <c r="G4498" t="inlineStr">
        <is>
          <t>LASTSCHUETZ</t>
        </is>
      </c>
      <c r="H4498" t="inlineStr">
        <is>
          <t>4kW 1S Federzugkl.</t>
        </is>
      </c>
      <c r="I4498">
        <v>160</v>
      </c>
      <c r="J4498">
        <f>GS66/21.5</f>
        <v>0</v>
      </c>
      <c r="M4498" t="inlineStr">
        <is>
          <t>-21Q2</t>
        </is>
      </c>
    </row>
    <row r="4499">
      <c r="A4499">
        <v>4498</v>
      </c>
      <c r="B4499">
        <f>GS8x</f>
        <v>0</v>
      </c>
      <c r="C4499" t="inlineStr">
        <is>
          <t>+LS</t>
        </is>
      </c>
      <c r="D4499" t="inlineStr">
        <is>
          <t>-21Q2</t>
        </is>
      </c>
      <c r="E4499" t="inlineStr">
        <is>
          <t>DILM-9-10</t>
        </is>
      </c>
      <c r="F4499" t="inlineStr">
        <is>
          <t>#KALK!</t>
        </is>
      </c>
      <c r="G4499" t="inlineStr">
        <is>
          <t>LASTSCHUETZ</t>
        </is>
      </c>
      <c r="H4499" t="inlineStr">
        <is>
          <t>4kW 1S Federzugkl.</t>
        </is>
      </c>
      <c r="I4499">
        <v>195</v>
      </c>
      <c r="J4499">
        <f>GS8x/21.5</f>
        <v>0</v>
      </c>
      <c r="M4499" t="inlineStr">
        <is>
          <t>-21Q2</t>
        </is>
      </c>
    </row>
    <row r="4500">
      <c r="A4500">
        <v>4499</v>
      </c>
      <c r="B4500">
        <f>GS06</f>
        <v>0</v>
      </c>
      <c r="C4500" t="inlineStr">
        <is>
          <t>+LS03</t>
        </is>
      </c>
      <c r="D4500" t="inlineStr">
        <is>
          <t>-220K1</t>
        </is>
      </c>
      <c r="E4500" t="inlineStr">
        <is>
          <t>DILM-9-01</t>
        </is>
      </c>
      <c r="F4500" t="inlineStr">
        <is>
          <t>#KALK!</t>
        </is>
      </c>
      <c r="G4500" t="inlineStr">
        <is>
          <t>LASTSCHUETZ</t>
        </is>
      </c>
      <c r="H4500" t="inlineStr">
        <is>
          <t>4kW 1Oe Federzugkl.</t>
        </is>
      </c>
      <c r="I4500">
        <v>1372</v>
      </c>
      <c r="J4500">
        <f>GS06/220.6</f>
        <v>0</v>
      </c>
      <c r="M4500" t="inlineStr">
        <is>
          <t>-220K1</t>
        </is>
      </c>
    </row>
    <row r="4501">
      <c r="A4501">
        <v>4500</v>
      </c>
      <c r="B4501">
        <f>GS25</f>
        <v>0</v>
      </c>
      <c r="C4501" t="inlineStr">
        <is>
          <t>+LS5</t>
        </is>
      </c>
      <c r="D4501" t="inlineStr">
        <is>
          <t>-220K1</t>
        </is>
      </c>
      <c r="E4501" t="inlineStr">
        <is>
          <t>DIL_0AM</t>
        </is>
      </c>
      <c r="F4501" t="inlineStr">
        <is>
          <t>22_DIL-M</t>
        </is>
      </c>
      <c r="G4501" t="inlineStr">
        <is>
          <t>LASTSCHUETZ</t>
        </is>
      </c>
      <c r="H4501" t="inlineStr">
        <is>
          <t>11 kW</t>
        </is>
      </c>
      <c r="I4501">
        <v>341</v>
      </c>
      <c r="J4501">
        <f>GS25/220.2</f>
        <v>0</v>
      </c>
      <c r="K4501" t="inlineStr">
        <is>
          <t>DIL0AM</t>
        </is>
      </c>
      <c r="M4501" t="inlineStr">
        <is>
          <t>-220K1</t>
        </is>
      </c>
    </row>
    <row r="4502">
      <c r="A4502">
        <v>4501</v>
      </c>
      <c r="B4502">
        <f>GS25</f>
        <v>0</v>
      </c>
      <c r="C4502" t="inlineStr">
        <is>
          <t>+LS5</t>
        </is>
      </c>
      <c r="D4502" t="inlineStr">
        <is>
          <t>-220K1</t>
        </is>
      </c>
      <c r="E4502" t="inlineStr">
        <is>
          <t>22_DIL-M</t>
        </is>
      </c>
      <c r="F4502" t="inlineStr">
        <is>
          <t>22_DIL-M</t>
        </is>
      </c>
      <c r="G4502" t="inlineStr">
        <is>
          <t>HILFSKONTAKTBLOCK</t>
        </is>
      </c>
      <c r="H4502" t="inlineStr">
        <is>
          <t>2S 2OE Lastschuetz DIL M</t>
        </is>
      </c>
      <c r="I4502">
        <v>341</v>
      </c>
      <c r="J4502">
        <f>GS25/220.2</f>
        <v>0</v>
      </c>
      <c r="K4502" t="inlineStr">
        <is>
          <t>DIL0AM</t>
        </is>
      </c>
      <c r="M4502" t="inlineStr">
        <is>
          <t>-220K1</t>
        </is>
      </c>
    </row>
    <row r="4503">
      <c r="A4503">
        <v>4502</v>
      </c>
      <c r="B4503">
        <f>GS31</f>
        <v>0</v>
      </c>
      <c r="C4503" t="inlineStr">
        <is>
          <t>+LS3</t>
        </is>
      </c>
      <c r="D4503" t="inlineStr">
        <is>
          <t>-220K1</t>
        </is>
      </c>
      <c r="E4503" t="inlineStr">
        <is>
          <t>DILM-9-10</t>
        </is>
      </c>
      <c r="F4503" t="inlineStr">
        <is>
          <t>DILA-XHI22</t>
        </is>
      </c>
      <c r="G4503" t="inlineStr">
        <is>
          <t>LASTSCHUETZ</t>
        </is>
      </c>
      <c r="H4503" t="inlineStr">
        <is>
          <t>4kW 1S Federzugkl.</t>
        </is>
      </c>
      <c r="I4503">
        <v>507</v>
      </c>
      <c r="J4503">
        <f>GS31/220.5</f>
        <v>0</v>
      </c>
      <c r="M4503" t="inlineStr">
        <is>
          <t>-220K1</t>
        </is>
      </c>
    </row>
    <row r="4504">
      <c r="A4504">
        <v>4503</v>
      </c>
      <c r="B4504">
        <f>GS31</f>
        <v>0</v>
      </c>
      <c r="C4504" t="inlineStr">
        <is>
          <t>+LS3</t>
        </is>
      </c>
      <c r="D4504" t="inlineStr">
        <is>
          <t>-220K1</t>
        </is>
      </c>
      <c r="E4504" t="inlineStr">
        <is>
          <t>DILA-XHI22</t>
        </is>
      </c>
      <c r="F4504" t="inlineStr">
        <is>
          <t>DILA-XHI22</t>
        </is>
      </c>
      <c r="G4504" t="inlineStr">
        <is>
          <t>HILFSKONTAKTBLOCK</t>
        </is>
      </c>
      <c r="H4504" t="inlineStr">
        <is>
          <t>2S 2OE Last+Hilfssch. Cage</t>
        </is>
      </c>
      <c r="I4504">
        <v>507</v>
      </c>
      <c r="J4504">
        <f>GS31/220.5</f>
        <v>0</v>
      </c>
      <c r="M4504" t="inlineStr">
        <is>
          <t>-220K1</t>
        </is>
      </c>
    </row>
    <row r="4505">
      <c r="A4505">
        <v>4504</v>
      </c>
      <c r="B4505">
        <f>GS32</f>
        <v>0</v>
      </c>
      <c r="C4505" t="inlineStr">
        <is>
          <t>+LS5</t>
        </is>
      </c>
      <c r="D4505" t="inlineStr">
        <is>
          <t>-220K1</t>
        </is>
      </c>
      <c r="E4505" t="inlineStr">
        <is>
          <t>22_DIL-M</t>
        </is>
      </c>
      <c r="F4505" t="inlineStr">
        <is>
          <t>22_DIL-M</t>
        </is>
      </c>
      <c r="G4505" t="inlineStr">
        <is>
          <t>HILFSKONTAKTBLOCK</t>
        </is>
      </c>
      <c r="H4505" t="inlineStr">
        <is>
          <t>2S 2OE Lastschuetz DIL M</t>
        </is>
      </c>
      <c r="I4505">
        <v>1410</v>
      </c>
      <c r="J4505">
        <f>GS32/220.2</f>
        <v>0</v>
      </c>
      <c r="K4505" t="inlineStr">
        <is>
          <t>DIL0AM</t>
        </is>
      </c>
      <c r="M4505" t="inlineStr">
        <is>
          <t>-220K1</t>
        </is>
      </c>
    </row>
    <row r="4506">
      <c r="A4506">
        <v>4505</v>
      </c>
      <c r="B4506">
        <f>GS32</f>
        <v>0</v>
      </c>
      <c r="C4506" t="inlineStr">
        <is>
          <t>+LS5</t>
        </is>
      </c>
      <c r="D4506" t="inlineStr">
        <is>
          <t>-220K1</t>
        </is>
      </c>
      <c r="E4506" t="inlineStr">
        <is>
          <t>DIL_0AM</t>
        </is>
      </c>
      <c r="F4506" t="inlineStr">
        <is>
          <t>22_DIL-M</t>
        </is>
      </c>
      <c r="G4506" t="inlineStr">
        <is>
          <t>LASTSCHUETZ</t>
        </is>
      </c>
      <c r="H4506" t="inlineStr">
        <is>
          <t>11 kW</t>
        </is>
      </c>
      <c r="I4506">
        <v>1410</v>
      </c>
      <c r="J4506">
        <f>GS32/220.2</f>
        <v>0</v>
      </c>
      <c r="K4506" t="inlineStr">
        <is>
          <t>DIL0AM</t>
        </is>
      </c>
      <c r="M4506" t="inlineStr">
        <is>
          <t>-220K1</t>
        </is>
      </c>
    </row>
    <row r="4507">
      <c r="A4507">
        <v>4506</v>
      </c>
      <c r="B4507">
        <f>GS90</f>
        <v>0</v>
      </c>
      <c r="C4507" t="inlineStr">
        <is>
          <t>+LS03</t>
        </is>
      </c>
      <c r="D4507" t="inlineStr">
        <is>
          <t>-220K162.0</t>
        </is>
      </c>
      <c r="E4507" t="inlineStr">
        <is>
          <t>DILA-40</t>
        </is>
      </c>
      <c r="F4507" t="inlineStr">
        <is>
          <t>#KALK!</t>
        </is>
      </c>
      <c r="G4507" t="inlineStr">
        <is>
          <t>HILFSSCHUETZ</t>
        </is>
      </c>
      <c r="H4507" t="inlineStr">
        <is>
          <t>4S Federzugkl.</t>
        </is>
      </c>
      <c r="I4507">
        <v>1024</v>
      </c>
      <c r="J4507">
        <f>GS90/220.7</f>
        <v>0</v>
      </c>
      <c r="M4507" t="inlineStr">
        <is>
          <t>-220K162.0</t>
        </is>
      </c>
    </row>
    <row r="4508">
      <c r="A4508">
        <v>4507</v>
      </c>
      <c r="B4508">
        <f>GS06</f>
        <v>0</v>
      </c>
      <c r="C4508" t="inlineStr">
        <is>
          <t>+LS03</t>
        </is>
      </c>
      <c r="D4508" t="inlineStr">
        <is>
          <t>-220K2</t>
        </is>
      </c>
      <c r="E4508" t="inlineStr">
        <is>
          <t>DILM-9-01</t>
        </is>
      </c>
      <c r="F4508" t="inlineStr">
        <is>
          <t>#KALK!</t>
        </is>
      </c>
      <c r="G4508" t="inlineStr">
        <is>
          <t>LASTSCHUETZ</t>
        </is>
      </c>
      <c r="H4508" t="inlineStr">
        <is>
          <t>4kW 1Oe Federzugkl.</t>
        </is>
      </c>
      <c r="I4508">
        <v>1372</v>
      </c>
      <c r="J4508">
        <f>GS06/220.7</f>
        <v>0</v>
      </c>
      <c r="M4508" t="inlineStr">
        <is>
          <t>-220K2</t>
        </is>
      </c>
    </row>
    <row r="4509">
      <c r="A4509">
        <v>4508</v>
      </c>
      <c r="B4509">
        <f>GS31</f>
        <v>0</v>
      </c>
      <c r="C4509" t="inlineStr">
        <is>
          <t>+LS3</t>
        </is>
      </c>
      <c r="D4509" t="inlineStr">
        <is>
          <t>-220K2</t>
        </is>
      </c>
      <c r="E4509" t="inlineStr">
        <is>
          <t>DILM-9-10</t>
        </is>
      </c>
      <c r="F4509" t="inlineStr">
        <is>
          <t>DILA-XHI22</t>
        </is>
      </c>
      <c r="G4509" t="inlineStr">
        <is>
          <t>LASTSCHUETZ</t>
        </is>
      </c>
      <c r="H4509" t="inlineStr">
        <is>
          <t>4kW 1S Federzugkl.</t>
        </is>
      </c>
      <c r="I4509">
        <v>507</v>
      </c>
      <c r="J4509">
        <f>GS31/220.6</f>
        <v>0</v>
      </c>
      <c r="M4509" t="inlineStr">
        <is>
          <t>-220K2</t>
        </is>
      </c>
    </row>
    <row r="4510">
      <c r="A4510">
        <v>4509</v>
      </c>
      <c r="B4510">
        <f>GS31</f>
        <v>0</v>
      </c>
      <c r="C4510" t="inlineStr">
        <is>
          <t>+LS3</t>
        </is>
      </c>
      <c r="D4510" t="inlineStr">
        <is>
          <t>-220K2</t>
        </is>
      </c>
      <c r="E4510" t="inlineStr">
        <is>
          <t>DILA-XHI22</t>
        </is>
      </c>
      <c r="F4510" t="inlineStr">
        <is>
          <t>DILA-XHI22</t>
        </is>
      </c>
      <c r="G4510" t="inlineStr">
        <is>
          <t>HILFSKONTAKTBLOCK</t>
        </is>
      </c>
      <c r="H4510" t="inlineStr">
        <is>
          <t>2S 2OE Last+Hilfssch. Cage</t>
        </is>
      </c>
      <c r="I4510">
        <v>507</v>
      </c>
      <c r="J4510">
        <f>GS31/220.6</f>
        <v>0</v>
      </c>
      <c r="M4510" t="inlineStr">
        <is>
          <t>-220K2</t>
        </is>
      </c>
    </row>
    <row r="4511">
      <c r="A4511">
        <v>4510</v>
      </c>
      <c r="B4511">
        <f>GS33</f>
        <v>0</v>
      </c>
      <c r="C4511" t="inlineStr">
        <is>
          <t>+LS4</t>
        </is>
      </c>
      <c r="D4511" t="inlineStr">
        <is>
          <t>-220K31.0</t>
        </is>
      </c>
      <c r="E4511" t="inlineStr">
        <is>
          <t>DIL_EM-10-G</t>
        </is>
      </c>
      <c r="F4511" t="inlineStr">
        <is>
          <t>#KALK!</t>
        </is>
      </c>
      <c r="G4511" t="inlineStr">
        <is>
          <t>LASTSCHUETZ</t>
        </is>
      </c>
      <c r="H4511" t="inlineStr">
        <is>
          <t>4kW 1S</t>
        </is>
      </c>
      <c r="I4511">
        <v>659</v>
      </c>
      <c r="J4511">
        <f>GS33/220.6</f>
        <v>0</v>
      </c>
      <c r="M4511" t="inlineStr">
        <is>
          <t>-220K31.0</t>
        </is>
      </c>
    </row>
    <row r="4512">
      <c r="A4512">
        <v>4511</v>
      </c>
      <c r="B4512">
        <f>GS34</f>
        <v>0</v>
      </c>
      <c r="C4512" t="inlineStr">
        <is>
          <t>+LS4</t>
        </is>
      </c>
      <c r="D4512" t="inlineStr">
        <is>
          <t>-220K32.5</t>
        </is>
      </c>
      <c r="E4512" t="inlineStr">
        <is>
          <t>DIL_EM-10-G</t>
        </is>
      </c>
      <c r="F4512" t="inlineStr">
        <is>
          <t>#KALK!</t>
        </is>
      </c>
      <c r="G4512" t="inlineStr">
        <is>
          <t>LASTSCHUETZ</t>
        </is>
      </c>
      <c r="H4512" t="inlineStr">
        <is>
          <t>4kW 1S</t>
        </is>
      </c>
      <c r="I4512">
        <v>344</v>
      </c>
      <c r="J4512">
        <f>GS34/220.6</f>
        <v>0</v>
      </c>
      <c r="M4512" t="inlineStr">
        <is>
          <t>-220K32.5</t>
        </is>
      </c>
    </row>
    <row r="4513">
      <c r="A4513">
        <v>4512</v>
      </c>
      <c r="B4513">
        <f>GS34</f>
        <v>0</v>
      </c>
      <c r="C4513" t="inlineStr">
        <is>
          <t>+LS4</t>
        </is>
      </c>
      <c r="D4513" t="inlineStr">
        <is>
          <t>-220K32.6</t>
        </is>
      </c>
      <c r="E4513" t="inlineStr">
        <is>
          <t>DIL_EM-10-G</t>
        </is>
      </c>
      <c r="F4513" t="inlineStr">
        <is>
          <t>#KALK!</t>
        </is>
      </c>
      <c r="G4513" t="inlineStr">
        <is>
          <t>LASTSCHUETZ</t>
        </is>
      </c>
      <c r="H4513" t="inlineStr">
        <is>
          <t>4kW 1S</t>
        </is>
      </c>
      <c r="I4513">
        <v>344</v>
      </c>
      <c r="J4513">
        <f>GS34/220.6</f>
        <v>0</v>
      </c>
      <c r="M4513" t="inlineStr">
        <is>
          <t>-220K32.6</t>
        </is>
      </c>
    </row>
    <row r="4514">
      <c r="A4514">
        <v>4513</v>
      </c>
      <c r="B4514">
        <f>GS02</f>
        <v>0</v>
      </c>
      <c r="C4514" t="inlineStr">
        <is>
          <t>+LS3</t>
        </is>
      </c>
      <c r="D4514" t="inlineStr">
        <is>
          <t>-220K34.5</t>
        </is>
      </c>
      <c r="E4514" t="inlineStr">
        <is>
          <t>DIL_EM-10-G</t>
        </is>
      </c>
      <c r="F4514" t="inlineStr">
        <is>
          <t>#KALK!</t>
        </is>
      </c>
      <c r="G4514" t="inlineStr">
        <is>
          <t>LASTSCHUETZ</t>
        </is>
      </c>
      <c r="H4514" t="inlineStr">
        <is>
          <t>4kW 1S</t>
        </is>
      </c>
      <c r="I4514">
        <v>624</v>
      </c>
      <c r="J4514">
        <f>GS02/220.7</f>
        <v>0</v>
      </c>
      <c r="M4514" t="inlineStr">
        <is>
          <t>-220K34.5</t>
        </is>
      </c>
    </row>
    <row r="4515">
      <c r="A4515">
        <v>4514</v>
      </c>
      <c r="B4515">
        <f>GS04</f>
        <v>0</v>
      </c>
      <c r="C4515" t="inlineStr">
        <is>
          <t>+LS4</t>
        </is>
      </c>
      <c r="D4515" t="inlineStr">
        <is>
          <t>-220K47.0</t>
        </is>
      </c>
      <c r="E4515" t="inlineStr">
        <is>
          <t>DIL_EM-10-G</t>
        </is>
      </c>
      <c r="F4515" t="inlineStr">
        <is>
          <t>#KALK!</t>
        </is>
      </c>
      <c r="G4515" t="inlineStr">
        <is>
          <t>LASTSCHUETZ</t>
        </is>
      </c>
      <c r="H4515" t="inlineStr">
        <is>
          <t>4kW 1S</t>
        </is>
      </c>
      <c r="I4515">
        <v>470</v>
      </c>
      <c r="J4515">
        <f>GS04/220.6</f>
        <v>0</v>
      </c>
      <c r="M4515" t="inlineStr">
        <is>
          <t>-220K47.0</t>
        </is>
      </c>
    </row>
    <row r="4516">
      <c r="A4516">
        <v>4515</v>
      </c>
      <c r="B4516">
        <f>GS04</f>
        <v>0</v>
      </c>
      <c r="C4516" t="inlineStr">
        <is>
          <t>+LS4</t>
        </is>
      </c>
      <c r="D4516" t="inlineStr">
        <is>
          <t>-220K47.1</t>
        </is>
      </c>
      <c r="E4516" t="inlineStr">
        <is>
          <t>DIL_EM-10-G</t>
        </is>
      </c>
      <c r="F4516" t="inlineStr">
        <is>
          <t>#KALK!</t>
        </is>
      </c>
      <c r="G4516" t="inlineStr">
        <is>
          <t>LASTSCHUETZ</t>
        </is>
      </c>
      <c r="H4516" t="inlineStr">
        <is>
          <t>4kW 1S</t>
        </is>
      </c>
      <c r="I4516">
        <v>470</v>
      </c>
      <c r="J4516">
        <f>GS04/220.6</f>
        <v>0</v>
      </c>
      <c r="M4516" t="inlineStr">
        <is>
          <t>-220K47.1</t>
        </is>
      </c>
    </row>
    <row r="4517">
      <c r="A4517">
        <v>4516</v>
      </c>
      <c r="B4517">
        <f>GS33</f>
        <v>0</v>
      </c>
      <c r="C4517" t="inlineStr">
        <is>
          <t>+LS4</t>
        </is>
      </c>
      <c r="D4517" t="inlineStr">
        <is>
          <t>-220K55.0</t>
        </is>
      </c>
      <c r="E4517" t="inlineStr">
        <is>
          <t>DIL_EM-10-G</t>
        </is>
      </c>
      <c r="F4517" t="inlineStr">
        <is>
          <t>#KALK!</t>
        </is>
      </c>
      <c r="G4517" t="inlineStr">
        <is>
          <t>LASTSCHUETZ</t>
        </is>
      </c>
      <c r="H4517" t="inlineStr">
        <is>
          <t>4kW 1S</t>
        </is>
      </c>
      <c r="I4517">
        <v>659</v>
      </c>
      <c r="J4517">
        <f>GS33/220.6</f>
        <v>0</v>
      </c>
      <c r="M4517" t="inlineStr">
        <is>
          <t>-220K55.0</t>
        </is>
      </c>
    </row>
    <row r="4518">
      <c r="A4518">
        <v>4517</v>
      </c>
      <c r="B4518">
        <f>GS90</f>
        <v>0</v>
      </c>
      <c r="C4518" t="inlineStr">
        <is>
          <t>+LS03</t>
        </is>
      </c>
      <c r="D4518" t="inlineStr">
        <is>
          <t>-220Q1</t>
        </is>
      </c>
      <c r="E4518" t="inlineStr">
        <is>
          <t>DILA-XHI22</t>
        </is>
      </c>
      <c r="F4518" t="inlineStr">
        <is>
          <t>DILA-XHI22</t>
        </is>
      </c>
      <c r="G4518" t="inlineStr">
        <is>
          <t>HILFSKONTAKTBLOCK</t>
        </is>
      </c>
      <c r="H4518" t="inlineStr">
        <is>
          <t>2S 2OE Last+Hilfssch. Cage</t>
        </is>
      </c>
      <c r="I4518">
        <v>1024</v>
      </c>
      <c r="J4518">
        <f>GS90/220.4</f>
        <v>0</v>
      </c>
      <c r="K4518" t="inlineStr">
        <is>
          <t>DIL MC25</t>
        </is>
      </c>
      <c r="M4518" t="inlineStr">
        <is>
          <t>-220Q1</t>
        </is>
      </c>
    </row>
    <row r="4519">
      <c r="A4519">
        <v>4518</v>
      </c>
      <c r="B4519">
        <f>GS90</f>
        <v>0</v>
      </c>
      <c r="C4519" t="inlineStr">
        <is>
          <t>+LS03</t>
        </is>
      </c>
      <c r="D4519" t="inlineStr">
        <is>
          <t>-220Q1</t>
        </is>
      </c>
      <c r="E4519" t="inlineStr">
        <is>
          <t>DILMC25-10(RDC24)</t>
        </is>
      </c>
      <c r="F4519" t="inlineStr">
        <is>
          <t>DILA-XHI22</t>
        </is>
      </c>
      <c r="G4519" t="inlineStr">
        <is>
          <t>LASTSCHUETZ</t>
        </is>
      </c>
      <c r="H4519" t="inlineStr">
        <is>
          <t>11kW 1S Federzugkl.</t>
        </is>
      </c>
      <c r="I4519">
        <v>1024</v>
      </c>
      <c r="J4519">
        <f>GS90/220.4</f>
        <v>0</v>
      </c>
      <c r="K4519" t="inlineStr">
        <is>
          <t>DIL MC25</t>
        </is>
      </c>
      <c r="M4519" t="inlineStr">
        <is>
          <t>-220Q1</t>
        </is>
      </c>
    </row>
    <row r="4520">
      <c r="A4520">
        <v>4519</v>
      </c>
      <c r="B4520">
        <f>GS38</f>
        <v>0</v>
      </c>
      <c r="C4520" t="inlineStr">
        <is>
          <t>+LS04</t>
        </is>
      </c>
      <c r="D4520" t="inlineStr">
        <is>
          <t>-220Q404.3</t>
        </is>
      </c>
      <c r="E4520" t="inlineStr">
        <is>
          <t>DILM-9-10</t>
        </is>
      </c>
      <c r="F4520" t="inlineStr">
        <is>
          <t>#KALK!</t>
        </is>
      </c>
      <c r="G4520" t="inlineStr">
        <is>
          <t>LASTSCHUETZ</t>
        </is>
      </c>
      <c r="H4520" t="inlineStr">
        <is>
          <t>4kW 1S Federzugkl.</t>
        </is>
      </c>
      <c r="I4520">
        <v>390</v>
      </c>
      <c r="J4520">
        <f>GS38/220.6</f>
        <v>0</v>
      </c>
      <c r="M4520" t="inlineStr">
        <is>
          <t>-220Q404.3</t>
        </is>
      </c>
    </row>
    <row r="4521">
      <c r="A4521">
        <v>4520</v>
      </c>
      <c r="B4521">
        <f>GS39</f>
        <v>0</v>
      </c>
      <c r="C4521" t="inlineStr">
        <is>
          <t>+LS04</t>
        </is>
      </c>
      <c r="D4521" t="inlineStr">
        <is>
          <t>-220Q404.3</t>
        </is>
      </c>
      <c r="E4521" t="inlineStr">
        <is>
          <t>DILM-9-10</t>
        </is>
      </c>
      <c r="F4521" t="inlineStr">
        <is>
          <t>#KALK!</t>
        </is>
      </c>
      <c r="G4521" t="inlineStr">
        <is>
          <t>LASTSCHUETZ</t>
        </is>
      </c>
      <c r="H4521" t="inlineStr">
        <is>
          <t>4kW 1S Federzugkl.</t>
        </is>
      </c>
      <c r="I4521">
        <v>415</v>
      </c>
      <c r="J4521">
        <f>GS39/220.6</f>
        <v>0</v>
      </c>
      <c r="M4521" t="inlineStr">
        <is>
          <t>-220Q404.3</t>
        </is>
      </c>
    </row>
    <row r="4522">
      <c r="A4522">
        <v>4521</v>
      </c>
      <c r="B4522">
        <f>GS51</f>
        <v>0</v>
      </c>
      <c r="C4522" t="inlineStr">
        <is>
          <t>+ES03</t>
        </is>
      </c>
      <c r="D4522" t="inlineStr">
        <is>
          <t>-2210K1000.0</t>
        </is>
      </c>
      <c r="E4522" t="inlineStr">
        <is>
          <t>DILA-40</t>
        </is>
      </c>
      <c r="F4522" t="inlineStr">
        <is>
          <t>#KALK!</t>
        </is>
      </c>
      <c r="G4522" t="inlineStr">
        <is>
          <t>HILFSSCHUETZ</t>
        </is>
      </c>
      <c r="H4522" t="inlineStr">
        <is>
          <t>4S Federzugkl.</t>
        </is>
      </c>
      <c r="I4522">
        <v>134</v>
      </c>
      <c r="J4522">
        <f>GS51/2210.6</f>
        <v>0</v>
      </c>
      <c r="M4522" t="inlineStr">
        <is>
          <t>-2210K1000.0</t>
        </is>
      </c>
    </row>
    <row r="4523">
      <c r="A4523">
        <v>4522</v>
      </c>
      <c r="B4523">
        <f>GS51</f>
        <v>0</v>
      </c>
      <c r="C4523" t="inlineStr">
        <is>
          <t>+ES03</t>
        </is>
      </c>
      <c r="D4523" t="inlineStr">
        <is>
          <t>-2210Q1</t>
        </is>
      </c>
      <c r="E4523" t="inlineStr">
        <is>
          <t>DILM150-XHIC40</t>
        </is>
      </c>
      <c r="F4523" t="inlineStr">
        <is>
          <t>DILM150-XHIC40</t>
        </is>
      </c>
      <c r="G4523" t="inlineStr">
        <is>
          <t>HILFSKONTAKTBLOCK</t>
        </is>
      </c>
      <c r="H4523" t="inlineStr">
        <is>
          <t>4S ab DILMC40</t>
        </is>
      </c>
      <c r="I4523">
        <v>134</v>
      </c>
      <c r="J4523">
        <f>GS51/2210.7</f>
        <v>0</v>
      </c>
      <c r="K4523" t="inlineStr">
        <is>
          <t>DIL MC40</t>
        </is>
      </c>
      <c r="M4523" t="inlineStr">
        <is>
          <t>-2210Q1</t>
        </is>
      </c>
    </row>
    <row r="4524">
      <c r="A4524">
        <v>4523</v>
      </c>
      <c r="B4524">
        <f>GS51</f>
        <v>0</v>
      </c>
      <c r="C4524" t="inlineStr">
        <is>
          <t>+ES03</t>
        </is>
      </c>
      <c r="D4524" t="inlineStr">
        <is>
          <t>-2210Q1</t>
        </is>
      </c>
      <c r="E4524" t="inlineStr">
        <is>
          <t>DILMC40(RDC24)</t>
        </is>
      </c>
      <c r="F4524" t="inlineStr">
        <is>
          <t>DILM150-XHIC40</t>
        </is>
      </c>
      <c r="G4524" t="inlineStr">
        <is>
          <t>LASTSCHUETZ</t>
        </is>
      </c>
      <c r="H4524" t="inlineStr">
        <is>
          <t>18,5kW Federzugkl.</t>
        </is>
      </c>
      <c r="I4524">
        <v>134</v>
      </c>
      <c r="J4524">
        <f>GS51/2210.7</f>
        <v>0</v>
      </c>
      <c r="K4524" t="inlineStr">
        <is>
          <t>DIL MC40</t>
        </is>
      </c>
      <c r="M4524" t="inlineStr">
        <is>
          <t>-2210Q1</t>
        </is>
      </c>
    </row>
    <row r="4525">
      <c r="A4525">
        <v>4524</v>
      </c>
      <c r="B4525">
        <f>GS51</f>
        <v>0</v>
      </c>
      <c r="C4525" t="inlineStr">
        <is>
          <t>+ES03</t>
        </is>
      </c>
      <c r="D4525" t="inlineStr">
        <is>
          <t>-2212K1000.1</t>
        </is>
      </c>
      <c r="E4525" t="inlineStr">
        <is>
          <t>DILA-40</t>
        </is>
      </c>
      <c r="F4525" t="inlineStr">
        <is>
          <t>DILA-XHIC40</t>
        </is>
      </c>
      <c r="G4525" t="inlineStr">
        <is>
          <t>HILFSSCHUETZ</t>
        </is>
      </c>
      <c r="H4525" t="inlineStr">
        <is>
          <t>4S Federzugkl.</t>
        </is>
      </c>
      <c r="I4525">
        <v>212</v>
      </c>
      <c r="J4525">
        <f>GS51/2212.4</f>
        <v>0</v>
      </c>
      <c r="M4525" t="inlineStr">
        <is>
          <t>-2212K1000.1</t>
        </is>
      </c>
    </row>
    <row r="4526">
      <c r="A4526">
        <v>4525</v>
      </c>
      <c r="B4526">
        <f>GS51</f>
        <v>0</v>
      </c>
      <c r="C4526" t="inlineStr">
        <is>
          <t>+ES03</t>
        </is>
      </c>
      <c r="D4526" t="inlineStr">
        <is>
          <t>-2212K1000.1</t>
        </is>
      </c>
      <c r="E4526" t="inlineStr">
        <is>
          <t>DILA-XHIC40</t>
        </is>
      </c>
      <c r="F4526" t="inlineStr">
        <is>
          <t>DILA-XHIC40</t>
        </is>
      </c>
      <c r="G4526" t="inlineStr">
        <is>
          <t>HILFSKONTAKTBLOCK</t>
        </is>
      </c>
      <c r="H4526" t="inlineStr">
        <is>
          <t>4S Last+Hilfssch. Cage</t>
        </is>
      </c>
      <c r="I4526">
        <v>212</v>
      </c>
      <c r="J4526">
        <f>GS51/2212.4</f>
        <v>0</v>
      </c>
      <c r="M4526" t="inlineStr">
        <is>
          <t>-2212K1000.1</t>
        </is>
      </c>
    </row>
    <row r="4527">
      <c r="A4527">
        <v>4526</v>
      </c>
      <c r="B4527">
        <f>GS51</f>
        <v>0</v>
      </c>
      <c r="C4527" t="inlineStr">
        <is>
          <t>+ES03</t>
        </is>
      </c>
      <c r="D4527" t="inlineStr">
        <is>
          <t>-2213K1000.3</t>
        </is>
      </c>
      <c r="E4527" t="inlineStr">
        <is>
          <t>DILA-XHIC31</t>
        </is>
      </c>
      <c r="F4527" t="inlineStr">
        <is>
          <t>DILA-XHIC31</t>
        </is>
      </c>
      <c r="G4527" t="inlineStr">
        <is>
          <t>HILFSKONTAKTBLOCK</t>
        </is>
      </c>
      <c r="H4527" t="inlineStr">
        <is>
          <t>3S 1OE Last+Hilfssch. Cage</t>
        </is>
      </c>
      <c r="I4527">
        <v>251</v>
      </c>
      <c r="J4527">
        <f>GS51/2213.6</f>
        <v>0</v>
      </c>
      <c r="M4527" t="inlineStr">
        <is>
          <t>-2213K1000.3</t>
        </is>
      </c>
    </row>
    <row r="4528">
      <c r="A4528">
        <v>4527</v>
      </c>
      <c r="B4528">
        <f>GS51</f>
        <v>0</v>
      </c>
      <c r="C4528" t="inlineStr">
        <is>
          <t>+ES03</t>
        </is>
      </c>
      <c r="D4528" t="inlineStr">
        <is>
          <t>-2213K1000.3</t>
        </is>
      </c>
      <c r="E4528" t="inlineStr">
        <is>
          <t>DILA-40</t>
        </is>
      </c>
      <c r="F4528" t="inlineStr">
        <is>
          <t>DILA-XHIC31</t>
        </is>
      </c>
      <c r="G4528" t="inlineStr">
        <is>
          <t>HILFSSCHUETZ</t>
        </is>
      </c>
      <c r="H4528" t="inlineStr">
        <is>
          <t>4S Federzugkl.</t>
        </is>
      </c>
      <c r="I4528">
        <v>251</v>
      </c>
      <c r="J4528">
        <f>GS51/2213.6</f>
        <v>0</v>
      </c>
      <c r="M4528" t="inlineStr">
        <is>
          <t>-2213K1000.3</t>
        </is>
      </c>
    </row>
    <row r="4529">
      <c r="A4529">
        <v>4528</v>
      </c>
      <c r="B4529">
        <f>GS55</f>
        <v>0</v>
      </c>
      <c r="C4529" t="inlineStr">
        <is>
          <t>+LS36</t>
        </is>
      </c>
      <c r="D4529" t="inlineStr">
        <is>
          <t>-2215Q1</t>
        </is>
      </c>
      <c r="E4529" t="inlineStr">
        <is>
          <t>DILMC25-10(RDC24)</t>
        </is>
      </c>
      <c r="F4529" t="inlineStr">
        <is>
          <t>DILA-XHI22</t>
        </is>
      </c>
      <c r="G4529" t="inlineStr">
        <is>
          <t>LASTSCHUETZ</t>
        </is>
      </c>
      <c r="H4529" t="inlineStr">
        <is>
          <t>11kW 1S Federzugkl.</t>
        </is>
      </c>
      <c r="I4529">
        <v>2381</v>
      </c>
      <c r="J4529">
        <f>GS55/2215.6</f>
        <v>0</v>
      </c>
      <c r="K4529" t="inlineStr">
        <is>
          <t>DIL MC25</t>
        </is>
      </c>
      <c r="M4529" t="inlineStr">
        <is>
          <t>-2215Q1</t>
        </is>
      </c>
    </row>
    <row r="4530">
      <c r="A4530">
        <v>4529</v>
      </c>
      <c r="B4530">
        <f>GS55</f>
        <v>0</v>
      </c>
      <c r="C4530" t="inlineStr">
        <is>
          <t>+LS36</t>
        </is>
      </c>
      <c r="D4530" t="inlineStr">
        <is>
          <t>-2215Q1</t>
        </is>
      </c>
      <c r="E4530" t="inlineStr">
        <is>
          <t>DILA-XHI22</t>
        </is>
      </c>
      <c r="F4530" t="inlineStr">
        <is>
          <t>DILA-XHI22</t>
        </is>
      </c>
      <c r="G4530" t="inlineStr">
        <is>
          <t>HILFSKONTAKTBLOCK</t>
        </is>
      </c>
      <c r="H4530" t="inlineStr">
        <is>
          <t>2S 2OE Last+Hilfssch. Cage</t>
        </is>
      </c>
      <c r="I4530">
        <v>2381</v>
      </c>
      <c r="J4530">
        <f>GS55/2215.6</f>
        <v>0</v>
      </c>
      <c r="K4530" t="inlineStr">
        <is>
          <t>DIL MC25</t>
        </is>
      </c>
      <c r="M4530" t="inlineStr">
        <is>
          <t>-2215Q1</t>
        </is>
      </c>
    </row>
    <row r="4531">
      <c r="A4531">
        <v>4530</v>
      </c>
      <c r="B4531">
        <f>GS55</f>
        <v>0</v>
      </c>
      <c r="C4531" t="inlineStr">
        <is>
          <t>+LS36</t>
        </is>
      </c>
      <c r="D4531" t="inlineStr">
        <is>
          <t>-2218Q1321.1</t>
        </is>
      </c>
      <c r="E4531" t="inlineStr">
        <is>
          <t>DILM-9-10</t>
        </is>
      </c>
      <c r="F4531" t="inlineStr">
        <is>
          <t>#KALK!</t>
        </is>
      </c>
      <c r="G4531" t="inlineStr">
        <is>
          <t>LASTSCHUETZ</t>
        </is>
      </c>
      <c r="H4531" t="inlineStr">
        <is>
          <t>4kW 1S Federzugkl.</t>
        </is>
      </c>
      <c r="I4531">
        <v>2384</v>
      </c>
      <c r="J4531">
        <f>GS55/2218.6</f>
        <v>0</v>
      </c>
      <c r="K4531" t="inlineStr">
        <is>
          <t>DIL MC9</t>
        </is>
      </c>
      <c r="M4531" t="inlineStr">
        <is>
          <t>-2218Q1321.1</t>
        </is>
      </c>
    </row>
    <row r="4532">
      <c r="A4532">
        <v>4531</v>
      </c>
      <c r="B4532">
        <f>GS15</f>
        <v>0</v>
      </c>
      <c r="C4532" t="inlineStr">
        <is>
          <t>+LS4</t>
        </is>
      </c>
      <c r="D4532" t="inlineStr">
        <is>
          <t>-221K1</t>
        </is>
      </c>
      <c r="E4532" t="inlineStr">
        <is>
          <t>22_DIL-M</t>
        </is>
      </c>
      <c r="F4532" t="inlineStr">
        <is>
          <t>22_DIL-M</t>
        </is>
      </c>
      <c r="G4532" t="inlineStr">
        <is>
          <t>HILFSKONTAKTBLOCK</t>
        </is>
      </c>
      <c r="H4532" t="inlineStr">
        <is>
          <t>2S 2OE Lastschuetz DIL M</t>
        </is>
      </c>
      <c r="I4532">
        <v>714</v>
      </c>
      <c r="J4532">
        <f>GS15/221.2</f>
        <v>0</v>
      </c>
      <c r="K4532" t="inlineStr">
        <is>
          <t>DIL0AM</t>
        </is>
      </c>
      <c r="M4532" t="inlineStr">
        <is>
          <t>-221K1</t>
        </is>
      </c>
    </row>
    <row r="4533">
      <c r="A4533">
        <v>4532</v>
      </c>
      <c r="B4533">
        <f>GS15</f>
        <v>0</v>
      </c>
      <c r="C4533" t="inlineStr">
        <is>
          <t>+LS4</t>
        </is>
      </c>
      <c r="D4533" t="inlineStr">
        <is>
          <t>-221K1</t>
        </is>
      </c>
      <c r="E4533" t="inlineStr">
        <is>
          <t>DIL_0AM</t>
        </is>
      </c>
      <c r="F4533" t="inlineStr">
        <is>
          <t>22_DIL-M</t>
        </is>
      </c>
      <c r="G4533" t="inlineStr">
        <is>
          <t>LASTSCHUETZ</t>
        </is>
      </c>
      <c r="H4533" t="inlineStr">
        <is>
          <t>11 kW</t>
        </is>
      </c>
      <c r="I4533">
        <v>714</v>
      </c>
      <c r="J4533">
        <f>GS15/221.2</f>
        <v>0</v>
      </c>
      <c r="K4533" t="inlineStr">
        <is>
          <t>DIL0AM</t>
        </is>
      </c>
      <c r="M4533" t="inlineStr">
        <is>
          <t>-221K1</t>
        </is>
      </c>
    </row>
    <row r="4534">
      <c r="A4534">
        <v>4533</v>
      </c>
      <c r="B4534">
        <f>GS33</f>
        <v>0</v>
      </c>
      <c r="C4534" t="inlineStr">
        <is>
          <t>+LS4</t>
        </is>
      </c>
      <c r="D4534" t="inlineStr">
        <is>
          <t>-221K31.1</t>
        </is>
      </c>
      <c r="E4534" t="inlineStr">
        <is>
          <t>DIL_EM-10-G</t>
        </is>
      </c>
      <c r="F4534" t="inlineStr">
        <is>
          <t>#KALK!</t>
        </is>
      </c>
      <c r="G4534" t="inlineStr">
        <is>
          <t>LASTSCHUETZ</t>
        </is>
      </c>
      <c r="H4534" t="inlineStr">
        <is>
          <t>4kW 1S</t>
        </is>
      </c>
      <c r="I4534">
        <v>660</v>
      </c>
      <c r="J4534">
        <f>GS33/221.6</f>
        <v>0</v>
      </c>
      <c r="M4534" t="inlineStr">
        <is>
          <t>-221K31.1</t>
        </is>
      </c>
    </row>
    <row r="4535">
      <c r="A4535">
        <v>4534</v>
      </c>
      <c r="B4535">
        <f>GS02</f>
        <v>0</v>
      </c>
      <c r="C4535" t="inlineStr">
        <is>
          <t>+LS3</t>
        </is>
      </c>
      <c r="D4535" t="inlineStr">
        <is>
          <t>-221K35.3</t>
        </is>
      </c>
      <c r="E4535" t="inlineStr">
        <is>
          <t>DIL_EM-10-G</t>
        </is>
      </c>
      <c r="F4535" t="inlineStr">
        <is>
          <t>#KALK!</t>
        </is>
      </c>
      <c r="G4535" t="inlineStr">
        <is>
          <t>LASTSCHUETZ</t>
        </is>
      </c>
      <c r="H4535" t="inlineStr">
        <is>
          <t>4kW 1S</t>
        </is>
      </c>
      <c r="I4535">
        <v>625</v>
      </c>
      <c r="J4535">
        <f>GS02/221.7</f>
        <v>0</v>
      </c>
      <c r="M4535" t="inlineStr">
        <is>
          <t>-221K35.3</t>
        </is>
      </c>
    </row>
    <row r="4536">
      <c r="A4536">
        <v>4535</v>
      </c>
      <c r="B4536">
        <f>GS31</f>
        <v>0</v>
      </c>
      <c r="C4536" t="inlineStr">
        <is>
          <t>+LS3</t>
        </is>
      </c>
      <c r="D4536" t="inlineStr">
        <is>
          <t>-221K39.7</t>
        </is>
      </c>
      <c r="E4536" t="inlineStr">
        <is>
          <t>DILMC25-10(RDC24)</t>
        </is>
      </c>
      <c r="F4536" t="inlineStr">
        <is>
          <t>DILA-XHI22</t>
        </is>
      </c>
      <c r="G4536" t="inlineStr">
        <is>
          <t>LASTSCHUETZ</t>
        </is>
      </c>
      <c r="H4536" t="inlineStr">
        <is>
          <t>11kW 1S Federzugkl.</t>
        </is>
      </c>
      <c r="I4536">
        <v>508</v>
      </c>
      <c r="J4536">
        <f>GS31/221.5</f>
        <v>0</v>
      </c>
      <c r="K4536" t="inlineStr">
        <is>
          <t>DIL MC25</t>
        </is>
      </c>
      <c r="M4536" t="inlineStr">
        <is>
          <t>-221K39.7</t>
        </is>
      </c>
    </row>
    <row r="4537">
      <c r="A4537">
        <v>4536</v>
      </c>
      <c r="B4537">
        <f>GS31</f>
        <v>0</v>
      </c>
      <c r="C4537" t="inlineStr">
        <is>
          <t>+LS3</t>
        </is>
      </c>
      <c r="D4537" t="inlineStr">
        <is>
          <t>-221K39.7</t>
        </is>
      </c>
      <c r="E4537" t="inlineStr">
        <is>
          <t>DILA-XHI22</t>
        </is>
      </c>
      <c r="F4537" t="inlineStr">
        <is>
          <t>DILA-XHI22</t>
        </is>
      </c>
      <c r="G4537" t="inlineStr">
        <is>
          <t>HILFSKONTAKTBLOCK</t>
        </is>
      </c>
      <c r="H4537" t="inlineStr">
        <is>
          <t>2S 2OE Last+Hilfssch. Cage</t>
        </is>
      </c>
      <c r="I4537">
        <v>508</v>
      </c>
      <c r="J4537">
        <f>GS31/221.5</f>
        <v>0</v>
      </c>
      <c r="K4537" t="inlineStr">
        <is>
          <t>DIL MC25</t>
        </is>
      </c>
      <c r="M4537" t="inlineStr">
        <is>
          <t>-221K39.7</t>
        </is>
      </c>
    </row>
    <row r="4538">
      <c r="A4538">
        <v>4537</v>
      </c>
      <c r="B4538">
        <f>GS33</f>
        <v>0</v>
      </c>
      <c r="C4538" t="inlineStr">
        <is>
          <t>+LS4</t>
        </is>
      </c>
      <c r="D4538" t="inlineStr">
        <is>
          <t>-221K55.1</t>
        </is>
      </c>
      <c r="E4538" t="inlineStr">
        <is>
          <t>DIL_EM-10-G</t>
        </is>
      </c>
      <c r="F4538" t="inlineStr">
        <is>
          <t>#KALK!</t>
        </is>
      </c>
      <c r="G4538" t="inlineStr">
        <is>
          <t>LASTSCHUETZ</t>
        </is>
      </c>
      <c r="H4538" t="inlineStr">
        <is>
          <t>4kW 1S</t>
        </is>
      </c>
      <c r="I4538">
        <v>660</v>
      </c>
      <c r="J4538">
        <f>GS33/221.6</f>
        <v>0</v>
      </c>
      <c r="M4538" t="inlineStr">
        <is>
          <t>-221K55.1</t>
        </is>
      </c>
    </row>
    <row r="4539">
      <c r="A4539">
        <v>4538</v>
      </c>
      <c r="B4539">
        <f>GC22</f>
        <v>0</v>
      </c>
      <c r="C4539" t="inlineStr">
        <is>
          <t>+ES3</t>
        </is>
      </c>
      <c r="D4539" t="inlineStr">
        <is>
          <t>-221K6.0</t>
        </is>
      </c>
      <c r="E4539" t="inlineStr">
        <is>
          <t>40_DIL-E</t>
        </is>
      </c>
      <c r="F4539" t="inlineStr">
        <is>
          <t>40_DIL-E</t>
        </is>
      </c>
      <c r="G4539" t="inlineStr">
        <is>
          <t>HILFSKONTAKTBLOCK</t>
        </is>
      </c>
      <c r="H4539" t="inlineStr">
        <is>
          <t>4S Last+Hilfsschuetz</t>
        </is>
      </c>
      <c r="I4539">
        <v>3411</v>
      </c>
      <c r="J4539">
        <f>GC22/221.6</f>
        <v>0</v>
      </c>
      <c r="M4539" t="inlineStr">
        <is>
          <t>-221K6.0</t>
        </is>
      </c>
    </row>
    <row r="4540">
      <c r="A4540">
        <v>4539</v>
      </c>
      <c r="B4540">
        <f>GC22</f>
        <v>0</v>
      </c>
      <c r="C4540" t="inlineStr">
        <is>
          <t>+ES3</t>
        </is>
      </c>
      <c r="D4540" t="inlineStr">
        <is>
          <t>-221K6.0</t>
        </is>
      </c>
      <c r="E4540" t="inlineStr">
        <is>
          <t>DIL_ER-40-G</t>
        </is>
      </c>
      <c r="F4540" t="inlineStr">
        <is>
          <t>40_DIL-E</t>
        </is>
      </c>
      <c r="G4540" t="inlineStr">
        <is>
          <t>HILFSSCHUETZ</t>
        </is>
      </c>
      <c r="H4540" t="inlineStr">
        <is>
          <t>4S</t>
        </is>
      </c>
      <c r="I4540">
        <v>3411</v>
      </c>
      <c r="J4540">
        <f>GC22/221.6</f>
        <v>0</v>
      </c>
      <c r="M4540" t="inlineStr">
        <is>
          <t>-221K6.0</t>
        </is>
      </c>
    </row>
    <row r="4541">
      <c r="A4541">
        <v>4540</v>
      </c>
      <c r="B4541">
        <f>GS12</f>
        <v>0</v>
      </c>
      <c r="C4541" t="inlineStr">
        <is>
          <t>+ES3</t>
        </is>
      </c>
      <c r="D4541" t="inlineStr">
        <is>
          <t>-221K6.0</t>
        </is>
      </c>
      <c r="E4541" t="inlineStr">
        <is>
          <t>DIL_ER-40-G</t>
        </is>
      </c>
      <c r="F4541" t="inlineStr">
        <is>
          <t>40_DIL-E</t>
        </is>
      </c>
      <c r="G4541" t="inlineStr">
        <is>
          <t>HILFSSCHUETZ</t>
        </is>
      </c>
      <c r="H4541" t="inlineStr">
        <is>
          <t>4S</t>
        </is>
      </c>
      <c r="I4541">
        <v>353</v>
      </c>
      <c r="J4541">
        <f>GS12/221.6</f>
        <v>0</v>
      </c>
      <c r="M4541" t="inlineStr">
        <is>
          <t>-221K6.0</t>
        </is>
      </c>
    </row>
    <row r="4542">
      <c r="A4542">
        <v>4541</v>
      </c>
      <c r="B4542">
        <f>GS12</f>
        <v>0</v>
      </c>
      <c r="C4542" t="inlineStr">
        <is>
          <t>+ES3</t>
        </is>
      </c>
      <c r="D4542" t="inlineStr">
        <is>
          <t>-221K6.0</t>
        </is>
      </c>
      <c r="E4542" t="inlineStr">
        <is>
          <t>40_DIL-E</t>
        </is>
      </c>
      <c r="F4542" t="inlineStr">
        <is>
          <t>40_DIL-E</t>
        </is>
      </c>
      <c r="G4542" t="inlineStr">
        <is>
          <t>HILFSKONTAKTBLOCK</t>
        </is>
      </c>
      <c r="H4542" t="inlineStr">
        <is>
          <t>4S Last+Hilfsschuetz</t>
        </is>
      </c>
      <c r="I4542">
        <v>353</v>
      </c>
      <c r="J4542">
        <f>GS12/221.6</f>
        <v>0</v>
      </c>
      <c r="M4542" t="inlineStr">
        <is>
          <t>-221K6.0</t>
        </is>
      </c>
    </row>
    <row r="4543">
      <c r="A4543">
        <v>4542</v>
      </c>
      <c r="B4543">
        <f>GC22</f>
        <v>0</v>
      </c>
      <c r="C4543" t="inlineStr">
        <is>
          <t>+ES3</t>
        </is>
      </c>
      <c r="D4543" t="inlineStr">
        <is>
          <t>-221K6.1</t>
        </is>
      </c>
      <c r="E4543" t="inlineStr">
        <is>
          <t>40_DIL-E</t>
        </is>
      </c>
      <c r="F4543" t="inlineStr">
        <is>
          <t>40_DIL-E</t>
        </is>
      </c>
      <c r="G4543" t="inlineStr">
        <is>
          <t>HILFSKONTAKTBLOCK</t>
        </is>
      </c>
      <c r="H4543" t="inlineStr">
        <is>
          <t>4S Last+Hilfsschuetz</t>
        </is>
      </c>
      <c r="I4543">
        <v>3411</v>
      </c>
      <c r="J4543">
        <f>GC22/221.6</f>
        <v>0</v>
      </c>
      <c r="M4543" t="inlineStr">
        <is>
          <t>-221K6.1</t>
        </is>
      </c>
    </row>
    <row r="4544">
      <c r="A4544">
        <v>4543</v>
      </c>
      <c r="B4544">
        <f>GC22</f>
        <v>0</v>
      </c>
      <c r="C4544" t="inlineStr">
        <is>
          <t>+ES3</t>
        </is>
      </c>
      <c r="D4544" t="inlineStr">
        <is>
          <t>-221K6.1</t>
        </is>
      </c>
      <c r="E4544" t="inlineStr">
        <is>
          <t>DIL_ER-40-G</t>
        </is>
      </c>
      <c r="F4544" t="inlineStr">
        <is>
          <t>40_DIL-E</t>
        </is>
      </c>
      <c r="G4544" t="inlineStr">
        <is>
          <t>HILFSSCHUETZ</t>
        </is>
      </c>
      <c r="H4544" t="inlineStr">
        <is>
          <t>4S</t>
        </is>
      </c>
      <c r="I4544">
        <v>3411</v>
      </c>
      <c r="J4544">
        <f>GC22/221.6</f>
        <v>0</v>
      </c>
      <c r="M4544" t="inlineStr">
        <is>
          <t>-221K6.1</t>
        </is>
      </c>
    </row>
    <row r="4545">
      <c r="A4545">
        <v>4544</v>
      </c>
      <c r="B4545">
        <f>GS12</f>
        <v>0</v>
      </c>
      <c r="C4545" t="inlineStr">
        <is>
          <t>+ES3</t>
        </is>
      </c>
      <c r="D4545" t="inlineStr">
        <is>
          <t>-221K6.1</t>
        </is>
      </c>
      <c r="E4545" t="inlineStr">
        <is>
          <t>DIL_ER-40-G</t>
        </is>
      </c>
      <c r="F4545" t="inlineStr">
        <is>
          <t>40_DIL-E</t>
        </is>
      </c>
      <c r="G4545" t="inlineStr">
        <is>
          <t>HILFSSCHUETZ</t>
        </is>
      </c>
      <c r="H4545" t="inlineStr">
        <is>
          <t>4S</t>
        </is>
      </c>
      <c r="I4545">
        <v>353</v>
      </c>
      <c r="J4545">
        <f>GS12/221.6</f>
        <v>0</v>
      </c>
      <c r="M4545" t="inlineStr">
        <is>
          <t>-221K6.1</t>
        </is>
      </c>
    </row>
    <row r="4546">
      <c r="A4546">
        <v>4545</v>
      </c>
      <c r="B4546">
        <f>GS12</f>
        <v>0</v>
      </c>
      <c r="C4546" t="inlineStr">
        <is>
          <t>+ES3</t>
        </is>
      </c>
      <c r="D4546" t="inlineStr">
        <is>
          <t>-221K6.1</t>
        </is>
      </c>
      <c r="E4546" t="inlineStr">
        <is>
          <t>40_DIL-E</t>
        </is>
      </c>
      <c r="F4546" t="inlineStr">
        <is>
          <t>40_DIL-E</t>
        </is>
      </c>
      <c r="G4546" t="inlineStr">
        <is>
          <t>HILFSKONTAKTBLOCK</t>
        </is>
      </c>
      <c r="H4546" t="inlineStr">
        <is>
          <t>4S Last+Hilfsschuetz</t>
        </is>
      </c>
      <c r="I4546">
        <v>353</v>
      </c>
      <c r="J4546">
        <f>GS12/221.6</f>
        <v>0</v>
      </c>
      <c r="M4546" t="inlineStr">
        <is>
          <t>-221K6.1</t>
        </is>
      </c>
    </row>
    <row r="4547">
      <c r="A4547">
        <v>4546</v>
      </c>
      <c r="B4547">
        <f>GS35</f>
        <v>0</v>
      </c>
      <c r="C4547" t="inlineStr">
        <is>
          <t>+LS04</t>
        </is>
      </c>
      <c r="D4547" t="inlineStr">
        <is>
          <t>-221Q128.2</t>
        </is>
      </c>
      <c r="E4547" t="inlineStr">
        <is>
          <t>DILM-12-10</t>
        </is>
      </c>
      <c r="F4547" t="inlineStr">
        <is>
          <t>#KALK!</t>
        </is>
      </c>
      <c r="G4547" t="inlineStr">
        <is>
          <t>LASTSCHUETZ</t>
        </is>
      </c>
      <c r="H4547" t="inlineStr">
        <is>
          <t>5,5kW 1S Federzugkl.</t>
        </is>
      </c>
      <c r="I4547">
        <v>355</v>
      </c>
      <c r="J4547">
        <f>GS35/221.5</f>
        <v>0</v>
      </c>
      <c r="K4547" t="inlineStr">
        <is>
          <t>DIL MC12</t>
        </is>
      </c>
      <c r="M4547" t="inlineStr">
        <is>
          <t>-221Q128.2</t>
        </is>
      </c>
    </row>
    <row r="4548">
      <c r="A4548">
        <v>4547</v>
      </c>
      <c r="B4548">
        <f>GS38</f>
        <v>0</v>
      </c>
      <c r="C4548" t="inlineStr">
        <is>
          <t>+LS04</t>
        </is>
      </c>
      <c r="D4548" t="inlineStr">
        <is>
          <t>-221Q404.5</t>
        </is>
      </c>
      <c r="E4548" t="inlineStr">
        <is>
          <t>DILM-9-10</t>
        </is>
      </c>
      <c r="F4548" t="inlineStr">
        <is>
          <t>#KALK!</t>
        </is>
      </c>
      <c r="G4548" t="inlineStr">
        <is>
          <t>LASTSCHUETZ</t>
        </is>
      </c>
      <c r="H4548" t="inlineStr">
        <is>
          <t>4kW 1S Federzugkl.</t>
        </is>
      </c>
      <c r="I4548">
        <v>391</v>
      </c>
      <c r="J4548">
        <f>GS38/221.6</f>
        <v>0</v>
      </c>
      <c r="M4548" t="inlineStr">
        <is>
          <t>-221Q404.5</t>
        </is>
      </c>
    </row>
    <row r="4549">
      <c r="A4549">
        <v>4548</v>
      </c>
      <c r="B4549">
        <f>GS39</f>
        <v>0</v>
      </c>
      <c r="C4549" t="inlineStr">
        <is>
          <t>+LS04</t>
        </is>
      </c>
      <c r="D4549" t="inlineStr">
        <is>
          <t>-221Q404.5</t>
        </is>
      </c>
      <c r="E4549" t="inlineStr">
        <is>
          <t>DILM-9-10</t>
        </is>
      </c>
      <c r="F4549" t="inlineStr">
        <is>
          <t>#KALK!</t>
        </is>
      </c>
      <c r="G4549" t="inlineStr">
        <is>
          <t>LASTSCHUETZ</t>
        </is>
      </c>
      <c r="H4549" t="inlineStr">
        <is>
          <t>4kW 1S Federzugkl.</t>
        </is>
      </c>
      <c r="I4549">
        <v>416</v>
      </c>
      <c r="J4549">
        <f>GS39/221.6</f>
        <v>0</v>
      </c>
      <c r="M4549" t="inlineStr">
        <is>
          <t>-221Q404.5</t>
        </is>
      </c>
    </row>
    <row r="4550">
      <c r="A4550">
        <v>4549</v>
      </c>
      <c r="B4550">
        <f>GS02</f>
        <v>0</v>
      </c>
      <c r="C4550" t="inlineStr">
        <is>
          <t>+LS3</t>
        </is>
      </c>
      <c r="D4550" t="inlineStr">
        <is>
          <t>-222.1K36.7</t>
        </is>
      </c>
      <c r="E4550" t="inlineStr">
        <is>
          <t>DIL_ER-22-G</t>
        </is>
      </c>
      <c r="F4550" t="inlineStr">
        <is>
          <t>#KALK!</t>
        </is>
      </c>
      <c r="G4550" t="inlineStr">
        <is>
          <t>HILFSSCHUETZ</t>
        </is>
      </c>
      <c r="H4550" t="inlineStr">
        <is>
          <t>2S 2OE</t>
        </is>
      </c>
      <c r="I4550">
        <v>627</v>
      </c>
      <c r="J4550">
        <f>GS02/222.1.5</f>
        <v>0</v>
      </c>
      <c r="M4550" t="inlineStr">
        <is>
          <t>-222.1K36.7</t>
        </is>
      </c>
    </row>
    <row r="4551">
      <c r="A4551">
        <v>4550</v>
      </c>
      <c r="B4551">
        <f>GS55</f>
        <v>0</v>
      </c>
      <c r="C4551" t="inlineStr">
        <is>
          <t>+LS36</t>
        </is>
      </c>
      <c r="D4551" t="inlineStr">
        <is>
          <t>-2220Q1321.2</t>
        </is>
      </c>
      <c r="E4551" t="inlineStr">
        <is>
          <t>DILM-9-10</t>
        </is>
      </c>
      <c r="F4551" t="inlineStr">
        <is>
          <t>#KALK!</t>
        </is>
      </c>
      <c r="G4551" t="inlineStr">
        <is>
          <t>LASTSCHUETZ</t>
        </is>
      </c>
      <c r="H4551" t="inlineStr">
        <is>
          <t>4kW 1S Federzugkl.</t>
        </is>
      </c>
      <c r="I4551">
        <v>2386</v>
      </c>
      <c r="J4551">
        <f>GS55/2220.6</f>
        <v>0</v>
      </c>
      <c r="K4551" t="inlineStr">
        <is>
          <t>DIL MC9</t>
        </is>
      </c>
      <c r="M4551" t="inlineStr">
        <is>
          <t>-2220Q1321.2</t>
        </is>
      </c>
    </row>
    <row r="4552">
      <c r="A4552">
        <v>4551</v>
      </c>
      <c r="B4552">
        <f>GS51</f>
        <v>0</v>
      </c>
      <c r="C4552" t="inlineStr">
        <is>
          <t>+ES03</t>
        </is>
      </c>
      <c r="D4552" t="inlineStr">
        <is>
          <t>-2221K1</t>
        </is>
      </c>
      <c r="E4552" t="inlineStr">
        <is>
          <t>DILA-XHIC31</t>
        </is>
      </c>
      <c r="F4552" t="inlineStr">
        <is>
          <t>DILA-XHIC31</t>
        </is>
      </c>
      <c r="G4552" t="inlineStr">
        <is>
          <t>HILFSKONTAKTBLOCK</t>
        </is>
      </c>
      <c r="H4552" t="inlineStr">
        <is>
          <t>3S 1OE Last+Hilfssch. Cage</t>
        </is>
      </c>
      <c r="I4552">
        <v>223</v>
      </c>
      <c r="J4552">
        <f>GS51/2221.4</f>
        <v>0</v>
      </c>
      <c r="M4552" t="inlineStr">
        <is>
          <t>-2221K1</t>
        </is>
      </c>
    </row>
    <row r="4553">
      <c r="A4553">
        <v>4552</v>
      </c>
      <c r="B4553">
        <f>GS51</f>
        <v>0</v>
      </c>
      <c r="C4553" t="inlineStr">
        <is>
          <t>+ES03</t>
        </is>
      </c>
      <c r="D4553" t="inlineStr">
        <is>
          <t>-2221K1</t>
        </is>
      </c>
      <c r="E4553" t="inlineStr">
        <is>
          <t>DILA-40</t>
        </is>
      </c>
      <c r="F4553" t="inlineStr">
        <is>
          <t>DILA-XHIC31</t>
        </is>
      </c>
      <c r="G4553" t="inlineStr">
        <is>
          <t>HILFSSCHUETZ</t>
        </is>
      </c>
      <c r="H4553" t="inlineStr">
        <is>
          <t>4S Federzugkl.</t>
        </is>
      </c>
      <c r="I4553">
        <v>223</v>
      </c>
      <c r="J4553">
        <f>GS51/2221.4</f>
        <v>0</v>
      </c>
      <c r="M4553" t="inlineStr">
        <is>
          <t>-2221K1</t>
        </is>
      </c>
    </row>
    <row r="4554">
      <c r="A4554">
        <v>4553</v>
      </c>
      <c r="B4554">
        <f>GS51</f>
        <v>0</v>
      </c>
      <c r="C4554" t="inlineStr">
        <is>
          <t>+ES03</t>
        </is>
      </c>
      <c r="D4554" t="inlineStr">
        <is>
          <t>-2221K2</t>
        </is>
      </c>
      <c r="E4554" t="inlineStr">
        <is>
          <t>DILA-40</t>
        </is>
      </c>
      <c r="F4554" t="inlineStr">
        <is>
          <t>DILA-XHIC31</t>
        </is>
      </c>
      <c r="G4554" t="inlineStr">
        <is>
          <t>HILFSSCHUETZ</t>
        </is>
      </c>
      <c r="H4554" t="inlineStr">
        <is>
          <t>4S Federzugkl.</t>
        </is>
      </c>
      <c r="I4554">
        <v>223</v>
      </c>
      <c r="J4554">
        <f>GS51/2221.5</f>
        <v>0</v>
      </c>
      <c r="M4554" t="inlineStr">
        <is>
          <t>-2221K2</t>
        </is>
      </c>
    </row>
    <row r="4555">
      <c r="A4555">
        <v>4554</v>
      </c>
      <c r="B4555">
        <f>GS51</f>
        <v>0</v>
      </c>
      <c r="C4555" t="inlineStr">
        <is>
          <t>+ES03</t>
        </is>
      </c>
      <c r="D4555" t="inlineStr">
        <is>
          <t>-2221K2</t>
        </is>
      </c>
      <c r="E4555" t="inlineStr">
        <is>
          <t>DILA-XHIC31</t>
        </is>
      </c>
      <c r="F4555" t="inlineStr">
        <is>
          <t>DILA-XHIC31</t>
        </is>
      </c>
      <c r="G4555" t="inlineStr">
        <is>
          <t>HILFSKONTAKTBLOCK</t>
        </is>
      </c>
      <c r="H4555" t="inlineStr">
        <is>
          <t>3S 1OE Last+Hilfssch. Cage</t>
        </is>
      </c>
      <c r="I4555">
        <v>223</v>
      </c>
      <c r="J4555">
        <f>GS51/2221.5</f>
        <v>0</v>
      </c>
      <c r="M4555" t="inlineStr">
        <is>
          <t>-2221K2</t>
        </is>
      </c>
    </row>
    <row r="4556">
      <c r="A4556">
        <v>4555</v>
      </c>
      <c r="B4556">
        <f>GS55</f>
        <v>0</v>
      </c>
      <c r="C4556" t="inlineStr">
        <is>
          <t>+LS36</t>
        </is>
      </c>
      <c r="D4556" t="inlineStr">
        <is>
          <t>-2222Q1321.3</t>
        </is>
      </c>
      <c r="E4556" t="inlineStr">
        <is>
          <t>DILM-9-10</t>
        </is>
      </c>
      <c r="F4556" t="inlineStr">
        <is>
          <t>#KALK!</t>
        </is>
      </c>
      <c r="G4556" t="inlineStr">
        <is>
          <t>LASTSCHUETZ</t>
        </is>
      </c>
      <c r="H4556" t="inlineStr">
        <is>
          <t>4kW 1S Federzugkl.</t>
        </is>
      </c>
      <c r="I4556">
        <v>2388</v>
      </c>
      <c r="J4556">
        <f>GS55/2222.6</f>
        <v>0</v>
      </c>
      <c r="K4556" t="inlineStr">
        <is>
          <t>DIL MC9</t>
        </is>
      </c>
      <c r="M4556" t="inlineStr">
        <is>
          <t>-2222Q1321.3</t>
        </is>
      </c>
    </row>
    <row r="4557">
      <c r="A4557">
        <v>4556</v>
      </c>
      <c r="B4557">
        <f>GS51</f>
        <v>0</v>
      </c>
      <c r="C4557" t="inlineStr">
        <is>
          <t>+ES03</t>
        </is>
      </c>
      <c r="D4557" t="inlineStr">
        <is>
          <t>-2223K1</t>
        </is>
      </c>
      <c r="E4557" t="inlineStr">
        <is>
          <t>DILA-40</t>
        </is>
      </c>
      <c r="F4557" t="inlineStr">
        <is>
          <t>DILA-XHIC31</t>
        </is>
      </c>
      <c r="G4557" t="inlineStr">
        <is>
          <t>HILFSSCHUETZ</t>
        </is>
      </c>
      <c r="H4557" t="inlineStr">
        <is>
          <t>4S Federzugkl.</t>
        </is>
      </c>
      <c r="I4557">
        <v>225</v>
      </c>
      <c r="J4557">
        <f>GS51/2223.4</f>
        <v>0</v>
      </c>
      <c r="M4557" t="inlineStr">
        <is>
          <t>-2223K1</t>
        </is>
      </c>
    </row>
    <row r="4558">
      <c r="A4558">
        <v>4557</v>
      </c>
      <c r="B4558">
        <f>GS51</f>
        <v>0</v>
      </c>
      <c r="C4558" t="inlineStr">
        <is>
          <t>+ES03</t>
        </is>
      </c>
      <c r="D4558" t="inlineStr">
        <is>
          <t>-2223K1</t>
        </is>
      </c>
      <c r="E4558" t="inlineStr">
        <is>
          <t>DILA-XHIC31</t>
        </is>
      </c>
      <c r="F4558" t="inlineStr">
        <is>
          <t>DILA-XHIC31</t>
        </is>
      </c>
      <c r="G4558" t="inlineStr">
        <is>
          <t>HILFSKONTAKTBLOCK</t>
        </is>
      </c>
      <c r="H4558" t="inlineStr">
        <is>
          <t>3S 1OE Last+Hilfssch. Cage</t>
        </is>
      </c>
      <c r="I4558">
        <v>225</v>
      </c>
      <c r="J4558">
        <f>GS51/2223.4</f>
        <v>0</v>
      </c>
      <c r="M4558" t="inlineStr">
        <is>
          <t>-2223K1</t>
        </is>
      </c>
    </row>
    <row r="4559">
      <c r="A4559">
        <v>4558</v>
      </c>
      <c r="B4559">
        <f>GS51</f>
        <v>0</v>
      </c>
      <c r="C4559" t="inlineStr">
        <is>
          <t>+ES03</t>
        </is>
      </c>
      <c r="D4559" t="inlineStr">
        <is>
          <t>-2223K2</t>
        </is>
      </c>
      <c r="E4559" t="inlineStr">
        <is>
          <t>DILA-40</t>
        </is>
      </c>
      <c r="F4559" t="inlineStr">
        <is>
          <t>DILA-XHIC31</t>
        </is>
      </c>
      <c r="G4559" t="inlineStr">
        <is>
          <t>HILFSSCHUETZ</t>
        </is>
      </c>
      <c r="H4559" t="inlineStr">
        <is>
          <t>4S Federzugkl.</t>
        </is>
      </c>
      <c r="I4559">
        <v>225</v>
      </c>
      <c r="J4559">
        <f>GS51/2223.5</f>
        <v>0</v>
      </c>
      <c r="M4559" t="inlineStr">
        <is>
          <t>-2223K2</t>
        </is>
      </c>
    </row>
    <row r="4560">
      <c r="A4560">
        <v>4559</v>
      </c>
      <c r="B4560">
        <f>GS51</f>
        <v>0</v>
      </c>
      <c r="C4560" t="inlineStr">
        <is>
          <t>+ES03</t>
        </is>
      </c>
      <c r="D4560" t="inlineStr">
        <is>
          <t>-2223K2</t>
        </is>
      </c>
      <c r="E4560" t="inlineStr">
        <is>
          <t>DILA-XHIC31</t>
        </is>
      </c>
      <c r="F4560" t="inlineStr">
        <is>
          <t>DILA-XHIC31</t>
        </is>
      </c>
      <c r="G4560" t="inlineStr">
        <is>
          <t>HILFSKONTAKTBLOCK</t>
        </is>
      </c>
      <c r="H4560" t="inlineStr">
        <is>
          <t>3S 1OE Last+Hilfssch. Cage</t>
        </is>
      </c>
      <c r="I4560">
        <v>225</v>
      </c>
      <c r="J4560">
        <f>GS51/2223.5</f>
        <v>0</v>
      </c>
      <c r="M4560" t="inlineStr">
        <is>
          <t>-2223K2</t>
        </is>
      </c>
    </row>
    <row r="4561">
      <c r="A4561">
        <v>4560</v>
      </c>
      <c r="B4561">
        <f>GS55</f>
        <v>0</v>
      </c>
      <c r="C4561" t="inlineStr">
        <is>
          <t>+LS36</t>
        </is>
      </c>
      <c r="D4561" t="inlineStr">
        <is>
          <t>-2224Q1321.4</t>
        </is>
      </c>
      <c r="E4561" t="inlineStr">
        <is>
          <t>DILM-9-10</t>
        </is>
      </c>
      <c r="F4561" t="inlineStr">
        <is>
          <t>#KALK!</t>
        </is>
      </c>
      <c r="G4561" t="inlineStr">
        <is>
          <t>LASTSCHUETZ</t>
        </is>
      </c>
      <c r="H4561" t="inlineStr">
        <is>
          <t>4kW 1S Federzugkl.</t>
        </is>
      </c>
      <c r="I4561">
        <v>2390</v>
      </c>
      <c r="J4561">
        <f>GS55/2224.6</f>
        <v>0</v>
      </c>
      <c r="K4561" t="inlineStr">
        <is>
          <t>DIL MC9</t>
        </is>
      </c>
      <c r="M4561" t="inlineStr">
        <is>
          <t>-2224Q1321.4</t>
        </is>
      </c>
    </row>
    <row r="4562">
      <c r="A4562">
        <v>4561</v>
      </c>
      <c r="B4562">
        <f>GS55</f>
        <v>0</v>
      </c>
      <c r="C4562" t="inlineStr">
        <is>
          <t>+LS36</t>
        </is>
      </c>
      <c r="D4562" t="inlineStr">
        <is>
          <t>-2226Q1321.5</t>
        </is>
      </c>
      <c r="E4562" t="inlineStr">
        <is>
          <t>DILM-9-10</t>
        </is>
      </c>
      <c r="F4562" t="inlineStr">
        <is>
          <t>#KALK!</t>
        </is>
      </c>
      <c r="G4562" t="inlineStr">
        <is>
          <t>LASTSCHUETZ</t>
        </is>
      </c>
      <c r="H4562" t="inlineStr">
        <is>
          <t>4kW 1S Federzugkl.</t>
        </is>
      </c>
      <c r="I4562">
        <v>2392</v>
      </c>
      <c r="J4562">
        <f>GS55/2226.6</f>
        <v>0</v>
      </c>
      <c r="K4562" t="inlineStr">
        <is>
          <t>DIL MC9</t>
        </is>
      </c>
      <c r="M4562" t="inlineStr">
        <is>
          <t>-2226Q1321.5</t>
        </is>
      </c>
    </row>
    <row r="4563">
      <c r="A4563">
        <v>4562</v>
      </c>
      <c r="B4563">
        <f>GS55</f>
        <v>0</v>
      </c>
      <c r="C4563" t="inlineStr">
        <is>
          <t>+LS36</t>
        </is>
      </c>
      <c r="D4563" t="inlineStr">
        <is>
          <t>-2229Q1323.0</t>
        </is>
      </c>
      <c r="E4563" t="inlineStr">
        <is>
          <t>DILM-9-10</t>
        </is>
      </c>
      <c r="F4563" t="inlineStr">
        <is>
          <t>#KALK!</t>
        </is>
      </c>
      <c r="G4563" t="inlineStr">
        <is>
          <t>LASTSCHUETZ</t>
        </is>
      </c>
      <c r="H4563" t="inlineStr">
        <is>
          <t>4kW 1S Federzugkl.</t>
        </is>
      </c>
      <c r="I4563">
        <v>2395</v>
      </c>
      <c r="J4563">
        <f>GS55/2229.6</f>
        <v>0</v>
      </c>
      <c r="K4563" t="inlineStr">
        <is>
          <t>DIL MC9</t>
        </is>
      </c>
      <c r="M4563" t="inlineStr">
        <is>
          <t>-2229Q1323.0</t>
        </is>
      </c>
    </row>
    <row r="4564">
      <c r="A4564">
        <v>4563</v>
      </c>
      <c r="B4564">
        <f>GS33</f>
        <v>0</v>
      </c>
      <c r="C4564" t="inlineStr">
        <is>
          <t>+LS4</t>
        </is>
      </c>
      <c r="D4564" t="inlineStr">
        <is>
          <t>-222K31.5</t>
        </is>
      </c>
      <c r="E4564" t="inlineStr">
        <is>
          <t>DIL_EM-10-G</t>
        </is>
      </c>
      <c r="F4564" t="inlineStr">
        <is>
          <t>#KALK!</t>
        </is>
      </c>
      <c r="G4564" t="inlineStr">
        <is>
          <t>LASTSCHUETZ</t>
        </is>
      </c>
      <c r="H4564" t="inlineStr">
        <is>
          <t>4kW 1S</t>
        </is>
      </c>
      <c r="I4564">
        <v>661</v>
      </c>
      <c r="J4564">
        <f>GS33/222.7</f>
        <v>0</v>
      </c>
      <c r="M4564" t="inlineStr">
        <is>
          <t>-222K31.5</t>
        </is>
      </c>
    </row>
    <row r="4565">
      <c r="A4565">
        <v>4564</v>
      </c>
      <c r="B4565">
        <f>GS02</f>
        <v>0</v>
      </c>
      <c r="C4565" t="inlineStr">
        <is>
          <t>+LS3</t>
        </is>
      </c>
      <c r="D4565" t="inlineStr">
        <is>
          <t>-222K35.6</t>
        </is>
      </c>
      <c r="E4565" t="inlineStr">
        <is>
          <t>22_DIL-E</t>
        </is>
      </c>
      <c r="F4565" t="inlineStr">
        <is>
          <t>22_DIL-E</t>
        </is>
      </c>
      <c r="G4565" t="inlineStr">
        <is>
          <t>HILFSKONTAKTBLOCK</t>
        </is>
      </c>
      <c r="H4565" t="inlineStr">
        <is>
          <t>2S 2OE Last+Hilfsschuetz</t>
        </is>
      </c>
      <c r="I4565">
        <v>626</v>
      </c>
      <c r="J4565">
        <f>GS02/222.6</f>
        <v>0</v>
      </c>
      <c r="M4565" t="inlineStr">
        <is>
          <t>-222K35.6</t>
        </is>
      </c>
    </row>
    <row r="4566">
      <c r="A4566">
        <v>4565</v>
      </c>
      <c r="B4566">
        <f>GS02</f>
        <v>0</v>
      </c>
      <c r="C4566" t="inlineStr">
        <is>
          <t>+LS3</t>
        </is>
      </c>
      <c r="D4566" t="inlineStr">
        <is>
          <t>-222K35.6</t>
        </is>
      </c>
      <c r="E4566" t="inlineStr">
        <is>
          <t>DIL_EM-10-G</t>
        </is>
      </c>
      <c r="F4566" t="inlineStr">
        <is>
          <t>22_DIL-E</t>
        </is>
      </c>
      <c r="G4566" t="inlineStr">
        <is>
          <t>LASTSCHUETZ</t>
        </is>
      </c>
      <c r="H4566" t="inlineStr">
        <is>
          <t>4kW 1S</t>
        </is>
      </c>
      <c r="I4566">
        <v>626</v>
      </c>
      <c r="J4566">
        <f>GS02/222.6</f>
        <v>0</v>
      </c>
      <c r="M4566" t="inlineStr">
        <is>
          <t>-222K35.6</t>
        </is>
      </c>
    </row>
    <row r="4567">
      <c r="A4567">
        <v>4566</v>
      </c>
      <c r="B4567">
        <f>GS02</f>
        <v>0</v>
      </c>
      <c r="C4567" t="inlineStr">
        <is>
          <t>+LS3</t>
        </is>
      </c>
      <c r="D4567" t="inlineStr">
        <is>
          <t>-222K35.7</t>
        </is>
      </c>
      <c r="E4567" t="inlineStr">
        <is>
          <t>DIL_EM-10-G</t>
        </is>
      </c>
      <c r="F4567" t="inlineStr">
        <is>
          <t>#KALK!</t>
        </is>
      </c>
      <c r="G4567" t="inlineStr">
        <is>
          <t>LASTSCHUETZ</t>
        </is>
      </c>
      <c r="H4567" t="inlineStr">
        <is>
          <t>4kW 1S</t>
        </is>
      </c>
      <c r="I4567">
        <v>626</v>
      </c>
      <c r="J4567">
        <f>GS02/222.6</f>
        <v>0</v>
      </c>
      <c r="M4567" t="inlineStr">
        <is>
          <t>-222K35.7</t>
        </is>
      </c>
    </row>
    <row r="4568">
      <c r="A4568">
        <v>4567</v>
      </c>
      <c r="B4568">
        <f>GS25</f>
        <v>0</v>
      </c>
      <c r="C4568" t="inlineStr">
        <is>
          <t>+LS5</t>
        </is>
      </c>
      <c r="D4568" t="inlineStr">
        <is>
          <t>-222K74.0</t>
        </is>
      </c>
      <c r="E4568" t="inlineStr">
        <is>
          <t>DIL_EM-10-G</t>
        </is>
      </c>
      <c r="F4568" t="inlineStr">
        <is>
          <t>#KALK!</t>
        </is>
      </c>
      <c r="G4568" t="inlineStr">
        <is>
          <t>LASTSCHUETZ</t>
        </is>
      </c>
      <c r="H4568" t="inlineStr">
        <is>
          <t>4kW 1S</t>
        </is>
      </c>
      <c r="I4568">
        <v>343</v>
      </c>
      <c r="J4568">
        <f>GS25/222.6</f>
        <v>0</v>
      </c>
      <c r="M4568" t="inlineStr">
        <is>
          <t>-222K74.0</t>
        </is>
      </c>
    </row>
    <row r="4569">
      <c r="A4569">
        <v>4568</v>
      </c>
      <c r="B4569">
        <f>GS25</f>
        <v>0</v>
      </c>
      <c r="C4569" t="inlineStr">
        <is>
          <t>+LS5</t>
        </is>
      </c>
      <c r="D4569" t="inlineStr">
        <is>
          <t>-222K74.1</t>
        </is>
      </c>
      <c r="E4569" t="inlineStr">
        <is>
          <t>DIL_EM-10-G</t>
        </is>
      </c>
      <c r="F4569" t="inlineStr">
        <is>
          <t>#KALK!</t>
        </is>
      </c>
      <c r="G4569" t="inlineStr">
        <is>
          <t>LASTSCHUETZ</t>
        </is>
      </c>
      <c r="H4569" t="inlineStr">
        <is>
          <t>4kW 1S</t>
        </is>
      </c>
      <c r="I4569">
        <v>343</v>
      </c>
      <c r="J4569">
        <f>GS25/222.6</f>
        <v>0</v>
      </c>
      <c r="M4569" t="inlineStr">
        <is>
          <t>-222K74.1</t>
        </is>
      </c>
    </row>
    <row r="4570">
      <c r="A4570">
        <v>4569</v>
      </c>
      <c r="B4570">
        <f>GC22</f>
        <v>0</v>
      </c>
      <c r="C4570" t="inlineStr">
        <is>
          <t>+ES3</t>
        </is>
      </c>
      <c r="D4570" t="inlineStr">
        <is>
          <t>-222K94.2</t>
        </is>
      </c>
      <c r="E4570" t="inlineStr">
        <is>
          <t>DIL_ER-22-G</t>
        </is>
      </c>
      <c r="F4570" t="inlineStr">
        <is>
          <t>#KALK!</t>
        </is>
      </c>
      <c r="G4570" t="inlineStr">
        <is>
          <t>HILFSSCHUETZ</t>
        </is>
      </c>
      <c r="H4570" t="inlineStr">
        <is>
          <t>2S 2OE</t>
        </is>
      </c>
      <c r="I4570">
        <v>3412</v>
      </c>
      <c r="J4570">
        <f>GC22/222.6</f>
        <v>0</v>
      </c>
      <c r="M4570" t="inlineStr">
        <is>
          <t>-222K94.2</t>
        </is>
      </c>
    </row>
    <row r="4571">
      <c r="A4571">
        <v>4570</v>
      </c>
      <c r="B4571">
        <f>GS12</f>
        <v>0</v>
      </c>
      <c r="C4571" t="inlineStr">
        <is>
          <t>+ES3</t>
        </is>
      </c>
      <c r="D4571" t="inlineStr">
        <is>
          <t>-222K94.2</t>
        </is>
      </c>
      <c r="E4571" t="inlineStr">
        <is>
          <t>DIL_ER-22-G</t>
        </is>
      </c>
      <c r="F4571" t="inlineStr">
        <is>
          <t>#KALK!</t>
        </is>
      </c>
      <c r="G4571" t="inlineStr">
        <is>
          <t>HILFSSCHUETZ</t>
        </is>
      </c>
      <c r="H4571" t="inlineStr">
        <is>
          <t>2S 2OE</t>
        </is>
      </c>
      <c r="I4571">
        <v>354</v>
      </c>
      <c r="J4571">
        <f>GS12/222.6</f>
        <v>0</v>
      </c>
      <c r="M4571" t="inlineStr">
        <is>
          <t>-222K94.2</t>
        </is>
      </c>
    </row>
    <row r="4572">
      <c r="A4572">
        <v>4571</v>
      </c>
      <c r="B4572">
        <f>GS32</f>
        <v>0</v>
      </c>
      <c r="C4572" t="inlineStr">
        <is>
          <t>+LS5</t>
        </is>
      </c>
      <c r="D4572" t="inlineStr">
        <is>
          <t>-222K94.3</t>
        </is>
      </c>
      <c r="E4572" t="inlineStr">
        <is>
          <t>DIL_EM-10-G</t>
        </is>
      </c>
      <c r="F4572" t="inlineStr">
        <is>
          <t>#KALK!</t>
        </is>
      </c>
      <c r="G4572" t="inlineStr">
        <is>
          <t>LASTSCHUETZ</t>
        </is>
      </c>
      <c r="H4572" t="inlineStr">
        <is>
          <t>4kW 1S</t>
        </is>
      </c>
      <c r="I4572">
        <v>1408</v>
      </c>
      <c r="J4572">
        <f>GS32/222.7</f>
        <v>0</v>
      </c>
      <c r="M4572" t="inlineStr">
        <is>
          <t>-222K94.3</t>
        </is>
      </c>
    </row>
    <row r="4573">
      <c r="A4573">
        <v>4572</v>
      </c>
      <c r="B4573">
        <f>GS36</f>
        <v>0</v>
      </c>
      <c r="C4573" t="inlineStr">
        <is>
          <t>+LS04</t>
        </is>
      </c>
      <c r="D4573" t="inlineStr">
        <is>
          <t>-233K1</t>
        </is>
      </c>
      <c r="E4573" t="inlineStr">
        <is>
          <t>DILM-9-01</t>
        </is>
      </c>
      <c r="F4573" t="inlineStr">
        <is>
          <t>#KALK!</t>
        </is>
      </c>
      <c r="G4573" t="inlineStr">
        <is>
          <t>LASTSCHUETZ</t>
        </is>
      </c>
      <c r="H4573" t="inlineStr">
        <is>
          <t>4kW 1Oe Federzugkl.</t>
        </is>
      </c>
      <c r="I4573">
        <v>406</v>
      </c>
      <c r="J4573">
        <f>GS36/233.6</f>
        <v>0</v>
      </c>
      <c r="L4573" t="inlineStr">
        <is>
          <t>Lichtvorhang KF</t>
        </is>
      </c>
      <c r="M4573" t="inlineStr">
        <is>
          <t>Lichtvorhang KF
-233K1</t>
        </is>
      </c>
    </row>
    <row r="4574">
      <c r="A4574">
        <v>4573</v>
      </c>
      <c r="B4574">
        <f>GS37</f>
        <v>0</v>
      </c>
      <c r="C4574" t="inlineStr">
        <is>
          <t>+LS04</t>
        </is>
      </c>
      <c r="D4574" t="inlineStr">
        <is>
          <t>-223K1</t>
        </is>
      </c>
      <c r="E4574" t="inlineStr">
        <is>
          <t>DILM-9-01</t>
        </is>
      </c>
      <c r="F4574" t="inlineStr">
        <is>
          <t>#KALK!</t>
        </is>
      </c>
      <c r="G4574" t="inlineStr">
        <is>
          <t>LASTSCHUETZ</t>
        </is>
      </c>
      <c r="H4574" t="inlineStr">
        <is>
          <t>4kW 1Oe Federzugkl.</t>
        </is>
      </c>
      <c r="I4574">
        <v>384</v>
      </c>
      <c r="J4574">
        <f>GS37/223.6</f>
        <v>0</v>
      </c>
      <c r="M4574" t="inlineStr">
        <is>
          <t>-223K1</t>
        </is>
      </c>
    </row>
    <row r="4575">
      <c r="A4575">
        <v>4574</v>
      </c>
      <c r="B4575">
        <f>GS36</f>
        <v>0</v>
      </c>
      <c r="C4575" t="inlineStr">
        <is>
          <t>+LS04</t>
        </is>
      </c>
      <c r="D4575" t="inlineStr">
        <is>
          <t>-233K2</t>
        </is>
      </c>
      <c r="E4575" t="inlineStr">
        <is>
          <t>DILM-9-01</t>
        </is>
      </c>
      <c r="F4575" t="inlineStr">
        <is>
          <t>#KALK!</t>
        </is>
      </c>
      <c r="G4575" t="inlineStr">
        <is>
          <t>LASTSCHUETZ</t>
        </is>
      </c>
      <c r="H4575" t="inlineStr">
        <is>
          <t>4kW 1Oe Federzugkl.</t>
        </is>
      </c>
      <c r="I4575">
        <v>406</v>
      </c>
      <c r="J4575">
        <f>GS36/233.7</f>
        <v>0</v>
      </c>
      <c r="L4575" t="inlineStr">
        <is>
          <t>Lichtvorhang KF</t>
        </is>
      </c>
      <c r="M4575" t="inlineStr">
        <is>
          <t>Lichtvorhang KF
-233K2</t>
        </is>
      </c>
    </row>
    <row r="4576">
      <c r="A4576">
        <v>4575</v>
      </c>
      <c r="B4576">
        <f>GS37</f>
        <v>0</v>
      </c>
      <c r="C4576" t="inlineStr">
        <is>
          <t>+LS04</t>
        </is>
      </c>
      <c r="D4576" t="inlineStr">
        <is>
          <t>-223K2</t>
        </is>
      </c>
      <c r="E4576" t="inlineStr">
        <is>
          <t>DILM-9-01</t>
        </is>
      </c>
      <c r="F4576" t="inlineStr">
        <is>
          <t>#KALK!</t>
        </is>
      </c>
      <c r="G4576" t="inlineStr">
        <is>
          <t>LASTSCHUETZ</t>
        </is>
      </c>
      <c r="H4576" t="inlineStr">
        <is>
          <t>4kW 1Oe Federzugkl.</t>
        </is>
      </c>
      <c r="I4576">
        <v>384</v>
      </c>
      <c r="J4576">
        <f>GS37/223.7</f>
        <v>0</v>
      </c>
      <c r="M4576" t="inlineStr">
        <is>
          <t>-223K2</t>
        </is>
      </c>
    </row>
    <row r="4577">
      <c r="A4577">
        <v>4576</v>
      </c>
      <c r="B4577">
        <f>GS33</f>
        <v>0</v>
      </c>
      <c r="C4577" t="inlineStr">
        <is>
          <t>+LS4</t>
        </is>
      </c>
      <c r="D4577" t="inlineStr">
        <is>
          <t>-223K31.6</t>
        </is>
      </c>
      <c r="E4577" t="inlineStr">
        <is>
          <t>DIL_EM-10-G</t>
        </is>
      </c>
      <c r="F4577" t="inlineStr">
        <is>
          <t>#KALK!</t>
        </is>
      </c>
      <c r="G4577" t="inlineStr">
        <is>
          <t>LASTSCHUETZ</t>
        </is>
      </c>
      <c r="H4577" t="inlineStr">
        <is>
          <t>4kW 1S</t>
        </is>
      </c>
      <c r="I4577">
        <v>662</v>
      </c>
      <c r="J4577">
        <f>GS33/223.6</f>
        <v>0</v>
      </c>
      <c r="M4577" t="inlineStr">
        <is>
          <t>-223K31.6</t>
        </is>
      </c>
    </row>
    <row r="4578">
      <c r="A4578">
        <v>4577</v>
      </c>
      <c r="B4578">
        <f>GS02</f>
        <v>0</v>
      </c>
      <c r="C4578" t="inlineStr">
        <is>
          <t>+LS3</t>
        </is>
      </c>
      <c r="D4578" t="inlineStr">
        <is>
          <t>-223K35.4</t>
        </is>
      </c>
      <c r="E4578" t="inlineStr">
        <is>
          <t>DIL_EM-10-G</t>
        </is>
      </c>
      <c r="F4578" t="inlineStr">
        <is>
          <t>#KALK!</t>
        </is>
      </c>
      <c r="G4578" t="inlineStr">
        <is>
          <t>LASTSCHUETZ</t>
        </is>
      </c>
      <c r="H4578" t="inlineStr">
        <is>
          <t>4kW 1S</t>
        </is>
      </c>
      <c r="I4578">
        <v>628</v>
      </c>
      <c r="J4578">
        <f>GS02/223.6</f>
        <v>0</v>
      </c>
      <c r="M4578" t="inlineStr">
        <is>
          <t>-223K35.4</t>
        </is>
      </c>
    </row>
    <row r="4579">
      <c r="A4579">
        <v>4578</v>
      </c>
      <c r="B4579">
        <f>GS02</f>
        <v>0</v>
      </c>
      <c r="C4579" t="inlineStr">
        <is>
          <t>+LS3</t>
        </is>
      </c>
      <c r="D4579" t="inlineStr">
        <is>
          <t>-223K35.5</t>
        </is>
      </c>
      <c r="E4579" t="inlineStr">
        <is>
          <t>DIL_EM-10-G</t>
        </is>
      </c>
      <c r="F4579" t="inlineStr">
        <is>
          <t>#KALK!</t>
        </is>
      </c>
      <c r="G4579" t="inlineStr">
        <is>
          <t>LASTSCHUETZ</t>
        </is>
      </c>
      <c r="H4579" t="inlineStr">
        <is>
          <t>4kW 1S</t>
        </is>
      </c>
      <c r="I4579">
        <v>628</v>
      </c>
      <c r="J4579">
        <f>GS02/223.6</f>
        <v>0</v>
      </c>
      <c r="M4579" t="inlineStr">
        <is>
          <t>-223K35.5</t>
        </is>
      </c>
    </row>
    <row r="4580">
      <c r="A4580">
        <v>4579</v>
      </c>
      <c r="B4580">
        <f>GS15</f>
        <v>0</v>
      </c>
      <c r="C4580" t="inlineStr">
        <is>
          <t>+LS4</t>
        </is>
      </c>
      <c r="D4580" t="inlineStr">
        <is>
          <t>-223K74.0</t>
        </is>
      </c>
      <c r="E4580" t="inlineStr">
        <is>
          <t>DIL_EM-10-G</t>
        </is>
      </c>
      <c r="F4580" t="inlineStr">
        <is>
          <t>#KALK!</t>
        </is>
      </c>
      <c r="G4580" t="inlineStr">
        <is>
          <t>LASTSCHUETZ</t>
        </is>
      </c>
      <c r="H4580" t="inlineStr">
        <is>
          <t>4kW 1S</t>
        </is>
      </c>
      <c r="I4580">
        <v>716</v>
      </c>
      <c r="J4580">
        <f>GS15/223.6</f>
        <v>0</v>
      </c>
      <c r="M4580" t="inlineStr">
        <is>
          <t>-223K74.0</t>
        </is>
      </c>
    </row>
    <row r="4581">
      <c r="A4581">
        <v>4580</v>
      </c>
      <c r="B4581">
        <f>GS15</f>
        <v>0</v>
      </c>
      <c r="C4581" t="inlineStr">
        <is>
          <t>+LS4</t>
        </is>
      </c>
      <c r="D4581" t="inlineStr">
        <is>
          <t>-223K74.1</t>
        </is>
      </c>
      <c r="E4581" t="inlineStr">
        <is>
          <t>DIL_EM-10-G</t>
        </is>
      </c>
      <c r="F4581" t="inlineStr">
        <is>
          <t>#KALK!</t>
        </is>
      </c>
      <c r="G4581" t="inlineStr">
        <is>
          <t>LASTSCHUETZ</t>
        </is>
      </c>
      <c r="H4581" t="inlineStr">
        <is>
          <t>4kW 1S</t>
        </is>
      </c>
      <c r="I4581">
        <v>716</v>
      </c>
      <c r="J4581">
        <f>GS15/223.6</f>
        <v>0</v>
      </c>
      <c r="M4581" t="inlineStr">
        <is>
          <t>-223K74.1</t>
        </is>
      </c>
    </row>
    <row r="4582">
      <c r="A4582">
        <v>4581</v>
      </c>
      <c r="B4582">
        <f>GS32</f>
        <v>0</v>
      </c>
      <c r="C4582" t="inlineStr">
        <is>
          <t>+LS5</t>
        </is>
      </c>
      <c r="D4582" t="inlineStr">
        <is>
          <t>-223K92.7</t>
        </is>
      </c>
      <c r="E4582" t="inlineStr">
        <is>
          <t>DIL_EM-10-G</t>
        </is>
      </c>
      <c r="F4582" t="inlineStr">
        <is>
          <t>#KALK!</t>
        </is>
      </c>
      <c r="G4582" t="inlineStr">
        <is>
          <t>LASTSCHUETZ</t>
        </is>
      </c>
      <c r="H4582" t="inlineStr">
        <is>
          <t>4kW 1S</t>
        </is>
      </c>
      <c r="I4582">
        <v>1407</v>
      </c>
      <c r="J4582">
        <f>GS32/223.7</f>
        <v>0</v>
      </c>
      <c r="M4582" t="inlineStr">
        <is>
          <t>-223K92.7</t>
        </is>
      </c>
    </row>
    <row r="4583">
      <c r="A4583">
        <v>4582</v>
      </c>
      <c r="B4583">
        <f>GS13</f>
        <v>0</v>
      </c>
      <c r="C4583" t="inlineStr">
        <is>
          <t>+LS4</t>
        </is>
      </c>
      <c r="D4583" t="inlineStr">
        <is>
          <t>-224K1</t>
        </is>
      </c>
      <c r="E4583" t="inlineStr">
        <is>
          <t>DIL_0AM</t>
        </is>
      </c>
      <c r="F4583" t="inlineStr">
        <is>
          <t>22_DIL-M</t>
        </is>
      </c>
      <c r="G4583" t="inlineStr">
        <is>
          <t>LASTSCHUETZ</t>
        </is>
      </c>
      <c r="H4583" t="inlineStr">
        <is>
          <t>11 kW</t>
        </is>
      </c>
      <c r="I4583">
        <v>466</v>
      </c>
      <c r="J4583">
        <f>GS13/224.2</f>
        <v>0</v>
      </c>
      <c r="K4583" t="inlineStr">
        <is>
          <t>DIL0AM</t>
        </is>
      </c>
      <c r="M4583" t="inlineStr">
        <is>
          <t>-224K1</t>
        </is>
      </c>
    </row>
    <row r="4584">
      <c r="A4584">
        <v>4583</v>
      </c>
      <c r="B4584">
        <f>GS13</f>
        <v>0</v>
      </c>
      <c r="C4584" t="inlineStr">
        <is>
          <t>+LS4</t>
        </is>
      </c>
      <c r="D4584" t="inlineStr">
        <is>
          <t>-224K1</t>
        </is>
      </c>
      <c r="E4584" t="inlineStr">
        <is>
          <t>22_DIL-M</t>
        </is>
      </c>
      <c r="F4584" t="inlineStr">
        <is>
          <t>22_DIL-M</t>
        </is>
      </c>
      <c r="G4584" t="inlineStr">
        <is>
          <t>HILFSKONTAKTBLOCK</t>
        </is>
      </c>
      <c r="H4584" t="inlineStr">
        <is>
          <t>2S 2OE Lastschuetz DIL M</t>
        </is>
      </c>
      <c r="I4584">
        <v>466</v>
      </c>
      <c r="J4584">
        <f>GS13/224.2</f>
        <v>0</v>
      </c>
      <c r="K4584" t="inlineStr">
        <is>
          <t>DIL0AM</t>
        </is>
      </c>
      <c r="M4584" t="inlineStr">
        <is>
          <t>-224K1</t>
        </is>
      </c>
    </row>
    <row r="4585">
      <c r="A4585">
        <v>4584</v>
      </c>
      <c r="B4585">
        <f>GS23</f>
        <v>0</v>
      </c>
      <c r="C4585" t="inlineStr">
        <is>
          <t>+LS4</t>
        </is>
      </c>
      <c r="D4585" t="inlineStr">
        <is>
          <t>-224K1</t>
        </is>
      </c>
      <c r="E4585" t="inlineStr">
        <is>
          <t>22_DIL-M</t>
        </is>
      </c>
      <c r="F4585" t="inlineStr">
        <is>
          <t>22_DIL-M</t>
        </is>
      </c>
      <c r="G4585" t="inlineStr">
        <is>
          <t>HILFSKONTAKTBLOCK</t>
        </is>
      </c>
      <c r="H4585" t="inlineStr">
        <is>
          <t>2S 2OE Lastschuetz DIL M</t>
        </is>
      </c>
      <c r="I4585">
        <v>525</v>
      </c>
      <c r="J4585">
        <f>GS23/224.2</f>
        <v>0</v>
      </c>
      <c r="K4585" t="inlineStr">
        <is>
          <t>DIL0AM</t>
        </is>
      </c>
      <c r="M4585" t="inlineStr">
        <is>
          <t>-224K1</t>
        </is>
      </c>
    </row>
    <row r="4586">
      <c r="A4586">
        <v>4585</v>
      </c>
      <c r="B4586">
        <f>GS23</f>
        <v>0</v>
      </c>
      <c r="C4586" t="inlineStr">
        <is>
          <t>+LS4</t>
        </is>
      </c>
      <c r="D4586" t="inlineStr">
        <is>
          <t>-224K1</t>
        </is>
      </c>
      <c r="E4586" t="inlineStr">
        <is>
          <t>DIL_0AM</t>
        </is>
      </c>
      <c r="F4586" t="inlineStr">
        <is>
          <t>22_DIL-M</t>
        </is>
      </c>
      <c r="G4586" t="inlineStr">
        <is>
          <t>LASTSCHUETZ</t>
        </is>
      </c>
      <c r="H4586" t="inlineStr">
        <is>
          <t>11 kW</t>
        </is>
      </c>
      <c r="I4586">
        <v>525</v>
      </c>
      <c r="J4586">
        <f>GS23/224.2</f>
        <v>0</v>
      </c>
      <c r="K4586" t="inlineStr">
        <is>
          <t>DIL0AM</t>
        </is>
      </c>
      <c r="M4586" t="inlineStr">
        <is>
          <t>-224K1</t>
        </is>
      </c>
    </row>
    <row r="4587">
      <c r="A4587">
        <v>4586</v>
      </c>
      <c r="B4587">
        <f>GS33</f>
        <v>0</v>
      </c>
      <c r="C4587" t="inlineStr">
        <is>
          <t>+LS4</t>
        </is>
      </c>
      <c r="D4587" t="inlineStr">
        <is>
          <t>-224K32.3</t>
        </is>
      </c>
      <c r="E4587" t="inlineStr">
        <is>
          <t>DIL_EM-10-G</t>
        </is>
      </c>
      <c r="F4587" t="inlineStr">
        <is>
          <t>#KALK!</t>
        </is>
      </c>
      <c r="G4587" t="inlineStr">
        <is>
          <t>LASTSCHUETZ</t>
        </is>
      </c>
      <c r="H4587" t="inlineStr">
        <is>
          <t>4kW 1S</t>
        </is>
      </c>
      <c r="I4587">
        <v>663</v>
      </c>
      <c r="J4587">
        <f>GS33/224.7</f>
        <v>0</v>
      </c>
      <c r="M4587" t="inlineStr">
        <is>
          <t>-224K32.3</t>
        </is>
      </c>
    </row>
    <row r="4588">
      <c r="A4588">
        <v>4587</v>
      </c>
      <c r="B4588">
        <f>GS02</f>
        <v>0</v>
      </c>
      <c r="C4588" t="inlineStr">
        <is>
          <t>+LS3</t>
        </is>
      </c>
      <c r="D4588" t="inlineStr">
        <is>
          <t>-224K36.0</t>
        </is>
      </c>
      <c r="E4588" t="inlineStr">
        <is>
          <t>DIL_EM-10-G</t>
        </is>
      </c>
      <c r="F4588" t="inlineStr">
        <is>
          <t>#KALK!</t>
        </is>
      </c>
      <c r="G4588" t="inlineStr">
        <is>
          <t>LASTSCHUETZ</t>
        </is>
      </c>
      <c r="H4588" t="inlineStr">
        <is>
          <t>4kW 1S</t>
        </is>
      </c>
      <c r="I4588">
        <v>629</v>
      </c>
      <c r="J4588">
        <f>GS02/224.6</f>
        <v>0</v>
      </c>
      <c r="M4588" t="inlineStr">
        <is>
          <t>-224K36.0</t>
        </is>
      </c>
    </row>
    <row r="4589">
      <c r="A4589">
        <v>4588</v>
      </c>
      <c r="B4589">
        <f>GS02</f>
        <v>0</v>
      </c>
      <c r="C4589" t="inlineStr">
        <is>
          <t>+LS3</t>
        </is>
      </c>
      <c r="D4589" t="inlineStr">
        <is>
          <t>-224K36.1</t>
        </is>
      </c>
      <c r="E4589" t="inlineStr">
        <is>
          <t>DIL_EM-10-G</t>
        </is>
      </c>
      <c r="F4589" t="inlineStr">
        <is>
          <t>#KALK!</t>
        </is>
      </c>
      <c r="G4589" t="inlineStr">
        <is>
          <t>LASTSCHUETZ</t>
        </is>
      </c>
      <c r="H4589" t="inlineStr">
        <is>
          <t>4kW 1S</t>
        </is>
      </c>
      <c r="I4589">
        <v>629</v>
      </c>
      <c r="J4589">
        <f>GS02/224.6</f>
        <v>0</v>
      </c>
      <c r="M4589" t="inlineStr">
        <is>
          <t>-224K36.1</t>
        </is>
      </c>
    </row>
    <row r="4590">
      <c r="A4590">
        <v>4589</v>
      </c>
      <c r="B4590">
        <f>GS25</f>
        <v>0</v>
      </c>
      <c r="C4590" t="inlineStr">
        <is>
          <t>+LS5</t>
        </is>
      </c>
      <c r="D4590" t="inlineStr">
        <is>
          <t>-224K74.7</t>
        </is>
      </c>
      <c r="E4590" t="inlineStr">
        <is>
          <t>DIL_EM-10-G</t>
        </is>
      </c>
      <c r="F4590" t="inlineStr">
        <is>
          <t>#KALK!</t>
        </is>
      </c>
      <c r="G4590" t="inlineStr">
        <is>
          <t>LASTSCHUETZ</t>
        </is>
      </c>
      <c r="H4590" t="inlineStr">
        <is>
          <t>4kW 1S</t>
        </is>
      </c>
      <c r="I4590">
        <v>345</v>
      </c>
      <c r="J4590">
        <f>GS25/224.5</f>
        <v>0</v>
      </c>
      <c r="M4590" t="inlineStr">
        <is>
          <t>-224K74.7</t>
        </is>
      </c>
    </row>
    <row r="4591">
      <c r="A4591">
        <v>4590</v>
      </c>
      <c r="B4591">
        <f>GS25</f>
        <v>0</v>
      </c>
      <c r="C4591" t="inlineStr">
        <is>
          <t>+LS5</t>
        </is>
      </c>
      <c r="D4591" t="inlineStr">
        <is>
          <t>-224K75.0</t>
        </is>
      </c>
      <c r="E4591" t="inlineStr">
        <is>
          <t>DIL_EM-10-G</t>
        </is>
      </c>
      <c r="F4591" t="inlineStr">
        <is>
          <t>#KALK!</t>
        </is>
      </c>
      <c r="G4591" t="inlineStr">
        <is>
          <t>LASTSCHUETZ</t>
        </is>
      </c>
      <c r="H4591" t="inlineStr">
        <is>
          <t>4kW 1S</t>
        </is>
      </c>
      <c r="I4591">
        <v>345</v>
      </c>
      <c r="J4591">
        <f>GS25/224.6</f>
        <v>0</v>
      </c>
      <c r="M4591" t="inlineStr">
        <is>
          <t>-224K75.0</t>
        </is>
      </c>
    </row>
    <row r="4592">
      <c r="A4592">
        <v>4591</v>
      </c>
      <c r="B4592">
        <f>GS25</f>
        <v>0</v>
      </c>
      <c r="C4592" t="inlineStr">
        <is>
          <t>+LS5</t>
        </is>
      </c>
      <c r="D4592" t="inlineStr">
        <is>
          <t>-224K75.1</t>
        </is>
      </c>
      <c r="E4592" t="inlineStr">
        <is>
          <t>DIL_EM-01-G</t>
        </is>
      </c>
      <c r="F4592" t="inlineStr">
        <is>
          <t>#KALK!</t>
        </is>
      </c>
      <c r="G4592" t="inlineStr">
        <is>
          <t>LASTSCHUETZ</t>
        </is>
      </c>
      <c r="H4592" t="inlineStr">
        <is>
          <t>4kW 1OE</t>
        </is>
      </c>
      <c r="I4592">
        <v>345</v>
      </c>
      <c r="J4592">
        <f>GS25/224.7</f>
        <v>0</v>
      </c>
      <c r="M4592" t="inlineStr">
        <is>
          <t>-224K75.1</t>
        </is>
      </c>
    </row>
    <row r="4593">
      <c r="A4593">
        <v>4592</v>
      </c>
      <c r="B4593">
        <f>GS25</f>
        <v>0</v>
      </c>
      <c r="C4593" t="inlineStr">
        <is>
          <t>+LS5</t>
        </is>
      </c>
      <c r="D4593" t="inlineStr">
        <is>
          <t>-224K75.2</t>
        </is>
      </c>
      <c r="E4593" t="inlineStr">
        <is>
          <t>DIL_EM-01-G</t>
        </is>
      </c>
      <c r="F4593" t="inlineStr">
        <is>
          <t>#KALK!</t>
        </is>
      </c>
      <c r="G4593" t="inlineStr">
        <is>
          <t>LASTSCHUETZ</t>
        </is>
      </c>
      <c r="H4593" t="inlineStr">
        <is>
          <t>4kW 1OE</t>
        </is>
      </c>
      <c r="I4593">
        <v>345</v>
      </c>
      <c r="J4593">
        <f>GS25/224.8</f>
        <v>0</v>
      </c>
      <c r="M4593" t="inlineStr">
        <is>
          <t>-224K75.2</t>
        </is>
      </c>
    </row>
    <row r="4594">
      <c r="A4594">
        <v>4593</v>
      </c>
      <c r="B4594">
        <f>GS32</f>
        <v>0</v>
      </c>
      <c r="C4594" t="inlineStr">
        <is>
          <t>+LS5</t>
        </is>
      </c>
      <c r="D4594" t="inlineStr">
        <is>
          <t>-224K93.7</t>
        </is>
      </c>
      <c r="E4594" t="inlineStr">
        <is>
          <t>DIL_EM-10-G</t>
        </is>
      </c>
      <c r="F4594" t="inlineStr">
        <is>
          <t>#KALK!</t>
        </is>
      </c>
      <c r="G4594" t="inlineStr">
        <is>
          <t>LASTSCHUETZ</t>
        </is>
      </c>
      <c r="H4594" t="inlineStr">
        <is>
          <t>4kW 1S</t>
        </is>
      </c>
      <c r="I4594">
        <v>1416</v>
      </c>
      <c r="J4594">
        <f>GS32/224.7</f>
        <v>0</v>
      </c>
      <c r="M4594" t="inlineStr">
        <is>
          <t>-224K93.7</t>
        </is>
      </c>
    </row>
    <row r="4595">
      <c r="A4595">
        <v>4594</v>
      </c>
      <c r="B4595">
        <f>GS38</f>
        <v>0</v>
      </c>
      <c r="C4595" t="inlineStr">
        <is>
          <t>+LS04</t>
        </is>
      </c>
      <c r="D4595" t="inlineStr">
        <is>
          <t>-224Q405.0</t>
        </is>
      </c>
      <c r="E4595" t="inlineStr">
        <is>
          <t>DILMC12-10(24VDC)</t>
        </is>
      </c>
      <c r="F4595" t="inlineStr">
        <is>
          <t>#KALK!</t>
        </is>
      </c>
      <c r="G4595" t="inlineStr">
        <is>
          <t>LASTSCHUETZ</t>
        </is>
      </c>
      <c r="H4595" t="inlineStr">
        <is>
          <t>5,5kW 1S Federzugkl.</t>
        </is>
      </c>
      <c r="I4595">
        <v>394</v>
      </c>
      <c r="J4595">
        <f>GS38/224.5</f>
        <v>0</v>
      </c>
      <c r="K4595" t="inlineStr">
        <is>
          <t>DIL MC12</t>
        </is>
      </c>
      <c r="M4595" t="inlineStr">
        <is>
          <t>-224Q405.0</t>
        </is>
      </c>
    </row>
    <row r="4596">
      <c r="A4596">
        <v>4595</v>
      </c>
      <c r="B4596">
        <f>GS39</f>
        <v>0</v>
      </c>
      <c r="C4596" t="inlineStr">
        <is>
          <t>+LS04</t>
        </is>
      </c>
      <c r="D4596" t="inlineStr">
        <is>
          <t>-224Q405.0</t>
        </is>
      </c>
      <c r="E4596" t="inlineStr">
        <is>
          <t>DILMC12-10(24VDC)</t>
        </is>
      </c>
      <c r="F4596" t="inlineStr">
        <is>
          <t>#KALK!</t>
        </is>
      </c>
      <c r="G4596" t="inlineStr">
        <is>
          <t>LASTSCHUETZ</t>
        </is>
      </c>
      <c r="H4596" t="inlineStr">
        <is>
          <t>5,5kW 1S Federzugkl.</t>
        </is>
      </c>
      <c r="I4596">
        <v>419</v>
      </c>
      <c r="J4596">
        <f>GS39/224.5</f>
        <v>0</v>
      </c>
      <c r="K4596" t="inlineStr">
        <is>
          <t>DIL MC12</t>
        </is>
      </c>
      <c r="M4596" t="inlineStr">
        <is>
          <t>-224Q405.0</t>
        </is>
      </c>
    </row>
    <row r="4597">
      <c r="A4597">
        <v>4596</v>
      </c>
      <c r="B4597">
        <f>GC03</f>
        <v>0</v>
      </c>
      <c r="C4597" t="inlineStr">
        <is>
          <t>+LS5</t>
        </is>
      </c>
      <c r="D4597" t="inlineStr">
        <is>
          <t>-225K1</t>
        </is>
      </c>
      <c r="E4597" t="inlineStr">
        <is>
          <t>22_DIL-M</t>
        </is>
      </c>
      <c r="F4597" t="inlineStr">
        <is>
          <t>22_DIL-M</t>
        </is>
      </c>
      <c r="G4597" t="inlineStr">
        <is>
          <t>HILFSKONTAKTBLOCK</t>
        </is>
      </c>
      <c r="H4597" t="inlineStr">
        <is>
          <t>2S 2OE Lastschuetz DIL M</t>
        </is>
      </c>
      <c r="I4597">
        <v>687</v>
      </c>
      <c r="J4597">
        <f>GC03/225.2</f>
        <v>0</v>
      </c>
      <c r="K4597" t="inlineStr">
        <is>
          <t>DIL0AM</t>
        </is>
      </c>
      <c r="M4597" t="inlineStr">
        <is>
          <t>-225K1</t>
        </is>
      </c>
    </row>
    <row r="4598">
      <c r="A4598">
        <v>4597</v>
      </c>
      <c r="B4598">
        <f>GC03</f>
        <v>0</v>
      </c>
      <c r="C4598" t="inlineStr">
        <is>
          <t>+LS5</t>
        </is>
      </c>
      <c r="D4598" t="inlineStr">
        <is>
          <t>-225K1</t>
        </is>
      </c>
      <c r="E4598" t="inlineStr">
        <is>
          <t>DIL_0AM</t>
        </is>
      </c>
      <c r="F4598" t="inlineStr">
        <is>
          <t>22_DIL-M</t>
        </is>
      </c>
      <c r="G4598" t="inlineStr">
        <is>
          <t>LASTSCHUETZ</t>
        </is>
      </c>
      <c r="H4598" t="inlineStr">
        <is>
          <t>11 kW</t>
        </is>
      </c>
      <c r="I4598">
        <v>687</v>
      </c>
      <c r="J4598">
        <f>GC03/225.2</f>
        <v>0</v>
      </c>
      <c r="K4598" t="inlineStr">
        <is>
          <t>DIL0AM</t>
        </is>
      </c>
      <c r="M4598" t="inlineStr">
        <is>
          <t>-225K1</t>
        </is>
      </c>
    </row>
    <row r="4599">
      <c r="A4599">
        <v>4598</v>
      </c>
      <c r="B4599">
        <f>GS14</f>
        <v>0</v>
      </c>
      <c r="C4599" t="inlineStr">
        <is>
          <t>+LS5</t>
        </is>
      </c>
      <c r="D4599" t="inlineStr">
        <is>
          <t>-225K1</t>
        </is>
      </c>
      <c r="E4599" t="inlineStr">
        <is>
          <t>DIL_0AM</t>
        </is>
      </c>
      <c r="F4599" t="inlineStr">
        <is>
          <t>22_DIL-M</t>
        </is>
      </c>
      <c r="G4599" t="inlineStr">
        <is>
          <t>LASTSCHUETZ</t>
        </is>
      </c>
      <c r="H4599" t="inlineStr">
        <is>
          <t>11 kW</t>
        </is>
      </c>
      <c r="I4599">
        <v>351</v>
      </c>
      <c r="J4599">
        <f>GS14/225.2</f>
        <v>0</v>
      </c>
      <c r="K4599" t="inlineStr">
        <is>
          <t>DIL0AM</t>
        </is>
      </c>
      <c r="M4599" t="inlineStr">
        <is>
          <t>-225K1</t>
        </is>
      </c>
    </row>
    <row r="4600">
      <c r="A4600">
        <v>4599</v>
      </c>
      <c r="B4600">
        <f>GS14</f>
        <v>0</v>
      </c>
      <c r="C4600" t="inlineStr">
        <is>
          <t>+LS5</t>
        </is>
      </c>
      <c r="D4600" t="inlineStr">
        <is>
          <t>-225K1</t>
        </is>
      </c>
      <c r="E4600" t="inlineStr">
        <is>
          <t>22_DIL-M</t>
        </is>
      </c>
      <c r="F4600" t="inlineStr">
        <is>
          <t>22_DIL-M</t>
        </is>
      </c>
      <c r="G4600" t="inlineStr">
        <is>
          <t>HILFSKONTAKTBLOCK</t>
        </is>
      </c>
      <c r="H4600" t="inlineStr">
        <is>
          <t>2S 2OE Lastschuetz DIL M</t>
        </is>
      </c>
      <c r="I4600">
        <v>351</v>
      </c>
      <c r="J4600">
        <f>GS14/225.2</f>
        <v>0</v>
      </c>
      <c r="K4600" t="inlineStr">
        <is>
          <t>DIL0AM</t>
        </is>
      </c>
      <c r="M4600" t="inlineStr">
        <is>
          <t>-225K1</t>
        </is>
      </c>
    </row>
    <row r="4601">
      <c r="A4601">
        <v>4600</v>
      </c>
      <c r="B4601">
        <f>GS36</f>
        <v>0</v>
      </c>
      <c r="C4601" t="inlineStr">
        <is>
          <t>+LS04</t>
        </is>
      </c>
      <c r="D4601" t="inlineStr">
        <is>
          <t>-235K154.4</t>
        </is>
      </c>
      <c r="E4601" t="inlineStr">
        <is>
          <t>DILA-40</t>
        </is>
      </c>
      <c r="F4601" t="inlineStr">
        <is>
          <t>#KALK!</t>
        </is>
      </c>
      <c r="G4601" t="inlineStr">
        <is>
          <t>HILFSSCHUETZ</t>
        </is>
      </c>
      <c r="H4601" t="inlineStr">
        <is>
          <t>4S Federzugkl.</t>
        </is>
      </c>
      <c r="I4601">
        <v>408</v>
      </c>
      <c r="J4601">
        <f>GS36/235.7</f>
        <v>0</v>
      </c>
      <c r="M4601" t="inlineStr">
        <is>
          <t>-235K154.4</t>
        </is>
      </c>
    </row>
    <row r="4602">
      <c r="A4602">
        <v>4601</v>
      </c>
      <c r="B4602">
        <f>GS36</f>
        <v>0</v>
      </c>
      <c r="C4602" t="inlineStr">
        <is>
          <t>+LS04</t>
        </is>
      </c>
      <c r="D4602" t="inlineStr">
        <is>
          <t>-243K1</t>
        </is>
      </c>
      <c r="E4602" t="inlineStr">
        <is>
          <t>DILM-9-01</t>
        </is>
      </c>
      <c r="F4602" t="inlineStr">
        <is>
          <t>DILA-XHIC40</t>
        </is>
      </c>
      <c r="G4602" t="inlineStr">
        <is>
          <t>LASTSCHUETZ</t>
        </is>
      </c>
      <c r="H4602" t="inlineStr">
        <is>
          <t>4kW 1Oe Federzugkl.</t>
        </is>
      </c>
      <c r="I4602">
        <v>416</v>
      </c>
      <c r="J4602">
        <f>GS36/243.6</f>
        <v>0</v>
      </c>
      <c r="L4602" t="inlineStr">
        <is>
          <t>Lichtvorhang KF</t>
        </is>
      </c>
      <c r="M4602" t="inlineStr">
        <is>
          <t>Lichtvorhang KF
-243K1</t>
        </is>
      </c>
    </row>
    <row r="4603">
      <c r="A4603">
        <v>4602</v>
      </c>
      <c r="B4603">
        <f>GS91</f>
        <v>0</v>
      </c>
      <c r="C4603" t="inlineStr">
        <is>
          <t>+LS03</t>
        </is>
      </c>
      <c r="D4603" t="inlineStr">
        <is>
          <t>-225K158.0</t>
        </is>
      </c>
      <c r="E4603" t="inlineStr">
        <is>
          <t>DILA-40</t>
        </is>
      </c>
      <c r="F4603" t="inlineStr">
        <is>
          <t>#KALK!</t>
        </is>
      </c>
      <c r="G4603" t="inlineStr">
        <is>
          <t>HILFSSCHUETZ</t>
        </is>
      </c>
      <c r="H4603" t="inlineStr">
        <is>
          <t>4S Federzugkl.</t>
        </is>
      </c>
      <c r="I4603">
        <v>373</v>
      </c>
      <c r="J4603">
        <f>GS91/225.7</f>
        <v>0</v>
      </c>
      <c r="M4603" t="inlineStr">
        <is>
          <t>-225K158.0</t>
        </is>
      </c>
    </row>
    <row r="4604">
      <c r="A4604">
        <v>4603</v>
      </c>
      <c r="B4604">
        <f>GS92</f>
        <v>0</v>
      </c>
      <c r="C4604" t="inlineStr">
        <is>
          <t>+LS03</t>
        </is>
      </c>
      <c r="D4604" t="inlineStr">
        <is>
          <t>-225K173.4</t>
        </is>
      </c>
      <c r="E4604" t="inlineStr">
        <is>
          <t>DILA-40</t>
        </is>
      </c>
      <c r="F4604" t="inlineStr">
        <is>
          <t>#KALK!</t>
        </is>
      </c>
      <c r="G4604" t="inlineStr">
        <is>
          <t>HILFSSCHUETZ</t>
        </is>
      </c>
      <c r="H4604" t="inlineStr">
        <is>
          <t>4S Federzugkl.</t>
        </is>
      </c>
      <c r="I4604">
        <v>371</v>
      </c>
      <c r="J4604">
        <f>GS92/225.7</f>
        <v>0</v>
      </c>
      <c r="M4604" t="inlineStr">
        <is>
          <t>-225K173.4</t>
        </is>
      </c>
    </row>
    <row r="4605">
      <c r="A4605">
        <v>4604</v>
      </c>
      <c r="B4605">
        <f>GS93</f>
        <v>0</v>
      </c>
      <c r="C4605" t="inlineStr">
        <is>
          <t>+LS03</t>
        </is>
      </c>
      <c r="D4605" t="inlineStr">
        <is>
          <t>-225K173.4</t>
        </is>
      </c>
      <c r="E4605" t="inlineStr">
        <is>
          <t>DILA-40</t>
        </is>
      </c>
      <c r="F4605" t="inlineStr">
        <is>
          <t>#KALK!</t>
        </is>
      </c>
      <c r="G4605" t="inlineStr">
        <is>
          <t>HILFSSCHUETZ</t>
        </is>
      </c>
      <c r="H4605" t="inlineStr">
        <is>
          <t>4S Federzugkl.</t>
        </is>
      </c>
      <c r="I4605">
        <v>779</v>
      </c>
      <c r="J4605">
        <f>GS93/225.7</f>
        <v>0</v>
      </c>
      <c r="M4605" t="inlineStr">
        <is>
          <t>-225K173.4</t>
        </is>
      </c>
    </row>
    <row r="4606">
      <c r="A4606">
        <v>4605</v>
      </c>
      <c r="B4606">
        <f>GS33</f>
        <v>0</v>
      </c>
      <c r="C4606" t="inlineStr">
        <is>
          <t>+LS4</t>
        </is>
      </c>
      <c r="D4606" t="inlineStr">
        <is>
          <t>-225K32.4</t>
        </is>
      </c>
      <c r="E4606" t="inlineStr">
        <is>
          <t>DIL_EM-10-G</t>
        </is>
      </c>
      <c r="F4606" t="inlineStr">
        <is>
          <t>#KALK!</t>
        </is>
      </c>
      <c r="G4606" t="inlineStr">
        <is>
          <t>LASTSCHUETZ</t>
        </is>
      </c>
      <c r="H4606" t="inlineStr">
        <is>
          <t>4kW 1S</t>
        </is>
      </c>
      <c r="I4606">
        <v>664</v>
      </c>
      <c r="J4606">
        <f>GS33/225.6</f>
        <v>0</v>
      </c>
      <c r="M4606" t="inlineStr">
        <is>
          <t>-225K32.4</t>
        </is>
      </c>
    </row>
    <row r="4607">
      <c r="A4607">
        <v>4606</v>
      </c>
      <c r="B4607">
        <f>GS02</f>
        <v>0</v>
      </c>
      <c r="C4607" t="inlineStr">
        <is>
          <t>+LS3</t>
        </is>
      </c>
      <c r="D4607" t="inlineStr">
        <is>
          <t>-225K36.2</t>
        </is>
      </c>
      <c r="E4607" t="inlineStr">
        <is>
          <t>DIL_EM-10-G</t>
        </is>
      </c>
      <c r="F4607" t="inlineStr">
        <is>
          <t>#KALK!</t>
        </is>
      </c>
      <c r="G4607" t="inlineStr">
        <is>
          <t>LASTSCHUETZ</t>
        </is>
      </c>
      <c r="H4607" t="inlineStr">
        <is>
          <t>4kW 1S</t>
        </is>
      </c>
      <c r="I4607">
        <v>630</v>
      </c>
      <c r="J4607">
        <f>GS02/225.6</f>
        <v>0</v>
      </c>
      <c r="M4607" t="inlineStr">
        <is>
          <t>-225K36.2</t>
        </is>
      </c>
    </row>
    <row r="4608">
      <c r="A4608">
        <v>4607</v>
      </c>
      <c r="B4608">
        <f>GS02</f>
        <v>0</v>
      </c>
      <c r="C4608" t="inlineStr">
        <is>
          <t>+LS3</t>
        </is>
      </c>
      <c r="D4608" t="inlineStr">
        <is>
          <t>-225K36.3</t>
        </is>
      </c>
      <c r="E4608" t="inlineStr">
        <is>
          <t>DIL_EM-10-G</t>
        </is>
      </c>
      <c r="F4608" t="inlineStr">
        <is>
          <t>#KALK!</t>
        </is>
      </c>
      <c r="G4608" t="inlineStr">
        <is>
          <t>LASTSCHUETZ</t>
        </is>
      </c>
      <c r="H4608" t="inlineStr">
        <is>
          <t>4kW 1S</t>
        </is>
      </c>
      <c r="I4608">
        <v>630</v>
      </c>
      <c r="J4608">
        <f>GS02/225.6</f>
        <v>0</v>
      </c>
      <c r="M4608" t="inlineStr">
        <is>
          <t>-225K36.3</t>
        </is>
      </c>
    </row>
    <row r="4609">
      <c r="A4609">
        <v>4608</v>
      </c>
      <c r="B4609">
        <f>GS30</f>
        <v>0</v>
      </c>
      <c r="C4609" t="inlineStr">
        <is>
          <t>+LS05</t>
        </is>
      </c>
      <c r="D4609" t="inlineStr">
        <is>
          <t>-225K402.4</t>
        </is>
      </c>
      <c r="E4609" t="inlineStr">
        <is>
          <t>DILA-40</t>
        </is>
      </c>
      <c r="F4609" t="inlineStr">
        <is>
          <t>#KALK!</t>
        </is>
      </c>
      <c r="G4609" t="inlineStr">
        <is>
          <t>HILFSSCHUETZ</t>
        </is>
      </c>
      <c r="H4609" t="inlineStr">
        <is>
          <t>4S Federzugkl.</t>
        </is>
      </c>
      <c r="I4609">
        <v>968</v>
      </c>
      <c r="J4609">
        <f>GS30/225.7</f>
        <v>0</v>
      </c>
      <c r="M4609" t="inlineStr">
        <is>
          <t>-225K402.4</t>
        </is>
      </c>
    </row>
    <row r="4610">
      <c r="A4610">
        <v>4609</v>
      </c>
      <c r="B4610">
        <f>GS37</f>
        <v>0</v>
      </c>
      <c r="C4610" t="inlineStr">
        <is>
          <t>+LS04</t>
        </is>
      </c>
      <c r="D4610" t="inlineStr">
        <is>
          <t>-225K440.0</t>
        </is>
      </c>
      <c r="E4610" t="inlineStr">
        <is>
          <t>DILA-40</t>
        </is>
      </c>
      <c r="F4610" t="inlineStr">
        <is>
          <t>#KALK!</t>
        </is>
      </c>
      <c r="G4610" t="inlineStr">
        <is>
          <t>HILFSSCHUETZ</t>
        </is>
      </c>
      <c r="H4610" t="inlineStr">
        <is>
          <t>4S Federzugkl.</t>
        </is>
      </c>
      <c r="I4610">
        <v>382</v>
      </c>
      <c r="J4610">
        <f>GS37/225.7</f>
        <v>0</v>
      </c>
      <c r="M4610" t="inlineStr">
        <is>
          <t>-225K440.0</t>
        </is>
      </c>
    </row>
    <row r="4611">
      <c r="A4611">
        <v>4610</v>
      </c>
      <c r="B4611">
        <f>GS33</f>
        <v>0</v>
      </c>
      <c r="C4611" t="inlineStr">
        <is>
          <t>+LS4</t>
        </is>
      </c>
      <c r="D4611" t="inlineStr">
        <is>
          <t>-225K55.2</t>
        </is>
      </c>
      <c r="E4611" t="inlineStr">
        <is>
          <t>DIL_EM-10-G</t>
        </is>
      </c>
      <c r="F4611" t="inlineStr">
        <is>
          <t>#KALK!</t>
        </is>
      </c>
      <c r="G4611" t="inlineStr">
        <is>
          <t>LASTSCHUETZ</t>
        </is>
      </c>
      <c r="H4611" t="inlineStr">
        <is>
          <t>4kW 1S</t>
        </is>
      </c>
      <c r="I4611">
        <v>664</v>
      </c>
      <c r="J4611">
        <f>GS33/225.6</f>
        <v>0</v>
      </c>
      <c r="M4611" t="inlineStr">
        <is>
          <t>-225K55.2</t>
        </is>
      </c>
    </row>
    <row r="4612">
      <c r="A4612">
        <v>4611</v>
      </c>
      <c r="B4612">
        <f>GS15</f>
        <v>0</v>
      </c>
      <c r="C4612" t="inlineStr">
        <is>
          <t>+LS4</t>
        </is>
      </c>
      <c r="D4612" t="inlineStr">
        <is>
          <t>-225K74.7</t>
        </is>
      </c>
      <c r="E4612" t="inlineStr">
        <is>
          <t>DIL_EM-10-G</t>
        </is>
      </c>
      <c r="F4612" t="inlineStr">
        <is>
          <t>#KALK!</t>
        </is>
      </c>
      <c r="G4612" t="inlineStr">
        <is>
          <t>LASTSCHUETZ</t>
        </is>
      </c>
      <c r="H4612" t="inlineStr">
        <is>
          <t>4kW 1S</t>
        </is>
      </c>
      <c r="I4612">
        <v>718</v>
      </c>
      <c r="J4612">
        <f>GS15/225.5</f>
        <v>0</v>
      </c>
      <c r="M4612" t="inlineStr">
        <is>
          <t>-225K74.7</t>
        </is>
      </c>
    </row>
    <row r="4613">
      <c r="A4613">
        <v>4612</v>
      </c>
      <c r="B4613">
        <f>GS15</f>
        <v>0</v>
      </c>
      <c r="C4613" t="inlineStr">
        <is>
          <t>+LS4</t>
        </is>
      </c>
      <c r="D4613" t="inlineStr">
        <is>
          <t>-225K75.0</t>
        </is>
      </c>
      <c r="E4613" t="inlineStr">
        <is>
          <t>DIL_EM-10-G</t>
        </is>
      </c>
      <c r="F4613" t="inlineStr">
        <is>
          <t>#KALK!</t>
        </is>
      </c>
      <c r="G4613" t="inlineStr">
        <is>
          <t>LASTSCHUETZ</t>
        </is>
      </c>
      <c r="H4613" t="inlineStr">
        <is>
          <t>4kW 1S</t>
        </is>
      </c>
      <c r="I4613">
        <v>718</v>
      </c>
      <c r="J4613">
        <f>GS15/225.6</f>
        <v>0</v>
      </c>
      <c r="M4613" t="inlineStr">
        <is>
          <t>-225K75.0</t>
        </is>
      </c>
    </row>
    <row r="4614">
      <c r="A4614">
        <v>4613</v>
      </c>
      <c r="B4614">
        <f>GS15</f>
        <v>0</v>
      </c>
      <c r="C4614" t="inlineStr">
        <is>
          <t>+LS4</t>
        </is>
      </c>
      <c r="D4614" t="inlineStr">
        <is>
          <t>-225K75.1</t>
        </is>
      </c>
      <c r="E4614" t="inlineStr">
        <is>
          <t>DIL_EM-01-G</t>
        </is>
      </c>
      <c r="F4614" t="inlineStr">
        <is>
          <t>#KALK!</t>
        </is>
      </c>
      <c r="G4614" t="inlineStr">
        <is>
          <t>LASTSCHUETZ</t>
        </is>
      </c>
      <c r="H4614" t="inlineStr">
        <is>
          <t>4kW 1OE</t>
        </is>
      </c>
      <c r="I4614">
        <v>718</v>
      </c>
      <c r="J4614">
        <f>GS15/225.7</f>
        <v>0</v>
      </c>
      <c r="M4614" t="inlineStr">
        <is>
          <t>-225K75.1</t>
        </is>
      </c>
    </row>
    <row r="4615">
      <c r="A4615">
        <v>4614</v>
      </c>
      <c r="B4615">
        <f>GS15</f>
        <v>0</v>
      </c>
      <c r="C4615" t="inlineStr">
        <is>
          <t>+LS4</t>
        </is>
      </c>
      <c r="D4615" t="inlineStr">
        <is>
          <t>-225K75.2</t>
        </is>
      </c>
      <c r="E4615" t="inlineStr">
        <is>
          <t>DIL_EM-01-G</t>
        </is>
      </c>
      <c r="F4615" t="inlineStr">
        <is>
          <t>#KALK!</t>
        </is>
      </c>
      <c r="G4615" t="inlineStr">
        <is>
          <t>LASTSCHUETZ</t>
        </is>
      </c>
      <c r="H4615" t="inlineStr">
        <is>
          <t>4kW 1OE</t>
        </is>
      </c>
      <c r="I4615">
        <v>718</v>
      </c>
      <c r="J4615">
        <f>GS15/225.8</f>
        <v>0</v>
      </c>
      <c r="M4615" t="inlineStr">
        <is>
          <t>-225K75.2</t>
        </is>
      </c>
    </row>
    <row r="4616">
      <c r="A4616">
        <v>4615</v>
      </c>
      <c r="B4616">
        <f>GS32</f>
        <v>0</v>
      </c>
      <c r="C4616" t="inlineStr">
        <is>
          <t>+LS5</t>
        </is>
      </c>
      <c r="D4616" t="inlineStr">
        <is>
          <t>-225K95.0</t>
        </is>
      </c>
      <c r="E4616" t="inlineStr">
        <is>
          <t>DIL_EM-10-G</t>
        </is>
      </c>
      <c r="F4616" t="inlineStr">
        <is>
          <t>#KALK!</t>
        </is>
      </c>
      <c r="G4616" t="inlineStr">
        <is>
          <t>LASTSCHUETZ</t>
        </is>
      </c>
      <c r="H4616" t="inlineStr">
        <is>
          <t>4kW 1S</t>
        </is>
      </c>
      <c r="I4616">
        <v>1405</v>
      </c>
      <c r="J4616">
        <f>GS32/225.6</f>
        <v>0</v>
      </c>
      <c r="M4616" t="inlineStr">
        <is>
          <t>-225K95.0</t>
        </is>
      </c>
    </row>
    <row r="4617">
      <c r="A4617">
        <v>4616</v>
      </c>
      <c r="B4617">
        <f>GS05</f>
        <v>0</v>
      </c>
      <c r="C4617" t="inlineStr">
        <is>
          <t>+LS03</t>
        </is>
      </c>
      <c r="D4617" t="inlineStr">
        <is>
          <t>-225Q1</t>
        </is>
      </c>
      <c r="E4617" t="inlineStr">
        <is>
          <t>DILA-XHI22</t>
        </is>
      </c>
      <c r="F4617" t="inlineStr">
        <is>
          <t>DILA-XHI22</t>
        </is>
      </c>
      <c r="G4617" t="inlineStr">
        <is>
          <t>HILFSKONTAKTBLOCK</t>
        </is>
      </c>
      <c r="H4617" t="inlineStr">
        <is>
          <t>2S 2OE Last+Hilfssch. Cage</t>
        </is>
      </c>
      <c r="I4617">
        <v>1975</v>
      </c>
      <c r="J4617">
        <f>GS05/225.6</f>
        <v>0</v>
      </c>
      <c r="K4617" t="inlineStr">
        <is>
          <t>DIL MC25</t>
        </is>
      </c>
      <c r="M4617" t="inlineStr">
        <is>
          <t>-225Q1</t>
        </is>
      </c>
    </row>
    <row r="4618">
      <c r="A4618">
        <v>4617</v>
      </c>
      <c r="B4618">
        <f>GS05</f>
        <v>0</v>
      </c>
      <c r="C4618" t="inlineStr">
        <is>
          <t>+LS03</t>
        </is>
      </c>
      <c r="D4618" t="inlineStr">
        <is>
          <t>-225Q1</t>
        </is>
      </c>
      <c r="E4618" t="inlineStr">
        <is>
          <t>DILMC25-10(RDC24)</t>
        </is>
      </c>
      <c r="F4618" t="inlineStr">
        <is>
          <t>DILA-XHI22</t>
        </is>
      </c>
      <c r="G4618" t="inlineStr">
        <is>
          <t>LASTSCHUETZ</t>
        </is>
      </c>
      <c r="H4618" t="inlineStr">
        <is>
          <t>11kW 1S Federzugkl.</t>
        </is>
      </c>
      <c r="I4618">
        <v>1975</v>
      </c>
      <c r="J4618">
        <f>GS05/225.6</f>
        <v>0</v>
      </c>
      <c r="K4618" t="inlineStr">
        <is>
          <t>DIL MC25</t>
        </is>
      </c>
      <c r="M4618" t="inlineStr">
        <is>
          <t>-225Q1</t>
        </is>
      </c>
    </row>
    <row r="4619">
      <c r="A4619">
        <v>4618</v>
      </c>
      <c r="B4619">
        <f>GS07</f>
        <v>0</v>
      </c>
      <c r="C4619" t="inlineStr">
        <is>
          <t>+LS03</t>
        </is>
      </c>
      <c r="D4619" t="inlineStr">
        <is>
          <t>-225Q1</t>
        </is>
      </c>
      <c r="E4619" t="inlineStr">
        <is>
          <t>DILMC25-10(RDC24)</t>
        </is>
      </c>
      <c r="F4619" t="inlineStr">
        <is>
          <t>DILA-XHI22</t>
        </is>
      </c>
      <c r="G4619" t="inlineStr">
        <is>
          <t>LASTSCHUETZ</t>
        </is>
      </c>
      <c r="H4619" t="inlineStr">
        <is>
          <t>11kW 1S Federzugkl.</t>
        </is>
      </c>
      <c r="I4619">
        <v>368</v>
      </c>
      <c r="J4619">
        <f>GS07/225.6</f>
        <v>0</v>
      </c>
      <c r="K4619" t="inlineStr">
        <is>
          <t>DIL MC25</t>
        </is>
      </c>
      <c r="M4619" t="inlineStr">
        <is>
          <t>-225Q1</t>
        </is>
      </c>
    </row>
    <row r="4620">
      <c r="A4620">
        <v>4619</v>
      </c>
      <c r="B4620">
        <f>GS07</f>
        <v>0</v>
      </c>
      <c r="C4620" t="inlineStr">
        <is>
          <t>+LS03</t>
        </is>
      </c>
      <c r="D4620" t="inlineStr">
        <is>
          <t>-225Q1</t>
        </is>
      </c>
      <c r="E4620" t="inlineStr">
        <is>
          <t>DILA-XHI22</t>
        </is>
      </c>
      <c r="F4620" t="inlineStr">
        <is>
          <t>DILA-XHI22</t>
        </is>
      </c>
      <c r="G4620" t="inlineStr">
        <is>
          <t>HILFSKONTAKTBLOCK</t>
        </is>
      </c>
      <c r="H4620" t="inlineStr">
        <is>
          <t>2S 2OE Last+Hilfssch. Cage</t>
        </is>
      </c>
      <c r="I4620">
        <v>368</v>
      </c>
      <c r="J4620">
        <f>GS07/225.6</f>
        <v>0</v>
      </c>
      <c r="K4620" t="inlineStr">
        <is>
          <t>DIL MC25</t>
        </is>
      </c>
      <c r="M4620" t="inlineStr">
        <is>
          <t>-225Q1</t>
        </is>
      </c>
    </row>
    <row r="4621">
      <c r="A4621">
        <v>4620</v>
      </c>
      <c r="B4621">
        <f>GS30</f>
        <v>0</v>
      </c>
      <c r="C4621" t="inlineStr">
        <is>
          <t>+LS05</t>
        </is>
      </c>
      <c r="D4621" t="inlineStr">
        <is>
          <t>-225Q1</t>
        </is>
      </c>
      <c r="E4621" t="inlineStr">
        <is>
          <t>DILA-XHI22</t>
        </is>
      </c>
      <c r="F4621" t="inlineStr">
        <is>
          <t>DILA-XHI22</t>
        </is>
      </c>
      <c r="G4621" t="inlineStr">
        <is>
          <t>HILFSKONTAKTBLOCK</t>
        </is>
      </c>
      <c r="H4621" t="inlineStr">
        <is>
          <t>2S 2OE Last+Hilfssch. Cage</t>
        </is>
      </c>
      <c r="I4621">
        <v>968</v>
      </c>
      <c r="J4621">
        <f>GS30/225.4</f>
        <v>0</v>
      </c>
      <c r="K4621" t="inlineStr">
        <is>
          <t>DIL MC25</t>
        </is>
      </c>
      <c r="M4621" t="inlineStr">
        <is>
          <t>-225Q1</t>
        </is>
      </c>
    </row>
    <row r="4622">
      <c r="A4622">
        <v>4621</v>
      </c>
      <c r="B4622">
        <f>GS30</f>
        <v>0</v>
      </c>
      <c r="C4622" t="inlineStr">
        <is>
          <t>+LS05</t>
        </is>
      </c>
      <c r="D4622" t="inlineStr">
        <is>
          <t>-225Q1</t>
        </is>
      </c>
      <c r="E4622" t="inlineStr">
        <is>
          <t>DILMC25-10(RDC24)</t>
        </is>
      </c>
      <c r="F4622" t="inlineStr">
        <is>
          <t>DILA-XHI22</t>
        </is>
      </c>
      <c r="G4622" t="inlineStr">
        <is>
          <t>LASTSCHUETZ</t>
        </is>
      </c>
      <c r="H4622" t="inlineStr">
        <is>
          <t>11kW 1S Federzugkl.</t>
        </is>
      </c>
      <c r="I4622">
        <v>968</v>
      </c>
      <c r="J4622">
        <f>GS30/225.4</f>
        <v>0</v>
      </c>
      <c r="K4622" t="inlineStr">
        <is>
          <t>DIL MC25</t>
        </is>
      </c>
      <c r="M4622" t="inlineStr">
        <is>
          <t>-225Q1</t>
        </is>
      </c>
    </row>
    <row r="4623">
      <c r="A4623">
        <v>4622</v>
      </c>
      <c r="B4623">
        <f>GS36</f>
        <v>0</v>
      </c>
      <c r="C4623" t="inlineStr">
        <is>
          <t>+LS04</t>
        </is>
      </c>
      <c r="D4623" t="inlineStr">
        <is>
          <t>-225Q1</t>
        </is>
      </c>
      <c r="E4623" t="inlineStr">
        <is>
          <t>DILA-XHI22</t>
        </is>
      </c>
      <c r="F4623" t="inlineStr">
        <is>
          <t>DILA-XHI22</t>
        </is>
      </c>
      <c r="G4623" t="inlineStr">
        <is>
          <t>HILFSKONTAKTBLOCK</t>
        </is>
      </c>
      <c r="H4623" t="inlineStr">
        <is>
          <t>2S 2OE Last+Hilfssch. Cage</t>
        </is>
      </c>
      <c r="I4623">
        <v>398</v>
      </c>
      <c r="J4623">
        <f>GS36/225.3</f>
        <v>0</v>
      </c>
      <c r="K4623" t="inlineStr">
        <is>
          <t>DIL MC25</t>
        </is>
      </c>
      <c r="L4623" t="inlineStr">
        <is>
          <t>HVO 25</t>
        </is>
      </c>
      <c r="M4623" t="inlineStr">
        <is>
          <t>HVO 25
-225Q1</t>
        </is>
      </c>
      <c r="N4623" t="inlineStr">
        <is>
          <t>P</t>
        </is>
      </c>
    </row>
    <row r="4624">
      <c r="A4624">
        <v>4623</v>
      </c>
      <c r="B4624">
        <f>GS36</f>
        <v>0</v>
      </c>
      <c r="C4624" t="inlineStr">
        <is>
          <t>+LS04</t>
        </is>
      </c>
      <c r="D4624" t="inlineStr">
        <is>
          <t>-225Q1</t>
        </is>
      </c>
      <c r="E4624" t="inlineStr">
        <is>
          <t>DILMC25-10(RDC24)</t>
        </is>
      </c>
      <c r="F4624" t="inlineStr">
        <is>
          <t>DILA-XHI22</t>
        </is>
      </c>
      <c r="G4624" t="inlineStr">
        <is>
          <t>LASTSCHUETZ</t>
        </is>
      </c>
      <c r="H4624" t="inlineStr">
        <is>
          <t>11kW 1S Federzugkl.</t>
        </is>
      </c>
      <c r="I4624">
        <v>398</v>
      </c>
      <c r="J4624">
        <f>GS36/225.3</f>
        <v>0</v>
      </c>
      <c r="K4624" t="inlineStr">
        <is>
          <t>DIL MC25</t>
        </is>
      </c>
      <c r="L4624" t="inlineStr">
        <is>
          <t>HVO 25</t>
        </is>
      </c>
      <c r="M4624" t="inlineStr">
        <is>
          <t>HVO 25
-225Q1</t>
        </is>
      </c>
      <c r="N4624" t="inlineStr">
        <is>
          <t>P</t>
        </is>
      </c>
    </row>
    <row r="4625">
      <c r="A4625">
        <v>4624</v>
      </c>
      <c r="B4625">
        <f>GS37</f>
        <v>0</v>
      </c>
      <c r="C4625" t="inlineStr">
        <is>
          <t>+LS04</t>
        </is>
      </c>
      <c r="D4625" t="inlineStr">
        <is>
          <t>-225Q1</t>
        </is>
      </c>
      <c r="E4625" t="inlineStr">
        <is>
          <t>DILMC25-10(RDC24)</t>
        </is>
      </c>
      <c r="F4625" t="inlineStr">
        <is>
          <t>DILA-XHI22</t>
        </is>
      </c>
      <c r="G4625" t="inlineStr">
        <is>
          <t>LASTSCHUETZ</t>
        </is>
      </c>
      <c r="H4625" t="inlineStr">
        <is>
          <t>11kW 1S Federzugkl.</t>
        </is>
      </c>
      <c r="I4625">
        <v>382</v>
      </c>
      <c r="J4625">
        <f>GS37/225.4</f>
        <v>0</v>
      </c>
      <c r="K4625" t="inlineStr">
        <is>
          <t>DIL MC25</t>
        </is>
      </c>
      <c r="M4625" t="inlineStr">
        <is>
          <t>-225Q1</t>
        </is>
      </c>
    </row>
    <row r="4626">
      <c r="A4626">
        <v>4625</v>
      </c>
      <c r="B4626">
        <f>GS37</f>
        <v>0</v>
      </c>
      <c r="C4626" t="inlineStr">
        <is>
          <t>+LS04</t>
        </is>
      </c>
      <c r="D4626" t="inlineStr">
        <is>
          <t>-225Q1</t>
        </is>
      </c>
      <c r="E4626" t="inlineStr">
        <is>
          <t>DILA-XHI22</t>
        </is>
      </c>
      <c r="F4626" t="inlineStr">
        <is>
          <t>DILA-XHI22</t>
        </is>
      </c>
      <c r="G4626" t="inlineStr">
        <is>
          <t>HILFSKONTAKTBLOCK</t>
        </is>
      </c>
      <c r="H4626" t="inlineStr">
        <is>
          <t>2S 2OE Last+Hilfssch. Cage</t>
        </is>
      </c>
      <c r="I4626">
        <v>382</v>
      </c>
      <c r="J4626">
        <f>GS37/225.4</f>
        <v>0</v>
      </c>
      <c r="K4626" t="inlineStr">
        <is>
          <t>DIL MC25</t>
        </is>
      </c>
      <c r="M4626" t="inlineStr">
        <is>
          <t>-225Q1</t>
        </is>
      </c>
    </row>
    <row r="4627">
      <c r="A4627">
        <v>4626</v>
      </c>
      <c r="B4627">
        <f>GS55</f>
        <v>0</v>
      </c>
      <c r="C4627" t="inlineStr">
        <is>
          <t>+LS03</t>
        </is>
      </c>
      <c r="D4627" t="inlineStr">
        <is>
          <t>-225Q1</t>
        </is>
      </c>
      <c r="E4627" t="inlineStr">
        <is>
          <t>DILA-XHI22</t>
        </is>
      </c>
      <c r="F4627" t="inlineStr">
        <is>
          <t>DILA-XHI22</t>
        </is>
      </c>
      <c r="G4627" t="inlineStr">
        <is>
          <t>HILFSKONTAKTBLOCK</t>
        </is>
      </c>
      <c r="H4627" t="inlineStr">
        <is>
          <t>2S 2OE Last+Hilfssch. Cage</t>
        </is>
      </c>
      <c r="I4627">
        <v>497</v>
      </c>
      <c r="J4627">
        <f>GS55/225.6</f>
        <v>0</v>
      </c>
      <c r="K4627" t="inlineStr">
        <is>
          <t>DIL MC25</t>
        </is>
      </c>
      <c r="M4627" t="inlineStr">
        <is>
          <t>-225Q1</t>
        </is>
      </c>
    </row>
    <row r="4628">
      <c r="A4628">
        <v>4627</v>
      </c>
      <c r="B4628">
        <f>GS55</f>
        <v>0</v>
      </c>
      <c r="C4628" t="inlineStr">
        <is>
          <t>+LS03</t>
        </is>
      </c>
      <c r="D4628" t="inlineStr">
        <is>
          <t>-225Q1</t>
        </is>
      </c>
      <c r="E4628" t="inlineStr">
        <is>
          <t>DILMC25-10(RDC24)</t>
        </is>
      </c>
      <c r="F4628" t="inlineStr">
        <is>
          <t>DILA-XHI22</t>
        </is>
      </c>
      <c r="G4628" t="inlineStr">
        <is>
          <t>LASTSCHUETZ</t>
        </is>
      </c>
      <c r="H4628" t="inlineStr">
        <is>
          <t>11kW 1S Federzugkl.</t>
        </is>
      </c>
      <c r="I4628">
        <v>497</v>
      </c>
      <c r="J4628">
        <f>GS55/225.6</f>
        <v>0</v>
      </c>
      <c r="K4628" t="inlineStr">
        <is>
          <t>DIL MC25</t>
        </is>
      </c>
      <c r="M4628" t="inlineStr">
        <is>
          <t>-225Q1</t>
        </is>
      </c>
    </row>
    <row r="4629">
      <c r="A4629">
        <v>4628</v>
      </c>
      <c r="B4629">
        <f>GS91</f>
        <v>0</v>
      </c>
      <c r="C4629" t="inlineStr">
        <is>
          <t>+LS03</t>
        </is>
      </c>
      <c r="D4629" t="inlineStr">
        <is>
          <t>-225Q1</t>
        </is>
      </c>
      <c r="E4629" t="inlineStr">
        <is>
          <t>DILA-XHI22</t>
        </is>
      </c>
      <c r="F4629" t="inlineStr">
        <is>
          <t>DILA-XHI22</t>
        </is>
      </c>
      <c r="G4629" t="inlineStr">
        <is>
          <t>HILFSKONTAKTBLOCK</t>
        </is>
      </c>
      <c r="H4629" t="inlineStr">
        <is>
          <t>2S 2OE Last+Hilfssch. Cage</t>
        </is>
      </c>
      <c r="I4629">
        <v>373</v>
      </c>
      <c r="J4629">
        <f>GS91/225.4</f>
        <v>0</v>
      </c>
      <c r="K4629" t="inlineStr">
        <is>
          <t>DIL MC25</t>
        </is>
      </c>
      <c r="M4629" t="inlineStr">
        <is>
          <t>-225Q1</t>
        </is>
      </c>
    </row>
    <row r="4630">
      <c r="A4630">
        <v>4629</v>
      </c>
      <c r="B4630">
        <f>GS91</f>
        <v>0</v>
      </c>
      <c r="C4630" t="inlineStr">
        <is>
          <t>+LS03</t>
        </is>
      </c>
      <c r="D4630" t="inlineStr">
        <is>
          <t>-225Q1</t>
        </is>
      </c>
      <c r="E4630" t="inlineStr">
        <is>
          <t>DILMC25-10(RDC24)</t>
        </is>
      </c>
      <c r="F4630" t="inlineStr">
        <is>
          <t>DILA-XHI22</t>
        </is>
      </c>
      <c r="G4630" t="inlineStr">
        <is>
          <t>LASTSCHUETZ</t>
        </is>
      </c>
      <c r="H4630" t="inlineStr">
        <is>
          <t>11kW 1S Federzugkl.</t>
        </is>
      </c>
      <c r="I4630">
        <v>373</v>
      </c>
      <c r="J4630">
        <f>GS91/225.4</f>
        <v>0</v>
      </c>
      <c r="K4630" t="inlineStr">
        <is>
          <t>DIL MC25</t>
        </is>
      </c>
      <c r="M4630" t="inlineStr">
        <is>
          <t>-225Q1</t>
        </is>
      </c>
    </row>
    <row r="4631">
      <c r="A4631">
        <v>4630</v>
      </c>
      <c r="B4631">
        <f>GS92</f>
        <v>0</v>
      </c>
      <c r="C4631" t="inlineStr">
        <is>
          <t>+LS03</t>
        </is>
      </c>
      <c r="D4631" t="inlineStr">
        <is>
          <t>-225Q1</t>
        </is>
      </c>
      <c r="E4631" t="inlineStr">
        <is>
          <t>DILMC25-10(RDC24)</t>
        </is>
      </c>
      <c r="F4631" t="inlineStr">
        <is>
          <t>DILA-XHIC31</t>
        </is>
      </c>
      <c r="G4631" t="inlineStr">
        <is>
          <t>LASTSCHUETZ</t>
        </is>
      </c>
      <c r="H4631" t="inlineStr">
        <is>
          <t>11kW 1S Federzugkl.</t>
        </is>
      </c>
      <c r="I4631">
        <v>371</v>
      </c>
      <c r="J4631">
        <f>GS92/225.4</f>
        <v>0</v>
      </c>
      <c r="K4631" t="inlineStr">
        <is>
          <t>DIL MC25</t>
        </is>
      </c>
      <c r="M4631" t="inlineStr">
        <is>
          <t>-225Q1</t>
        </is>
      </c>
    </row>
    <row r="4632">
      <c r="A4632">
        <v>4631</v>
      </c>
      <c r="B4632">
        <f>GS92</f>
        <v>0</v>
      </c>
      <c r="C4632" t="inlineStr">
        <is>
          <t>+LS03</t>
        </is>
      </c>
      <c r="D4632" t="inlineStr">
        <is>
          <t>-225Q1</t>
        </is>
      </c>
      <c r="E4632" t="inlineStr">
        <is>
          <t>DILA-XHIC31</t>
        </is>
      </c>
      <c r="F4632" t="inlineStr">
        <is>
          <t>DILA-XHIC31</t>
        </is>
      </c>
      <c r="G4632" t="inlineStr">
        <is>
          <t>HILFSKONTAKTBLOCK</t>
        </is>
      </c>
      <c r="H4632" t="inlineStr">
        <is>
          <t>3S 1OE Last+Hilfssch. Cage</t>
        </is>
      </c>
      <c r="I4632">
        <v>371</v>
      </c>
      <c r="J4632">
        <f>GS92/225.4</f>
        <v>0</v>
      </c>
      <c r="K4632" t="inlineStr">
        <is>
          <t>DIL MC25</t>
        </is>
      </c>
      <c r="M4632" t="inlineStr">
        <is>
          <t>-225Q1</t>
        </is>
      </c>
    </row>
    <row r="4633">
      <c r="A4633">
        <v>4632</v>
      </c>
      <c r="B4633">
        <f>GS93</f>
        <v>0</v>
      </c>
      <c r="C4633" t="inlineStr">
        <is>
          <t>+LS03</t>
        </is>
      </c>
      <c r="D4633" t="inlineStr">
        <is>
          <t>-225Q1</t>
        </is>
      </c>
      <c r="E4633" t="inlineStr">
        <is>
          <t>DILMC25-10(RDC24)</t>
        </is>
      </c>
      <c r="F4633" t="inlineStr">
        <is>
          <t>DILA-XHIC31</t>
        </is>
      </c>
      <c r="G4633" t="inlineStr">
        <is>
          <t>LASTSCHUETZ</t>
        </is>
      </c>
      <c r="H4633" t="inlineStr">
        <is>
          <t>11kW 1S Federzugkl.</t>
        </is>
      </c>
      <c r="I4633">
        <v>779</v>
      </c>
      <c r="J4633">
        <f>GS93/225.4</f>
        <v>0</v>
      </c>
      <c r="K4633" t="inlineStr">
        <is>
          <t>DIL MC25</t>
        </is>
      </c>
      <c r="M4633" t="inlineStr">
        <is>
          <t>-225Q1</t>
        </is>
      </c>
    </row>
    <row r="4634">
      <c r="A4634">
        <v>4633</v>
      </c>
      <c r="B4634">
        <f>GS93</f>
        <v>0</v>
      </c>
      <c r="C4634" t="inlineStr">
        <is>
          <t>+LS03</t>
        </is>
      </c>
      <c r="D4634" t="inlineStr">
        <is>
          <t>-225Q1</t>
        </is>
      </c>
      <c r="E4634" t="inlineStr">
        <is>
          <t>DILA-XHIC31</t>
        </is>
      </c>
      <c r="F4634" t="inlineStr">
        <is>
          <t>DILA-XHIC31</t>
        </is>
      </c>
      <c r="G4634" t="inlineStr">
        <is>
          <t>HILFSKONTAKTBLOCK</t>
        </is>
      </c>
      <c r="H4634" t="inlineStr">
        <is>
          <t>3S 1OE Last+Hilfssch. Cage</t>
        </is>
      </c>
      <c r="I4634">
        <v>779</v>
      </c>
      <c r="J4634">
        <f>GS93/225.4</f>
        <v>0</v>
      </c>
      <c r="K4634" t="inlineStr">
        <is>
          <t>DIL MC25</t>
        </is>
      </c>
      <c r="M4634" t="inlineStr">
        <is>
          <t>-225Q1</t>
        </is>
      </c>
    </row>
    <row r="4635">
      <c r="A4635">
        <v>4634</v>
      </c>
      <c r="B4635">
        <f>GS55</f>
        <v>0</v>
      </c>
      <c r="C4635" t="inlineStr">
        <is>
          <t>+LS37</t>
        </is>
      </c>
      <c r="D4635" t="inlineStr">
        <is>
          <t>-2265Q1</t>
        </is>
      </c>
      <c r="E4635" t="inlineStr">
        <is>
          <t>DILMC25-10(RDC24)</t>
        </is>
      </c>
      <c r="F4635" t="inlineStr">
        <is>
          <t>DILA-XHI22</t>
        </is>
      </c>
      <c r="G4635" t="inlineStr">
        <is>
          <t>LASTSCHUETZ</t>
        </is>
      </c>
      <c r="H4635" t="inlineStr">
        <is>
          <t>11kW 1S Federzugkl.</t>
        </is>
      </c>
      <c r="I4635">
        <v>2430</v>
      </c>
      <c r="J4635">
        <f>GS55/2265.6</f>
        <v>0</v>
      </c>
      <c r="K4635" t="inlineStr">
        <is>
          <t>DIL MC25</t>
        </is>
      </c>
      <c r="M4635" t="inlineStr">
        <is>
          <t>-2265Q1</t>
        </is>
      </c>
    </row>
    <row r="4636">
      <c r="A4636">
        <v>4635</v>
      </c>
      <c r="B4636">
        <f>GS55</f>
        <v>0</v>
      </c>
      <c r="C4636" t="inlineStr">
        <is>
          <t>+LS37</t>
        </is>
      </c>
      <c r="D4636" t="inlineStr">
        <is>
          <t>-2265Q1</t>
        </is>
      </c>
      <c r="E4636" t="inlineStr">
        <is>
          <t>DILA-XHI22</t>
        </is>
      </c>
      <c r="F4636" t="inlineStr">
        <is>
          <t>DILA-XHI22</t>
        </is>
      </c>
      <c r="G4636" t="inlineStr">
        <is>
          <t>HILFSKONTAKTBLOCK</t>
        </is>
      </c>
      <c r="H4636" t="inlineStr">
        <is>
          <t>2S 2OE Last+Hilfssch. Cage</t>
        </is>
      </c>
      <c r="I4636">
        <v>2430</v>
      </c>
      <c r="J4636">
        <f>GS55/2265.6</f>
        <v>0</v>
      </c>
      <c r="K4636" t="inlineStr">
        <is>
          <t>DIL MC25</t>
        </is>
      </c>
      <c r="M4636" t="inlineStr">
        <is>
          <t>-2265Q1</t>
        </is>
      </c>
    </row>
    <row r="4637">
      <c r="A4637">
        <v>4636</v>
      </c>
      <c r="B4637">
        <f>GS13</f>
        <v>0</v>
      </c>
      <c r="C4637" t="inlineStr">
        <is>
          <t>+LS4</t>
        </is>
      </c>
      <c r="D4637" t="inlineStr">
        <is>
          <t>-22672.0</t>
        </is>
      </c>
      <c r="E4637" t="inlineStr">
        <is>
          <t>DIL_EM-10-G</t>
        </is>
      </c>
      <c r="F4637" t="inlineStr">
        <is>
          <t>#KALK!</t>
        </is>
      </c>
      <c r="G4637" t="inlineStr">
        <is>
          <t>LASTSCHUETZ</t>
        </is>
      </c>
      <c r="H4637" t="inlineStr">
        <is>
          <t>4kW 1S</t>
        </is>
      </c>
      <c r="I4637">
        <v>468</v>
      </c>
      <c r="J4637">
        <f>GS13/226.6</f>
        <v>0</v>
      </c>
      <c r="M4637" t="inlineStr">
        <is>
          <t>-22672.0</t>
        </is>
      </c>
    </row>
    <row r="4638">
      <c r="A4638">
        <v>4637</v>
      </c>
      <c r="B4638">
        <f>GS02</f>
        <v>0</v>
      </c>
      <c r="C4638" t="inlineStr">
        <is>
          <t>+LS3</t>
        </is>
      </c>
      <c r="D4638" t="inlineStr">
        <is>
          <t>-226K36.4</t>
        </is>
      </c>
      <c r="E4638" t="inlineStr">
        <is>
          <t>DIL_EM-10-G</t>
        </is>
      </c>
      <c r="F4638" t="inlineStr">
        <is>
          <t>#KALK!</t>
        </is>
      </c>
      <c r="G4638" t="inlineStr">
        <is>
          <t>LASTSCHUETZ</t>
        </is>
      </c>
      <c r="H4638" t="inlineStr">
        <is>
          <t>4kW 1S</t>
        </is>
      </c>
      <c r="I4638">
        <v>631</v>
      </c>
      <c r="J4638">
        <f>GS02/226.6</f>
        <v>0</v>
      </c>
      <c r="M4638" t="inlineStr">
        <is>
          <t>-226K36.4</t>
        </is>
      </c>
    </row>
    <row r="4639">
      <c r="A4639">
        <v>4638</v>
      </c>
      <c r="B4639">
        <f>GS02</f>
        <v>0</v>
      </c>
      <c r="C4639" t="inlineStr">
        <is>
          <t>+LS3</t>
        </is>
      </c>
      <c r="D4639" t="inlineStr">
        <is>
          <t>-226K36.5</t>
        </is>
      </c>
      <c r="E4639" t="inlineStr">
        <is>
          <t>DIL_EM-10-G</t>
        </is>
      </c>
      <c r="F4639" t="inlineStr">
        <is>
          <t>#KALK!</t>
        </is>
      </c>
      <c r="G4639" t="inlineStr">
        <is>
          <t>LASTSCHUETZ</t>
        </is>
      </c>
      <c r="H4639" t="inlineStr">
        <is>
          <t>4kW 1S</t>
        </is>
      </c>
      <c r="I4639">
        <v>631</v>
      </c>
      <c r="J4639">
        <f>GS02/226.6</f>
        <v>0</v>
      </c>
      <c r="M4639" t="inlineStr">
        <is>
          <t>-226K36.5</t>
        </is>
      </c>
    </row>
    <row r="4640">
      <c r="A4640">
        <v>4639</v>
      </c>
      <c r="B4640">
        <f>GS23</f>
        <v>0</v>
      </c>
      <c r="C4640" t="inlineStr">
        <is>
          <t>+LS4</t>
        </is>
      </c>
      <c r="D4640" t="inlineStr">
        <is>
          <t>-226K72.0</t>
        </is>
      </c>
      <c r="E4640" t="inlineStr">
        <is>
          <t>DIL_EM-10-G</t>
        </is>
      </c>
      <c r="F4640" t="inlineStr">
        <is>
          <t>#KALK!</t>
        </is>
      </c>
      <c r="G4640" t="inlineStr">
        <is>
          <t>LASTSCHUETZ</t>
        </is>
      </c>
      <c r="H4640" t="inlineStr">
        <is>
          <t>4kW 1S</t>
        </is>
      </c>
      <c r="I4640">
        <v>527</v>
      </c>
      <c r="J4640">
        <f>GS23/226.6</f>
        <v>0</v>
      </c>
      <c r="M4640" t="inlineStr">
        <is>
          <t>-226K72.0</t>
        </is>
      </c>
    </row>
    <row r="4641">
      <c r="A4641">
        <v>4640</v>
      </c>
      <c r="B4641">
        <f>GS25</f>
        <v>0</v>
      </c>
      <c r="C4641" t="inlineStr">
        <is>
          <t>+LS5</t>
        </is>
      </c>
      <c r="D4641" t="inlineStr">
        <is>
          <t>-226K76.1</t>
        </is>
      </c>
      <c r="E4641" t="inlineStr">
        <is>
          <t>DIL_EM-10-G</t>
        </is>
      </c>
      <c r="F4641" t="inlineStr">
        <is>
          <t>#KALK!</t>
        </is>
      </c>
      <c r="G4641" t="inlineStr">
        <is>
          <t>LASTSCHUETZ</t>
        </is>
      </c>
      <c r="H4641" t="inlineStr">
        <is>
          <t>4kW 1S</t>
        </is>
      </c>
      <c r="I4641">
        <v>347</v>
      </c>
      <c r="J4641">
        <f>GS25/226.5</f>
        <v>0</v>
      </c>
      <c r="M4641" t="inlineStr">
        <is>
          <t>-226K76.1</t>
        </is>
      </c>
    </row>
    <row r="4642">
      <c r="A4642">
        <v>4641</v>
      </c>
      <c r="B4642">
        <f>GS25</f>
        <v>0</v>
      </c>
      <c r="C4642" t="inlineStr">
        <is>
          <t>+LS5</t>
        </is>
      </c>
      <c r="D4642" t="inlineStr">
        <is>
          <t>-226K76.2</t>
        </is>
      </c>
      <c r="E4642" t="inlineStr">
        <is>
          <t>DIL_EM-10-G</t>
        </is>
      </c>
      <c r="F4642" t="inlineStr">
        <is>
          <t>#KALK!</t>
        </is>
      </c>
      <c r="G4642" t="inlineStr">
        <is>
          <t>LASTSCHUETZ</t>
        </is>
      </c>
      <c r="H4642" t="inlineStr">
        <is>
          <t>4kW 1S</t>
        </is>
      </c>
      <c r="I4642">
        <v>347</v>
      </c>
      <c r="J4642">
        <f>GS25/226.6</f>
        <v>0</v>
      </c>
      <c r="M4642" t="inlineStr">
        <is>
          <t>-226K76.2</t>
        </is>
      </c>
    </row>
    <row r="4643">
      <c r="A4643">
        <v>4642</v>
      </c>
      <c r="B4643">
        <f>GS25</f>
        <v>0</v>
      </c>
      <c r="C4643" t="inlineStr">
        <is>
          <t>+LS5</t>
        </is>
      </c>
      <c r="D4643" t="inlineStr">
        <is>
          <t>-226K76.3</t>
        </is>
      </c>
      <c r="E4643" t="inlineStr">
        <is>
          <t>DIL_EM-01-G</t>
        </is>
      </c>
      <c r="F4643" t="inlineStr">
        <is>
          <t>#KALK!</t>
        </is>
      </c>
      <c r="G4643" t="inlineStr">
        <is>
          <t>LASTSCHUETZ</t>
        </is>
      </c>
      <c r="H4643" t="inlineStr">
        <is>
          <t>4kW 1OE</t>
        </is>
      </c>
      <c r="I4643">
        <v>347</v>
      </c>
      <c r="J4643">
        <f>GS25/226.7</f>
        <v>0</v>
      </c>
      <c r="M4643" t="inlineStr">
        <is>
          <t>-226K76.3</t>
        </is>
      </c>
    </row>
    <row r="4644">
      <c r="A4644">
        <v>4643</v>
      </c>
      <c r="B4644">
        <f>GS25</f>
        <v>0</v>
      </c>
      <c r="C4644" t="inlineStr">
        <is>
          <t>+LS5</t>
        </is>
      </c>
      <c r="D4644" t="inlineStr">
        <is>
          <t>-226K76.4</t>
        </is>
      </c>
      <c r="E4644" t="inlineStr">
        <is>
          <t>DIL_EM-01-G</t>
        </is>
      </c>
      <c r="F4644" t="inlineStr">
        <is>
          <t>#KALK!</t>
        </is>
      </c>
      <c r="G4644" t="inlineStr">
        <is>
          <t>LASTSCHUETZ</t>
        </is>
      </c>
      <c r="H4644" t="inlineStr">
        <is>
          <t>4kW 1OE</t>
        </is>
      </c>
      <c r="I4644">
        <v>347</v>
      </c>
      <c r="J4644">
        <f>GS25/226.8</f>
        <v>0</v>
      </c>
      <c r="M4644" t="inlineStr">
        <is>
          <t>-226K76.4</t>
        </is>
      </c>
    </row>
    <row r="4645">
      <c r="A4645">
        <v>4644</v>
      </c>
      <c r="B4645">
        <f>GS32</f>
        <v>0</v>
      </c>
      <c r="C4645" t="inlineStr">
        <is>
          <t>+LS5</t>
        </is>
      </c>
      <c r="D4645" t="inlineStr">
        <is>
          <t>-226K94.4</t>
        </is>
      </c>
      <c r="E4645" t="inlineStr">
        <is>
          <t>22_DIL-E</t>
        </is>
      </c>
      <c r="F4645" t="inlineStr">
        <is>
          <t>22_DIL-E</t>
        </is>
      </c>
      <c r="G4645" t="inlineStr">
        <is>
          <t>HILFSKONTAKTBLOCK</t>
        </is>
      </c>
      <c r="H4645" t="inlineStr">
        <is>
          <t>2S 2OE Last+Hilfsschuetz</t>
        </is>
      </c>
      <c r="I4645">
        <v>1404</v>
      </c>
      <c r="J4645">
        <f>GS32/226.6</f>
        <v>0</v>
      </c>
      <c r="M4645" t="inlineStr">
        <is>
          <t>-226K94.4</t>
        </is>
      </c>
    </row>
    <row r="4646">
      <c r="A4646">
        <v>4645</v>
      </c>
      <c r="B4646">
        <f>GS32</f>
        <v>0</v>
      </c>
      <c r="C4646" t="inlineStr">
        <is>
          <t>+LS5</t>
        </is>
      </c>
      <c r="D4646" t="inlineStr">
        <is>
          <t>-226K94.4</t>
        </is>
      </c>
      <c r="E4646" t="inlineStr">
        <is>
          <t>DIL_EM-01-G</t>
        </is>
      </c>
      <c r="F4646" t="inlineStr">
        <is>
          <t>22_DIL-E</t>
        </is>
      </c>
      <c r="G4646" t="inlineStr">
        <is>
          <t>LASTSCHUETZ</t>
        </is>
      </c>
      <c r="H4646" t="inlineStr">
        <is>
          <t>4kW 1OE</t>
        </is>
      </c>
      <c r="I4646">
        <v>1404</v>
      </c>
      <c r="J4646">
        <f>GS32/226.6</f>
        <v>0</v>
      </c>
      <c r="M4646" t="inlineStr">
        <is>
          <t>-226K94.4</t>
        </is>
      </c>
    </row>
    <row r="4647">
      <c r="A4647">
        <v>4646</v>
      </c>
      <c r="B4647">
        <f>GS32</f>
        <v>0</v>
      </c>
      <c r="C4647" t="inlineStr">
        <is>
          <t>+LS5</t>
        </is>
      </c>
      <c r="D4647" t="inlineStr">
        <is>
          <t>-226K94.5</t>
        </is>
      </c>
      <c r="E4647" t="inlineStr">
        <is>
          <t>DIL_EM-10-G</t>
        </is>
      </c>
      <c r="F4647" t="inlineStr">
        <is>
          <t>#KALK!</t>
        </is>
      </c>
      <c r="G4647" t="inlineStr">
        <is>
          <t>LASTSCHUETZ</t>
        </is>
      </c>
      <c r="H4647" t="inlineStr">
        <is>
          <t>4kW 1S</t>
        </is>
      </c>
      <c r="I4647">
        <v>1404</v>
      </c>
      <c r="J4647">
        <f>GS32/226.6</f>
        <v>0</v>
      </c>
      <c r="M4647" t="inlineStr">
        <is>
          <t>-226K94.5</t>
        </is>
      </c>
    </row>
    <row r="4648">
      <c r="A4648">
        <v>4647</v>
      </c>
      <c r="B4648">
        <f>GS91</f>
        <v>0</v>
      </c>
      <c r="C4648" t="inlineStr">
        <is>
          <t>+LS03</t>
        </is>
      </c>
      <c r="D4648" t="inlineStr">
        <is>
          <t>-226Q158.1</t>
        </is>
      </c>
      <c r="E4648" t="inlineStr">
        <is>
          <t>DILM-9-10</t>
        </is>
      </c>
      <c r="F4648" t="inlineStr">
        <is>
          <t>#KALK!</t>
        </is>
      </c>
      <c r="G4648" t="inlineStr">
        <is>
          <t>LASTSCHUETZ</t>
        </is>
      </c>
      <c r="H4648" t="inlineStr">
        <is>
          <t>4kW 1S Federzugkl.</t>
        </is>
      </c>
      <c r="I4648">
        <v>374</v>
      </c>
      <c r="J4648">
        <f>GS91/226.5</f>
        <v>0</v>
      </c>
      <c r="M4648" t="inlineStr">
        <is>
          <t>-226Q158.1</t>
        </is>
      </c>
    </row>
    <row r="4649">
      <c r="A4649">
        <v>4648</v>
      </c>
      <c r="B4649">
        <f>GS90</f>
        <v>0</v>
      </c>
      <c r="C4649" t="inlineStr">
        <is>
          <t>+LS03</t>
        </is>
      </c>
      <c r="D4649" t="inlineStr">
        <is>
          <t>-226Q162.4</t>
        </is>
      </c>
      <c r="E4649" t="inlineStr">
        <is>
          <t>DILM-9-10</t>
        </is>
      </c>
      <c r="F4649" t="inlineStr">
        <is>
          <t>#KALK!</t>
        </is>
      </c>
      <c r="G4649" t="inlineStr">
        <is>
          <t>LASTSCHUETZ</t>
        </is>
      </c>
      <c r="H4649" t="inlineStr">
        <is>
          <t>4kW 1S Federzugkl.</t>
        </is>
      </c>
      <c r="I4649">
        <v>1020</v>
      </c>
      <c r="J4649">
        <f>GS90/226.5</f>
        <v>0</v>
      </c>
      <c r="M4649" t="inlineStr">
        <is>
          <t>-226Q162.4</t>
        </is>
      </c>
    </row>
    <row r="4650">
      <c r="A4650">
        <v>4649</v>
      </c>
      <c r="B4650">
        <f>GS55</f>
        <v>0</v>
      </c>
      <c r="C4650" t="inlineStr">
        <is>
          <t>+LS37</t>
        </is>
      </c>
      <c r="D4650" t="inlineStr">
        <is>
          <t>-2275Q1</t>
        </is>
      </c>
      <c r="E4650" t="inlineStr">
        <is>
          <t>DILMC25-10(RDC24)</t>
        </is>
      </c>
      <c r="F4650" t="inlineStr">
        <is>
          <t>DILA-XHI22</t>
        </is>
      </c>
      <c r="G4650" t="inlineStr">
        <is>
          <t>LASTSCHUETZ</t>
        </is>
      </c>
      <c r="H4650" t="inlineStr">
        <is>
          <t>11kW 1S Federzugkl.</t>
        </is>
      </c>
      <c r="I4650">
        <v>2442</v>
      </c>
      <c r="J4650">
        <f>GS55/2275.6</f>
        <v>0</v>
      </c>
      <c r="K4650" t="inlineStr">
        <is>
          <t>DIL MC25</t>
        </is>
      </c>
      <c r="M4650" t="inlineStr">
        <is>
          <t>-2275Q1</t>
        </is>
      </c>
    </row>
    <row r="4651">
      <c r="A4651">
        <v>4650</v>
      </c>
      <c r="B4651">
        <f>GS55</f>
        <v>0</v>
      </c>
      <c r="C4651" t="inlineStr">
        <is>
          <t>+LS37</t>
        </is>
      </c>
      <c r="D4651" t="inlineStr">
        <is>
          <t>-2275Q1</t>
        </is>
      </c>
      <c r="E4651" t="inlineStr">
        <is>
          <t>DILA-XHI22</t>
        </is>
      </c>
      <c r="F4651" t="inlineStr">
        <is>
          <t>DILA-XHI22</t>
        </is>
      </c>
      <c r="G4651" t="inlineStr">
        <is>
          <t>HILFSKONTAKTBLOCK</t>
        </is>
      </c>
      <c r="H4651" t="inlineStr">
        <is>
          <t>2S 2OE Last+Hilfssch. Cage</t>
        </is>
      </c>
      <c r="I4651">
        <v>2442</v>
      </c>
      <c r="J4651">
        <f>GS55/2275.6</f>
        <v>0</v>
      </c>
      <c r="K4651" t="inlineStr">
        <is>
          <t>DIL MC25</t>
        </is>
      </c>
      <c r="M4651" t="inlineStr">
        <is>
          <t>-2275Q1</t>
        </is>
      </c>
    </row>
    <row r="4652">
      <c r="A4652">
        <v>4651</v>
      </c>
      <c r="B4652">
        <f>GS13</f>
        <v>0</v>
      </c>
      <c r="C4652" t="inlineStr">
        <is>
          <t>+LS4</t>
        </is>
      </c>
      <c r="D4652" t="inlineStr">
        <is>
          <t>-22772.2</t>
        </is>
      </c>
      <c r="E4652" t="inlineStr">
        <is>
          <t>DIL_EM-10-G</t>
        </is>
      </c>
      <c r="F4652" t="inlineStr">
        <is>
          <t>#KALK!</t>
        </is>
      </c>
      <c r="G4652" t="inlineStr">
        <is>
          <t>LASTSCHUETZ</t>
        </is>
      </c>
      <c r="H4652" t="inlineStr">
        <is>
          <t>4kW 1S</t>
        </is>
      </c>
      <c r="I4652">
        <v>469</v>
      </c>
      <c r="J4652">
        <f>GS13/227.6</f>
        <v>0</v>
      </c>
      <c r="M4652" t="inlineStr">
        <is>
          <t>-22772.2</t>
        </is>
      </c>
    </row>
    <row r="4653">
      <c r="A4653">
        <v>4652</v>
      </c>
      <c r="B4653">
        <f>GS13</f>
        <v>0</v>
      </c>
      <c r="C4653" t="inlineStr">
        <is>
          <t>+LS4</t>
        </is>
      </c>
      <c r="D4653" t="inlineStr">
        <is>
          <t>-22772.3</t>
        </is>
      </c>
      <c r="E4653" t="inlineStr">
        <is>
          <t>DIL_EM-10-G</t>
        </is>
      </c>
      <c r="F4653" t="inlineStr">
        <is>
          <t>#KALK!</t>
        </is>
      </c>
      <c r="G4653" t="inlineStr">
        <is>
          <t>LASTSCHUETZ</t>
        </is>
      </c>
      <c r="H4653" t="inlineStr">
        <is>
          <t>4kW 1S</t>
        </is>
      </c>
      <c r="I4653">
        <v>469</v>
      </c>
      <c r="J4653">
        <f>GS13/227.6</f>
        <v>0</v>
      </c>
      <c r="M4653" t="inlineStr">
        <is>
          <t>-22772.3</t>
        </is>
      </c>
    </row>
    <row r="4654">
      <c r="A4654">
        <v>4653</v>
      </c>
      <c r="B4654">
        <f>GS34</f>
        <v>0</v>
      </c>
      <c r="C4654" t="inlineStr">
        <is>
          <t>+LS4</t>
        </is>
      </c>
      <c r="D4654" t="inlineStr">
        <is>
          <t>-227K1</t>
        </is>
      </c>
      <c r="E4654" t="inlineStr">
        <is>
          <t>22_DIL-M</t>
        </is>
      </c>
      <c r="F4654" t="inlineStr">
        <is>
          <t>22_DIL-M</t>
        </is>
      </c>
      <c r="G4654" t="inlineStr">
        <is>
          <t>HILFSKONTAKTBLOCK</t>
        </is>
      </c>
      <c r="H4654" t="inlineStr">
        <is>
          <t>2S 2OE Lastschuetz DIL M</t>
        </is>
      </c>
      <c r="I4654">
        <v>351</v>
      </c>
      <c r="J4654">
        <f>GS34/227.2</f>
        <v>0</v>
      </c>
      <c r="K4654" t="inlineStr">
        <is>
          <t>DIL0AM</t>
        </is>
      </c>
      <c r="M4654" t="inlineStr">
        <is>
          <t>-227K1</t>
        </is>
      </c>
    </row>
    <row r="4655">
      <c r="A4655">
        <v>4654</v>
      </c>
      <c r="B4655">
        <f>GS34</f>
        <v>0</v>
      </c>
      <c r="C4655" t="inlineStr">
        <is>
          <t>+LS4</t>
        </is>
      </c>
      <c r="D4655" t="inlineStr">
        <is>
          <t>-227K1</t>
        </is>
      </c>
      <c r="E4655" t="inlineStr">
        <is>
          <t>DIL_0AM</t>
        </is>
      </c>
      <c r="F4655" t="inlineStr">
        <is>
          <t>22_DIL-M</t>
        </is>
      </c>
      <c r="G4655" t="inlineStr">
        <is>
          <t>LASTSCHUETZ</t>
        </is>
      </c>
      <c r="H4655" t="inlineStr">
        <is>
          <t>11 kW</t>
        </is>
      </c>
      <c r="I4655">
        <v>351</v>
      </c>
      <c r="J4655">
        <f>GS34/227.2</f>
        <v>0</v>
      </c>
      <c r="K4655" t="inlineStr">
        <is>
          <t>DIL0AM</t>
        </is>
      </c>
      <c r="M4655" t="inlineStr">
        <is>
          <t>-227K1</t>
        </is>
      </c>
    </row>
    <row r="4656">
      <c r="A4656">
        <v>4655</v>
      </c>
      <c r="B4656">
        <f>GS33</f>
        <v>0</v>
      </c>
      <c r="C4656" t="inlineStr">
        <is>
          <t>+LS4</t>
        </is>
      </c>
      <c r="D4656" t="inlineStr">
        <is>
          <t>-227K33.1</t>
        </is>
      </c>
      <c r="E4656" t="inlineStr">
        <is>
          <t>DIL_EM-10-G</t>
        </is>
      </c>
      <c r="F4656" t="inlineStr">
        <is>
          <t>#KALK!</t>
        </is>
      </c>
      <c r="G4656" t="inlineStr">
        <is>
          <t>LASTSCHUETZ</t>
        </is>
      </c>
      <c r="H4656" t="inlineStr">
        <is>
          <t>4kW 1S</t>
        </is>
      </c>
      <c r="I4656">
        <v>666</v>
      </c>
      <c r="J4656">
        <f>GS33/227.7</f>
        <v>0</v>
      </c>
      <c r="M4656" t="inlineStr">
        <is>
          <t>-227K33.1</t>
        </is>
      </c>
    </row>
    <row r="4657">
      <c r="A4657">
        <v>4656</v>
      </c>
      <c r="B4657">
        <f>GS23</f>
        <v>0</v>
      </c>
      <c r="C4657" t="inlineStr">
        <is>
          <t>+LS4</t>
        </is>
      </c>
      <c r="D4657" t="inlineStr">
        <is>
          <t>-227K72.2</t>
        </is>
      </c>
      <c r="E4657" t="inlineStr">
        <is>
          <t>DIL_EM-10-G</t>
        </is>
      </c>
      <c r="F4657" t="inlineStr">
        <is>
          <t>#KALK!</t>
        </is>
      </c>
      <c r="G4657" t="inlineStr">
        <is>
          <t>LASTSCHUETZ</t>
        </is>
      </c>
      <c r="H4657" t="inlineStr">
        <is>
          <t>4kW 1S</t>
        </is>
      </c>
      <c r="I4657">
        <v>528</v>
      </c>
      <c r="J4657">
        <f>GS23/227.6</f>
        <v>0</v>
      </c>
      <c r="M4657" t="inlineStr">
        <is>
          <t>-227K72.2</t>
        </is>
      </c>
    </row>
    <row r="4658">
      <c r="A4658">
        <v>4657</v>
      </c>
      <c r="B4658">
        <f>GS23</f>
        <v>0</v>
      </c>
      <c r="C4658" t="inlineStr">
        <is>
          <t>+LS4</t>
        </is>
      </c>
      <c r="D4658" t="inlineStr">
        <is>
          <t>-227K72.3</t>
        </is>
      </c>
      <c r="E4658" t="inlineStr">
        <is>
          <t>DIL_EM-10-G</t>
        </is>
      </c>
      <c r="F4658" t="inlineStr">
        <is>
          <t>#KALK!</t>
        </is>
      </c>
      <c r="G4658" t="inlineStr">
        <is>
          <t>LASTSCHUETZ</t>
        </is>
      </c>
      <c r="H4658" t="inlineStr">
        <is>
          <t>4kW 1S</t>
        </is>
      </c>
      <c r="I4658">
        <v>528</v>
      </c>
      <c r="J4658">
        <f>GS23/227.6</f>
        <v>0</v>
      </c>
      <c r="M4658" t="inlineStr">
        <is>
          <t>-227K72.3</t>
        </is>
      </c>
    </row>
    <row r="4659">
      <c r="A4659">
        <v>4658</v>
      </c>
      <c r="B4659">
        <f>GS15</f>
        <v>0</v>
      </c>
      <c r="C4659" t="inlineStr">
        <is>
          <t>+LS4</t>
        </is>
      </c>
      <c r="D4659" t="inlineStr">
        <is>
          <t>-227K76.1</t>
        </is>
      </c>
      <c r="E4659" t="inlineStr">
        <is>
          <t>DIL_EM-10-G</t>
        </is>
      </c>
      <c r="F4659" t="inlineStr">
        <is>
          <t>#KALK!</t>
        </is>
      </c>
      <c r="G4659" t="inlineStr">
        <is>
          <t>LASTSCHUETZ</t>
        </is>
      </c>
      <c r="H4659" t="inlineStr">
        <is>
          <t>4kW 1S</t>
        </is>
      </c>
      <c r="I4659">
        <v>720</v>
      </c>
      <c r="J4659">
        <f>GS15/227.5</f>
        <v>0</v>
      </c>
      <c r="M4659" t="inlineStr">
        <is>
          <t>-227K76.1</t>
        </is>
      </c>
    </row>
    <row r="4660">
      <c r="A4660">
        <v>4659</v>
      </c>
      <c r="B4660">
        <f>GS15</f>
        <v>0</v>
      </c>
      <c r="C4660" t="inlineStr">
        <is>
          <t>+LS4</t>
        </is>
      </c>
      <c r="D4660" t="inlineStr">
        <is>
          <t>-227K76.2</t>
        </is>
      </c>
      <c r="E4660" t="inlineStr">
        <is>
          <t>DIL_EM-10-G</t>
        </is>
      </c>
      <c r="F4660" t="inlineStr">
        <is>
          <t>#KALK!</t>
        </is>
      </c>
      <c r="G4660" t="inlineStr">
        <is>
          <t>LASTSCHUETZ</t>
        </is>
      </c>
      <c r="H4660" t="inlineStr">
        <is>
          <t>4kW 1S</t>
        </is>
      </c>
      <c r="I4660">
        <v>720</v>
      </c>
      <c r="J4660">
        <f>GS15/227.6</f>
        <v>0</v>
      </c>
      <c r="M4660" t="inlineStr">
        <is>
          <t>-227K76.2</t>
        </is>
      </c>
    </row>
    <row r="4661">
      <c r="A4661">
        <v>4660</v>
      </c>
      <c r="B4661">
        <f>GS15</f>
        <v>0</v>
      </c>
      <c r="C4661" t="inlineStr">
        <is>
          <t>+LS4</t>
        </is>
      </c>
      <c r="D4661" t="inlineStr">
        <is>
          <t>-227K76.3</t>
        </is>
      </c>
      <c r="E4661" t="inlineStr">
        <is>
          <t>DIL_EM-01-G</t>
        </is>
      </c>
      <c r="F4661" t="inlineStr">
        <is>
          <t>#KALK!</t>
        </is>
      </c>
      <c r="G4661" t="inlineStr">
        <is>
          <t>LASTSCHUETZ</t>
        </is>
      </c>
      <c r="H4661" t="inlineStr">
        <is>
          <t>4kW 1OE</t>
        </is>
      </c>
      <c r="I4661">
        <v>720</v>
      </c>
      <c r="J4661">
        <f>GS15/227.7</f>
        <v>0</v>
      </c>
      <c r="M4661" t="inlineStr">
        <is>
          <t>-227K76.3</t>
        </is>
      </c>
    </row>
    <row r="4662">
      <c r="A4662">
        <v>4661</v>
      </c>
      <c r="B4662">
        <f>GS15</f>
        <v>0</v>
      </c>
      <c r="C4662" t="inlineStr">
        <is>
          <t>+LS4</t>
        </is>
      </c>
      <c r="D4662" t="inlineStr">
        <is>
          <t>-227K76.4</t>
        </is>
      </c>
      <c r="E4662" t="inlineStr">
        <is>
          <t>DIL_EM-01-G</t>
        </is>
      </c>
      <c r="F4662" t="inlineStr">
        <is>
          <t>#KALK!</t>
        </is>
      </c>
      <c r="G4662" t="inlineStr">
        <is>
          <t>LASTSCHUETZ</t>
        </is>
      </c>
      <c r="H4662" t="inlineStr">
        <is>
          <t>4kW 1OE</t>
        </is>
      </c>
      <c r="I4662">
        <v>720</v>
      </c>
      <c r="J4662">
        <f>GS15/227.8</f>
        <v>0</v>
      </c>
      <c r="M4662" t="inlineStr">
        <is>
          <t>-227K76.4</t>
        </is>
      </c>
    </row>
    <row r="4663">
      <c r="A4663">
        <v>4662</v>
      </c>
      <c r="B4663">
        <f>GS25</f>
        <v>0</v>
      </c>
      <c r="C4663" t="inlineStr">
        <is>
          <t>+LS5</t>
        </is>
      </c>
      <c r="D4663" t="inlineStr">
        <is>
          <t>-227K76.5</t>
        </is>
      </c>
      <c r="E4663" t="inlineStr">
        <is>
          <t>DIL_EM-10-G</t>
        </is>
      </c>
      <c r="F4663" t="inlineStr">
        <is>
          <t>#KALK!</t>
        </is>
      </c>
      <c r="G4663" t="inlineStr">
        <is>
          <t>LASTSCHUETZ</t>
        </is>
      </c>
      <c r="H4663" t="inlineStr">
        <is>
          <t>4kW 1S</t>
        </is>
      </c>
      <c r="I4663">
        <v>348</v>
      </c>
      <c r="J4663">
        <f>GS25/227.6</f>
        <v>0</v>
      </c>
      <c r="M4663" t="inlineStr">
        <is>
          <t>-227K76.5</t>
        </is>
      </c>
    </row>
    <row r="4664">
      <c r="A4664">
        <v>4663</v>
      </c>
      <c r="B4664">
        <f>GS25</f>
        <v>0</v>
      </c>
      <c r="C4664" t="inlineStr">
        <is>
          <t>+LS5</t>
        </is>
      </c>
      <c r="D4664" t="inlineStr">
        <is>
          <t>-227K76.6</t>
        </is>
      </c>
      <c r="E4664" t="inlineStr">
        <is>
          <t>DIL_EM-10-G</t>
        </is>
      </c>
      <c r="F4664" t="inlineStr">
        <is>
          <t>#KALK!</t>
        </is>
      </c>
      <c r="G4664" t="inlineStr">
        <is>
          <t>LASTSCHUETZ</t>
        </is>
      </c>
      <c r="H4664" t="inlineStr">
        <is>
          <t>4kW 1S</t>
        </is>
      </c>
      <c r="I4664">
        <v>348</v>
      </c>
      <c r="J4664">
        <f>GS25/227.6</f>
        <v>0</v>
      </c>
      <c r="M4664" t="inlineStr">
        <is>
          <t>-227K76.6</t>
        </is>
      </c>
    </row>
    <row r="4665">
      <c r="A4665">
        <v>4664</v>
      </c>
      <c r="B4665">
        <f>GS14</f>
        <v>0</v>
      </c>
      <c r="C4665" t="inlineStr">
        <is>
          <t>+LS5</t>
        </is>
      </c>
      <c r="D4665" t="inlineStr">
        <is>
          <t>-227K78.0</t>
        </is>
      </c>
      <c r="E4665" t="inlineStr">
        <is>
          <t>DIL_EM-10-G</t>
        </is>
      </c>
      <c r="F4665" t="inlineStr">
        <is>
          <t>#KALK!</t>
        </is>
      </c>
      <c r="G4665" t="inlineStr">
        <is>
          <t>LASTSCHUETZ</t>
        </is>
      </c>
      <c r="H4665" t="inlineStr">
        <is>
          <t>4kW 1S</t>
        </is>
      </c>
      <c r="I4665">
        <v>353</v>
      </c>
      <c r="J4665">
        <f>GS14/227.6</f>
        <v>0</v>
      </c>
      <c r="M4665" t="inlineStr">
        <is>
          <t>-227K78.0</t>
        </is>
      </c>
    </row>
    <row r="4666">
      <c r="A4666">
        <v>4665</v>
      </c>
      <c r="B4666">
        <f>GS14</f>
        <v>0</v>
      </c>
      <c r="C4666" t="inlineStr">
        <is>
          <t>+LS5</t>
        </is>
      </c>
      <c r="D4666" t="inlineStr">
        <is>
          <t>-227K78.1</t>
        </is>
      </c>
      <c r="E4666" t="inlineStr">
        <is>
          <t>DIL_EM-10-G</t>
        </is>
      </c>
      <c r="F4666" t="inlineStr">
        <is>
          <t>#KALK!</t>
        </is>
      </c>
      <c r="G4666" t="inlineStr">
        <is>
          <t>LASTSCHUETZ</t>
        </is>
      </c>
      <c r="H4666" t="inlineStr">
        <is>
          <t>4kW 1S</t>
        </is>
      </c>
      <c r="I4666">
        <v>353</v>
      </c>
      <c r="J4666">
        <f>GS14/227.6</f>
        <v>0</v>
      </c>
      <c r="M4666" t="inlineStr">
        <is>
          <t>-227K78.1</t>
        </is>
      </c>
    </row>
    <row r="4667">
      <c r="A4667">
        <v>4666</v>
      </c>
      <c r="B4667">
        <f>GC03</f>
        <v>0</v>
      </c>
      <c r="C4667" t="inlineStr">
        <is>
          <t>+LS5</t>
        </is>
      </c>
      <c r="D4667" t="inlineStr">
        <is>
          <t>-227K86.0</t>
        </is>
      </c>
      <c r="E4667" t="inlineStr">
        <is>
          <t>DIL_EM-10-G</t>
        </is>
      </c>
      <c r="F4667" t="inlineStr">
        <is>
          <t>#KALK!</t>
        </is>
      </c>
      <c r="G4667" t="inlineStr">
        <is>
          <t>LASTSCHUETZ</t>
        </is>
      </c>
      <c r="H4667" t="inlineStr">
        <is>
          <t>4kW 1S</t>
        </is>
      </c>
      <c r="I4667">
        <v>576</v>
      </c>
      <c r="J4667">
        <f>GC03/227.6</f>
        <v>0</v>
      </c>
      <c r="M4667" t="inlineStr">
        <is>
          <t>-227K86.0</t>
        </is>
      </c>
    </row>
    <row r="4668">
      <c r="A4668">
        <v>4667</v>
      </c>
      <c r="B4668">
        <f>GC03</f>
        <v>0</v>
      </c>
      <c r="C4668" t="inlineStr">
        <is>
          <t>+LS5</t>
        </is>
      </c>
      <c r="D4668" t="inlineStr">
        <is>
          <t>-227K86.1</t>
        </is>
      </c>
      <c r="E4668" t="inlineStr">
        <is>
          <t>DIL_EM-10-G</t>
        </is>
      </c>
      <c r="F4668" t="inlineStr">
        <is>
          <t>#KALK!</t>
        </is>
      </c>
      <c r="G4668" t="inlineStr">
        <is>
          <t>LASTSCHUETZ</t>
        </is>
      </c>
      <c r="H4668" t="inlineStr">
        <is>
          <t>4kW 1S</t>
        </is>
      </c>
      <c r="I4668">
        <v>576</v>
      </c>
      <c r="J4668">
        <f>GC03/227.6</f>
        <v>0</v>
      </c>
      <c r="M4668" t="inlineStr">
        <is>
          <t>-227K86.1</t>
        </is>
      </c>
    </row>
    <row r="4669">
      <c r="A4669">
        <v>4668</v>
      </c>
      <c r="B4669">
        <f>GS32</f>
        <v>0</v>
      </c>
      <c r="C4669" t="inlineStr">
        <is>
          <t>+LS5</t>
        </is>
      </c>
      <c r="D4669" t="inlineStr">
        <is>
          <t>-227K94.6</t>
        </is>
      </c>
      <c r="E4669" t="inlineStr">
        <is>
          <t>DIL_ER-22-G</t>
        </is>
      </c>
      <c r="F4669" t="inlineStr">
        <is>
          <t>#KALK!</t>
        </is>
      </c>
      <c r="G4669" t="inlineStr">
        <is>
          <t>HILFSSCHUETZ</t>
        </is>
      </c>
      <c r="H4669" t="inlineStr">
        <is>
          <t>2S 2OE</t>
        </is>
      </c>
      <c r="I4669">
        <v>1403</v>
      </c>
      <c r="J4669">
        <f>GS32/227.5</f>
        <v>0</v>
      </c>
      <c r="M4669" t="inlineStr">
        <is>
          <t>-227K94.6</t>
        </is>
      </c>
    </row>
    <row r="4670">
      <c r="A4670">
        <v>4669</v>
      </c>
      <c r="B4670">
        <f>GS05</f>
        <v>0</v>
      </c>
      <c r="C4670" t="inlineStr">
        <is>
          <t>+LS03</t>
        </is>
      </c>
      <c r="D4670" t="inlineStr">
        <is>
          <t>-227Q114.5</t>
        </is>
      </c>
      <c r="E4670" t="inlineStr">
        <is>
          <t>DILM-9-10</t>
        </is>
      </c>
      <c r="F4670" t="inlineStr">
        <is>
          <t>#KALK!</t>
        </is>
      </c>
      <c r="G4670" t="inlineStr">
        <is>
          <t>LASTSCHUETZ</t>
        </is>
      </c>
      <c r="H4670" t="inlineStr">
        <is>
          <t>4kW 1S Federzugkl.</t>
        </is>
      </c>
      <c r="I4670">
        <v>1914</v>
      </c>
      <c r="J4670">
        <f>GS05/227.6</f>
        <v>0</v>
      </c>
      <c r="K4670" t="inlineStr">
        <is>
          <t>DIL MC9</t>
        </is>
      </c>
      <c r="M4670" t="inlineStr">
        <is>
          <t>-227Q114.5</t>
        </is>
      </c>
    </row>
    <row r="4671">
      <c r="A4671">
        <v>4670</v>
      </c>
      <c r="B4671">
        <f>GS55</f>
        <v>0</v>
      </c>
      <c r="C4671" t="inlineStr">
        <is>
          <t>+LS03</t>
        </is>
      </c>
      <c r="D4671" t="inlineStr">
        <is>
          <t>-227Q120.2</t>
        </is>
      </c>
      <c r="E4671" t="inlineStr">
        <is>
          <t>DILM-9-10</t>
        </is>
      </c>
      <c r="F4671" t="inlineStr">
        <is>
          <t>#KALK!</t>
        </is>
      </c>
      <c r="G4671" t="inlineStr">
        <is>
          <t>LASTSCHUETZ</t>
        </is>
      </c>
      <c r="H4671" t="inlineStr">
        <is>
          <t>4kW 1S Federzugkl.</t>
        </is>
      </c>
      <c r="I4671">
        <v>499</v>
      </c>
      <c r="J4671">
        <f>GS55/227.6</f>
        <v>0</v>
      </c>
      <c r="K4671" t="inlineStr">
        <is>
          <t>DIL MC9</t>
        </is>
      </c>
      <c r="M4671" t="inlineStr">
        <is>
          <t>-227Q120.2</t>
        </is>
      </c>
    </row>
    <row r="4672">
      <c r="A4672">
        <v>4671</v>
      </c>
      <c r="B4672">
        <f>GS91</f>
        <v>0</v>
      </c>
      <c r="C4672" t="inlineStr">
        <is>
          <t>+LS03</t>
        </is>
      </c>
      <c r="D4672" t="inlineStr">
        <is>
          <t>-227Q158.2</t>
        </is>
      </c>
      <c r="E4672" t="inlineStr">
        <is>
          <t>DILM-9-10</t>
        </is>
      </c>
      <c r="F4672" t="inlineStr">
        <is>
          <t>#KALK!</t>
        </is>
      </c>
      <c r="G4672" t="inlineStr">
        <is>
          <t>LASTSCHUETZ</t>
        </is>
      </c>
      <c r="H4672" t="inlineStr">
        <is>
          <t>4kW 1S Federzugkl.</t>
        </is>
      </c>
      <c r="I4672">
        <v>375</v>
      </c>
      <c r="J4672">
        <f>GS91/227.5</f>
        <v>0</v>
      </c>
      <c r="M4672" t="inlineStr">
        <is>
          <t>-227Q158.2</t>
        </is>
      </c>
    </row>
    <row r="4673">
      <c r="A4673">
        <v>4672</v>
      </c>
      <c r="B4673">
        <f>GS90</f>
        <v>0</v>
      </c>
      <c r="C4673" t="inlineStr">
        <is>
          <t>+LS03</t>
        </is>
      </c>
      <c r="D4673" t="inlineStr">
        <is>
          <t>-227Q162.5</t>
        </is>
      </c>
      <c r="E4673" t="inlineStr">
        <is>
          <t>DILM-9-10</t>
        </is>
      </c>
      <c r="F4673" t="inlineStr">
        <is>
          <t>#KALK!</t>
        </is>
      </c>
      <c r="G4673" t="inlineStr">
        <is>
          <t>LASTSCHUETZ</t>
        </is>
      </c>
      <c r="H4673" t="inlineStr">
        <is>
          <t>4kW 1S Federzugkl.</t>
        </is>
      </c>
      <c r="I4673">
        <v>1018</v>
      </c>
      <c r="J4673">
        <f>GS90/227.5</f>
        <v>0</v>
      </c>
      <c r="M4673" t="inlineStr">
        <is>
          <t>-227Q162.5</t>
        </is>
      </c>
    </row>
    <row r="4674">
      <c r="A4674">
        <v>4673</v>
      </c>
      <c r="B4674">
        <f>GS55</f>
        <v>0</v>
      </c>
      <c r="C4674" t="inlineStr">
        <is>
          <t>+LS37</t>
        </is>
      </c>
      <c r="D4674" t="inlineStr">
        <is>
          <t>-2285Q1</t>
        </is>
      </c>
      <c r="E4674" t="inlineStr">
        <is>
          <t>DILMC25-10(RDC24)</t>
        </is>
      </c>
      <c r="F4674" t="inlineStr">
        <is>
          <t>DILA-XHI22</t>
        </is>
      </c>
      <c r="G4674" t="inlineStr">
        <is>
          <t>LASTSCHUETZ</t>
        </is>
      </c>
      <c r="H4674" t="inlineStr">
        <is>
          <t>11kW 1S Federzugkl.</t>
        </is>
      </c>
      <c r="I4674">
        <v>2454</v>
      </c>
      <c r="J4674">
        <f>GS55/2285.6</f>
        <v>0</v>
      </c>
      <c r="K4674" t="inlineStr">
        <is>
          <t>DIL MC25</t>
        </is>
      </c>
      <c r="M4674" t="inlineStr">
        <is>
          <t>-2285Q1</t>
        </is>
      </c>
    </row>
    <row r="4675">
      <c r="A4675">
        <v>4674</v>
      </c>
      <c r="B4675">
        <f>GS55</f>
        <v>0</v>
      </c>
      <c r="C4675" t="inlineStr">
        <is>
          <t>+LS37</t>
        </is>
      </c>
      <c r="D4675" t="inlineStr">
        <is>
          <t>-2285Q1</t>
        </is>
      </c>
      <c r="E4675" t="inlineStr">
        <is>
          <t>DILA-XHI22</t>
        </is>
      </c>
      <c r="F4675" t="inlineStr">
        <is>
          <t>DILA-XHI22</t>
        </is>
      </c>
      <c r="G4675" t="inlineStr">
        <is>
          <t>HILFSKONTAKTBLOCK</t>
        </is>
      </c>
      <c r="H4675" t="inlineStr">
        <is>
          <t>2S 2OE Last+Hilfssch. Cage</t>
        </is>
      </c>
      <c r="I4675">
        <v>2454</v>
      </c>
      <c r="J4675">
        <f>GS55/2285.6</f>
        <v>0</v>
      </c>
      <c r="K4675" t="inlineStr">
        <is>
          <t>DIL MC25</t>
        </is>
      </c>
      <c r="M4675" t="inlineStr">
        <is>
          <t>-2285Q1</t>
        </is>
      </c>
    </row>
    <row r="4676">
      <c r="A4676">
        <v>4675</v>
      </c>
      <c r="B4676">
        <f>GS13</f>
        <v>0</v>
      </c>
      <c r="C4676" t="inlineStr">
        <is>
          <t>+LS4</t>
        </is>
      </c>
      <c r="D4676" t="inlineStr">
        <is>
          <t>-22876.3</t>
        </is>
      </c>
      <c r="E4676" t="inlineStr">
        <is>
          <t>DIL_EM-10-G</t>
        </is>
      </c>
      <c r="F4676" t="inlineStr">
        <is>
          <t>#KALK!</t>
        </is>
      </c>
      <c r="G4676" t="inlineStr">
        <is>
          <t>LASTSCHUETZ</t>
        </is>
      </c>
      <c r="H4676" t="inlineStr">
        <is>
          <t>4kW 1S</t>
        </is>
      </c>
      <c r="I4676">
        <v>470</v>
      </c>
      <c r="J4676">
        <f>GS13/228.7</f>
        <v>0</v>
      </c>
      <c r="M4676" t="inlineStr">
        <is>
          <t>-22876.3</t>
        </is>
      </c>
    </row>
    <row r="4677">
      <c r="A4677">
        <v>4676</v>
      </c>
      <c r="B4677">
        <f>GS24</f>
        <v>0</v>
      </c>
      <c r="C4677" t="inlineStr">
        <is>
          <t>+LS5</t>
        </is>
      </c>
      <c r="D4677" t="inlineStr">
        <is>
          <t>-228K1</t>
        </is>
      </c>
      <c r="E4677" t="inlineStr">
        <is>
          <t>22_DIL-M</t>
        </is>
      </c>
      <c r="F4677" t="inlineStr">
        <is>
          <t>22_DIL-M</t>
        </is>
      </c>
      <c r="G4677" t="inlineStr">
        <is>
          <t>HILFSKONTAKTBLOCK</t>
        </is>
      </c>
      <c r="H4677" t="inlineStr">
        <is>
          <t>2S 2OE Lastschuetz DIL M</t>
        </is>
      </c>
      <c r="I4677">
        <v>851</v>
      </c>
      <c r="J4677">
        <f>GS24/228.2</f>
        <v>0</v>
      </c>
      <c r="K4677" t="inlineStr">
        <is>
          <t>DIL0AM</t>
        </is>
      </c>
      <c r="M4677" t="inlineStr">
        <is>
          <t>-228K1</t>
        </is>
      </c>
    </row>
    <row r="4678">
      <c r="A4678">
        <v>4677</v>
      </c>
      <c r="B4678">
        <f>GS24</f>
        <v>0</v>
      </c>
      <c r="C4678" t="inlineStr">
        <is>
          <t>+LS5</t>
        </is>
      </c>
      <c r="D4678" t="inlineStr">
        <is>
          <t>-228K1</t>
        </is>
      </c>
      <c r="E4678" t="inlineStr">
        <is>
          <t>DIL_0AM</t>
        </is>
      </c>
      <c r="F4678" t="inlineStr">
        <is>
          <t>22_DIL-M</t>
        </is>
      </c>
      <c r="G4678" t="inlineStr">
        <is>
          <t>LASTSCHUETZ</t>
        </is>
      </c>
      <c r="H4678" t="inlineStr">
        <is>
          <t>11 kW</t>
        </is>
      </c>
      <c r="I4678">
        <v>851</v>
      </c>
      <c r="J4678">
        <f>GS24/228.2</f>
        <v>0</v>
      </c>
      <c r="K4678" t="inlineStr">
        <is>
          <t>DIL0AM</t>
        </is>
      </c>
      <c r="M4678" t="inlineStr">
        <is>
          <t>-228K1</t>
        </is>
      </c>
    </row>
    <row r="4679">
      <c r="A4679">
        <v>4678</v>
      </c>
      <c r="B4679">
        <f>GS33</f>
        <v>0</v>
      </c>
      <c r="C4679" t="inlineStr">
        <is>
          <t>+LS4</t>
        </is>
      </c>
      <c r="D4679" t="inlineStr">
        <is>
          <t>-228K33.2</t>
        </is>
      </c>
      <c r="E4679" t="inlineStr">
        <is>
          <t>DIL_EM-10-G</t>
        </is>
      </c>
      <c r="F4679" t="inlineStr">
        <is>
          <t>#KALK!</t>
        </is>
      </c>
      <c r="G4679" t="inlineStr">
        <is>
          <t>LASTSCHUETZ</t>
        </is>
      </c>
      <c r="H4679" t="inlineStr">
        <is>
          <t>4kW 1S</t>
        </is>
      </c>
      <c r="I4679">
        <v>667</v>
      </c>
      <c r="J4679">
        <f>GS33/228.6</f>
        <v>0</v>
      </c>
      <c r="M4679" t="inlineStr">
        <is>
          <t>-228K33.2</t>
        </is>
      </c>
    </row>
    <row r="4680">
      <c r="A4680">
        <v>4679</v>
      </c>
      <c r="B4680">
        <f>GS23</f>
        <v>0</v>
      </c>
      <c r="C4680" t="inlineStr">
        <is>
          <t>+LS4</t>
        </is>
      </c>
      <c r="D4680" t="inlineStr">
        <is>
          <t>-228K76.3</t>
        </is>
      </c>
      <c r="E4680" t="inlineStr">
        <is>
          <t>DIL_EM-10-G</t>
        </is>
      </c>
      <c r="F4680" t="inlineStr">
        <is>
          <t>#KALK!</t>
        </is>
      </c>
      <c r="G4680" t="inlineStr">
        <is>
          <t>LASTSCHUETZ</t>
        </is>
      </c>
      <c r="H4680" t="inlineStr">
        <is>
          <t>4kW 1S</t>
        </is>
      </c>
      <c r="I4680">
        <v>529</v>
      </c>
      <c r="J4680">
        <f>GS23/228.7</f>
        <v>0</v>
      </c>
      <c r="M4680" t="inlineStr">
        <is>
          <t>-228K76.3</t>
        </is>
      </c>
    </row>
    <row r="4681">
      <c r="A4681">
        <v>4680</v>
      </c>
      <c r="B4681">
        <f>GS15</f>
        <v>0</v>
      </c>
      <c r="C4681" t="inlineStr">
        <is>
          <t>+LS4</t>
        </is>
      </c>
      <c r="D4681" t="inlineStr">
        <is>
          <t>-228K76.5</t>
        </is>
      </c>
      <c r="E4681" t="inlineStr">
        <is>
          <t>DIL_EM-10-G</t>
        </is>
      </c>
      <c r="F4681" t="inlineStr">
        <is>
          <t>#KALK!</t>
        </is>
      </c>
      <c r="G4681" t="inlineStr">
        <is>
          <t>LASTSCHUETZ</t>
        </is>
      </c>
      <c r="H4681" t="inlineStr">
        <is>
          <t>4kW 1S</t>
        </is>
      </c>
      <c r="I4681">
        <v>721</v>
      </c>
      <c r="J4681">
        <f>GS15/228.6</f>
        <v>0</v>
      </c>
      <c r="M4681" t="inlineStr">
        <is>
          <t>-228K76.5</t>
        </is>
      </c>
    </row>
    <row r="4682">
      <c r="A4682">
        <v>4681</v>
      </c>
      <c r="B4682">
        <f>GS15</f>
        <v>0</v>
      </c>
      <c r="C4682" t="inlineStr">
        <is>
          <t>+LS4</t>
        </is>
      </c>
      <c r="D4682" t="inlineStr">
        <is>
          <t>-228K76.6</t>
        </is>
      </c>
      <c r="E4682" t="inlineStr">
        <is>
          <t>DIL_EM-10-G</t>
        </is>
      </c>
      <c r="F4682" t="inlineStr">
        <is>
          <t>#KALK!</t>
        </is>
      </c>
      <c r="G4682" t="inlineStr">
        <is>
          <t>LASTSCHUETZ</t>
        </is>
      </c>
      <c r="H4682" t="inlineStr">
        <is>
          <t>4kW 1S</t>
        </is>
      </c>
      <c r="I4682">
        <v>721</v>
      </c>
      <c r="J4682">
        <f>GS15/228.6</f>
        <v>0</v>
      </c>
      <c r="M4682" t="inlineStr">
        <is>
          <t>-228K76.6</t>
        </is>
      </c>
    </row>
    <row r="4683">
      <c r="A4683">
        <v>4682</v>
      </c>
      <c r="B4683">
        <f>GC03</f>
        <v>0</v>
      </c>
      <c r="C4683" t="inlineStr">
        <is>
          <t>+LS5</t>
        </is>
      </c>
      <c r="D4683" t="inlineStr">
        <is>
          <t>-228K86.2</t>
        </is>
      </c>
      <c r="E4683" t="inlineStr">
        <is>
          <t>DIL_EM-10-G</t>
        </is>
      </c>
      <c r="F4683" t="inlineStr">
        <is>
          <t>#KALK!</t>
        </is>
      </c>
      <c r="G4683" t="inlineStr">
        <is>
          <t>LASTSCHUETZ</t>
        </is>
      </c>
      <c r="H4683" t="inlineStr">
        <is>
          <t>4kW 1S</t>
        </is>
      </c>
      <c r="I4683">
        <v>575</v>
      </c>
      <c r="J4683">
        <f>GC03/228.6</f>
        <v>0</v>
      </c>
      <c r="M4683" t="inlineStr">
        <is>
          <t>-228K86.2</t>
        </is>
      </c>
    </row>
    <row r="4684">
      <c r="A4684">
        <v>4683</v>
      </c>
      <c r="B4684">
        <f>GC03</f>
        <v>0</v>
      </c>
      <c r="C4684" t="inlineStr">
        <is>
          <t>+LS5</t>
        </is>
      </c>
      <c r="D4684" t="inlineStr">
        <is>
          <t>-228K86.3</t>
        </is>
      </c>
      <c r="E4684" t="inlineStr">
        <is>
          <t>DIL_EM-10-G</t>
        </is>
      </c>
      <c r="F4684" t="inlineStr">
        <is>
          <t>#KALK!</t>
        </is>
      </c>
      <c r="G4684" t="inlineStr">
        <is>
          <t>LASTSCHUETZ</t>
        </is>
      </c>
      <c r="H4684" t="inlineStr">
        <is>
          <t>4kW 1S</t>
        </is>
      </c>
      <c r="I4684">
        <v>575</v>
      </c>
      <c r="J4684">
        <f>GC03/228.6</f>
        <v>0</v>
      </c>
      <c r="M4684" t="inlineStr">
        <is>
          <t>-228K86.3</t>
        </is>
      </c>
    </row>
    <row r="4685">
      <c r="A4685">
        <v>4684</v>
      </c>
      <c r="B4685">
        <f>GS36</f>
        <v>0</v>
      </c>
      <c r="C4685" t="inlineStr">
        <is>
          <t>+LS04</t>
        </is>
      </c>
      <c r="D4685" t="inlineStr">
        <is>
          <t>-243K2</t>
        </is>
      </c>
      <c r="E4685" t="inlineStr">
        <is>
          <t>DILM-9-01</t>
        </is>
      </c>
      <c r="F4685" t="inlineStr">
        <is>
          <t>DILA-XHIC40</t>
        </is>
      </c>
      <c r="G4685" t="inlineStr">
        <is>
          <t>LASTSCHUETZ</t>
        </is>
      </c>
      <c r="H4685" t="inlineStr">
        <is>
          <t>4kW 1Oe Federzugkl.</t>
        </is>
      </c>
      <c r="I4685">
        <v>416</v>
      </c>
      <c r="J4685">
        <f>GS36/243.7</f>
        <v>0</v>
      </c>
      <c r="L4685" t="inlineStr">
        <is>
          <t>Lichtvorhang KF</t>
        </is>
      </c>
      <c r="M4685" t="inlineStr">
        <is>
          <t>Lichtvorhang KF
-243K2</t>
        </is>
      </c>
    </row>
    <row r="4686">
      <c r="A4686">
        <v>4685</v>
      </c>
      <c r="B4686">
        <f>GS91</f>
        <v>0</v>
      </c>
      <c r="C4686" t="inlineStr">
        <is>
          <t>+LS03</t>
        </is>
      </c>
      <c r="D4686" t="inlineStr">
        <is>
          <t>-228Q158.3</t>
        </is>
      </c>
      <c r="E4686" t="inlineStr">
        <is>
          <t>DILM-9-10</t>
        </is>
      </c>
      <c r="F4686" t="inlineStr">
        <is>
          <t>#KALK!</t>
        </is>
      </c>
      <c r="G4686" t="inlineStr">
        <is>
          <t>LASTSCHUETZ</t>
        </is>
      </c>
      <c r="H4686" t="inlineStr">
        <is>
          <t>4kW 1S Federzugkl.</t>
        </is>
      </c>
      <c r="I4686">
        <v>376</v>
      </c>
      <c r="J4686">
        <f>GS91/228.5</f>
        <v>0</v>
      </c>
      <c r="M4686" t="inlineStr">
        <is>
          <t>-228Q158.3</t>
        </is>
      </c>
    </row>
    <row r="4687">
      <c r="A4687">
        <v>4686</v>
      </c>
      <c r="B4687">
        <f>GS38</f>
        <v>0</v>
      </c>
      <c r="C4687" t="inlineStr">
        <is>
          <t>+LS04</t>
        </is>
      </c>
      <c r="D4687" t="inlineStr">
        <is>
          <t>-228Q405.4</t>
        </is>
      </c>
      <c r="E4687" t="inlineStr">
        <is>
          <t>DILM-9-10</t>
        </is>
      </c>
      <c r="F4687" t="inlineStr">
        <is>
          <t>#KALK!</t>
        </is>
      </c>
      <c r="G4687" t="inlineStr">
        <is>
          <t>LASTSCHUETZ</t>
        </is>
      </c>
      <c r="H4687" t="inlineStr">
        <is>
          <t>4kW 1S Federzugkl.</t>
        </is>
      </c>
      <c r="I4687">
        <v>398</v>
      </c>
      <c r="J4687">
        <f>GS38/228.3</f>
        <v>0</v>
      </c>
      <c r="M4687" t="inlineStr">
        <is>
          <t>-228Q405.4</t>
        </is>
      </c>
    </row>
    <row r="4688">
      <c r="A4688">
        <v>4687</v>
      </c>
      <c r="B4688">
        <f>GS39</f>
        <v>0</v>
      </c>
      <c r="C4688" t="inlineStr">
        <is>
          <t>+LS04</t>
        </is>
      </c>
      <c r="D4688" t="inlineStr">
        <is>
          <t>-228Q405.4</t>
        </is>
      </c>
      <c r="E4688" t="inlineStr">
        <is>
          <t>DILM-9-10</t>
        </is>
      </c>
      <c r="F4688" t="inlineStr">
        <is>
          <t>#KALK!</t>
        </is>
      </c>
      <c r="G4688" t="inlineStr">
        <is>
          <t>LASTSCHUETZ</t>
        </is>
      </c>
      <c r="H4688" t="inlineStr">
        <is>
          <t>4kW 1S Federzugkl.</t>
        </is>
      </c>
      <c r="I4688">
        <v>423</v>
      </c>
      <c r="J4688">
        <f>GS39/228.3</f>
        <v>0</v>
      </c>
      <c r="M4688" t="inlineStr">
        <is>
          <t>-228Q405.4</t>
        </is>
      </c>
    </row>
    <row r="4689">
      <c r="A4689">
        <v>4688</v>
      </c>
      <c r="B4689">
        <f>GS55</f>
        <v>0</v>
      </c>
      <c r="C4689" t="inlineStr">
        <is>
          <t>+LS37</t>
        </is>
      </c>
      <c r="D4689" t="inlineStr">
        <is>
          <t>-2295Q1</t>
        </is>
      </c>
      <c r="E4689" t="inlineStr">
        <is>
          <t>DILMC25-10(RDC24)</t>
        </is>
      </c>
      <c r="F4689" t="inlineStr">
        <is>
          <t>DILA-XHI22</t>
        </is>
      </c>
      <c r="G4689" t="inlineStr">
        <is>
          <t>LASTSCHUETZ</t>
        </is>
      </c>
      <c r="H4689" t="inlineStr">
        <is>
          <t>11kW 1S Federzugkl.</t>
        </is>
      </c>
      <c r="I4689">
        <v>2464</v>
      </c>
      <c r="J4689">
        <f>GS55/2295.6</f>
        <v>0</v>
      </c>
      <c r="K4689" t="inlineStr">
        <is>
          <t>DIL MC25</t>
        </is>
      </c>
      <c r="M4689" t="inlineStr">
        <is>
          <t>-2295Q1</t>
        </is>
      </c>
    </row>
    <row r="4690">
      <c r="A4690">
        <v>4689</v>
      </c>
      <c r="B4690">
        <f>GS55</f>
        <v>0</v>
      </c>
      <c r="C4690" t="inlineStr">
        <is>
          <t>+LS37</t>
        </is>
      </c>
      <c r="D4690" t="inlineStr">
        <is>
          <t>-2295Q1</t>
        </is>
      </c>
      <c r="E4690" t="inlineStr">
        <is>
          <t>DILA-XHI22</t>
        </is>
      </c>
      <c r="F4690" t="inlineStr">
        <is>
          <t>DILA-XHI22</t>
        </is>
      </c>
      <c r="G4690" t="inlineStr">
        <is>
          <t>HILFSKONTAKTBLOCK</t>
        </is>
      </c>
      <c r="H4690" t="inlineStr">
        <is>
          <t>2S 2OE Last+Hilfssch. Cage</t>
        </is>
      </c>
      <c r="I4690">
        <v>2464</v>
      </c>
      <c r="J4690">
        <f>GS55/2295.6</f>
        <v>0</v>
      </c>
      <c r="K4690" t="inlineStr">
        <is>
          <t>DIL MC25</t>
        </is>
      </c>
      <c r="M4690" t="inlineStr">
        <is>
          <t>-2295Q1</t>
        </is>
      </c>
    </row>
    <row r="4691">
      <c r="A4691">
        <v>4690</v>
      </c>
      <c r="B4691">
        <f>GS13</f>
        <v>0</v>
      </c>
      <c r="C4691" t="inlineStr">
        <is>
          <t>+LS4</t>
        </is>
      </c>
      <c r="D4691" t="inlineStr">
        <is>
          <t>-22972.4</t>
        </is>
      </c>
      <c r="E4691" t="inlineStr">
        <is>
          <t>DIL_EM-10-G</t>
        </is>
      </c>
      <c r="F4691" t="inlineStr">
        <is>
          <t>#KALK!</t>
        </is>
      </c>
      <c r="G4691" t="inlineStr">
        <is>
          <t>LASTSCHUETZ</t>
        </is>
      </c>
      <c r="H4691" t="inlineStr">
        <is>
          <t>4kW 1S</t>
        </is>
      </c>
      <c r="I4691">
        <v>471</v>
      </c>
      <c r="J4691">
        <f>GS13/229.6</f>
        <v>0</v>
      </c>
      <c r="M4691" t="inlineStr">
        <is>
          <t>-22972.4</t>
        </is>
      </c>
    </row>
    <row r="4692">
      <c r="A4692">
        <v>4691</v>
      </c>
      <c r="B4692">
        <f>GS26</f>
        <v>0</v>
      </c>
      <c r="C4692" t="inlineStr">
        <is>
          <t>+LS3</t>
        </is>
      </c>
      <c r="D4692" t="inlineStr">
        <is>
          <t>-229K1</t>
        </is>
      </c>
      <c r="E4692" t="inlineStr">
        <is>
          <t>DILMC65(RDC24)</t>
        </is>
      </c>
      <c r="F4692" t="inlineStr">
        <is>
          <t>DILA-XHIC31</t>
        </is>
      </c>
      <c r="G4692" t="inlineStr">
        <is>
          <t>LASTSCHUETZ</t>
        </is>
      </c>
      <c r="H4692" t="inlineStr">
        <is>
          <t>30kW Federzugkl.</t>
        </is>
      </c>
      <c r="I4692">
        <v>551</v>
      </c>
      <c r="J4692">
        <f>GS26/229.5</f>
        <v>0</v>
      </c>
      <c r="M4692" t="inlineStr">
        <is>
          <t>-229K1</t>
        </is>
      </c>
    </row>
    <row r="4693">
      <c r="A4693">
        <v>4692</v>
      </c>
      <c r="B4693">
        <f>GS26</f>
        <v>0</v>
      </c>
      <c r="C4693" t="inlineStr">
        <is>
          <t>+LS3</t>
        </is>
      </c>
      <c r="D4693" t="inlineStr">
        <is>
          <t>-229K1</t>
        </is>
      </c>
      <c r="E4693" t="inlineStr">
        <is>
          <t>DILA-XHIC31</t>
        </is>
      </c>
      <c r="F4693" t="inlineStr">
        <is>
          <t>DILA-XHIC31</t>
        </is>
      </c>
      <c r="G4693" t="inlineStr">
        <is>
          <t>HILFSKONTAKTBLOCK</t>
        </is>
      </c>
      <c r="H4693" t="inlineStr">
        <is>
          <t>3S 1OE Last+Hilfssch. Cage</t>
        </is>
      </c>
      <c r="I4693">
        <v>551</v>
      </c>
      <c r="J4693">
        <f>GS26/229.5</f>
        <v>0</v>
      </c>
      <c r="M4693" t="inlineStr">
        <is>
          <t>-229K1</t>
        </is>
      </c>
    </row>
    <row r="4694">
      <c r="A4694">
        <v>4693</v>
      </c>
      <c r="B4694">
        <f>GS34</f>
        <v>0</v>
      </c>
      <c r="C4694" t="inlineStr">
        <is>
          <t>+LS4</t>
        </is>
      </c>
      <c r="D4694" t="inlineStr">
        <is>
          <t>-229K33.0</t>
        </is>
      </c>
      <c r="E4694" t="inlineStr">
        <is>
          <t>DIL_EM-10-G</t>
        </is>
      </c>
      <c r="F4694" t="inlineStr">
        <is>
          <t>#KALK!</t>
        </is>
      </c>
      <c r="G4694" t="inlineStr">
        <is>
          <t>LASTSCHUETZ</t>
        </is>
      </c>
      <c r="H4694" t="inlineStr">
        <is>
          <t>4kW 1S</t>
        </is>
      </c>
      <c r="I4694">
        <v>353</v>
      </c>
      <c r="J4694">
        <f>GS34/229.6</f>
        <v>0</v>
      </c>
      <c r="M4694" t="inlineStr">
        <is>
          <t>-229K33.0</t>
        </is>
      </c>
    </row>
    <row r="4695">
      <c r="A4695">
        <v>4694</v>
      </c>
      <c r="B4695">
        <f>GS34</f>
        <v>0</v>
      </c>
      <c r="C4695" t="inlineStr">
        <is>
          <t>+LS4</t>
        </is>
      </c>
      <c r="D4695" t="inlineStr">
        <is>
          <t>-229K33.1</t>
        </is>
      </c>
      <c r="E4695" t="inlineStr">
        <is>
          <t>DIL_EM-10-G</t>
        </is>
      </c>
      <c r="F4695" t="inlineStr">
        <is>
          <t>#KALK!</t>
        </is>
      </c>
      <c r="G4695" t="inlineStr">
        <is>
          <t>LASTSCHUETZ</t>
        </is>
      </c>
      <c r="H4695" t="inlineStr">
        <is>
          <t>4kW 1S</t>
        </is>
      </c>
      <c r="I4695">
        <v>353</v>
      </c>
      <c r="J4695">
        <f>GS34/229.6</f>
        <v>0</v>
      </c>
      <c r="M4695" t="inlineStr">
        <is>
          <t>-229K33.1</t>
        </is>
      </c>
    </row>
    <row r="4696">
      <c r="A4696">
        <v>4695</v>
      </c>
      <c r="B4696">
        <f>GS33</f>
        <v>0</v>
      </c>
      <c r="C4696" t="inlineStr">
        <is>
          <t>+LS4</t>
        </is>
      </c>
      <c r="D4696" t="inlineStr">
        <is>
          <t>-229K34.1</t>
        </is>
      </c>
      <c r="E4696" t="inlineStr">
        <is>
          <t>DIL_EM-10-G</t>
        </is>
      </c>
      <c r="F4696" t="inlineStr">
        <is>
          <t>#KALK!</t>
        </is>
      </c>
      <c r="G4696" t="inlineStr">
        <is>
          <t>LASTSCHUETZ</t>
        </is>
      </c>
      <c r="H4696" t="inlineStr">
        <is>
          <t>4kW 1S</t>
        </is>
      </c>
      <c r="I4696">
        <v>668</v>
      </c>
      <c r="J4696">
        <f>GS33/229.7</f>
        <v>0</v>
      </c>
      <c r="M4696" t="inlineStr">
        <is>
          <t>-229K34.1</t>
        </is>
      </c>
    </row>
    <row r="4697">
      <c r="A4697">
        <v>4696</v>
      </c>
      <c r="B4697">
        <f>GS23</f>
        <v>0</v>
      </c>
      <c r="C4697" t="inlineStr">
        <is>
          <t>+LS4</t>
        </is>
      </c>
      <c r="D4697" t="inlineStr">
        <is>
          <t>-229K72.4</t>
        </is>
      </c>
      <c r="E4697" t="inlineStr">
        <is>
          <t>DIL_EM-10-G</t>
        </is>
      </c>
      <c r="F4697" t="inlineStr">
        <is>
          <t>#KALK!</t>
        </is>
      </c>
      <c r="G4697" t="inlineStr">
        <is>
          <t>LASTSCHUETZ</t>
        </is>
      </c>
      <c r="H4697" t="inlineStr">
        <is>
          <t>4kW 1S</t>
        </is>
      </c>
      <c r="I4697">
        <v>530</v>
      </c>
      <c r="J4697">
        <f>GS23/229.6</f>
        <v>0</v>
      </c>
      <c r="M4697" t="inlineStr">
        <is>
          <t>-229K72.4</t>
        </is>
      </c>
    </row>
    <row r="4698">
      <c r="A4698">
        <v>4697</v>
      </c>
      <c r="B4698">
        <f>GS14</f>
        <v>0</v>
      </c>
      <c r="C4698" t="inlineStr">
        <is>
          <t>+LS5</t>
        </is>
      </c>
      <c r="D4698" t="inlineStr">
        <is>
          <t>-229K78.7</t>
        </is>
      </c>
      <c r="E4698" t="inlineStr">
        <is>
          <t>DIL_EM-10-G</t>
        </is>
      </c>
      <c r="F4698" t="inlineStr">
        <is>
          <t>#KALK!</t>
        </is>
      </c>
      <c r="G4698" t="inlineStr">
        <is>
          <t>LASTSCHUETZ</t>
        </is>
      </c>
      <c r="H4698" t="inlineStr">
        <is>
          <t>4kW 1S</t>
        </is>
      </c>
      <c r="I4698">
        <v>355</v>
      </c>
      <c r="J4698">
        <f>GS14/229.5</f>
        <v>0</v>
      </c>
      <c r="M4698" t="inlineStr">
        <is>
          <t>-229K78.7</t>
        </is>
      </c>
    </row>
    <row r="4699">
      <c r="A4699">
        <v>4698</v>
      </c>
      <c r="B4699">
        <f>GS14</f>
        <v>0</v>
      </c>
      <c r="C4699" t="inlineStr">
        <is>
          <t>+LS5</t>
        </is>
      </c>
      <c r="D4699" t="inlineStr">
        <is>
          <t>-229K79.0</t>
        </is>
      </c>
      <c r="E4699" t="inlineStr">
        <is>
          <t>DIL_EM-10-G</t>
        </is>
      </c>
      <c r="F4699" t="inlineStr">
        <is>
          <t>#KALK!</t>
        </is>
      </c>
      <c r="G4699" t="inlineStr">
        <is>
          <t>LASTSCHUETZ</t>
        </is>
      </c>
      <c r="H4699" t="inlineStr">
        <is>
          <t>4kW 1S</t>
        </is>
      </c>
      <c r="I4699">
        <v>355</v>
      </c>
      <c r="J4699">
        <f>GS14/229.6</f>
        <v>0</v>
      </c>
      <c r="M4699" t="inlineStr">
        <is>
          <t>-229K79.0</t>
        </is>
      </c>
    </row>
    <row r="4700">
      <c r="A4700">
        <v>4699</v>
      </c>
      <c r="B4700">
        <f>GS14</f>
        <v>0</v>
      </c>
      <c r="C4700" t="inlineStr">
        <is>
          <t>+LS5</t>
        </is>
      </c>
      <c r="D4700" t="inlineStr">
        <is>
          <t>-229K79.1</t>
        </is>
      </c>
      <c r="E4700" t="inlineStr">
        <is>
          <t>DIL_EM-01-G</t>
        </is>
      </c>
      <c r="F4700" t="inlineStr">
        <is>
          <t>#KALK!</t>
        </is>
      </c>
      <c r="G4700" t="inlineStr">
        <is>
          <t>LASTSCHUETZ</t>
        </is>
      </c>
      <c r="H4700" t="inlineStr">
        <is>
          <t>4kW 1OE</t>
        </is>
      </c>
      <c r="I4700">
        <v>355</v>
      </c>
      <c r="J4700">
        <f>GS14/229.7</f>
        <v>0</v>
      </c>
      <c r="M4700" t="inlineStr">
        <is>
          <t>-229K79.1</t>
        </is>
      </c>
    </row>
    <row r="4701">
      <c r="A4701">
        <v>4700</v>
      </c>
      <c r="B4701">
        <f>GS14</f>
        <v>0</v>
      </c>
      <c r="C4701" t="inlineStr">
        <is>
          <t>+LS5</t>
        </is>
      </c>
      <c r="D4701" t="inlineStr">
        <is>
          <t>-229K79.2</t>
        </is>
      </c>
      <c r="E4701" t="inlineStr">
        <is>
          <t>DIL_EM-01-G</t>
        </is>
      </c>
      <c r="F4701" t="inlineStr">
        <is>
          <t>#KALK!</t>
        </is>
      </c>
      <c r="G4701" t="inlineStr">
        <is>
          <t>LASTSCHUETZ</t>
        </is>
      </c>
      <c r="H4701" t="inlineStr">
        <is>
          <t>4kW 1OE</t>
        </is>
      </c>
      <c r="I4701">
        <v>355</v>
      </c>
      <c r="J4701">
        <f>GS14/229.8</f>
        <v>0</v>
      </c>
      <c r="M4701" t="inlineStr">
        <is>
          <t>-229K79.2</t>
        </is>
      </c>
    </row>
    <row r="4702">
      <c r="A4702">
        <v>4701</v>
      </c>
      <c r="B4702">
        <f>GC03</f>
        <v>0</v>
      </c>
      <c r="C4702" t="inlineStr">
        <is>
          <t>+LS5</t>
        </is>
      </c>
      <c r="D4702" t="inlineStr">
        <is>
          <t>-229K86.4</t>
        </is>
      </c>
      <c r="E4702" t="inlineStr">
        <is>
          <t>DIL_EM-10-G</t>
        </is>
      </c>
      <c r="F4702" t="inlineStr">
        <is>
          <t>#KALK!</t>
        </is>
      </c>
      <c r="G4702" t="inlineStr">
        <is>
          <t>LASTSCHUETZ</t>
        </is>
      </c>
      <c r="H4702" t="inlineStr">
        <is>
          <t>4kW 1S</t>
        </is>
      </c>
      <c r="I4702">
        <v>574</v>
      </c>
      <c r="J4702">
        <f>GC03/229.6</f>
        <v>0</v>
      </c>
      <c r="M4702" t="inlineStr">
        <is>
          <t>-229K86.4</t>
        </is>
      </c>
    </row>
    <row r="4703">
      <c r="A4703">
        <v>4702</v>
      </c>
      <c r="B4703">
        <f>GC03</f>
        <v>0</v>
      </c>
      <c r="C4703" t="inlineStr">
        <is>
          <t>+LS5</t>
        </is>
      </c>
      <c r="D4703" t="inlineStr">
        <is>
          <t>-229K86.5</t>
        </is>
      </c>
      <c r="E4703" t="inlineStr">
        <is>
          <t>DIL_EM-10-G</t>
        </is>
      </c>
      <c r="F4703" t="inlineStr">
        <is>
          <t>#KALK!</t>
        </is>
      </c>
      <c r="G4703" t="inlineStr">
        <is>
          <t>LASTSCHUETZ</t>
        </is>
      </c>
      <c r="H4703" t="inlineStr">
        <is>
          <t>4kW 1S</t>
        </is>
      </c>
      <c r="I4703">
        <v>574</v>
      </c>
      <c r="J4703">
        <f>GC03/229.6</f>
        <v>0</v>
      </c>
      <c r="M4703" t="inlineStr">
        <is>
          <t>-229K86.5</t>
        </is>
      </c>
    </row>
    <row r="4704">
      <c r="A4704">
        <v>4703</v>
      </c>
      <c r="B4704">
        <f>GS55</f>
        <v>0</v>
      </c>
      <c r="C4704" t="inlineStr">
        <is>
          <t>+LS03</t>
        </is>
      </c>
      <c r="D4704" t="inlineStr">
        <is>
          <t>-229Q120.4</t>
        </is>
      </c>
      <c r="E4704" t="inlineStr">
        <is>
          <t>DILM-9-10</t>
        </is>
      </c>
      <c r="F4704" t="inlineStr">
        <is>
          <t>#KALK!</t>
        </is>
      </c>
      <c r="G4704" t="inlineStr">
        <is>
          <t>LASTSCHUETZ</t>
        </is>
      </c>
      <c r="H4704" t="inlineStr">
        <is>
          <t>4kW 1S Federzugkl.</t>
        </is>
      </c>
      <c r="I4704">
        <v>501</v>
      </c>
      <c r="J4704">
        <f>GS55/229.6</f>
        <v>0</v>
      </c>
      <c r="K4704" t="inlineStr">
        <is>
          <t>DIL MC9</t>
        </is>
      </c>
      <c r="M4704" t="inlineStr">
        <is>
          <t>-229Q120.4</t>
        </is>
      </c>
    </row>
    <row r="4705">
      <c r="A4705">
        <v>4704</v>
      </c>
      <c r="B4705">
        <f>GS07</f>
        <v>0</v>
      </c>
      <c r="C4705" t="inlineStr">
        <is>
          <t>+LS03</t>
        </is>
      </c>
      <c r="D4705" t="inlineStr">
        <is>
          <t>-229Q122.5</t>
        </is>
      </c>
      <c r="E4705" t="inlineStr">
        <is>
          <t>DILMC12-10(24VDC)</t>
        </is>
      </c>
      <c r="F4705" t="inlineStr">
        <is>
          <t>#KALK!</t>
        </is>
      </c>
      <c r="G4705" t="inlineStr">
        <is>
          <t>LASTSCHUETZ</t>
        </is>
      </c>
      <c r="H4705" t="inlineStr">
        <is>
          <t>5,5kW 1S Federzugkl.</t>
        </is>
      </c>
      <c r="I4705">
        <v>372</v>
      </c>
      <c r="J4705">
        <f>GS07/229.4</f>
        <v>0</v>
      </c>
      <c r="K4705" t="inlineStr">
        <is>
          <t>DIL MC12</t>
        </is>
      </c>
      <c r="M4705" t="inlineStr">
        <is>
          <t>-229Q122.5</t>
        </is>
      </c>
    </row>
    <row r="4706">
      <c r="A4706">
        <v>4705</v>
      </c>
      <c r="B4706">
        <f>GS91</f>
        <v>0</v>
      </c>
      <c r="C4706" t="inlineStr">
        <is>
          <t>+LS03</t>
        </is>
      </c>
      <c r="D4706" t="inlineStr">
        <is>
          <t>-229Q158.4</t>
        </is>
      </c>
      <c r="E4706" t="inlineStr">
        <is>
          <t>DILM-9-10</t>
        </is>
      </c>
      <c r="F4706" t="inlineStr">
        <is>
          <t>#KALK!</t>
        </is>
      </c>
      <c r="G4706" t="inlineStr">
        <is>
          <t>LASTSCHUETZ</t>
        </is>
      </c>
      <c r="H4706" t="inlineStr">
        <is>
          <t>4kW 1S Federzugkl.</t>
        </is>
      </c>
      <c r="I4706">
        <v>377</v>
      </c>
      <c r="J4706">
        <f>GS91/229.5</f>
        <v>0</v>
      </c>
      <c r="M4706" t="inlineStr">
        <is>
          <t>-229Q158.4</t>
        </is>
      </c>
    </row>
    <row r="4707">
      <c r="A4707">
        <v>4706</v>
      </c>
      <c r="B4707">
        <f>GS8x</f>
        <v>0</v>
      </c>
      <c r="C4707" t="inlineStr">
        <is>
          <t>+LS</t>
        </is>
      </c>
      <c r="D4707" t="inlineStr">
        <is>
          <t>-22Q1</t>
        </is>
      </c>
      <c r="E4707" t="inlineStr">
        <is>
          <t>DILM-9-10</t>
        </is>
      </c>
      <c r="F4707" t="inlineStr">
        <is>
          <t>#KALK!</t>
        </is>
      </c>
      <c r="G4707" t="inlineStr">
        <is>
          <t>LASTSCHUETZ</t>
        </is>
      </c>
      <c r="H4707" t="inlineStr">
        <is>
          <t>4kW 1S Federzugkl.</t>
        </is>
      </c>
      <c r="I4707">
        <v>188</v>
      </c>
      <c r="J4707">
        <f>GS8x/22.7</f>
        <v>0</v>
      </c>
      <c r="K4707" t="inlineStr">
        <is>
          <t>DILMC9</t>
        </is>
      </c>
      <c r="M4707" t="inlineStr">
        <is>
          <t>-22Q1</t>
        </is>
      </c>
    </row>
    <row r="4708">
      <c r="A4708">
        <v>4707</v>
      </c>
      <c r="B4708">
        <f>GS45</f>
        <v>0</v>
      </c>
      <c r="C4708" t="inlineStr">
        <is>
          <t>+LS</t>
        </is>
      </c>
      <c r="D4708" t="inlineStr">
        <is>
          <t>-22Q2</t>
        </is>
      </c>
      <c r="E4708" t="inlineStr">
        <is>
          <t>DILM-9-10</t>
        </is>
      </c>
      <c r="F4708" t="inlineStr">
        <is>
          <t>#KALK!</t>
        </is>
      </c>
      <c r="G4708" t="inlineStr">
        <is>
          <t>LASTSCHUETZ</t>
        </is>
      </c>
      <c r="H4708" t="inlineStr">
        <is>
          <t>4kW 1S Federzugkl.</t>
        </is>
      </c>
      <c r="I4708">
        <v>169</v>
      </c>
      <c r="J4708">
        <f>GS45/22.8</f>
        <v>0</v>
      </c>
      <c r="M4708" t="inlineStr">
        <is>
          <t>-22Q2</t>
        </is>
      </c>
    </row>
    <row r="4709">
      <c r="A4709">
        <v>4708</v>
      </c>
      <c r="B4709">
        <f>GS05</f>
        <v>0</v>
      </c>
      <c r="C4709" t="inlineStr">
        <is>
          <t>+ES02</t>
        </is>
      </c>
      <c r="D4709" t="inlineStr">
        <is>
          <t>-23.1K1</t>
        </is>
      </c>
      <c r="E4709" t="inlineStr">
        <is>
          <t>DILA-40</t>
        </is>
      </c>
      <c r="F4709" t="inlineStr">
        <is>
          <t>DILA-XHIC31</t>
        </is>
      </c>
      <c r="G4709" t="inlineStr">
        <is>
          <t>HILFSSCHUETZ</t>
        </is>
      </c>
      <c r="H4709" t="inlineStr">
        <is>
          <t>4S Federzugkl.</t>
        </is>
      </c>
      <c r="I4709">
        <v>433</v>
      </c>
      <c r="J4709">
        <f>GS05/23.1.4</f>
        <v>0</v>
      </c>
      <c r="M4709" t="inlineStr">
        <is>
          <t>-23.1K1</t>
        </is>
      </c>
    </row>
    <row r="4710">
      <c r="A4710">
        <v>4709</v>
      </c>
      <c r="B4710">
        <f>GS05</f>
        <v>0</v>
      </c>
      <c r="C4710" t="inlineStr">
        <is>
          <t>+ES02</t>
        </is>
      </c>
      <c r="D4710" t="inlineStr">
        <is>
          <t>-23.1K1</t>
        </is>
      </c>
      <c r="E4710" t="inlineStr">
        <is>
          <t>DILA-XHIC31</t>
        </is>
      </c>
      <c r="F4710" t="inlineStr">
        <is>
          <t>DILA-XHIC31</t>
        </is>
      </c>
      <c r="G4710" t="inlineStr">
        <is>
          <t>HILFSKONTAKTBLOCK</t>
        </is>
      </c>
      <c r="H4710" t="inlineStr">
        <is>
          <t>3S 1OE Last+Hilfssch. Cage</t>
        </is>
      </c>
      <c r="I4710">
        <v>433</v>
      </c>
      <c r="J4710">
        <f>GS05/23.1.4</f>
        <v>0</v>
      </c>
      <c r="M4710" t="inlineStr">
        <is>
          <t>-23.1K1</t>
        </is>
      </c>
    </row>
    <row r="4711">
      <c r="A4711">
        <v>4710</v>
      </c>
      <c r="B4711">
        <f>GS06</f>
        <v>0</v>
      </c>
      <c r="C4711" t="inlineStr">
        <is>
          <t>+ES02</t>
        </is>
      </c>
      <c r="D4711" t="inlineStr">
        <is>
          <t>-23.1K1</t>
        </is>
      </c>
      <c r="E4711" t="inlineStr">
        <is>
          <t>DILA-40</t>
        </is>
      </c>
      <c r="F4711" t="inlineStr">
        <is>
          <t>DILA-XHIC31</t>
        </is>
      </c>
      <c r="G4711" t="inlineStr">
        <is>
          <t>HILFSSCHUETZ</t>
        </is>
      </c>
      <c r="H4711" t="inlineStr">
        <is>
          <t>4S Federzugkl.</t>
        </is>
      </c>
      <c r="I4711">
        <v>433</v>
      </c>
      <c r="J4711">
        <f>GS06/23.1.4</f>
        <v>0</v>
      </c>
      <c r="M4711" t="inlineStr">
        <is>
          <t>-23.1K1</t>
        </is>
      </c>
    </row>
    <row r="4712">
      <c r="A4712">
        <v>4711</v>
      </c>
      <c r="B4712">
        <f>GS06</f>
        <v>0</v>
      </c>
      <c r="C4712" t="inlineStr">
        <is>
          <t>+ES02</t>
        </is>
      </c>
      <c r="D4712" t="inlineStr">
        <is>
          <t>-23.1K1</t>
        </is>
      </c>
      <c r="E4712" t="inlineStr">
        <is>
          <t>DILA-XHIC31</t>
        </is>
      </c>
      <c r="F4712" t="inlineStr">
        <is>
          <t>DILA-XHIC31</t>
        </is>
      </c>
      <c r="G4712" t="inlineStr">
        <is>
          <t>HILFSKONTAKTBLOCK</t>
        </is>
      </c>
      <c r="H4712" t="inlineStr">
        <is>
          <t>3S 1OE Last+Hilfssch. Cage</t>
        </is>
      </c>
      <c r="I4712">
        <v>433</v>
      </c>
      <c r="J4712">
        <f>GS06/23.1.4</f>
        <v>0</v>
      </c>
      <c r="M4712" t="inlineStr">
        <is>
          <t>-23.1K1</t>
        </is>
      </c>
    </row>
    <row r="4713">
      <c r="A4713">
        <v>4712</v>
      </c>
      <c r="B4713">
        <f>GS53</f>
        <v>0</v>
      </c>
      <c r="C4713" t="inlineStr">
        <is>
          <t>+ES02</t>
        </is>
      </c>
      <c r="D4713" t="inlineStr">
        <is>
          <t>-23.1K1</t>
        </is>
      </c>
      <c r="E4713" t="inlineStr">
        <is>
          <t>DILA-40</t>
        </is>
      </c>
      <c r="F4713" t="inlineStr">
        <is>
          <t>DILA-XHIC31</t>
        </is>
      </c>
      <c r="G4713" t="inlineStr">
        <is>
          <t>HILFSSCHUETZ</t>
        </is>
      </c>
      <c r="H4713" t="inlineStr">
        <is>
          <t>4S Federzugkl.</t>
        </is>
      </c>
      <c r="I4713">
        <v>238</v>
      </c>
      <c r="J4713">
        <f>GS53/23.1.4</f>
        <v>0</v>
      </c>
      <c r="M4713" t="inlineStr">
        <is>
          <t>-23.1K1</t>
        </is>
      </c>
    </row>
    <row r="4714">
      <c r="A4714">
        <v>4713</v>
      </c>
      <c r="B4714">
        <f>GS53</f>
        <v>0</v>
      </c>
      <c r="C4714" t="inlineStr">
        <is>
          <t>+ES02</t>
        </is>
      </c>
      <c r="D4714" t="inlineStr">
        <is>
          <t>-23.1K1</t>
        </is>
      </c>
      <c r="E4714" t="inlineStr">
        <is>
          <t>DILA-XHIC31</t>
        </is>
      </c>
      <c r="F4714" t="inlineStr">
        <is>
          <t>DILA-XHIC31</t>
        </is>
      </c>
      <c r="G4714" t="inlineStr">
        <is>
          <t>HILFSKONTAKTBLOCK</t>
        </is>
      </c>
      <c r="H4714" t="inlineStr">
        <is>
          <t>3S 1OE Last+Hilfssch. Cage</t>
        </is>
      </c>
      <c r="I4714">
        <v>238</v>
      </c>
      <c r="J4714">
        <f>GS53/23.1.4</f>
        <v>0</v>
      </c>
      <c r="M4714" t="inlineStr">
        <is>
          <t>-23.1K1</t>
        </is>
      </c>
    </row>
    <row r="4715">
      <c r="A4715">
        <v>4714</v>
      </c>
      <c r="B4715">
        <f>GS55</f>
        <v>0</v>
      </c>
      <c r="C4715" t="inlineStr">
        <is>
          <t>+ES02</t>
        </is>
      </c>
      <c r="D4715" t="inlineStr">
        <is>
          <t>-23.1K1</t>
        </is>
      </c>
      <c r="E4715" t="inlineStr">
        <is>
          <t>DILA-40</t>
        </is>
      </c>
      <c r="F4715" t="inlineStr">
        <is>
          <t>DILA-XHIC31</t>
        </is>
      </c>
      <c r="G4715" t="inlineStr">
        <is>
          <t>HILFSSCHUETZ</t>
        </is>
      </c>
      <c r="H4715" t="inlineStr">
        <is>
          <t>4S Federzugkl.</t>
        </is>
      </c>
      <c r="I4715">
        <v>355</v>
      </c>
      <c r="J4715">
        <f>GS55/23.1.4</f>
        <v>0</v>
      </c>
      <c r="M4715" t="inlineStr">
        <is>
          <t>-23.1K1</t>
        </is>
      </c>
    </row>
    <row r="4716">
      <c r="A4716">
        <v>4715</v>
      </c>
      <c r="B4716">
        <f>GS55</f>
        <v>0</v>
      </c>
      <c r="C4716" t="inlineStr">
        <is>
          <t>+ES02</t>
        </is>
      </c>
      <c r="D4716" t="inlineStr">
        <is>
          <t>-23.1K1</t>
        </is>
      </c>
      <c r="E4716" t="inlineStr">
        <is>
          <t>DILA-XHIC31</t>
        </is>
      </c>
      <c r="F4716" t="inlineStr">
        <is>
          <t>DILA-XHIC31</t>
        </is>
      </c>
      <c r="G4716" t="inlineStr">
        <is>
          <t>HILFSKONTAKTBLOCK</t>
        </is>
      </c>
      <c r="H4716" t="inlineStr">
        <is>
          <t>3S 1OE Last+Hilfssch. Cage</t>
        </is>
      </c>
      <c r="I4716">
        <v>355</v>
      </c>
      <c r="J4716">
        <f>GS55/23.1.4</f>
        <v>0</v>
      </c>
      <c r="M4716" t="inlineStr">
        <is>
          <t>-23.1K1</t>
        </is>
      </c>
    </row>
    <row r="4717">
      <c r="A4717">
        <v>4716</v>
      </c>
      <c r="B4717">
        <f>GS69</f>
        <v>0</v>
      </c>
      <c r="C4717" t="inlineStr">
        <is>
          <t>+ES02</t>
        </is>
      </c>
      <c r="D4717" t="inlineStr">
        <is>
          <t>-23.1K1</t>
        </is>
      </c>
      <c r="E4717" t="inlineStr">
        <is>
          <t>DILA-40</t>
        </is>
      </c>
      <c r="F4717" t="inlineStr">
        <is>
          <t>DILA-XHIC31</t>
        </is>
      </c>
      <c r="G4717" t="inlineStr">
        <is>
          <t>HILFSSCHUETZ</t>
        </is>
      </c>
      <c r="H4717" t="inlineStr">
        <is>
          <t>4S Federzugkl.</t>
        </is>
      </c>
      <c r="I4717">
        <v>188</v>
      </c>
      <c r="J4717">
        <f>GS69/23.1.4</f>
        <v>0</v>
      </c>
      <c r="M4717" t="inlineStr">
        <is>
          <t>-23.1K1</t>
        </is>
      </c>
    </row>
    <row r="4718">
      <c r="A4718">
        <v>4717</v>
      </c>
      <c r="B4718">
        <f>GS69</f>
        <v>0</v>
      </c>
      <c r="C4718" t="inlineStr">
        <is>
          <t>+ES02</t>
        </is>
      </c>
      <c r="D4718" t="inlineStr">
        <is>
          <t>-23.1K1</t>
        </is>
      </c>
      <c r="E4718" t="inlineStr">
        <is>
          <t>DILA-XHIC31</t>
        </is>
      </c>
      <c r="F4718" t="inlineStr">
        <is>
          <t>DILA-XHIC31</t>
        </is>
      </c>
      <c r="G4718" t="inlineStr">
        <is>
          <t>HILFSKONTAKTBLOCK</t>
        </is>
      </c>
      <c r="H4718" t="inlineStr">
        <is>
          <t>3S 1OE Last+Hilfssch. Cage</t>
        </is>
      </c>
      <c r="I4718">
        <v>188</v>
      </c>
      <c r="J4718">
        <f>GS69/23.1.4</f>
        <v>0</v>
      </c>
      <c r="M4718" t="inlineStr">
        <is>
          <t>-23.1K1</t>
        </is>
      </c>
    </row>
    <row r="4719">
      <c r="A4719">
        <v>4718</v>
      </c>
      <c r="B4719">
        <f>GS05</f>
        <v>0</v>
      </c>
      <c r="C4719" t="inlineStr">
        <is>
          <t>+ES02</t>
        </is>
      </c>
      <c r="D4719" t="inlineStr">
        <is>
          <t>-23.1K2</t>
        </is>
      </c>
      <c r="E4719" t="inlineStr">
        <is>
          <t>DILA-40</t>
        </is>
      </c>
      <c r="F4719" t="inlineStr">
        <is>
          <t>DILA-XHIC31</t>
        </is>
      </c>
      <c r="G4719" t="inlineStr">
        <is>
          <t>HILFSSCHUETZ</t>
        </is>
      </c>
      <c r="H4719" t="inlineStr">
        <is>
          <t>4S Federzugkl.</t>
        </is>
      </c>
      <c r="I4719">
        <v>433</v>
      </c>
      <c r="J4719">
        <f>GS05/23.1.5</f>
        <v>0</v>
      </c>
      <c r="M4719" t="inlineStr">
        <is>
          <t>-23.1K2</t>
        </is>
      </c>
    </row>
    <row r="4720">
      <c r="A4720">
        <v>4719</v>
      </c>
      <c r="B4720">
        <f>GS05</f>
        <v>0</v>
      </c>
      <c r="C4720" t="inlineStr">
        <is>
          <t>+ES02</t>
        </is>
      </c>
      <c r="D4720" t="inlineStr">
        <is>
          <t>-23.1K2</t>
        </is>
      </c>
      <c r="E4720" t="inlineStr">
        <is>
          <t>DILA-XHIC31</t>
        </is>
      </c>
      <c r="F4720" t="inlineStr">
        <is>
          <t>DILA-XHIC31</t>
        </is>
      </c>
      <c r="G4720" t="inlineStr">
        <is>
          <t>HILFSKONTAKTBLOCK</t>
        </is>
      </c>
      <c r="H4720" t="inlineStr">
        <is>
          <t>3S 1OE Last+Hilfssch. Cage</t>
        </is>
      </c>
      <c r="I4720">
        <v>433</v>
      </c>
      <c r="J4720">
        <f>GS05/23.1.5</f>
        <v>0</v>
      </c>
      <c r="M4720" t="inlineStr">
        <is>
          <t>-23.1K2</t>
        </is>
      </c>
    </row>
    <row r="4721">
      <c r="A4721">
        <v>4720</v>
      </c>
      <c r="B4721">
        <f>GS06</f>
        <v>0</v>
      </c>
      <c r="C4721" t="inlineStr">
        <is>
          <t>+ES02</t>
        </is>
      </c>
      <c r="D4721" t="inlineStr">
        <is>
          <t>-23.1K2</t>
        </is>
      </c>
      <c r="E4721" t="inlineStr">
        <is>
          <t>DILA-40</t>
        </is>
      </c>
      <c r="F4721" t="inlineStr">
        <is>
          <t>DILA-XHIC31</t>
        </is>
      </c>
      <c r="G4721" t="inlineStr">
        <is>
          <t>HILFSSCHUETZ</t>
        </is>
      </c>
      <c r="H4721" t="inlineStr">
        <is>
          <t>4S Federzugkl.</t>
        </is>
      </c>
      <c r="I4721">
        <v>433</v>
      </c>
      <c r="J4721">
        <f>GS06/23.1.5</f>
        <v>0</v>
      </c>
      <c r="M4721" t="inlineStr">
        <is>
          <t>-23.1K2</t>
        </is>
      </c>
    </row>
    <row r="4722">
      <c r="A4722">
        <v>4721</v>
      </c>
      <c r="B4722">
        <f>GS06</f>
        <v>0</v>
      </c>
      <c r="C4722" t="inlineStr">
        <is>
          <t>+ES02</t>
        </is>
      </c>
      <c r="D4722" t="inlineStr">
        <is>
          <t>-23.1K2</t>
        </is>
      </c>
      <c r="E4722" t="inlineStr">
        <is>
          <t>DILA-XHIC31</t>
        </is>
      </c>
      <c r="F4722" t="inlineStr">
        <is>
          <t>DILA-XHIC31</t>
        </is>
      </c>
      <c r="G4722" t="inlineStr">
        <is>
          <t>HILFSKONTAKTBLOCK</t>
        </is>
      </c>
      <c r="H4722" t="inlineStr">
        <is>
          <t>3S 1OE Last+Hilfssch. Cage</t>
        </is>
      </c>
      <c r="I4722">
        <v>433</v>
      </c>
      <c r="J4722">
        <f>GS06/23.1.5</f>
        <v>0</v>
      </c>
      <c r="M4722" t="inlineStr">
        <is>
          <t>-23.1K2</t>
        </is>
      </c>
    </row>
    <row r="4723">
      <c r="A4723">
        <v>4722</v>
      </c>
      <c r="B4723">
        <f>GS53</f>
        <v>0</v>
      </c>
      <c r="C4723" t="inlineStr">
        <is>
          <t>+ES02</t>
        </is>
      </c>
      <c r="D4723" t="inlineStr">
        <is>
          <t>-23.1K2</t>
        </is>
      </c>
      <c r="E4723" t="inlineStr">
        <is>
          <t>DILA-40</t>
        </is>
      </c>
      <c r="F4723" t="inlineStr">
        <is>
          <t>DILA-XHIC31</t>
        </is>
      </c>
      <c r="G4723" t="inlineStr">
        <is>
          <t>HILFSSCHUETZ</t>
        </is>
      </c>
      <c r="H4723" t="inlineStr">
        <is>
          <t>4S Federzugkl.</t>
        </is>
      </c>
      <c r="I4723">
        <v>238</v>
      </c>
      <c r="J4723">
        <f>GS53/23.1.5</f>
        <v>0</v>
      </c>
      <c r="M4723" t="inlineStr">
        <is>
          <t>-23.1K2</t>
        </is>
      </c>
    </row>
    <row r="4724">
      <c r="A4724">
        <v>4723</v>
      </c>
      <c r="B4724">
        <f>GS53</f>
        <v>0</v>
      </c>
      <c r="C4724" t="inlineStr">
        <is>
          <t>+ES02</t>
        </is>
      </c>
      <c r="D4724" t="inlineStr">
        <is>
          <t>-23.1K2</t>
        </is>
      </c>
      <c r="E4724" t="inlineStr">
        <is>
          <t>DILA-XHIC31</t>
        </is>
      </c>
      <c r="F4724" t="inlineStr">
        <is>
          <t>DILA-XHIC31</t>
        </is>
      </c>
      <c r="G4724" t="inlineStr">
        <is>
          <t>HILFSKONTAKTBLOCK</t>
        </is>
      </c>
      <c r="H4724" t="inlineStr">
        <is>
          <t>3S 1OE Last+Hilfssch. Cage</t>
        </is>
      </c>
      <c r="I4724">
        <v>238</v>
      </c>
      <c r="J4724">
        <f>GS53/23.1.5</f>
        <v>0</v>
      </c>
      <c r="M4724" t="inlineStr">
        <is>
          <t>-23.1K2</t>
        </is>
      </c>
    </row>
    <row r="4725">
      <c r="A4725">
        <v>4724</v>
      </c>
      <c r="B4725">
        <f>GS55</f>
        <v>0</v>
      </c>
      <c r="C4725" t="inlineStr">
        <is>
          <t>+ES02</t>
        </is>
      </c>
      <c r="D4725" t="inlineStr">
        <is>
          <t>-23.1K2</t>
        </is>
      </c>
      <c r="E4725" t="inlineStr">
        <is>
          <t>DILA-40</t>
        </is>
      </c>
      <c r="F4725" t="inlineStr">
        <is>
          <t>DILA-XHIC31</t>
        </is>
      </c>
      <c r="G4725" t="inlineStr">
        <is>
          <t>HILFSSCHUETZ</t>
        </is>
      </c>
      <c r="H4725" t="inlineStr">
        <is>
          <t>4S Federzugkl.</t>
        </is>
      </c>
      <c r="I4725">
        <v>355</v>
      </c>
      <c r="J4725">
        <f>GS55/23.1.5</f>
        <v>0</v>
      </c>
      <c r="M4725" t="inlineStr">
        <is>
          <t>-23.1K2</t>
        </is>
      </c>
    </row>
    <row r="4726">
      <c r="A4726">
        <v>4725</v>
      </c>
      <c r="B4726">
        <f>GS55</f>
        <v>0</v>
      </c>
      <c r="C4726" t="inlineStr">
        <is>
          <t>+ES02</t>
        </is>
      </c>
      <c r="D4726" t="inlineStr">
        <is>
          <t>-23.1K2</t>
        </is>
      </c>
      <c r="E4726" t="inlineStr">
        <is>
          <t>DILA-XHIC31</t>
        </is>
      </c>
      <c r="F4726" t="inlineStr">
        <is>
          <t>DILA-XHIC31</t>
        </is>
      </c>
      <c r="G4726" t="inlineStr">
        <is>
          <t>HILFSKONTAKTBLOCK</t>
        </is>
      </c>
      <c r="H4726" t="inlineStr">
        <is>
          <t>3S 1OE Last+Hilfssch. Cage</t>
        </is>
      </c>
      <c r="I4726">
        <v>355</v>
      </c>
      <c r="J4726">
        <f>GS55/23.1.5</f>
        <v>0</v>
      </c>
      <c r="M4726" t="inlineStr">
        <is>
          <t>-23.1K2</t>
        </is>
      </c>
    </row>
    <row r="4727">
      <c r="A4727">
        <v>4726</v>
      </c>
      <c r="B4727">
        <f>GS69</f>
        <v>0</v>
      </c>
      <c r="C4727" t="inlineStr">
        <is>
          <t>+ES02</t>
        </is>
      </c>
      <c r="D4727" t="inlineStr">
        <is>
          <t>-23.1K2</t>
        </is>
      </c>
      <c r="E4727" t="inlineStr">
        <is>
          <t>DILA-40</t>
        </is>
      </c>
      <c r="F4727" t="inlineStr">
        <is>
          <t>DILA-XHIC31</t>
        </is>
      </c>
      <c r="G4727" t="inlineStr">
        <is>
          <t>HILFSSCHUETZ</t>
        </is>
      </c>
      <c r="H4727" t="inlineStr">
        <is>
          <t>4S Federzugkl.</t>
        </is>
      </c>
      <c r="I4727">
        <v>188</v>
      </c>
      <c r="J4727">
        <f>GS69/23.1.5</f>
        <v>0</v>
      </c>
      <c r="M4727" t="inlineStr">
        <is>
          <t>-23.1K2</t>
        </is>
      </c>
    </row>
    <row r="4728">
      <c r="A4728">
        <v>4727</v>
      </c>
      <c r="B4728">
        <f>GS69</f>
        <v>0</v>
      </c>
      <c r="C4728" t="inlineStr">
        <is>
          <t>+ES02</t>
        </is>
      </c>
      <c r="D4728" t="inlineStr">
        <is>
          <t>-23.1K2</t>
        </is>
      </c>
      <c r="E4728" t="inlineStr">
        <is>
          <t>DILA-XHIC31</t>
        </is>
      </c>
      <c r="F4728" t="inlineStr">
        <is>
          <t>DILA-XHIC31</t>
        </is>
      </c>
      <c r="G4728" t="inlineStr">
        <is>
          <t>HILFSKONTAKTBLOCK</t>
        </is>
      </c>
      <c r="H4728" t="inlineStr">
        <is>
          <t>3S 1OE Last+Hilfssch. Cage</t>
        </is>
      </c>
      <c r="I4728">
        <v>188</v>
      </c>
      <c r="J4728">
        <f>GS69/23.1.5</f>
        <v>0</v>
      </c>
      <c r="M4728" t="inlineStr">
        <is>
          <t>-23.1K2</t>
        </is>
      </c>
    </row>
    <row r="4729">
      <c r="A4729">
        <v>4728</v>
      </c>
      <c r="B4729">
        <f>GS53</f>
        <v>0</v>
      </c>
      <c r="C4729" t="inlineStr">
        <is>
          <t>+ES02</t>
        </is>
      </c>
      <c r="D4729" t="inlineStr">
        <is>
          <t>-23.1K3</t>
        </is>
      </c>
      <c r="E4729" t="inlineStr">
        <is>
          <t>DILA-40</t>
        </is>
      </c>
      <c r="F4729" t="inlineStr">
        <is>
          <t>DILA-XHIC31</t>
        </is>
      </c>
      <c r="G4729" t="inlineStr">
        <is>
          <t>HILFSSCHUETZ</t>
        </is>
      </c>
      <c r="H4729" t="inlineStr">
        <is>
          <t>4S Federzugkl.</t>
        </is>
      </c>
      <c r="I4729">
        <v>238</v>
      </c>
      <c r="J4729">
        <f>GS53/23.1.6</f>
        <v>0</v>
      </c>
      <c r="M4729" t="inlineStr">
        <is>
          <t>-23.1K3</t>
        </is>
      </c>
    </row>
    <row r="4730">
      <c r="A4730">
        <v>4729</v>
      </c>
      <c r="B4730">
        <f>GS53</f>
        <v>0</v>
      </c>
      <c r="C4730" t="inlineStr">
        <is>
          <t>+ES02</t>
        </is>
      </c>
      <c r="D4730" t="inlineStr">
        <is>
          <t>-23.1K3</t>
        </is>
      </c>
      <c r="E4730" t="inlineStr">
        <is>
          <t>DILA-XHIC31</t>
        </is>
      </c>
      <c r="F4730" t="inlineStr">
        <is>
          <t>DILA-XHIC31</t>
        </is>
      </c>
      <c r="G4730" t="inlineStr">
        <is>
          <t>HILFSKONTAKTBLOCK</t>
        </is>
      </c>
      <c r="H4730" t="inlineStr">
        <is>
          <t>3S 1OE Last+Hilfssch. Cage</t>
        </is>
      </c>
      <c r="I4730">
        <v>238</v>
      </c>
      <c r="J4730">
        <f>GS53/23.1.6</f>
        <v>0</v>
      </c>
      <c r="M4730" t="inlineStr">
        <is>
          <t>-23.1K3</t>
        </is>
      </c>
    </row>
    <row r="4731">
      <c r="A4731">
        <v>4730</v>
      </c>
      <c r="B4731">
        <f>GS53</f>
        <v>0</v>
      </c>
      <c r="C4731" t="inlineStr">
        <is>
          <t>+ES02</t>
        </is>
      </c>
      <c r="D4731" t="inlineStr">
        <is>
          <t>-23.1K4</t>
        </is>
      </c>
      <c r="E4731" t="inlineStr">
        <is>
          <t>DILA-40</t>
        </is>
      </c>
      <c r="F4731" t="inlineStr">
        <is>
          <t>DILA-XHIC31</t>
        </is>
      </c>
      <c r="G4731" t="inlineStr">
        <is>
          <t>HILFSSCHUETZ</t>
        </is>
      </c>
      <c r="H4731" t="inlineStr">
        <is>
          <t>4S Federzugkl.</t>
        </is>
      </c>
      <c r="I4731">
        <v>238</v>
      </c>
      <c r="J4731">
        <f>GS53/23.1.6</f>
        <v>0</v>
      </c>
      <c r="M4731" t="inlineStr">
        <is>
          <t>-23.1K4</t>
        </is>
      </c>
    </row>
    <row r="4732">
      <c r="A4732">
        <v>4731</v>
      </c>
      <c r="B4732">
        <f>GS53</f>
        <v>0</v>
      </c>
      <c r="C4732" t="inlineStr">
        <is>
          <t>+ES02</t>
        </is>
      </c>
      <c r="D4732" t="inlineStr">
        <is>
          <t>-23.1K4</t>
        </is>
      </c>
      <c r="E4732" t="inlineStr">
        <is>
          <t>DILA-XHIC31</t>
        </is>
      </c>
      <c r="F4732" t="inlineStr">
        <is>
          <t>DILA-XHIC31</t>
        </is>
      </c>
      <c r="G4732" t="inlineStr">
        <is>
          <t>HILFSKONTAKTBLOCK</t>
        </is>
      </c>
      <c r="H4732" t="inlineStr">
        <is>
          <t>3S 1OE Last+Hilfssch. Cage</t>
        </is>
      </c>
      <c r="I4732">
        <v>238</v>
      </c>
      <c r="J4732">
        <f>GS53/23.1.6</f>
        <v>0</v>
      </c>
      <c r="M4732" t="inlineStr">
        <is>
          <t>-23.1K4</t>
        </is>
      </c>
    </row>
    <row r="4733">
      <c r="A4733">
        <v>4732</v>
      </c>
      <c r="B4733">
        <f>GS55</f>
        <v>0</v>
      </c>
      <c r="C4733" t="inlineStr">
        <is>
          <t>+LS37</t>
        </is>
      </c>
      <c r="D4733" t="inlineStr">
        <is>
          <t>-2305Q1</t>
        </is>
      </c>
      <c r="E4733" t="inlineStr">
        <is>
          <t>DILMC25-10(RDC24)</t>
        </is>
      </c>
      <c r="F4733" t="inlineStr">
        <is>
          <t>DILA-XHI22</t>
        </is>
      </c>
      <c r="G4733" t="inlineStr">
        <is>
          <t>LASTSCHUETZ</t>
        </is>
      </c>
      <c r="H4733" t="inlineStr">
        <is>
          <t>11kW 1S Federzugkl.</t>
        </is>
      </c>
      <c r="I4733">
        <v>2474</v>
      </c>
      <c r="J4733">
        <f>GS55/2305.6</f>
        <v>0</v>
      </c>
      <c r="K4733" t="inlineStr">
        <is>
          <t>DIL MC25</t>
        </is>
      </c>
      <c r="M4733" t="inlineStr">
        <is>
          <t>-2305Q1</t>
        </is>
      </c>
    </row>
    <row r="4734">
      <c r="A4734">
        <v>4733</v>
      </c>
      <c r="B4734">
        <f>GS55</f>
        <v>0</v>
      </c>
      <c r="C4734" t="inlineStr">
        <is>
          <t>+LS37</t>
        </is>
      </c>
      <c r="D4734" t="inlineStr">
        <is>
          <t>-2305Q1</t>
        </is>
      </c>
      <c r="E4734" t="inlineStr">
        <is>
          <t>DILA-XHI22</t>
        </is>
      </c>
      <c r="F4734" t="inlineStr">
        <is>
          <t>DILA-XHI22</t>
        </is>
      </c>
      <c r="G4734" t="inlineStr">
        <is>
          <t>HILFSKONTAKTBLOCK</t>
        </is>
      </c>
      <c r="H4734" t="inlineStr">
        <is>
          <t>2S 2OE Last+Hilfssch. Cage</t>
        </is>
      </c>
      <c r="I4734">
        <v>2474</v>
      </c>
      <c r="J4734">
        <f>GS55/2305.6</f>
        <v>0</v>
      </c>
      <c r="K4734" t="inlineStr">
        <is>
          <t>DIL MC25</t>
        </is>
      </c>
      <c r="M4734" t="inlineStr">
        <is>
          <t>-2305Q1</t>
        </is>
      </c>
    </row>
    <row r="4735">
      <c r="A4735">
        <v>4734</v>
      </c>
      <c r="B4735">
        <f>GS13</f>
        <v>0</v>
      </c>
      <c r="C4735" t="inlineStr">
        <is>
          <t>+LS4</t>
        </is>
      </c>
      <c r="D4735" t="inlineStr">
        <is>
          <t>-23072.6</t>
        </is>
      </c>
      <c r="E4735" t="inlineStr">
        <is>
          <t>DIL_EM-10-G</t>
        </is>
      </c>
      <c r="F4735" t="inlineStr">
        <is>
          <t>#KALK!</t>
        </is>
      </c>
      <c r="G4735" t="inlineStr">
        <is>
          <t>LASTSCHUETZ</t>
        </is>
      </c>
      <c r="H4735" t="inlineStr">
        <is>
          <t>4kW 1S</t>
        </is>
      </c>
      <c r="I4735">
        <v>472</v>
      </c>
      <c r="J4735">
        <f>GS13/230.6</f>
        <v>0</v>
      </c>
      <c r="M4735" t="inlineStr">
        <is>
          <t>-23072.6</t>
        </is>
      </c>
    </row>
    <row r="4736">
      <c r="A4736">
        <v>4735</v>
      </c>
      <c r="B4736">
        <f>GS13</f>
        <v>0</v>
      </c>
      <c r="C4736" t="inlineStr">
        <is>
          <t>+LS4</t>
        </is>
      </c>
      <c r="D4736" t="inlineStr">
        <is>
          <t>-23072.7</t>
        </is>
      </c>
      <c r="E4736" t="inlineStr">
        <is>
          <t>DIL_EM-10-G</t>
        </is>
      </c>
      <c r="F4736" t="inlineStr">
        <is>
          <t>#KALK!</t>
        </is>
      </c>
      <c r="G4736" t="inlineStr">
        <is>
          <t>LASTSCHUETZ</t>
        </is>
      </c>
      <c r="H4736" t="inlineStr">
        <is>
          <t>4kW 1S</t>
        </is>
      </c>
      <c r="I4736">
        <v>472</v>
      </c>
      <c r="J4736">
        <f>GS13/230.6</f>
        <v>0</v>
      </c>
      <c r="M4736" t="inlineStr">
        <is>
          <t>-23072.7</t>
        </is>
      </c>
    </row>
    <row r="4737">
      <c r="A4737">
        <v>4736</v>
      </c>
      <c r="B4737">
        <f>GS01</f>
        <v>0</v>
      </c>
      <c r="C4737" t="inlineStr">
        <is>
          <t>+LS5</t>
        </is>
      </c>
      <c r="D4737" t="inlineStr">
        <is>
          <t>-230K1</t>
        </is>
      </c>
      <c r="E4737" t="inlineStr">
        <is>
          <t>DIL_2AM</t>
        </is>
      </c>
      <c r="F4737" t="inlineStr">
        <is>
          <t>22_DIL-M</t>
        </is>
      </c>
      <c r="G4737" t="inlineStr">
        <is>
          <t>LASTSCHUETZ</t>
        </is>
      </c>
      <c r="H4737" t="inlineStr">
        <is>
          <t>30 kW</t>
        </is>
      </c>
      <c r="I4737">
        <v>393</v>
      </c>
      <c r="J4737">
        <f>GS01/230.2</f>
        <v>0</v>
      </c>
      <c r="K4737" t="inlineStr">
        <is>
          <t>DIL2AM</t>
        </is>
      </c>
      <c r="M4737" t="inlineStr">
        <is>
          <t>-230K1</t>
        </is>
      </c>
    </row>
    <row r="4738">
      <c r="A4738">
        <v>4737</v>
      </c>
      <c r="B4738">
        <f>GS01</f>
        <v>0</v>
      </c>
      <c r="C4738" t="inlineStr">
        <is>
          <t>+LS5</t>
        </is>
      </c>
      <c r="D4738" t="inlineStr">
        <is>
          <t>-230K1</t>
        </is>
      </c>
      <c r="E4738" t="inlineStr">
        <is>
          <t>22_DIL-M</t>
        </is>
      </c>
      <c r="F4738" t="inlineStr">
        <is>
          <t>22_DIL-M</t>
        </is>
      </c>
      <c r="G4738" t="inlineStr">
        <is>
          <t>HILFSKONTAKTBLOCK</t>
        </is>
      </c>
      <c r="H4738" t="inlineStr">
        <is>
          <t>2S 2OE Lastschuetz DIL M</t>
        </is>
      </c>
      <c r="I4738">
        <v>393</v>
      </c>
      <c r="J4738">
        <f>GS01/230.2</f>
        <v>0</v>
      </c>
      <c r="K4738" t="inlineStr">
        <is>
          <t>DIL2AM</t>
        </is>
      </c>
      <c r="M4738" t="inlineStr">
        <is>
          <t>-230K1</t>
        </is>
      </c>
    </row>
    <row r="4739">
      <c r="A4739">
        <v>4738</v>
      </c>
      <c r="B4739">
        <f>GS34</f>
        <v>0</v>
      </c>
      <c r="C4739" t="inlineStr">
        <is>
          <t>+LS4</t>
        </is>
      </c>
      <c r="D4739" t="inlineStr">
        <is>
          <t>-230K33.2</t>
        </is>
      </c>
      <c r="E4739" t="inlineStr">
        <is>
          <t>DIL_EM-10-G</t>
        </is>
      </c>
      <c r="F4739" t="inlineStr">
        <is>
          <t>#KALK!</t>
        </is>
      </c>
      <c r="G4739" t="inlineStr">
        <is>
          <t>LASTSCHUETZ</t>
        </is>
      </c>
      <c r="H4739" t="inlineStr">
        <is>
          <t>4kW 1S</t>
        </is>
      </c>
      <c r="I4739">
        <v>354</v>
      </c>
      <c r="J4739">
        <f>GS34/230.6</f>
        <v>0</v>
      </c>
      <c r="M4739" t="inlineStr">
        <is>
          <t>-230K33.2</t>
        </is>
      </c>
    </row>
    <row r="4740">
      <c r="A4740">
        <v>4739</v>
      </c>
      <c r="B4740">
        <f>GS34</f>
        <v>0</v>
      </c>
      <c r="C4740" t="inlineStr">
        <is>
          <t>+LS4</t>
        </is>
      </c>
      <c r="D4740" t="inlineStr">
        <is>
          <t>-230K33.3</t>
        </is>
      </c>
      <c r="E4740" t="inlineStr">
        <is>
          <t>DIL_EM-10-G</t>
        </is>
      </c>
      <c r="F4740" t="inlineStr">
        <is>
          <t>#KALK!</t>
        </is>
      </c>
      <c r="G4740" t="inlineStr">
        <is>
          <t>LASTSCHUETZ</t>
        </is>
      </c>
      <c r="H4740" t="inlineStr">
        <is>
          <t>4kW 1S</t>
        </is>
      </c>
      <c r="I4740">
        <v>354</v>
      </c>
      <c r="J4740">
        <f>GS34/230.6</f>
        <v>0</v>
      </c>
      <c r="M4740" t="inlineStr">
        <is>
          <t>-230K33.3</t>
        </is>
      </c>
    </row>
    <row r="4741">
      <c r="A4741">
        <v>4740</v>
      </c>
      <c r="B4741">
        <f>GS33</f>
        <v>0</v>
      </c>
      <c r="C4741" t="inlineStr">
        <is>
          <t>+LS4</t>
        </is>
      </c>
      <c r="D4741" t="inlineStr">
        <is>
          <t>-230K34.2</t>
        </is>
      </c>
      <c r="E4741" t="inlineStr">
        <is>
          <t>DIL_EM-10-G</t>
        </is>
      </c>
      <c r="F4741" t="inlineStr">
        <is>
          <t>#KALK!</t>
        </is>
      </c>
      <c r="G4741" t="inlineStr">
        <is>
          <t>LASTSCHUETZ</t>
        </is>
      </c>
      <c r="H4741" t="inlineStr">
        <is>
          <t>4kW 1S</t>
        </is>
      </c>
      <c r="I4741">
        <v>669</v>
      </c>
      <c r="J4741">
        <f>GS33/230.6</f>
        <v>0</v>
      </c>
      <c r="M4741" t="inlineStr">
        <is>
          <t>-230K34.2</t>
        </is>
      </c>
    </row>
    <row r="4742">
      <c r="A4742">
        <v>4741</v>
      </c>
      <c r="B4742">
        <f>GS33</f>
        <v>0</v>
      </c>
      <c r="C4742" t="inlineStr">
        <is>
          <t>+LS4</t>
        </is>
      </c>
      <c r="D4742" t="inlineStr">
        <is>
          <t>-230K55.4</t>
        </is>
      </c>
      <c r="E4742" t="inlineStr">
        <is>
          <t>DIL_EM-10-G</t>
        </is>
      </c>
      <c r="F4742" t="inlineStr">
        <is>
          <t>#KALK!</t>
        </is>
      </c>
      <c r="G4742" t="inlineStr">
        <is>
          <t>LASTSCHUETZ</t>
        </is>
      </c>
      <c r="H4742" t="inlineStr">
        <is>
          <t>4kW 1S</t>
        </is>
      </c>
      <c r="I4742">
        <v>669</v>
      </c>
      <c r="J4742">
        <f>GS33/230.6</f>
        <v>0</v>
      </c>
      <c r="M4742" t="inlineStr">
        <is>
          <t>-230K55.4</t>
        </is>
      </c>
    </row>
    <row r="4743">
      <c r="A4743">
        <v>4742</v>
      </c>
      <c r="B4743">
        <f>GS23</f>
        <v>0</v>
      </c>
      <c r="C4743" t="inlineStr">
        <is>
          <t>+LS4</t>
        </is>
      </c>
      <c r="D4743" t="inlineStr">
        <is>
          <t>-230K72.6</t>
        </is>
      </c>
      <c r="E4743" t="inlineStr">
        <is>
          <t>DIL_EM-10-G</t>
        </is>
      </c>
      <c r="F4743" t="inlineStr">
        <is>
          <t>#KALK!</t>
        </is>
      </c>
      <c r="G4743" t="inlineStr">
        <is>
          <t>LASTSCHUETZ</t>
        </is>
      </c>
      <c r="H4743" t="inlineStr">
        <is>
          <t>4kW 1S</t>
        </is>
      </c>
      <c r="I4743">
        <v>531</v>
      </c>
      <c r="J4743">
        <f>GS23/230.6</f>
        <v>0</v>
      </c>
      <c r="M4743" t="inlineStr">
        <is>
          <t>-230K72.6</t>
        </is>
      </c>
    </row>
    <row r="4744">
      <c r="A4744">
        <v>4743</v>
      </c>
      <c r="B4744">
        <f>GS23</f>
        <v>0</v>
      </c>
      <c r="C4744" t="inlineStr">
        <is>
          <t>+LS4</t>
        </is>
      </c>
      <c r="D4744" t="inlineStr">
        <is>
          <t>-230K72.7</t>
        </is>
      </c>
      <c r="E4744" t="inlineStr">
        <is>
          <t>DIL_EM-10-G</t>
        </is>
      </c>
      <c r="F4744" t="inlineStr">
        <is>
          <t>#KALK!</t>
        </is>
      </c>
      <c r="G4744" t="inlineStr">
        <is>
          <t>LASTSCHUETZ</t>
        </is>
      </c>
      <c r="H4744" t="inlineStr">
        <is>
          <t>4kW 1S</t>
        </is>
      </c>
      <c r="I4744">
        <v>531</v>
      </c>
      <c r="J4744">
        <f>GS23/230.6</f>
        <v>0</v>
      </c>
      <c r="M4744" t="inlineStr">
        <is>
          <t>-230K72.7</t>
        </is>
      </c>
    </row>
    <row r="4745">
      <c r="A4745">
        <v>4744</v>
      </c>
      <c r="B4745">
        <f>GS24</f>
        <v>0</v>
      </c>
      <c r="C4745" t="inlineStr">
        <is>
          <t>+LS5</t>
        </is>
      </c>
      <c r="D4745" t="inlineStr">
        <is>
          <t>-230K82.0</t>
        </is>
      </c>
      <c r="E4745" t="inlineStr">
        <is>
          <t>DIL_EM-10-G</t>
        </is>
      </c>
      <c r="F4745" t="inlineStr">
        <is>
          <t>#KALK!</t>
        </is>
      </c>
      <c r="G4745" t="inlineStr">
        <is>
          <t>LASTSCHUETZ</t>
        </is>
      </c>
      <c r="H4745" t="inlineStr">
        <is>
          <t>4kW 1S</t>
        </is>
      </c>
      <c r="I4745">
        <v>849</v>
      </c>
      <c r="J4745">
        <f>GS24/230.6</f>
        <v>0</v>
      </c>
      <c r="M4745" t="inlineStr">
        <is>
          <t>-230K82.0</t>
        </is>
      </c>
    </row>
    <row r="4746">
      <c r="A4746">
        <v>4745</v>
      </c>
      <c r="B4746">
        <f>GS24</f>
        <v>0</v>
      </c>
      <c r="C4746" t="inlineStr">
        <is>
          <t>+LS5</t>
        </is>
      </c>
      <c r="D4746" t="inlineStr">
        <is>
          <t>-230K82.1</t>
        </is>
      </c>
      <c r="E4746" t="inlineStr">
        <is>
          <t>DIL_EM-10-G</t>
        </is>
      </c>
      <c r="F4746" t="inlineStr">
        <is>
          <t>#KALK!</t>
        </is>
      </c>
      <c r="G4746" t="inlineStr">
        <is>
          <t>LASTSCHUETZ</t>
        </is>
      </c>
      <c r="H4746" t="inlineStr">
        <is>
          <t>4kW 1S</t>
        </is>
      </c>
      <c r="I4746">
        <v>849</v>
      </c>
      <c r="J4746">
        <f>GS24/230.6</f>
        <v>0</v>
      </c>
      <c r="M4746" t="inlineStr">
        <is>
          <t>-230K82.1</t>
        </is>
      </c>
    </row>
    <row r="4747">
      <c r="A4747">
        <v>4746</v>
      </c>
      <c r="B4747">
        <f>GC03</f>
        <v>0</v>
      </c>
      <c r="C4747" t="inlineStr">
        <is>
          <t>+LS5</t>
        </is>
      </c>
      <c r="D4747" t="inlineStr">
        <is>
          <t>-230K86.6</t>
        </is>
      </c>
      <c r="E4747" t="inlineStr">
        <is>
          <t>DIL_EM-10-G</t>
        </is>
      </c>
      <c r="F4747" t="inlineStr">
        <is>
          <t>#KALK!</t>
        </is>
      </c>
      <c r="G4747" t="inlineStr">
        <is>
          <t>LASTSCHUETZ</t>
        </is>
      </c>
      <c r="H4747" t="inlineStr">
        <is>
          <t>4kW 1S</t>
        </is>
      </c>
      <c r="I4747">
        <v>573</v>
      </c>
      <c r="J4747">
        <f>GC03/230.6</f>
        <v>0</v>
      </c>
      <c r="M4747" t="inlineStr">
        <is>
          <t>-230K86.6</t>
        </is>
      </c>
    </row>
    <row r="4748">
      <c r="A4748">
        <v>4747</v>
      </c>
      <c r="B4748">
        <f>GC03</f>
        <v>0</v>
      </c>
      <c r="C4748" t="inlineStr">
        <is>
          <t>+LS5</t>
        </is>
      </c>
      <c r="D4748" t="inlineStr">
        <is>
          <t>-230K86.7</t>
        </is>
      </c>
      <c r="E4748" t="inlineStr">
        <is>
          <t>DIL_EM-10-G</t>
        </is>
      </c>
      <c r="F4748" t="inlineStr">
        <is>
          <t>#KALK!</t>
        </is>
      </c>
      <c r="G4748" t="inlineStr">
        <is>
          <t>LASTSCHUETZ</t>
        </is>
      </c>
      <c r="H4748" t="inlineStr">
        <is>
          <t>4kW 1S</t>
        </is>
      </c>
      <c r="I4748">
        <v>573</v>
      </c>
      <c r="J4748">
        <f>GC03/230.6</f>
        <v>0</v>
      </c>
      <c r="M4748" t="inlineStr">
        <is>
          <t>-230K86.7</t>
        </is>
      </c>
    </row>
    <row r="4749">
      <c r="A4749">
        <v>4748</v>
      </c>
      <c r="B4749">
        <f>GS91</f>
        <v>0</v>
      </c>
      <c r="C4749" t="inlineStr">
        <is>
          <t>+LS03</t>
        </is>
      </c>
      <c r="D4749" t="inlineStr">
        <is>
          <t>-230Q158.5</t>
        </is>
      </c>
      <c r="E4749" t="inlineStr">
        <is>
          <t>DILM-9-10</t>
        </is>
      </c>
      <c r="F4749" t="inlineStr">
        <is>
          <t>#KALK!</t>
        </is>
      </c>
      <c r="G4749" t="inlineStr">
        <is>
          <t>LASTSCHUETZ</t>
        </is>
      </c>
      <c r="H4749" t="inlineStr">
        <is>
          <t>4kW 1S Federzugkl.</t>
        </is>
      </c>
      <c r="I4749">
        <v>378</v>
      </c>
      <c r="J4749">
        <f>GS91/230.5</f>
        <v>0</v>
      </c>
      <c r="M4749" t="inlineStr">
        <is>
          <t>-230Q158.5</t>
        </is>
      </c>
    </row>
    <row r="4750">
      <c r="A4750">
        <v>4749</v>
      </c>
      <c r="B4750">
        <f>GS37</f>
        <v>0</v>
      </c>
      <c r="C4750" t="inlineStr">
        <is>
          <t>+LS04</t>
        </is>
      </c>
      <c r="D4750" t="inlineStr">
        <is>
          <t>-230Q440.7</t>
        </is>
      </c>
      <c r="E4750" t="inlineStr">
        <is>
          <t>DILM-9-10</t>
        </is>
      </c>
      <c r="F4750" t="inlineStr">
        <is>
          <t>#KALK!</t>
        </is>
      </c>
      <c r="G4750" t="inlineStr">
        <is>
          <t>LASTSCHUETZ</t>
        </is>
      </c>
      <c r="H4750" t="inlineStr">
        <is>
          <t>4kW 1S Federzugkl.</t>
        </is>
      </c>
      <c r="I4750">
        <v>377</v>
      </c>
      <c r="J4750">
        <f>GS37/230.6</f>
        <v>0</v>
      </c>
      <c r="M4750" t="inlineStr">
        <is>
          <t>-230Q440.7</t>
        </is>
      </c>
    </row>
    <row r="4751">
      <c r="A4751">
        <v>4750</v>
      </c>
      <c r="B4751">
        <f>GS13</f>
        <v>0</v>
      </c>
      <c r="C4751" t="inlineStr">
        <is>
          <t>+LS4</t>
        </is>
      </c>
      <c r="D4751" t="inlineStr">
        <is>
          <t>-23173.0</t>
        </is>
      </c>
      <c r="E4751" t="inlineStr">
        <is>
          <t>DIL_EM-10-G</t>
        </is>
      </c>
      <c r="F4751" t="inlineStr">
        <is>
          <t>#KALK!</t>
        </is>
      </c>
      <c r="G4751" t="inlineStr">
        <is>
          <t>LASTSCHUETZ</t>
        </is>
      </c>
      <c r="H4751" t="inlineStr">
        <is>
          <t>4kW 1S</t>
        </is>
      </c>
      <c r="I4751">
        <v>473</v>
      </c>
      <c r="J4751">
        <f>GS13/231.6</f>
        <v>0</v>
      </c>
      <c r="M4751" t="inlineStr">
        <is>
          <t>-23173.0</t>
        </is>
      </c>
    </row>
    <row r="4752">
      <c r="A4752">
        <v>4751</v>
      </c>
      <c r="B4752">
        <f>GS13</f>
        <v>0</v>
      </c>
      <c r="C4752" t="inlineStr">
        <is>
          <t>+LS4</t>
        </is>
      </c>
      <c r="D4752" t="inlineStr">
        <is>
          <t>-23173.1</t>
        </is>
      </c>
      <c r="E4752" t="inlineStr">
        <is>
          <t>DIL_EM-10-G</t>
        </is>
      </c>
      <c r="F4752" t="inlineStr">
        <is>
          <t>#KALK!</t>
        </is>
      </c>
      <c r="G4752" t="inlineStr">
        <is>
          <t>LASTSCHUETZ</t>
        </is>
      </c>
      <c r="H4752" t="inlineStr">
        <is>
          <t>4kW 1S</t>
        </is>
      </c>
      <c r="I4752">
        <v>473</v>
      </c>
      <c r="J4752">
        <f>GS13/231.6</f>
        <v>0</v>
      </c>
      <c r="M4752" t="inlineStr">
        <is>
          <t>-23173.1</t>
        </is>
      </c>
    </row>
    <row r="4753">
      <c r="A4753">
        <v>4752</v>
      </c>
      <c r="B4753">
        <f>GS04</f>
        <v>0</v>
      </c>
      <c r="C4753" t="inlineStr">
        <is>
          <t>+LS5</t>
        </is>
      </c>
      <c r="D4753" t="inlineStr">
        <is>
          <t>-231K1</t>
        </is>
      </c>
      <c r="E4753" t="inlineStr">
        <is>
          <t>DIL_0AM</t>
        </is>
      </c>
      <c r="F4753" t="inlineStr">
        <is>
          <t>22_DIL-M</t>
        </is>
      </c>
      <c r="G4753" t="inlineStr">
        <is>
          <t>LASTSCHUETZ</t>
        </is>
      </c>
      <c r="H4753" t="inlineStr">
        <is>
          <t>11 kW</t>
        </is>
      </c>
      <c r="I4753">
        <v>482</v>
      </c>
      <c r="J4753">
        <f>GS04/231.2</f>
        <v>0</v>
      </c>
      <c r="K4753" t="inlineStr">
        <is>
          <t>DIL0AM</t>
        </is>
      </c>
      <c r="M4753" t="inlineStr">
        <is>
          <t>-231K1</t>
        </is>
      </c>
    </row>
    <row r="4754">
      <c r="A4754">
        <v>4753</v>
      </c>
      <c r="B4754">
        <f>GS04</f>
        <v>0</v>
      </c>
      <c r="C4754" t="inlineStr">
        <is>
          <t>+LS5</t>
        </is>
      </c>
      <c r="D4754" t="inlineStr">
        <is>
          <t>-231K1</t>
        </is>
      </c>
      <c r="E4754" t="inlineStr">
        <is>
          <t>22_DIL-M</t>
        </is>
      </c>
      <c r="F4754" t="inlineStr">
        <is>
          <t>22_DIL-M</t>
        </is>
      </c>
      <c r="G4754" t="inlineStr">
        <is>
          <t>HILFSKONTAKTBLOCK</t>
        </is>
      </c>
      <c r="H4754" t="inlineStr">
        <is>
          <t>2S 2OE Lastschuetz DIL M</t>
        </is>
      </c>
      <c r="I4754">
        <v>482</v>
      </c>
      <c r="J4754">
        <f>GS04/231.2</f>
        <v>0</v>
      </c>
      <c r="K4754" t="inlineStr">
        <is>
          <t>DIL0AM</t>
        </is>
      </c>
      <c r="M4754" t="inlineStr">
        <is>
          <t>-231K1</t>
        </is>
      </c>
    </row>
    <row r="4755">
      <c r="A4755">
        <v>4754</v>
      </c>
      <c r="B4755">
        <f>GS38</f>
        <v>0</v>
      </c>
      <c r="C4755" t="inlineStr">
        <is>
          <t>+LS04</t>
        </is>
      </c>
      <c r="D4755" t="inlineStr">
        <is>
          <t>-231K1</t>
        </is>
      </c>
      <c r="E4755" t="inlineStr">
        <is>
          <t>DILM-9-01</t>
        </is>
      </c>
      <c r="F4755" t="inlineStr">
        <is>
          <t>#KALK!</t>
        </is>
      </c>
      <c r="G4755" t="inlineStr">
        <is>
          <t>LASTSCHUETZ</t>
        </is>
      </c>
      <c r="H4755" t="inlineStr">
        <is>
          <t>4kW 1Oe Federzugkl.</t>
        </is>
      </c>
      <c r="I4755">
        <v>401</v>
      </c>
      <c r="J4755">
        <f>GS38/231.5</f>
        <v>0</v>
      </c>
      <c r="M4755" t="inlineStr">
        <is>
          <t>-231K1</t>
        </is>
      </c>
    </row>
    <row r="4756">
      <c r="A4756">
        <v>4755</v>
      </c>
      <c r="B4756">
        <f>GS39</f>
        <v>0</v>
      </c>
      <c r="C4756" t="inlineStr">
        <is>
          <t>+LS04</t>
        </is>
      </c>
      <c r="D4756" t="inlineStr">
        <is>
          <t>-231K1</t>
        </is>
      </c>
      <c r="E4756" t="inlineStr">
        <is>
          <t>DILM-9-01</t>
        </is>
      </c>
      <c r="F4756" t="inlineStr">
        <is>
          <t>#KALK!</t>
        </is>
      </c>
      <c r="G4756" t="inlineStr">
        <is>
          <t>LASTSCHUETZ</t>
        </is>
      </c>
      <c r="H4756" t="inlineStr">
        <is>
          <t>4kW 1Oe Federzugkl.</t>
        </is>
      </c>
      <c r="I4756">
        <v>1151</v>
      </c>
      <c r="J4756">
        <f>GS39/231.5</f>
        <v>0</v>
      </c>
      <c r="M4756" t="inlineStr">
        <is>
          <t>-231K1</t>
        </is>
      </c>
    </row>
    <row r="4757">
      <c r="A4757">
        <v>4756</v>
      </c>
      <c r="B4757">
        <f>GS38</f>
        <v>0</v>
      </c>
      <c r="C4757" t="inlineStr">
        <is>
          <t>+LS04</t>
        </is>
      </c>
      <c r="D4757" t="inlineStr">
        <is>
          <t>-231K2</t>
        </is>
      </c>
      <c r="E4757" t="inlineStr">
        <is>
          <t>DILM-9-01</t>
        </is>
      </c>
      <c r="F4757" t="inlineStr">
        <is>
          <t>#KALK!</t>
        </is>
      </c>
      <c r="G4757" t="inlineStr">
        <is>
          <t>LASTSCHUETZ</t>
        </is>
      </c>
      <c r="H4757" t="inlineStr">
        <is>
          <t>4kW 1Oe Federzugkl.</t>
        </is>
      </c>
      <c r="I4757">
        <v>401</v>
      </c>
      <c r="J4757">
        <f>GS38/231.6</f>
        <v>0</v>
      </c>
      <c r="M4757" t="inlineStr">
        <is>
          <t>-231K2</t>
        </is>
      </c>
    </row>
    <row r="4758">
      <c r="A4758">
        <v>4757</v>
      </c>
      <c r="B4758">
        <f>GS39</f>
        <v>0</v>
      </c>
      <c r="C4758" t="inlineStr">
        <is>
          <t>+LS04</t>
        </is>
      </c>
      <c r="D4758" t="inlineStr">
        <is>
          <t>-231K2</t>
        </is>
      </c>
      <c r="E4758" t="inlineStr">
        <is>
          <t>DILM-9-01</t>
        </is>
      </c>
      <c r="F4758" t="inlineStr">
        <is>
          <t>#KALK!</t>
        </is>
      </c>
      <c r="G4758" t="inlineStr">
        <is>
          <t>LASTSCHUETZ</t>
        </is>
      </c>
      <c r="H4758" t="inlineStr">
        <is>
          <t>4kW 1Oe Federzugkl.</t>
        </is>
      </c>
      <c r="I4758">
        <v>1151</v>
      </c>
      <c r="J4758">
        <f>GS39/231.6</f>
        <v>0</v>
      </c>
      <c r="M4758" t="inlineStr">
        <is>
          <t>-231K2</t>
        </is>
      </c>
    </row>
    <row r="4759">
      <c r="A4759">
        <v>4758</v>
      </c>
      <c r="B4759">
        <f>GS34</f>
        <v>0</v>
      </c>
      <c r="C4759" t="inlineStr">
        <is>
          <t>+LS4</t>
        </is>
      </c>
      <c r="D4759" t="inlineStr">
        <is>
          <t>-231K33.7</t>
        </is>
      </c>
      <c r="E4759" t="inlineStr">
        <is>
          <t>DIL_EM-10-G</t>
        </is>
      </c>
      <c r="F4759" t="inlineStr">
        <is>
          <t>#KALK!</t>
        </is>
      </c>
      <c r="G4759" t="inlineStr">
        <is>
          <t>LASTSCHUETZ</t>
        </is>
      </c>
      <c r="H4759" t="inlineStr">
        <is>
          <t>4kW 1S</t>
        </is>
      </c>
      <c r="I4759">
        <v>355</v>
      </c>
      <c r="J4759">
        <f>GS34/231.7</f>
        <v>0</v>
      </c>
      <c r="M4759" t="inlineStr">
        <is>
          <t>-231K33.7</t>
        </is>
      </c>
    </row>
    <row r="4760">
      <c r="A4760">
        <v>4759</v>
      </c>
      <c r="B4760">
        <f>GS33</f>
        <v>0</v>
      </c>
      <c r="C4760" t="inlineStr">
        <is>
          <t>+LS4</t>
        </is>
      </c>
      <c r="D4760" t="inlineStr">
        <is>
          <t>-231K34.3</t>
        </is>
      </c>
      <c r="E4760" t="inlineStr">
        <is>
          <t>DIL_EM-10-G</t>
        </is>
      </c>
      <c r="F4760" t="inlineStr">
        <is>
          <t>#KALK!</t>
        </is>
      </c>
      <c r="G4760" t="inlineStr">
        <is>
          <t>LASTSCHUETZ</t>
        </is>
      </c>
      <c r="H4760" t="inlineStr">
        <is>
          <t>4kW 1S</t>
        </is>
      </c>
      <c r="I4760">
        <v>670</v>
      </c>
      <c r="J4760">
        <f>GS33/231.6</f>
        <v>0</v>
      </c>
      <c r="M4760" t="inlineStr">
        <is>
          <t>-231K34.3</t>
        </is>
      </c>
    </row>
    <row r="4761">
      <c r="A4761">
        <v>4760</v>
      </c>
      <c r="B4761">
        <f>GS33</f>
        <v>0</v>
      </c>
      <c r="C4761" t="inlineStr">
        <is>
          <t>+LS4</t>
        </is>
      </c>
      <c r="D4761" t="inlineStr">
        <is>
          <t>-231K55.5</t>
        </is>
      </c>
      <c r="E4761" t="inlineStr">
        <is>
          <t>DIL_EM-10-G</t>
        </is>
      </c>
      <c r="F4761" t="inlineStr">
        <is>
          <t>#KALK!</t>
        </is>
      </c>
      <c r="G4761" t="inlineStr">
        <is>
          <t>LASTSCHUETZ</t>
        </is>
      </c>
      <c r="H4761" t="inlineStr">
        <is>
          <t>4kW 1S</t>
        </is>
      </c>
      <c r="I4761">
        <v>670</v>
      </c>
      <c r="J4761">
        <f>GS33/231.6</f>
        <v>0</v>
      </c>
      <c r="M4761" t="inlineStr">
        <is>
          <t>-231K55.5</t>
        </is>
      </c>
    </row>
    <row r="4762">
      <c r="A4762">
        <v>4761</v>
      </c>
      <c r="B4762">
        <f>GS23</f>
        <v>0</v>
      </c>
      <c r="C4762" t="inlineStr">
        <is>
          <t>+LS4</t>
        </is>
      </c>
      <c r="D4762" t="inlineStr">
        <is>
          <t>-231K73.0</t>
        </is>
      </c>
      <c r="E4762" t="inlineStr">
        <is>
          <t>DIL_EM-10-G</t>
        </is>
      </c>
      <c r="F4762" t="inlineStr">
        <is>
          <t>#KALK!</t>
        </is>
      </c>
      <c r="G4762" t="inlineStr">
        <is>
          <t>LASTSCHUETZ</t>
        </is>
      </c>
      <c r="H4762" t="inlineStr">
        <is>
          <t>4kW 1S</t>
        </is>
      </c>
      <c r="I4762">
        <v>532</v>
      </c>
      <c r="J4762">
        <f>GS23/231.6</f>
        <v>0</v>
      </c>
      <c r="M4762" t="inlineStr">
        <is>
          <t>-231K73.0</t>
        </is>
      </c>
    </row>
    <row r="4763">
      <c r="A4763">
        <v>4762</v>
      </c>
      <c r="B4763">
        <f>GS23</f>
        <v>0</v>
      </c>
      <c r="C4763" t="inlineStr">
        <is>
          <t>+LS4</t>
        </is>
      </c>
      <c r="D4763" t="inlineStr">
        <is>
          <t>-231K73.1</t>
        </is>
      </c>
      <c r="E4763" t="inlineStr">
        <is>
          <t>DIL_EM-10-G</t>
        </is>
      </c>
      <c r="F4763" t="inlineStr">
        <is>
          <t>#KALK!</t>
        </is>
      </c>
      <c r="G4763" t="inlineStr">
        <is>
          <t>LASTSCHUETZ</t>
        </is>
      </c>
      <c r="H4763" t="inlineStr">
        <is>
          <t>4kW 1S</t>
        </is>
      </c>
      <c r="I4763">
        <v>532</v>
      </c>
      <c r="J4763">
        <f>GS23/231.6</f>
        <v>0</v>
      </c>
      <c r="M4763" t="inlineStr">
        <is>
          <t>-231K73.1</t>
        </is>
      </c>
    </row>
    <row r="4764">
      <c r="A4764">
        <v>4763</v>
      </c>
      <c r="B4764">
        <f>GS14</f>
        <v>0</v>
      </c>
      <c r="C4764" t="inlineStr">
        <is>
          <t>+LS5</t>
        </is>
      </c>
      <c r="D4764" t="inlineStr">
        <is>
          <t>-231K80.1</t>
        </is>
      </c>
      <c r="E4764" t="inlineStr">
        <is>
          <t>DIL_EM-10-G</t>
        </is>
      </c>
      <c r="F4764" t="inlineStr">
        <is>
          <t>#KALK!</t>
        </is>
      </c>
      <c r="G4764" t="inlineStr">
        <is>
          <t>LASTSCHUETZ</t>
        </is>
      </c>
      <c r="H4764" t="inlineStr">
        <is>
          <t>4kW 1S</t>
        </is>
      </c>
      <c r="I4764">
        <v>357</v>
      </c>
      <c r="J4764">
        <f>GS14/231.5</f>
        <v>0</v>
      </c>
      <c r="M4764" t="inlineStr">
        <is>
          <t>-231K80.1</t>
        </is>
      </c>
    </row>
    <row r="4765">
      <c r="A4765">
        <v>4764</v>
      </c>
      <c r="B4765">
        <f>GS14</f>
        <v>0</v>
      </c>
      <c r="C4765" t="inlineStr">
        <is>
          <t>+LS5</t>
        </is>
      </c>
      <c r="D4765" t="inlineStr">
        <is>
          <t>-231K80.2</t>
        </is>
      </c>
      <c r="E4765" t="inlineStr">
        <is>
          <t>DIL_EM-10-G</t>
        </is>
      </c>
      <c r="F4765" t="inlineStr">
        <is>
          <t>#KALK!</t>
        </is>
      </c>
      <c r="G4765" t="inlineStr">
        <is>
          <t>LASTSCHUETZ</t>
        </is>
      </c>
      <c r="H4765" t="inlineStr">
        <is>
          <t>4kW 1S</t>
        </is>
      </c>
      <c r="I4765">
        <v>357</v>
      </c>
      <c r="J4765">
        <f>GS14/231.6</f>
        <v>0</v>
      </c>
      <c r="M4765" t="inlineStr">
        <is>
          <t>-231K80.2</t>
        </is>
      </c>
    </row>
    <row r="4766">
      <c r="A4766">
        <v>4765</v>
      </c>
      <c r="B4766">
        <f>GS14</f>
        <v>0</v>
      </c>
      <c r="C4766" t="inlineStr">
        <is>
          <t>+LS5</t>
        </is>
      </c>
      <c r="D4766" t="inlineStr">
        <is>
          <t>-231K80.3</t>
        </is>
      </c>
      <c r="E4766" t="inlineStr">
        <is>
          <t>DIL_EM-01-G</t>
        </is>
      </c>
      <c r="F4766" t="inlineStr">
        <is>
          <t>#KALK!</t>
        </is>
      </c>
      <c r="G4766" t="inlineStr">
        <is>
          <t>LASTSCHUETZ</t>
        </is>
      </c>
      <c r="H4766" t="inlineStr">
        <is>
          <t>4kW 1OE</t>
        </is>
      </c>
      <c r="I4766">
        <v>357</v>
      </c>
      <c r="J4766">
        <f>GS14/231.7</f>
        <v>0</v>
      </c>
      <c r="M4766" t="inlineStr">
        <is>
          <t>-231K80.3</t>
        </is>
      </c>
    </row>
    <row r="4767">
      <c r="A4767">
        <v>4766</v>
      </c>
      <c r="B4767">
        <f>GS14</f>
        <v>0</v>
      </c>
      <c r="C4767" t="inlineStr">
        <is>
          <t>+LS5</t>
        </is>
      </c>
      <c r="D4767" t="inlineStr">
        <is>
          <t>-231K80.4</t>
        </is>
      </c>
      <c r="E4767" t="inlineStr">
        <is>
          <t>DIL_EM-01-G</t>
        </is>
      </c>
      <c r="F4767" t="inlineStr">
        <is>
          <t>#KALK!</t>
        </is>
      </c>
      <c r="G4767" t="inlineStr">
        <is>
          <t>LASTSCHUETZ</t>
        </is>
      </c>
      <c r="H4767" t="inlineStr">
        <is>
          <t>4kW 1OE</t>
        </is>
      </c>
      <c r="I4767">
        <v>357</v>
      </c>
      <c r="J4767">
        <f>GS14/231.8</f>
        <v>0</v>
      </c>
      <c r="M4767" t="inlineStr">
        <is>
          <t>-231K80.4</t>
        </is>
      </c>
    </row>
    <row r="4768">
      <c r="A4768">
        <v>4767</v>
      </c>
      <c r="B4768">
        <f>GC03</f>
        <v>0</v>
      </c>
      <c r="C4768" t="inlineStr">
        <is>
          <t>+LS5</t>
        </is>
      </c>
      <c r="D4768" t="inlineStr">
        <is>
          <t>-231K87.3</t>
        </is>
      </c>
      <c r="E4768" t="inlineStr">
        <is>
          <t>DIL_EM-10-G</t>
        </is>
      </c>
      <c r="F4768" t="inlineStr">
        <is>
          <t>#KALK!</t>
        </is>
      </c>
      <c r="G4768" t="inlineStr">
        <is>
          <t>LASTSCHUETZ</t>
        </is>
      </c>
      <c r="H4768" t="inlineStr">
        <is>
          <t>4kW 1S</t>
        </is>
      </c>
      <c r="I4768">
        <v>565</v>
      </c>
      <c r="J4768">
        <f>GC03/231.7</f>
        <v>0</v>
      </c>
      <c r="M4768" t="inlineStr">
        <is>
          <t>-231K87.3</t>
        </is>
      </c>
    </row>
    <row r="4769">
      <c r="A4769">
        <v>4768</v>
      </c>
      <c r="B4769">
        <f>GS11</f>
        <v>0</v>
      </c>
      <c r="C4769" t="inlineStr">
        <is>
          <t>+ES2</t>
        </is>
      </c>
      <c r="D4769" t="inlineStr">
        <is>
          <t>-231K92.0</t>
        </is>
      </c>
      <c r="E4769" t="inlineStr">
        <is>
          <t>DIL_ER-40-G</t>
        </is>
      </c>
      <c r="F4769" t="inlineStr">
        <is>
          <t>40_DIL-E</t>
        </is>
      </c>
      <c r="G4769" t="inlineStr">
        <is>
          <t>HILFSSCHUETZ</t>
        </is>
      </c>
      <c r="H4769" t="inlineStr">
        <is>
          <t>4S</t>
        </is>
      </c>
      <c r="I4769">
        <v>342</v>
      </c>
      <c r="J4769">
        <f>GS11/231.6</f>
        <v>0</v>
      </c>
      <c r="M4769" t="inlineStr">
        <is>
          <t>-231K92.0</t>
        </is>
      </c>
    </row>
    <row r="4770">
      <c r="A4770">
        <v>4769</v>
      </c>
      <c r="B4770">
        <f>GS11</f>
        <v>0</v>
      </c>
      <c r="C4770" t="inlineStr">
        <is>
          <t>+ES2</t>
        </is>
      </c>
      <c r="D4770" t="inlineStr">
        <is>
          <t>-231K92.0</t>
        </is>
      </c>
      <c r="E4770" t="inlineStr">
        <is>
          <t>40_DIL-E</t>
        </is>
      </c>
      <c r="F4770" t="inlineStr">
        <is>
          <t>40_DIL-E</t>
        </is>
      </c>
      <c r="G4770" t="inlineStr">
        <is>
          <t>HILFSKONTAKTBLOCK</t>
        </is>
      </c>
      <c r="H4770" t="inlineStr">
        <is>
          <t>4S Last+Hilfsschuetz</t>
        </is>
      </c>
      <c r="I4770">
        <v>342</v>
      </c>
      <c r="J4770">
        <f>GS11/231.6</f>
        <v>0</v>
      </c>
      <c r="M4770" t="inlineStr">
        <is>
          <t>-231K92.0</t>
        </is>
      </c>
    </row>
    <row r="4771">
      <c r="A4771">
        <v>4770</v>
      </c>
      <c r="B4771">
        <f>GS21</f>
        <v>0</v>
      </c>
      <c r="C4771" t="inlineStr">
        <is>
          <t>+ES2</t>
        </is>
      </c>
      <c r="D4771" t="inlineStr">
        <is>
          <t>-231K92.0</t>
        </is>
      </c>
      <c r="E4771" t="inlineStr">
        <is>
          <t>DIL_ER-40-G</t>
        </is>
      </c>
      <c r="F4771" t="inlineStr">
        <is>
          <t>40_DIL-E</t>
        </is>
      </c>
      <c r="G4771" t="inlineStr">
        <is>
          <t>HILFSSCHUETZ</t>
        </is>
      </c>
      <c r="H4771" t="inlineStr">
        <is>
          <t>4S</t>
        </is>
      </c>
      <c r="I4771">
        <v>318</v>
      </c>
      <c r="J4771">
        <f>GS21/231.6</f>
        <v>0</v>
      </c>
      <c r="M4771" t="inlineStr">
        <is>
          <t>-231K92.0</t>
        </is>
      </c>
    </row>
    <row r="4772">
      <c r="A4772">
        <v>4771</v>
      </c>
      <c r="B4772">
        <f>GS21</f>
        <v>0</v>
      </c>
      <c r="C4772" t="inlineStr">
        <is>
          <t>+ES2</t>
        </is>
      </c>
      <c r="D4772" t="inlineStr">
        <is>
          <t>-231K92.0</t>
        </is>
      </c>
      <c r="E4772" t="inlineStr">
        <is>
          <t>40_DIL-E</t>
        </is>
      </c>
      <c r="F4772" t="inlineStr">
        <is>
          <t>40_DIL-E</t>
        </is>
      </c>
      <c r="G4772" t="inlineStr">
        <is>
          <t>HILFSKONTAKTBLOCK</t>
        </is>
      </c>
      <c r="H4772" t="inlineStr">
        <is>
          <t>4S Last+Hilfsschuetz</t>
        </is>
      </c>
      <c r="I4772">
        <v>318</v>
      </c>
      <c r="J4772">
        <f>GS21/231.6</f>
        <v>0</v>
      </c>
      <c r="M4772" t="inlineStr">
        <is>
          <t>-231K92.0</t>
        </is>
      </c>
    </row>
    <row r="4773">
      <c r="A4773">
        <v>4772</v>
      </c>
      <c r="B4773">
        <f>GS11</f>
        <v>0</v>
      </c>
      <c r="C4773" t="inlineStr">
        <is>
          <t>+ES2</t>
        </is>
      </c>
      <c r="D4773" t="inlineStr">
        <is>
          <t>-231K92.1</t>
        </is>
      </c>
      <c r="E4773" t="inlineStr">
        <is>
          <t>DIL_ER-40-G</t>
        </is>
      </c>
      <c r="F4773" t="inlineStr">
        <is>
          <t>40_DIL-E</t>
        </is>
      </c>
      <c r="G4773" t="inlineStr">
        <is>
          <t>HILFSSCHUETZ</t>
        </is>
      </c>
      <c r="H4773" t="inlineStr">
        <is>
          <t>4S</t>
        </is>
      </c>
      <c r="I4773">
        <v>342</v>
      </c>
      <c r="J4773">
        <f>GS11/231.6</f>
        <v>0</v>
      </c>
      <c r="M4773" t="inlineStr">
        <is>
          <t>-231K92.1</t>
        </is>
      </c>
    </row>
    <row r="4774">
      <c r="A4774">
        <v>4773</v>
      </c>
      <c r="B4774">
        <f>GS11</f>
        <v>0</v>
      </c>
      <c r="C4774" t="inlineStr">
        <is>
          <t>+ES2</t>
        </is>
      </c>
      <c r="D4774" t="inlineStr">
        <is>
          <t>-231K92.1</t>
        </is>
      </c>
      <c r="E4774" t="inlineStr">
        <is>
          <t>40_DIL-E</t>
        </is>
      </c>
      <c r="F4774" t="inlineStr">
        <is>
          <t>40_DIL-E</t>
        </is>
      </c>
      <c r="G4774" t="inlineStr">
        <is>
          <t>HILFSKONTAKTBLOCK</t>
        </is>
      </c>
      <c r="H4774" t="inlineStr">
        <is>
          <t>4S Last+Hilfsschuetz</t>
        </is>
      </c>
      <c r="I4774">
        <v>342</v>
      </c>
      <c r="J4774">
        <f>GS11/231.6</f>
        <v>0</v>
      </c>
      <c r="M4774" t="inlineStr">
        <is>
          <t>-231K92.1</t>
        </is>
      </c>
    </row>
    <row r="4775">
      <c r="A4775">
        <v>4774</v>
      </c>
      <c r="B4775">
        <f>GS21</f>
        <v>0</v>
      </c>
      <c r="C4775" t="inlineStr">
        <is>
          <t>+ES2</t>
        </is>
      </c>
      <c r="D4775" t="inlineStr">
        <is>
          <t>-231K92.1</t>
        </is>
      </c>
      <c r="E4775" t="inlineStr">
        <is>
          <t>DIL_ER-40-G</t>
        </is>
      </c>
      <c r="F4775" t="inlineStr">
        <is>
          <t>40_DIL-E</t>
        </is>
      </c>
      <c r="G4775" t="inlineStr">
        <is>
          <t>HILFSSCHUETZ</t>
        </is>
      </c>
      <c r="H4775" t="inlineStr">
        <is>
          <t>4S</t>
        </is>
      </c>
      <c r="I4775">
        <v>318</v>
      </c>
      <c r="J4775">
        <f>GS21/231.6</f>
        <v>0</v>
      </c>
      <c r="M4775" t="inlineStr">
        <is>
          <t>-231K92.1</t>
        </is>
      </c>
    </row>
    <row r="4776">
      <c r="A4776">
        <v>4775</v>
      </c>
      <c r="B4776">
        <f>GS21</f>
        <v>0</v>
      </c>
      <c r="C4776" t="inlineStr">
        <is>
          <t>+ES2</t>
        </is>
      </c>
      <c r="D4776" t="inlineStr">
        <is>
          <t>-231K92.1</t>
        </is>
      </c>
      <c r="E4776" t="inlineStr">
        <is>
          <t>40_DIL-E</t>
        </is>
      </c>
      <c r="F4776" t="inlineStr">
        <is>
          <t>40_DIL-E</t>
        </is>
      </c>
      <c r="G4776" t="inlineStr">
        <is>
          <t>HILFSKONTAKTBLOCK</t>
        </is>
      </c>
      <c r="H4776" t="inlineStr">
        <is>
          <t>4S Last+Hilfsschuetz</t>
        </is>
      </c>
      <c r="I4776">
        <v>318</v>
      </c>
      <c r="J4776">
        <f>GS21/231.6</f>
        <v>0</v>
      </c>
      <c r="M4776" t="inlineStr">
        <is>
          <t>-231K92.1</t>
        </is>
      </c>
    </row>
    <row r="4777">
      <c r="A4777">
        <v>4776</v>
      </c>
      <c r="B4777">
        <f>GS05</f>
        <v>0</v>
      </c>
      <c r="C4777" t="inlineStr">
        <is>
          <t>+LS03</t>
        </is>
      </c>
      <c r="D4777" t="inlineStr">
        <is>
          <t>-231Q114.6</t>
        </is>
      </c>
      <c r="E4777" t="inlineStr">
        <is>
          <t>DILM-9-10</t>
        </is>
      </c>
      <c r="F4777" t="inlineStr">
        <is>
          <t>#KALK!</t>
        </is>
      </c>
      <c r="G4777" t="inlineStr">
        <is>
          <t>LASTSCHUETZ</t>
        </is>
      </c>
      <c r="H4777" t="inlineStr">
        <is>
          <t>4kW 1S Federzugkl.</t>
        </is>
      </c>
      <c r="I4777">
        <v>1872</v>
      </c>
      <c r="J4777">
        <f>GS05/231.6</f>
        <v>0</v>
      </c>
      <c r="K4777" t="inlineStr">
        <is>
          <t>DIL MC9</t>
        </is>
      </c>
      <c r="M4777" t="inlineStr">
        <is>
          <t>-231Q114.6</t>
        </is>
      </c>
    </row>
    <row r="4778">
      <c r="A4778">
        <v>4777</v>
      </c>
      <c r="B4778">
        <f>GS91</f>
        <v>0</v>
      </c>
      <c r="C4778" t="inlineStr">
        <is>
          <t>+LS03</t>
        </is>
      </c>
      <c r="D4778" t="inlineStr">
        <is>
          <t>-231Q158.6</t>
        </is>
      </c>
      <c r="E4778" t="inlineStr">
        <is>
          <t>DILM-9-10</t>
        </is>
      </c>
      <c r="F4778" t="inlineStr">
        <is>
          <t>#KALK!</t>
        </is>
      </c>
      <c r="G4778" t="inlineStr">
        <is>
          <t>LASTSCHUETZ</t>
        </is>
      </c>
      <c r="H4778" t="inlineStr">
        <is>
          <t>4kW 1S Federzugkl.</t>
        </is>
      </c>
      <c r="I4778">
        <v>379</v>
      </c>
      <c r="J4778">
        <f>GS91/231.5</f>
        <v>0</v>
      </c>
      <c r="M4778" t="inlineStr">
        <is>
          <t>-231Q158.6</t>
        </is>
      </c>
    </row>
    <row r="4779">
      <c r="A4779">
        <v>4778</v>
      </c>
      <c r="B4779">
        <f>GS13</f>
        <v>0</v>
      </c>
      <c r="C4779" t="inlineStr">
        <is>
          <t>+LS4</t>
        </is>
      </c>
      <c r="D4779" t="inlineStr">
        <is>
          <t>-23273.2</t>
        </is>
      </c>
      <c r="E4779" t="inlineStr">
        <is>
          <t>DIL_EM-10-G</t>
        </is>
      </c>
      <c r="F4779" t="inlineStr">
        <is>
          <t>#KALK!</t>
        </is>
      </c>
      <c r="G4779" t="inlineStr">
        <is>
          <t>LASTSCHUETZ</t>
        </is>
      </c>
      <c r="H4779" t="inlineStr">
        <is>
          <t>4kW 1S</t>
        </is>
      </c>
      <c r="I4779">
        <v>474</v>
      </c>
      <c r="J4779">
        <f>GS13/232.6</f>
        <v>0</v>
      </c>
      <c r="M4779" t="inlineStr">
        <is>
          <t>-23273.2</t>
        </is>
      </c>
    </row>
    <row r="4780">
      <c r="A4780">
        <v>4779</v>
      </c>
      <c r="B4780">
        <f>GS13</f>
        <v>0</v>
      </c>
      <c r="C4780" t="inlineStr">
        <is>
          <t>+LS4</t>
        </is>
      </c>
      <c r="D4780" t="inlineStr">
        <is>
          <t>-23273.3</t>
        </is>
      </c>
      <c r="E4780" t="inlineStr">
        <is>
          <t>DIL_EM-10-G</t>
        </is>
      </c>
      <c r="F4780" t="inlineStr">
        <is>
          <t>#KALK!</t>
        </is>
      </c>
      <c r="G4780" t="inlineStr">
        <is>
          <t>LASTSCHUETZ</t>
        </is>
      </c>
      <c r="H4780" t="inlineStr">
        <is>
          <t>4kW 1S</t>
        </is>
      </c>
      <c r="I4780">
        <v>474</v>
      </c>
      <c r="J4780">
        <f>GS13/232.6</f>
        <v>0</v>
      </c>
      <c r="M4780" t="inlineStr">
        <is>
          <t>-23273.3</t>
        </is>
      </c>
    </row>
    <row r="4781">
      <c r="A4781">
        <v>4780</v>
      </c>
      <c r="B4781">
        <f>GS38</f>
        <v>0</v>
      </c>
      <c r="C4781" t="inlineStr">
        <is>
          <t>+LS04</t>
        </is>
      </c>
      <c r="D4781" t="inlineStr">
        <is>
          <t>-232K1</t>
        </is>
      </c>
      <c r="E4781" t="inlineStr">
        <is>
          <t>DILM-9-01</t>
        </is>
      </c>
      <c r="F4781" t="inlineStr">
        <is>
          <t>#KALK!</t>
        </is>
      </c>
      <c r="G4781" t="inlineStr">
        <is>
          <t>LASTSCHUETZ</t>
        </is>
      </c>
      <c r="H4781" t="inlineStr">
        <is>
          <t>4kW 1Oe Federzugkl.</t>
        </is>
      </c>
      <c r="I4781">
        <v>402</v>
      </c>
      <c r="J4781">
        <f>GS38/232.5</f>
        <v>0</v>
      </c>
      <c r="M4781" t="inlineStr">
        <is>
          <t>-232K1</t>
        </is>
      </c>
    </row>
    <row r="4782">
      <c r="A4782">
        <v>4781</v>
      </c>
      <c r="B4782">
        <f>GS39</f>
        <v>0</v>
      </c>
      <c r="C4782" t="inlineStr">
        <is>
          <t>+LS04</t>
        </is>
      </c>
      <c r="D4782" t="inlineStr">
        <is>
          <t>-232K1</t>
        </is>
      </c>
      <c r="E4782" t="inlineStr">
        <is>
          <t>DILM-9-01</t>
        </is>
      </c>
      <c r="F4782" t="inlineStr">
        <is>
          <t>#KALK!</t>
        </is>
      </c>
      <c r="G4782" t="inlineStr">
        <is>
          <t>LASTSCHUETZ</t>
        </is>
      </c>
      <c r="H4782" t="inlineStr">
        <is>
          <t>4kW 1Oe Federzugkl.</t>
        </is>
      </c>
      <c r="I4782">
        <v>1152</v>
      </c>
      <c r="J4782">
        <f>GS39/232.5</f>
        <v>0</v>
      </c>
      <c r="M4782" t="inlineStr">
        <is>
          <t>-232K1</t>
        </is>
      </c>
    </row>
    <row r="4783">
      <c r="A4783">
        <v>4782</v>
      </c>
      <c r="B4783">
        <f>GS38</f>
        <v>0</v>
      </c>
      <c r="C4783" t="inlineStr">
        <is>
          <t>+LS04</t>
        </is>
      </c>
      <c r="D4783" t="inlineStr">
        <is>
          <t>-232K2</t>
        </is>
      </c>
      <c r="E4783" t="inlineStr">
        <is>
          <t>DILM-9-01</t>
        </is>
      </c>
      <c r="F4783" t="inlineStr">
        <is>
          <t>#KALK!</t>
        </is>
      </c>
      <c r="G4783" t="inlineStr">
        <is>
          <t>LASTSCHUETZ</t>
        </is>
      </c>
      <c r="H4783" t="inlineStr">
        <is>
          <t>4kW 1Oe Federzugkl.</t>
        </is>
      </c>
      <c r="I4783">
        <v>402</v>
      </c>
      <c r="J4783">
        <f>GS38/232.6</f>
        <v>0</v>
      </c>
      <c r="M4783" t="inlineStr">
        <is>
          <t>-232K2</t>
        </is>
      </c>
    </row>
    <row r="4784">
      <c r="A4784">
        <v>4783</v>
      </c>
      <c r="B4784">
        <f>GS39</f>
        <v>0</v>
      </c>
      <c r="C4784" t="inlineStr">
        <is>
          <t>+LS04</t>
        </is>
      </c>
      <c r="D4784" t="inlineStr">
        <is>
          <t>-232K2</t>
        </is>
      </c>
      <c r="E4784" t="inlineStr">
        <is>
          <t>DILM-9-01</t>
        </is>
      </c>
      <c r="F4784" t="inlineStr">
        <is>
          <t>#KALK!</t>
        </is>
      </c>
      <c r="G4784" t="inlineStr">
        <is>
          <t>LASTSCHUETZ</t>
        </is>
      </c>
      <c r="H4784" t="inlineStr">
        <is>
          <t>4kW 1Oe Federzugkl.</t>
        </is>
      </c>
      <c r="I4784">
        <v>1152</v>
      </c>
      <c r="J4784">
        <f>GS39/232.6</f>
        <v>0</v>
      </c>
      <c r="M4784" t="inlineStr">
        <is>
          <t>-232K2</t>
        </is>
      </c>
    </row>
    <row r="4785">
      <c r="A4785">
        <v>4784</v>
      </c>
      <c r="B4785">
        <f>GS34</f>
        <v>0</v>
      </c>
      <c r="C4785" t="inlineStr">
        <is>
          <t>+LS4</t>
        </is>
      </c>
      <c r="D4785" t="inlineStr">
        <is>
          <t>-232K34.0</t>
        </is>
      </c>
      <c r="E4785" t="inlineStr">
        <is>
          <t>DIL_EM-10-G</t>
        </is>
      </c>
      <c r="F4785" t="inlineStr">
        <is>
          <t>#KALK!</t>
        </is>
      </c>
      <c r="G4785" t="inlineStr">
        <is>
          <t>LASTSCHUETZ</t>
        </is>
      </c>
      <c r="H4785" t="inlineStr">
        <is>
          <t>4kW 1S</t>
        </is>
      </c>
      <c r="I4785">
        <v>356</v>
      </c>
      <c r="J4785">
        <f>GS34/232.6</f>
        <v>0</v>
      </c>
      <c r="M4785" t="inlineStr">
        <is>
          <t>-232K34.0</t>
        </is>
      </c>
    </row>
    <row r="4786">
      <c r="A4786">
        <v>4785</v>
      </c>
      <c r="B4786">
        <f>GS33</f>
        <v>0</v>
      </c>
      <c r="C4786" t="inlineStr">
        <is>
          <t>+LS4</t>
        </is>
      </c>
      <c r="D4786" t="inlineStr">
        <is>
          <t>-232K34.7</t>
        </is>
      </c>
      <c r="E4786" t="inlineStr">
        <is>
          <t>DIL_EM-10-G</t>
        </is>
      </c>
      <c r="F4786" t="inlineStr">
        <is>
          <t>#KALK!</t>
        </is>
      </c>
      <c r="G4786" t="inlineStr">
        <is>
          <t>LASTSCHUETZ</t>
        </is>
      </c>
      <c r="H4786" t="inlineStr">
        <is>
          <t>4kW 1S</t>
        </is>
      </c>
      <c r="I4786">
        <v>671</v>
      </c>
      <c r="J4786">
        <f>GS33/232.7</f>
        <v>0</v>
      </c>
      <c r="M4786" t="inlineStr">
        <is>
          <t>-232K34.7</t>
        </is>
      </c>
    </row>
    <row r="4787">
      <c r="A4787">
        <v>4786</v>
      </c>
      <c r="B4787">
        <f>GS23</f>
        <v>0</v>
      </c>
      <c r="C4787" t="inlineStr">
        <is>
          <t>+LS4</t>
        </is>
      </c>
      <c r="D4787" t="inlineStr">
        <is>
          <t>-232K73.2</t>
        </is>
      </c>
      <c r="E4787" t="inlineStr">
        <is>
          <t>DIL_EM-10-G</t>
        </is>
      </c>
      <c r="F4787" t="inlineStr">
        <is>
          <t>#KALK!</t>
        </is>
      </c>
      <c r="G4787" t="inlineStr">
        <is>
          <t>LASTSCHUETZ</t>
        </is>
      </c>
      <c r="H4787" t="inlineStr">
        <is>
          <t>4kW 1S</t>
        </is>
      </c>
      <c r="I4787">
        <v>533</v>
      </c>
      <c r="J4787">
        <f>GS23/232.6</f>
        <v>0</v>
      </c>
      <c r="M4787" t="inlineStr">
        <is>
          <t>-232K73.2</t>
        </is>
      </c>
    </row>
    <row r="4788">
      <c r="A4788">
        <v>4787</v>
      </c>
      <c r="B4788">
        <f>GS23</f>
        <v>0</v>
      </c>
      <c r="C4788" t="inlineStr">
        <is>
          <t>+LS4</t>
        </is>
      </c>
      <c r="D4788" t="inlineStr">
        <is>
          <t>-232K73.3</t>
        </is>
      </c>
      <c r="E4788" t="inlineStr">
        <is>
          <t>DIL_EM-10-G</t>
        </is>
      </c>
      <c r="F4788" t="inlineStr">
        <is>
          <t>#KALK!</t>
        </is>
      </c>
      <c r="G4788" t="inlineStr">
        <is>
          <t>LASTSCHUETZ</t>
        </is>
      </c>
      <c r="H4788" t="inlineStr">
        <is>
          <t>4kW 1S</t>
        </is>
      </c>
      <c r="I4788">
        <v>533</v>
      </c>
      <c r="J4788">
        <f>GS23/232.6</f>
        <v>0</v>
      </c>
      <c r="M4788" t="inlineStr">
        <is>
          <t>-232K73.3</t>
        </is>
      </c>
    </row>
    <row r="4789">
      <c r="A4789">
        <v>4788</v>
      </c>
      <c r="B4789">
        <f>GS14</f>
        <v>0</v>
      </c>
      <c r="C4789" t="inlineStr">
        <is>
          <t>+LS5</t>
        </is>
      </c>
      <c r="D4789" t="inlineStr">
        <is>
          <t>-232K80.5</t>
        </is>
      </c>
      <c r="E4789" t="inlineStr">
        <is>
          <t>DIL_EM-10-G</t>
        </is>
      </c>
      <c r="F4789" t="inlineStr">
        <is>
          <t>#KALK!</t>
        </is>
      </c>
      <c r="G4789" t="inlineStr">
        <is>
          <t>LASTSCHUETZ</t>
        </is>
      </c>
      <c r="H4789" t="inlineStr">
        <is>
          <t>4kW 1S</t>
        </is>
      </c>
      <c r="I4789">
        <v>358</v>
      </c>
      <c r="J4789">
        <f>GS14/232.6</f>
        <v>0</v>
      </c>
      <c r="M4789" t="inlineStr">
        <is>
          <t>-232K80.5</t>
        </is>
      </c>
    </row>
    <row r="4790">
      <c r="A4790">
        <v>4789</v>
      </c>
      <c r="B4790">
        <f>GS14</f>
        <v>0</v>
      </c>
      <c r="C4790" t="inlineStr">
        <is>
          <t>+LS5</t>
        </is>
      </c>
      <c r="D4790" t="inlineStr">
        <is>
          <t>-232K80.6</t>
        </is>
      </c>
      <c r="E4790" t="inlineStr">
        <is>
          <t>DIL_EM-10-G</t>
        </is>
      </c>
      <c r="F4790" t="inlineStr">
        <is>
          <t>#KALK!</t>
        </is>
      </c>
      <c r="G4790" t="inlineStr">
        <is>
          <t>LASTSCHUETZ</t>
        </is>
      </c>
      <c r="H4790" t="inlineStr">
        <is>
          <t>4kW 1S</t>
        </is>
      </c>
      <c r="I4790">
        <v>358</v>
      </c>
      <c r="J4790">
        <f>GS14/232.6</f>
        <v>0</v>
      </c>
      <c r="M4790" t="inlineStr">
        <is>
          <t>-232K80.6</t>
        </is>
      </c>
    </row>
    <row r="4791">
      <c r="A4791">
        <v>4790</v>
      </c>
      <c r="B4791">
        <f>GS24</f>
        <v>0</v>
      </c>
      <c r="C4791" t="inlineStr">
        <is>
          <t>+LS5</t>
        </is>
      </c>
      <c r="D4791" t="inlineStr">
        <is>
          <t>-232K82.7</t>
        </is>
      </c>
      <c r="E4791" t="inlineStr">
        <is>
          <t>DIL_EM-10-G</t>
        </is>
      </c>
      <c r="F4791" t="inlineStr">
        <is>
          <t>#KALK!</t>
        </is>
      </c>
      <c r="G4791" t="inlineStr">
        <is>
          <t>LASTSCHUETZ</t>
        </is>
      </c>
      <c r="H4791" t="inlineStr">
        <is>
          <t>4kW 1S</t>
        </is>
      </c>
      <c r="I4791">
        <v>847</v>
      </c>
      <c r="J4791">
        <f>GS24/232.5</f>
        <v>0</v>
      </c>
      <c r="M4791" t="inlineStr">
        <is>
          <t>-232K82.7</t>
        </is>
      </c>
    </row>
    <row r="4792">
      <c r="A4792">
        <v>4791</v>
      </c>
      <c r="B4792">
        <f>GS24</f>
        <v>0</v>
      </c>
      <c r="C4792" t="inlineStr">
        <is>
          <t>+LS5</t>
        </is>
      </c>
      <c r="D4792" t="inlineStr">
        <is>
          <t>-232K83.0</t>
        </is>
      </c>
      <c r="E4792" t="inlineStr">
        <is>
          <t>DIL_EM-10-G</t>
        </is>
      </c>
      <c r="F4792" t="inlineStr">
        <is>
          <t>#KALK!</t>
        </is>
      </c>
      <c r="G4792" t="inlineStr">
        <is>
          <t>LASTSCHUETZ</t>
        </is>
      </c>
      <c r="H4792" t="inlineStr">
        <is>
          <t>4kW 1S</t>
        </is>
      </c>
      <c r="I4792">
        <v>847</v>
      </c>
      <c r="J4792">
        <f>GS24/232.6</f>
        <v>0</v>
      </c>
      <c r="M4792" t="inlineStr">
        <is>
          <t>-232K83.0</t>
        </is>
      </c>
    </row>
    <row r="4793">
      <c r="A4793">
        <v>4792</v>
      </c>
      <c r="B4793">
        <f>GS24</f>
        <v>0</v>
      </c>
      <c r="C4793" t="inlineStr">
        <is>
          <t>+LS5</t>
        </is>
      </c>
      <c r="D4793" t="inlineStr">
        <is>
          <t>-232K83.1</t>
        </is>
      </c>
      <c r="E4793" t="inlineStr">
        <is>
          <t>DIL_EM-01-G</t>
        </is>
      </c>
      <c r="F4793" t="inlineStr">
        <is>
          <t>#KALK!</t>
        </is>
      </c>
      <c r="G4793" t="inlineStr">
        <is>
          <t>LASTSCHUETZ</t>
        </is>
      </c>
      <c r="H4793" t="inlineStr">
        <is>
          <t>4kW 1OE</t>
        </is>
      </c>
      <c r="I4793">
        <v>847</v>
      </c>
      <c r="J4793">
        <f>GS24/232.7</f>
        <v>0</v>
      </c>
      <c r="M4793" t="inlineStr">
        <is>
          <t>-232K83.1</t>
        </is>
      </c>
    </row>
    <row r="4794">
      <c r="A4794">
        <v>4793</v>
      </c>
      <c r="B4794">
        <f>GS24</f>
        <v>0</v>
      </c>
      <c r="C4794" t="inlineStr">
        <is>
          <t>+LS5</t>
        </is>
      </c>
      <c r="D4794" t="inlineStr">
        <is>
          <t>-232K83.2</t>
        </is>
      </c>
      <c r="E4794" t="inlineStr">
        <is>
          <t>DIL_EM-01-G</t>
        </is>
      </c>
      <c r="F4794" t="inlineStr">
        <is>
          <t>#KALK!</t>
        </is>
      </c>
      <c r="G4794" t="inlineStr">
        <is>
          <t>LASTSCHUETZ</t>
        </is>
      </c>
      <c r="H4794" t="inlineStr">
        <is>
          <t>4kW 1OE</t>
        </is>
      </c>
      <c r="I4794">
        <v>847</v>
      </c>
      <c r="J4794">
        <f>GS24/232.8</f>
        <v>0</v>
      </c>
      <c r="M4794" t="inlineStr">
        <is>
          <t>-232K83.2</t>
        </is>
      </c>
    </row>
    <row r="4795">
      <c r="A4795">
        <v>4794</v>
      </c>
      <c r="B4795">
        <f>GC03</f>
        <v>0</v>
      </c>
      <c r="C4795" t="inlineStr">
        <is>
          <t>+LS5</t>
        </is>
      </c>
      <c r="D4795" t="inlineStr">
        <is>
          <t>-232K87.7</t>
        </is>
      </c>
      <c r="E4795" t="inlineStr">
        <is>
          <t>DIL_EM-10-G</t>
        </is>
      </c>
      <c r="F4795" t="inlineStr">
        <is>
          <t>#KALK!</t>
        </is>
      </c>
      <c r="G4795" t="inlineStr">
        <is>
          <t>LASTSCHUETZ</t>
        </is>
      </c>
      <c r="H4795" t="inlineStr">
        <is>
          <t>4kW 1S</t>
        </is>
      </c>
      <c r="I4795">
        <v>566</v>
      </c>
      <c r="J4795">
        <f>GC03/232.7</f>
        <v>0</v>
      </c>
      <c r="M4795" t="inlineStr">
        <is>
          <t>-232K87.7</t>
        </is>
      </c>
    </row>
    <row r="4796">
      <c r="A4796">
        <v>4795</v>
      </c>
      <c r="B4796">
        <f>GS91</f>
        <v>0</v>
      </c>
      <c r="C4796" t="inlineStr">
        <is>
          <t>+LS03</t>
        </is>
      </c>
      <c r="D4796" t="inlineStr">
        <is>
          <t>-232Q158.7</t>
        </is>
      </c>
      <c r="E4796" t="inlineStr">
        <is>
          <t>DILM-9-10</t>
        </is>
      </c>
      <c r="F4796" t="inlineStr">
        <is>
          <t>#KALK!</t>
        </is>
      </c>
      <c r="G4796" t="inlineStr">
        <is>
          <t>LASTSCHUETZ</t>
        </is>
      </c>
      <c r="H4796" t="inlineStr">
        <is>
          <t>4kW 1S Federzugkl.</t>
        </is>
      </c>
      <c r="I4796">
        <v>380</v>
      </c>
      <c r="J4796">
        <f>GS91/232.5</f>
        <v>0</v>
      </c>
      <c r="M4796" t="inlineStr">
        <is>
          <t>-232Q158.7</t>
        </is>
      </c>
    </row>
    <row r="4797">
      <c r="A4797">
        <v>4796</v>
      </c>
      <c r="B4797">
        <f>GS92</f>
        <v>0</v>
      </c>
      <c r="C4797" t="inlineStr">
        <is>
          <t>+LS03</t>
        </is>
      </c>
      <c r="D4797" t="inlineStr">
        <is>
          <t>-232Q174.2</t>
        </is>
      </c>
      <c r="E4797" t="inlineStr">
        <is>
          <t>DILM-9-10</t>
        </is>
      </c>
      <c r="F4797" t="inlineStr">
        <is>
          <t>#KALK!</t>
        </is>
      </c>
      <c r="G4797" t="inlineStr">
        <is>
          <t>LASTSCHUETZ</t>
        </is>
      </c>
      <c r="H4797" t="inlineStr">
        <is>
          <t>4kW 1S Federzugkl.</t>
        </is>
      </c>
      <c r="I4797">
        <v>378</v>
      </c>
      <c r="J4797">
        <f>GS92/232.5</f>
        <v>0</v>
      </c>
      <c r="M4797" t="inlineStr">
        <is>
          <t>-232Q174.2</t>
        </is>
      </c>
    </row>
    <row r="4798">
      <c r="A4798">
        <v>4797</v>
      </c>
      <c r="B4798">
        <f>GS93</f>
        <v>0</v>
      </c>
      <c r="C4798" t="inlineStr">
        <is>
          <t>+LS03</t>
        </is>
      </c>
      <c r="D4798" t="inlineStr">
        <is>
          <t>-232Q174.2</t>
        </is>
      </c>
      <c r="E4798" t="inlineStr">
        <is>
          <t>DILM-9-10</t>
        </is>
      </c>
      <c r="F4798" t="inlineStr">
        <is>
          <t>#KALK!</t>
        </is>
      </c>
      <c r="G4798" t="inlineStr">
        <is>
          <t>LASTSCHUETZ</t>
        </is>
      </c>
      <c r="H4798" t="inlineStr">
        <is>
          <t>4kW 1S Federzugkl.</t>
        </is>
      </c>
      <c r="I4798">
        <v>786</v>
      </c>
      <c r="J4798">
        <f>GS93/232.5</f>
        <v>0</v>
      </c>
      <c r="M4798" t="inlineStr">
        <is>
          <t>-232Q174.2</t>
        </is>
      </c>
    </row>
    <row r="4799">
      <c r="A4799">
        <v>4798</v>
      </c>
      <c r="B4799">
        <f>GS37</f>
        <v>0</v>
      </c>
      <c r="C4799" t="inlineStr">
        <is>
          <t>+LS04</t>
        </is>
      </c>
      <c r="D4799" t="inlineStr">
        <is>
          <t>-232Q441.1</t>
        </is>
      </c>
      <c r="E4799" t="inlineStr">
        <is>
          <t>DILMC12-10(24VDC)</t>
        </is>
      </c>
      <c r="F4799" t="inlineStr">
        <is>
          <t>#KALK!</t>
        </is>
      </c>
      <c r="G4799" t="inlineStr">
        <is>
          <t>LASTSCHUETZ</t>
        </is>
      </c>
      <c r="H4799" t="inlineStr">
        <is>
          <t>5,5kW 1S Federzugkl.</t>
        </is>
      </c>
      <c r="I4799">
        <v>375</v>
      </c>
      <c r="J4799">
        <f>GS37/232.5</f>
        <v>0</v>
      </c>
      <c r="K4799" t="inlineStr">
        <is>
          <t>DILMC12</t>
        </is>
      </c>
      <c r="M4799" t="inlineStr">
        <is>
          <t>-232Q441.1</t>
        </is>
      </c>
    </row>
    <row r="4800">
      <c r="A4800">
        <v>4799</v>
      </c>
      <c r="B4800">
        <f>GS13</f>
        <v>0</v>
      </c>
      <c r="C4800" t="inlineStr">
        <is>
          <t>+LS4</t>
        </is>
      </c>
      <c r="D4800" t="inlineStr">
        <is>
          <t>-23373.4</t>
        </is>
      </c>
      <c r="E4800" t="inlineStr">
        <is>
          <t>DIL_EM-10-G</t>
        </is>
      </c>
      <c r="F4800" t="inlineStr">
        <is>
          <t>#KALK!</t>
        </is>
      </c>
      <c r="G4800" t="inlineStr">
        <is>
          <t>LASTSCHUETZ</t>
        </is>
      </c>
      <c r="H4800" t="inlineStr">
        <is>
          <t>4kW 1S</t>
        </is>
      </c>
      <c r="I4800">
        <v>475</v>
      </c>
      <c r="J4800">
        <f>GS13/233.6</f>
        <v>0</v>
      </c>
      <c r="M4800" t="inlineStr">
        <is>
          <t>-23373.4</t>
        </is>
      </c>
    </row>
    <row r="4801">
      <c r="A4801">
        <v>4800</v>
      </c>
      <c r="B4801">
        <f>GS13</f>
        <v>0</v>
      </c>
      <c r="C4801" t="inlineStr">
        <is>
          <t>+LS4</t>
        </is>
      </c>
      <c r="D4801" t="inlineStr">
        <is>
          <t>-23373.5</t>
        </is>
      </c>
      <c r="E4801" t="inlineStr">
        <is>
          <t>DIL_EM-10-G</t>
        </is>
      </c>
      <c r="F4801" t="inlineStr">
        <is>
          <t>#KALK!</t>
        </is>
      </c>
      <c r="G4801" t="inlineStr">
        <is>
          <t>LASTSCHUETZ</t>
        </is>
      </c>
      <c r="H4801" t="inlineStr">
        <is>
          <t>4kW 1S</t>
        </is>
      </c>
      <c r="I4801">
        <v>475</v>
      </c>
      <c r="J4801">
        <f>GS13/233.6</f>
        <v>0</v>
      </c>
      <c r="M4801" t="inlineStr">
        <is>
          <t>-23373.5</t>
        </is>
      </c>
    </row>
    <row r="4802">
      <c r="A4802">
        <v>4801</v>
      </c>
      <c r="B4802">
        <f>GS36</f>
        <v>0</v>
      </c>
      <c r="C4802" t="inlineStr">
        <is>
          <t>+LS05</t>
        </is>
      </c>
      <c r="D4802" t="inlineStr">
        <is>
          <t>-255K164.0</t>
        </is>
      </c>
      <c r="E4802" t="inlineStr">
        <is>
          <t>DILA-40</t>
        </is>
      </c>
      <c r="F4802" t="inlineStr">
        <is>
          <t>#KALK!</t>
        </is>
      </c>
      <c r="G4802" t="inlineStr">
        <is>
          <t>HILFSSCHUETZ</t>
        </is>
      </c>
      <c r="H4802" t="inlineStr">
        <is>
          <t>4S Federzugkl.</t>
        </is>
      </c>
      <c r="I4802">
        <v>428</v>
      </c>
      <c r="J4802">
        <f>GS36/255.7</f>
        <v>0</v>
      </c>
      <c r="M4802" t="inlineStr">
        <is>
          <t>-255K164.0</t>
        </is>
      </c>
    </row>
    <row r="4803">
      <c r="A4803">
        <v>4802</v>
      </c>
      <c r="B4803">
        <f>GS38</f>
        <v>0</v>
      </c>
      <c r="C4803" t="inlineStr">
        <is>
          <t>+LS04</t>
        </is>
      </c>
      <c r="D4803" t="inlineStr">
        <is>
          <t>-233K1</t>
        </is>
      </c>
      <c r="E4803" t="inlineStr">
        <is>
          <t>DILM-9-01</t>
        </is>
      </c>
      <c r="F4803" t="inlineStr">
        <is>
          <t>#KALK!</t>
        </is>
      </c>
      <c r="G4803" t="inlineStr">
        <is>
          <t>LASTSCHUETZ</t>
        </is>
      </c>
      <c r="H4803" t="inlineStr">
        <is>
          <t>4kW 1Oe Federzugkl.</t>
        </is>
      </c>
      <c r="I4803">
        <v>403</v>
      </c>
      <c r="J4803">
        <f>GS38/233.5</f>
        <v>0</v>
      </c>
      <c r="M4803" t="inlineStr">
        <is>
          <t>-233K1</t>
        </is>
      </c>
    </row>
    <row r="4804">
      <c r="A4804">
        <v>4803</v>
      </c>
      <c r="B4804">
        <f>GS39</f>
        <v>0</v>
      </c>
      <c r="C4804" t="inlineStr">
        <is>
          <t>+LS04</t>
        </is>
      </c>
      <c r="D4804" t="inlineStr">
        <is>
          <t>-233K1</t>
        </is>
      </c>
      <c r="E4804" t="inlineStr">
        <is>
          <t>DILM-9-01</t>
        </is>
      </c>
      <c r="F4804" t="inlineStr">
        <is>
          <t>#KALK!</t>
        </is>
      </c>
      <c r="G4804" t="inlineStr">
        <is>
          <t>LASTSCHUETZ</t>
        </is>
      </c>
      <c r="H4804" t="inlineStr">
        <is>
          <t>4kW 1Oe Federzugkl.</t>
        </is>
      </c>
      <c r="I4804">
        <v>1153</v>
      </c>
      <c r="J4804">
        <f>GS39/233.5</f>
        <v>0</v>
      </c>
      <c r="M4804" t="inlineStr">
        <is>
          <t>-233K1</t>
        </is>
      </c>
    </row>
    <row r="4805">
      <c r="A4805">
        <v>4804</v>
      </c>
      <c r="B4805">
        <f>GS36</f>
        <v>0</v>
      </c>
      <c r="C4805" t="inlineStr">
        <is>
          <t>+LS05</t>
        </is>
      </c>
      <c r="D4805" t="inlineStr">
        <is>
          <t>-258Q164.3</t>
        </is>
      </c>
      <c r="E4805" t="inlineStr">
        <is>
          <t>DILMC12-10(24VDC)</t>
        </is>
      </c>
      <c r="F4805" t="inlineStr">
        <is>
          <t>#KALK!</t>
        </is>
      </c>
      <c r="G4805" t="inlineStr">
        <is>
          <t>LASTSCHUETZ</t>
        </is>
      </c>
      <c r="H4805" t="inlineStr">
        <is>
          <t>5,5kW 1S Federzugkl.</t>
        </is>
      </c>
      <c r="I4805">
        <v>431</v>
      </c>
      <c r="J4805">
        <f>GS36/258.5</f>
        <v>0</v>
      </c>
      <c r="K4805" t="inlineStr">
        <is>
          <t>DIL MC12</t>
        </is>
      </c>
      <c r="L4805" t="inlineStr">
        <is>
          <t>HT_3202</t>
        </is>
      </c>
      <c r="M4805" t="inlineStr">
        <is>
          <t>HT_3202
-258Q164.3</t>
        </is>
      </c>
      <c r="N4805" t="inlineStr">
        <is>
          <t>P</t>
        </is>
      </c>
    </row>
    <row r="4806">
      <c r="A4806">
        <v>4805</v>
      </c>
      <c r="B4806">
        <f>GS38</f>
        <v>0</v>
      </c>
      <c r="C4806" t="inlineStr">
        <is>
          <t>+LS04</t>
        </is>
      </c>
      <c r="D4806" t="inlineStr">
        <is>
          <t>-233K2</t>
        </is>
      </c>
      <c r="E4806" t="inlineStr">
        <is>
          <t>DILM-9-01</t>
        </is>
      </c>
      <c r="F4806" t="inlineStr">
        <is>
          <t>#KALK!</t>
        </is>
      </c>
      <c r="G4806" t="inlineStr">
        <is>
          <t>LASTSCHUETZ</t>
        </is>
      </c>
      <c r="H4806" t="inlineStr">
        <is>
          <t>4kW 1Oe Federzugkl.</t>
        </is>
      </c>
      <c r="I4806">
        <v>403</v>
      </c>
      <c r="J4806">
        <f>GS38/233.6</f>
        <v>0</v>
      </c>
      <c r="M4806" t="inlineStr">
        <is>
          <t>-233K2</t>
        </is>
      </c>
    </row>
    <row r="4807">
      <c r="A4807">
        <v>4806</v>
      </c>
      <c r="B4807">
        <f>GS39</f>
        <v>0</v>
      </c>
      <c r="C4807" t="inlineStr">
        <is>
          <t>+LS04</t>
        </is>
      </c>
      <c r="D4807" t="inlineStr">
        <is>
          <t>-233K2</t>
        </is>
      </c>
      <c r="E4807" t="inlineStr">
        <is>
          <t>DILM-9-01</t>
        </is>
      </c>
      <c r="F4807" t="inlineStr">
        <is>
          <t>#KALK!</t>
        </is>
      </c>
      <c r="G4807" t="inlineStr">
        <is>
          <t>LASTSCHUETZ</t>
        </is>
      </c>
      <c r="H4807" t="inlineStr">
        <is>
          <t>4kW 1Oe Federzugkl.</t>
        </is>
      </c>
      <c r="I4807">
        <v>1153</v>
      </c>
      <c r="J4807">
        <f>GS39/233.6</f>
        <v>0</v>
      </c>
      <c r="M4807" t="inlineStr">
        <is>
          <t>-233K2</t>
        </is>
      </c>
    </row>
    <row r="4808">
      <c r="A4808">
        <v>4807</v>
      </c>
      <c r="B4808">
        <f>GS34</f>
        <v>0</v>
      </c>
      <c r="C4808" t="inlineStr">
        <is>
          <t>+LS4</t>
        </is>
      </c>
      <c r="D4808" t="inlineStr">
        <is>
          <t>-233K34.4</t>
        </is>
      </c>
      <c r="E4808" t="inlineStr">
        <is>
          <t>DIL_EM-10-G</t>
        </is>
      </c>
      <c r="F4808" t="inlineStr">
        <is>
          <t>#KALK!</t>
        </is>
      </c>
      <c r="G4808" t="inlineStr">
        <is>
          <t>LASTSCHUETZ</t>
        </is>
      </c>
      <c r="H4808" t="inlineStr">
        <is>
          <t>4kW 1S</t>
        </is>
      </c>
      <c r="I4808">
        <v>357</v>
      </c>
      <c r="J4808">
        <f>GS34/233.7</f>
        <v>0</v>
      </c>
      <c r="M4808" t="inlineStr">
        <is>
          <t>-233K34.4</t>
        </is>
      </c>
    </row>
    <row r="4809">
      <c r="A4809">
        <v>4808</v>
      </c>
      <c r="B4809">
        <f>GS33</f>
        <v>0</v>
      </c>
      <c r="C4809" t="inlineStr">
        <is>
          <t>+LS4</t>
        </is>
      </c>
      <c r="D4809" t="inlineStr">
        <is>
          <t>-233K35.3</t>
        </is>
      </c>
      <c r="E4809" t="inlineStr">
        <is>
          <t>DIL_EM-10-G</t>
        </is>
      </c>
      <c r="F4809" t="inlineStr">
        <is>
          <t>#KALK!</t>
        </is>
      </c>
      <c r="G4809" t="inlineStr">
        <is>
          <t>LASTSCHUETZ</t>
        </is>
      </c>
      <c r="H4809" t="inlineStr">
        <is>
          <t>4kW 1S</t>
        </is>
      </c>
      <c r="I4809">
        <v>672</v>
      </c>
      <c r="J4809">
        <f>GS33/233.7</f>
        <v>0</v>
      </c>
      <c r="M4809" t="inlineStr">
        <is>
          <t>-233K35.3</t>
        </is>
      </c>
    </row>
    <row r="4810">
      <c r="A4810">
        <v>4809</v>
      </c>
      <c r="B4810">
        <f>GS01</f>
        <v>0</v>
      </c>
      <c r="C4810" t="inlineStr">
        <is>
          <t>+LS5</t>
        </is>
      </c>
      <c r="D4810" t="inlineStr">
        <is>
          <t>-233K46.0</t>
        </is>
      </c>
      <c r="E4810" t="inlineStr">
        <is>
          <t>DIL_EM-10-G</t>
        </is>
      </c>
      <c r="F4810" t="inlineStr">
        <is>
          <t>#KALK!</t>
        </is>
      </c>
      <c r="G4810" t="inlineStr">
        <is>
          <t>LASTSCHUETZ</t>
        </is>
      </c>
      <c r="H4810" t="inlineStr">
        <is>
          <t>4kW 1S</t>
        </is>
      </c>
      <c r="I4810">
        <v>396</v>
      </c>
      <c r="J4810">
        <f>GS01/233.6</f>
        <v>0</v>
      </c>
      <c r="M4810" t="inlineStr">
        <is>
          <t>-233K46.0</t>
        </is>
      </c>
    </row>
    <row r="4811">
      <c r="A4811">
        <v>4810</v>
      </c>
      <c r="B4811">
        <f>GS01</f>
        <v>0</v>
      </c>
      <c r="C4811" t="inlineStr">
        <is>
          <t>+LS5</t>
        </is>
      </c>
      <c r="D4811" t="inlineStr">
        <is>
          <t>-233K46.1</t>
        </is>
      </c>
      <c r="E4811" t="inlineStr">
        <is>
          <t>DIL_EM-10-G</t>
        </is>
      </c>
      <c r="F4811" t="inlineStr">
        <is>
          <t>#KALK!</t>
        </is>
      </c>
      <c r="G4811" t="inlineStr">
        <is>
          <t>LASTSCHUETZ</t>
        </is>
      </c>
      <c r="H4811" t="inlineStr">
        <is>
          <t>4kW 1S</t>
        </is>
      </c>
      <c r="I4811">
        <v>396</v>
      </c>
      <c r="J4811">
        <f>GS01/233.6</f>
        <v>0</v>
      </c>
      <c r="M4811" t="inlineStr">
        <is>
          <t>-233K46.1</t>
        </is>
      </c>
    </row>
    <row r="4812">
      <c r="A4812">
        <v>4811</v>
      </c>
      <c r="B4812">
        <f>GS04</f>
        <v>0</v>
      </c>
      <c r="C4812" t="inlineStr">
        <is>
          <t>+LS5</t>
        </is>
      </c>
      <c r="D4812" t="inlineStr">
        <is>
          <t>-233K48.0</t>
        </is>
      </c>
      <c r="E4812" t="inlineStr">
        <is>
          <t>DIL_EM-10-G</t>
        </is>
      </c>
      <c r="F4812" t="inlineStr">
        <is>
          <t>#KALK!</t>
        </is>
      </c>
      <c r="G4812" t="inlineStr">
        <is>
          <t>LASTSCHUETZ</t>
        </is>
      </c>
      <c r="H4812" t="inlineStr">
        <is>
          <t>4kW 1S</t>
        </is>
      </c>
      <c r="I4812">
        <v>484</v>
      </c>
      <c r="J4812">
        <f>GS04/233.6</f>
        <v>0</v>
      </c>
      <c r="M4812" t="inlineStr">
        <is>
          <t>-233K48.0</t>
        </is>
      </c>
    </row>
    <row r="4813">
      <c r="A4813">
        <v>4812</v>
      </c>
      <c r="B4813">
        <f>GS04</f>
        <v>0</v>
      </c>
      <c r="C4813" t="inlineStr">
        <is>
          <t>+LS5</t>
        </is>
      </c>
      <c r="D4813" t="inlineStr">
        <is>
          <t>-233K48.1</t>
        </is>
      </c>
      <c r="E4813" t="inlineStr">
        <is>
          <t>DIL_EM-10-G</t>
        </is>
      </c>
      <c r="F4813" t="inlineStr">
        <is>
          <t>#KALK!</t>
        </is>
      </c>
      <c r="G4813" t="inlineStr">
        <is>
          <t>LASTSCHUETZ</t>
        </is>
      </c>
      <c r="H4813" t="inlineStr">
        <is>
          <t>4kW 1S</t>
        </is>
      </c>
      <c r="I4813">
        <v>484</v>
      </c>
      <c r="J4813">
        <f>GS04/233.6</f>
        <v>0</v>
      </c>
      <c r="M4813" t="inlineStr">
        <is>
          <t>-233K48.1</t>
        </is>
      </c>
    </row>
    <row r="4814">
      <c r="A4814">
        <v>4813</v>
      </c>
      <c r="B4814">
        <f>GS23</f>
        <v>0</v>
      </c>
      <c r="C4814" t="inlineStr">
        <is>
          <t>+LS4</t>
        </is>
      </c>
      <c r="D4814" t="inlineStr">
        <is>
          <t>-233K73.4</t>
        </is>
      </c>
      <c r="E4814" t="inlineStr">
        <is>
          <t>DIL_EM-10-G</t>
        </is>
      </c>
      <c r="F4814" t="inlineStr">
        <is>
          <t>#KALK!</t>
        </is>
      </c>
      <c r="G4814" t="inlineStr">
        <is>
          <t>LASTSCHUETZ</t>
        </is>
      </c>
      <c r="H4814" t="inlineStr">
        <is>
          <t>4kW 1S</t>
        </is>
      </c>
      <c r="I4814">
        <v>534</v>
      </c>
      <c r="J4814">
        <f>GS23/233.6</f>
        <v>0</v>
      </c>
      <c r="M4814" t="inlineStr">
        <is>
          <t>-233K73.4</t>
        </is>
      </c>
    </row>
    <row r="4815">
      <c r="A4815">
        <v>4814</v>
      </c>
      <c r="B4815">
        <f>GS23</f>
        <v>0</v>
      </c>
      <c r="C4815" t="inlineStr">
        <is>
          <t>+LS4</t>
        </is>
      </c>
      <c r="D4815" t="inlineStr">
        <is>
          <t>-233K73.5</t>
        </is>
      </c>
      <c r="E4815" t="inlineStr">
        <is>
          <t>DIL_EM-10-G</t>
        </is>
      </c>
      <c r="F4815" t="inlineStr">
        <is>
          <t>#KALK!</t>
        </is>
      </c>
      <c r="G4815" t="inlineStr">
        <is>
          <t>LASTSCHUETZ</t>
        </is>
      </c>
      <c r="H4815" t="inlineStr">
        <is>
          <t>4kW 1S</t>
        </is>
      </c>
      <c r="I4815">
        <v>534</v>
      </c>
      <c r="J4815">
        <f>GS23/233.6</f>
        <v>0</v>
      </c>
      <c r="M4815" t="inlineStr">
        <is>
          <t>-233K73.5</t>
        </is>
      </c>
    </row>
    <row r="4816">
      <c r="A4816">
        <v>4815</v>
      </c>
      <c r="B4816">
        <f>GC03</f>
        <v>0</v>
      </c>
      <c r="C4816" t="inlineStr">
        <is>
          <t>+LS5</t>
        </is>
      </c>
      <c r="D4816" t="inlineStr">
        <is>
          <t>-233K88.0</t>
        </is>
      </c>
      <c r="E4816" t="inlineStr">
        <is>
          <t>DIL_EM-10-G</t>
        </is>
      </c>
      <c r="F4816" t="inlineStr">
        <is>
          <t>#KALK!</t>
        </is>
      </c>
      <c r="G4816" t="inlineStr">
        <is>
          <t>LASTSCHUETZ</t>
        </is>
      </c>
      <c r="H4816" t="inlineStr">
        <is>
          <t>4kW 1S</t>
        </is>
      </c>
      <c r="I4816">
        <v>567</v>
      </c>
      <c r="J4816">
        <f>GC03/233.6</f>
        <v>0</v>
      </c>
      <c r="M4816" t="inlineStr">
        <is>
          <t>-233K88.0</t>
        </is>
      </c>
    </row>
    <row r="4817">
      <c r="A4817">
        <v>4816</v>
      </c>
      <c r="B4817">
        <f>GS91</f>
        <v>0</v>
      </c>
      <c r="C4817" t="inlineStr">
        <is>
          <t>+LS03</t>
        </is>
      </c>
      <c r="D4817" t="inlineStr">
        <is>
          <t>-233Q159.0</t>
        </is>
      </c>
      <c r="E4817" t="inlineStr">
        <is>
          <t>DILM-9-10</t>
        </is>
      </c>
      <c r="F4817" t="inlineStr">
        <is>
          <t>#KALK!</t>
        </is>
      </c>
      <c r="G4817" t="inlineStr">
        <is>
          <t>LASTSCHUETZ</t>
        </is>
      </c>
      <c r="H4817" t="inlineStr">
        <is>
          <t>4kW 1S Federzugkl.</t>
        </is>
      </c>
      <c r="I4817">
        <v>381</v>
      </c>
      <c r="J4817">
        <f>GS91/233.5</f>
        <v>0</v>
      </c>
      <c r="M4817" t="inlineStr">
        <is>
          <t>-233Q159.0</t>
        </is>
      </c>
    </row>
    <row r="4818">
      <c r="A4818">
        <v>4817</v>
      </c>
      <c r="B4818">
        <f>GS92</f>
        <v>0</v>
      </c>
      <c r="C4818" t="inlineStr">
        <is>
          <t>+LS03</t>
        </is>
      </c>
      <c r="D4818" t="inlineStr">
        <is>
          <t>-233Q174.3</t>
        </is>
      </c>
      <c r="E4818" t="inlineStr">
        <is>
          <t>DILM-9-10</t>
        </is>
      </c>
      <c r="F4818" t="inlineStr">
        <is>
          <t>#KALK!</t>
        </is>
      </c>
      <c r="G4818" t="inlineStr">
        <is>
          <t>LASTSCHUETZ</t>
        </is>
      </c>
      <c r="H4818" t="inlineStr">
        <is>
          <t>4kW 1S Federzugkl.</t>
        </is>
      </c>
      <c r="I4818">
        <v>379</v>
      </c>
      <c r="J4818">
        <f>GS92/233.5</f>
        <v>0</v>
      </c>
      <c r="M4818" t="inlineStr">
        <is>
          <t>-233Q174.3</t>
        </is>
      </c>
    </row>
    <row r="4819">
      <c r="A4819">
        <v>4818</v>
      </c>
      <c r="B4819">
        <f>GS93</f>
        <v>0</v>
      </c>
      <c r="C4819" t="inlineStr">
        <is>
          <t>+LS03</t>
        </is>
      </c>
      <c r="D4819" t="inlineStr">
        <is>
          <t>-233Q174.3</t>
        </is>
      </c>
      <c r="E4819" t="inlineStr">
        <is>
          <t>DILM-9-10</t>
        </is>
      </c>
      <c r="F4819" t="inlineStr">
        <is>
          <t>#KALK!</t>
        </is>
      </c>
      <c r="G4819" t="inlineStr">
        <is>
          <t>LASTSCHUETZ</t>
        </is>
      </c>
      <c r="H4819" t="inlineStr">
        <is>
          <t>4kW 1S Federzugkl.</t>
        </is>
      </c>
      <c r="I4819">
        <v>787</v>
      </c>
      <c r="J4819">
        <f>GS93/233.5</f>
        <v>0</v>
      </c>
      <c r="M4819" t="inlineStr">
        <is>
          <t>-233Q174.3</t>
        </is>
      </c>
    </row>
    <row r="4820">
      <c r="A4820">
        <v>4819</v>
      </c>
      <c r="B4820">
        <f>GS37</f>
        <v>0</v>
      </c>
      <c r="C4820" t="inlineStr">
        <is>
          <t>+LS04</t>
        </is>
      </c>
      <c r="D4820" t="inlineStr">
        <is>
          <t>-233Q441.3</t>
        </is>
      </c>
      <c r="E4820" t="inlineStr">
        <is>
          <t>DILM-9-10</t>
        </is>
      </c>
      <c r="F4820" t="inlineStr">
        <is>
          <t>#KALK!</t>
        </is>
      </c>
      <c r="G4820" t="inlineStr">
        <is>
          <t>LASTSCHUETZ</t>
        </is>
      </c>
      <c r="H4820" t="inlineStr">
        <is>
          <t>4kW 1S Federzugkl.</t>
        </is>
      </c>
      <c r="I4820">
        <v>374</v>
      </c>
      <c r="J4820">
        <f>GS37/233.6</f>
        <v>0</v>
      </c>
      <c r="M4820" t="inlineStr">
        <is>
          <t>-233Q441.3</t>
        </is>
      </c>
    </row>
    <row r="4821">
      <c r="A4821">
        <v>4820</v>
      </c>
      <c r="B4821">
        <f>GS13</f>
        <v>0</v>
      </c>
      <c r="C4821" t="inlineStr">
        <is>
          <t>+LS4</t>
        </is>
      </c>
      <c r="D4821" t="inlineStr">
        <is>
          <t>-23473.6</t>
        </is>
      </c>
      <c r="E4821" t="inlineStr">
        <is>
          <t>DIL_EM-10-G</t>
        </is>
      </c>
      <c r="F4821" t="inlineStr">
        <is>
          <t>#KALK!</t>
        </is>
      </c>
      <c r="G4821" t="inlineStr">
        <is>
          <t>LASTSCHUETZ</t>
        </is>
      </c>
      <c r="H4821" t="inlineStr">
        <is>
          <t>4kW 1S</t>
        </is>
      </c>
      <c r="I4821">
        <v>476</v>
      </c>
      <c r="J4821">
        <f>GS13/234.6</f>
        <v>0</v>
      </c>
      <c r="M4821" t="inlineStr">
        <is>
          <t>-23473.6</t>
        </is>
      </c>
    </row>
    <row r="4822">
      <c r="A4822">
        <v>4821</v>
      </c>
      <c r="B4822">
        <f>GS13</f>
        <v>0</v>
      </c>
      <c r="C4822" t="inlineStr">
        <is>
          <t>+LS4</t>
        </is>
      </c>
      <c r="D4822" t="inlineStr">
        <is>
          <t>-23473.7</t>
        </is>
      </c>
      <c r="E4822" t="inlineStr">
        <is>
          <t>DIL_EM-10-G</t>
        </is>
      </c>
      <c r="F4822" t="inlineStr">
        <is>
          <t>#KALK!</t>
        </is>
      </c>
      <c r="G4822" t="inlineStr">
        <is>
          <t>LASTSCHUETZ</t>
        </is>
      </c>
      <c r="H4822" t="inlineStr">
        <is>
          <t>4kW 1S</t>
        </is>
      </c>
      <c r="I4822">
        <v>476</v>
      </c>
      <c r="J4822">
        <f>GS13/234.6</f>
        <v>0</v>
      </c>
      <c r="M4822" t="inlineStr">
        <is>
          <t>-23473.7</t>
        </is>
      </c>
    </row>
    <row r="4823">
      <c r="A4823">
        <v>4822</v>
      </c>
      <c r="B4823">
        <f>GS25</f>
        <v>0</v>
      </c>
      <c r="C4823" t="inlineStr">
        <is>
          <t>+LS5</t>
        </is>
      </c>
      <c r="D4823" t="inlineStr">
        <is>
          <t>-234K1</t>
        </is>
      </c>
      <c r="E4823" t="inlineStr">
        <is>
          <t>DIL_0AM</t>
        </is>
      </c>
      <c r="F4823" t="inlineStr">
        <is>
          <t>22_DIL-M</t>
        </is>
      </c>
      <c r="G4823" t="inlineStr">
        <is>
          <t>LASTSCHUETZ</t>
        </is>
      </c>
      <c r="H4823" t="inlineStr">
        <is>
          <t>11 kW</t>
        </is>
      </c>
      <c r="I4823">
        <v>355</v>
      </c>
      <c r="J4823">
        <f>GS25/234.2</f>
        <v>0</v>
      </c>
      <c r="K4823" t="inlineStr">
        <is>
          <t>DIL0AM</t>
        </is>
      </c>
      <c r="M4823" t="inlineStr">
        <is>
          <t>-234K1</t>
        </is>
      </c>
    </row>
    <row r="4824">
      <c r="A4824">
        <v>4823</v>
      </c>
      <c r="B4824">
        <f>GS25</f>
        <v>0</v>
      </c>
      <c r="C4824" t="inlineStr">
        <is>
          <t>+LS5</t>
        </is>
      </c>
      <c r="D4824" t="inlineStr">
        <is>
          <t>-234K1</t>
        </is>
      </c>
      <c r="E4824" t="inlineStr">
        <is>
          <t>22_DIL-M</t>
        </is>
      </c>
      <c r="F4824" t="inlineStr">
        <is>
          <t>22_DIL-M</t>
        </is>
      </c>
      <c r="G4824" t="inlineStr">
        <is>
          <t>HILFSKONTAKTBLOCK</t>
        </is>
      </c>
      <c r="H4824" t="inlineStr">
        <is>
          <t>2S 2OE Lastschuetz DIL M</t>
        </is>
      </c>
      <c r="I4824">
        <v>355</v>
      </c>
      <c r="J4824">
        <f>GS25/234.2</f>
        <v>0</v>
      </c>
      <c r="K4824" t="inlineStr">
        <is>
          <t>DIL0AM</t>
        </is>
      </c>
      <c r="M4824" t="inlineStr">
        <is>
          <t>-234K1</t>
        </is>
      </c>
    </row>
    <row r="4825">
      <c r="A4825">
        <v>4824</v>
      </c>
      <c r="B4825">
        <f>GS52</f>
        <v>0</v>
      </c>
      <c r="C4825" t="inlineStr">
        <is>
          <t>+LS03</t>
        </is>
      </c>
      <c r="D4825" t="inlineStr">
        <is>
          <t>-234K1</t>
        </is>
      </c>
      <c r="E4825" t="inlineStr">
        <is>
          <t>DILA-40</t>
        </is>
      </c>
      <c r="F4825" t="inlineStr">
        <is>
          <t>#KALK!</t>
        </is>
      </c>
      <c r="G4825" t="inlineStr">
        <is>
          <t>HILFSSCHUETZ</t>
        </is>
      </c>
      <c r="H4825" t="inlineStr">
        <is>
          <t>4S Federzugkl.</t>
        </is>
      </c>
      <c r="I4825">
        <v>1699</v>
      </c>
      <c r="J4825">
        <f>GS52/234.7</f>
        <v>0</v>
      </c>
      <c r="M4825" t="inlineStr">
        <is>
          <t>-234K1</t>
        </is>
      </c>
    </row>
    <row r="4826">
      <c r="A4826">
        <v>4825</v>
      </c>
      <c r="B4826">
        <f>GS52</f>
        <v>0</v>
      </c>
      <c r="C4826" t="inlineStr">
        <is>
          <t>+LS03</t>
        </is>
      </c>
      <c r="D4826" t="inlineStr">
        <is>
          <t>-234K123.1</t>
        </is>
      </c>
      <c r="E4826" t="inlineStr">
        <is>
          <t>DILA-22</t>
        </is>
      </c>
      <c r="F4826" t="inlineStr">
        <is>
          <t>#KALK!</t>
        </is>
      </c>
      <c r="G4826" t="inlineStr">
        <is>
          <t>HILFSSCHUETZ</t>
        </is>
      </c>
      <c r="H4826" t="inlineStr">
        <is>
          <t>2S 2Oe Federzugkl.</t>
        </is>
      </c>
      <c r="I4826">
        <v>1699</v>
      </c>
      <c r="J4826">
        <f>GS52/234.5</f>
        <v>0</v>
      </c>
      <c r="M4826" t="inlineStr">
        <is>
          <t>-234K123.1</t>
        </is>
      </c>
    </row>
    <row r="4827">
      <c r="A4827">
        <v>4826</v>
      </c>
      <c r="B4827">
        <f>GS34</f>
        <v>0</v>
      </c>
      <c r="C4827" t="inlineStr">
        <is>
          <t>+LS4</t>
        </is>
      </c>
      <c r="D4827" t="inlineStr">
        <is>
          <t>-234K35.0</t>
        </is>
      </c>
      <c r="E4827" t="inlineStr">
        <is>
          <t>DIL_EM-10-G</t>
        </is>
      </c>
      <c r="F4827" t="inlineStr">
        <is>
          <t>#KALK!</t>
        </is>
      </c>
      <c r="G4827" t="inlineStr">
        <is>
          <t>LASTSCHUETZ</t>
        </is>
      </c>
      <c r="H4827" t="inlineStr">
        <is>
          <t>4kW 1S</t>
        </is>
      </c>
      <c r="I4827">
        <v>358</v>
      </c>
      <c r="J4827">
        <f>GS34/234.7</f>
        <v>0</v>
      </c>
      <c r="M4827" t="inlineStr">
        <is>
          <t>-234K35.0</t>
        </is>
      </c>
    </row>
    <row r="4828">
      <c r="A4828">
        <v>4827</v>
      </c>
      <c r="B4828">
        <f>GS16</f>
        <v>0</v>
      </c>
      <c r="C4828" t="inlineStr">
        <is>
          <t>+ES3</t>
        </is>
      </c>
      <c r="D4828" t="inlineStr">
        <is>
          <t>-234K3800.0</t>
        </is>
      </c>
      <c r="E4828" t="inlineStr">
        <is>
          <t>DIL_ER-40-G</t>
        </is>
      </c>
      <c r="F4828" t="inlineStr">
        <is>
          <t>40_DIL-E</t>
        </is>
      </c>
      <c r="G4828" t="inlineStr">
        <is>
          <t>HILFSSCHUETZ</t>
        </is>
      </c>
      <c r="H4828" t="inlineStr">
        <is>
          <t>4S</t>
        </is>
      </c>
      <c r="I4828">
        <v>459</v>
      </c>
      <c r="J4828">
        <f>GS16/234.6</f>
        <v>0</v>
      </c>
      <c r="M4828" t="inlineStr">
        <is>
          <t>-234K3800.0</t>
        </is>
      </c>
    </row>
    <row r="4829">
      <c r="A4829">
        <v>4828</v>
      </c>
      <c r="B4829">
        <f>GS16</f>
        <v>0</v>
      </c>
      <c r="C4829" t="inlineStr">
        <is>
          <t>+ES3</t>
        </is>
      </c>
      <c r="D4829" t="inlineStr">
        <is>
          <t>-234K3800.0</t>
        </is>
      </c>
      <c r="E4829" t="inlineStr">
        <is>
          <t>40_DIL-E</t>
        </is>
      </c>
      <c r="F4829" t="inlineStr">
        <is>
          <t>40_DIL-E</t>
        </is>
      </c>
      <c r="G4829" t="inlineStr">
        <is>
          <t>HILFSKONTAKTBLOCK</t>
        </is>
      </c>
      <c r="H4829" t="inlineStr">
        <is>
          <t>4S Last+Hilfsschuetz</t>
        </is>
      </c>
      <c r="I4829">
        <v>459</v>
      </c>
      <c r="J4829">
        <f>GS16/234.6</f>
        <v>0</v>
      </c>
      <c r="M4829" t="inlineStr">
        <is>
          <t>-234K3800.0</t>
        </is>
      </c>
    </row>
    <row r="4830">
      <c r="A4830">
        <v>4829</v>
      </c>
      <c r="B4830">
        <f>GS16</f>
        <v>0</v>
      </c>
      <c r="C4830" t="inlineStr">
        <is>
          <t>+ES3</t>
        </is>
      </c>
      <c r="D4830" t="inlineStr">
        <is>
          <t>-234K3800.1</t>
        </is>
      </c>
      <c r="E4830" t="inlineStr">
        <is>
          <t>DIL_ER-40-G</t>
        </is>
      </c>
      <c r="F4830" t="inlineStr">
        <is>
          <t>40_DIL-E</t>
        </is>
      </c>
      <c r="G4830" t="inlineStr">
        <is>
          <t>HILFSSCHUETZ</t>
        </is>
      </c>
      <c r="H4830" t="inlineStr">
        <is>
          <t>4S</t>
        </is>
      </c>
      <c r="I4830">
        <v>459</v>
      </c>
      <c r="J4830">
        <f>GS16/234.7</f>
        <v>0</v>
      </c>
      <c r="M4830" t="inlineStr">
        <is>
          <t>-234K3800.1</t>
        </is>
      </c>
    </row>
    <row r="4831">
      <c r="A4831">
        <v>4830</v>
      </c>
      <c r="B4831">
        <f>GS16</f>
        <v>0</v>
      </c>
      <c r="C4831" t="inlineStr">
        <is>
          <t>+ES3</t>
        </is>
      </c>
      <c r="D4831" t="inlineStr">
        <is>
          <t>-234K3800.1</t>
        </is>
      </c>
      <c r="E4831" t="inlineStr">
        <is>
          <t>40_DIL-E</t>
        </is>
      </c>
      <c r="F4831" t="inlineStr">
        <is>
          <t>40_DIL-E</t>
        </is>
      </c>
      <c r="G4831" t="inlineStr">
        <is>
          <t>HILFSKONTAKTBLOCK</t>
        </is>
      </c>
      <c r="H4831" t="inlineStr">
        <is>
          <t>4S Last+Hilfsschuetz</t>
        </is>
      </c>
      <c r="I4831">
        <v>459</v>
      </c>
      <c r="J4831">
        <f>GS16/234.7</f>
        <v>0</v>
      </c>
      <c r="M4831" t="inlineStr">
        <is>
          <t>-234K3800.1</t>
        </is>
      </c>
    </row>
    <row r="4832">
      <c r="A4832">
        <v>4831</v>
      </c>
      <c r="B4832">
        <f>GS31</f>
        <v>0</v>
      </c>
      <c r="C4832" t="inlineStr">
        <is>
          <t>+ES2</t>
        </is>
      </c>
      <c r="D4832" t="inlineStr">
        <is>
          <t>-234K44.0</t>
        </is>
      </c>
      <c r="E4832" t="inlineStr">
        <is>
          <t>40_DIL-E</t>
        </is>
      </c>
      <c r="F4832" t="inlineStr">
        <is>
          <t>40_DIL-E</t>
        </is>
      </c>
      <c r="G4832" t="inlineStr">
        <is>
          <t>HILFSKONTAKTBLOCK</t>
        </is>
      </c>
      <c r="H4832" t="inlineStr">
        <is>
          <t>4S Last+Hilfsschuetz</t>
        </is>
      </c>
      <c r="I4832">
        <v>524</v>
      </c>
      <c r="J4832">
        <f>GS31/234.6</f>
        <v>0</v>
      </c>
      <c r="M4832" t="inlineStr">
        <is>
          <t>-234K44.0</t>
        </is>
      </c>
    </row>
    <row r="4833">
      <c r="A4833">
        <v>4832</v>
      </c>
      <c r="B4833">
        <f>GS31</f>
        <v>0</v>
      </c>
      <c r="C4833" t="inlineStr">
        <is>
          <t>+ES2</t>
        </is>
      </c>
      <c r="D4833" t="inlineStr">
        <is>
          <t>-234K44.0</t>
        </is>
      </c>
      <c r="E4833" t="inlineStr">
        <is>
          <t>DIL_ER-40-G</t>
        </is>
      </c>
      <c r="F4833" t="inlineStr">
        <is>
          <t>40_DIL-E</t>
        </is>
      </c>
      <c r="G4833" t="inlineStr">
        <is>
          <t>HILFSSCHUETZ</t>
        </is>
      </c>
      <c r="H4833" t="inlineStr">
        <is>
          <t>4S</t>
        </is>
      </c>
      <c r="I4833">
        <v>524</v>
      </c>
      <c r="J4833">
        <f>GS31/234.6</f>
        <v>0</v>
      </c>
      <c r="M4833" t="inlineStr">
        <is>
          <t>-234K44.0</t>
        </is>
      </c>
    </row>
    <row r="4834">
      <c r="A4834">
        <v>4833</v>
      </c>
      <c r="B4834">
        <f>GS31</f>
        <v>0</v>
      </c>
      <c r="C4834" t="inlineStr">
        <is>
          <t>+ES2</t>
        </is>
      </c>
      <c r="D4834" t="inlineStr">
        <is>
          <t>-234K44.1</t>
        </is>
      </c>
      <c r="E4834" t="inlineStr">
        <is>
          <t>40_DIL-E</t>
        </is>
      </c>
      <c r="F4834" t="inlineStr">
        <is>
          <t>40_DIL-E</t>
        </is>
      </c>
      <c r="G4834" t="inlineStr">
        <is>
          <t>HILFSKONTAKTBLOCK</t>
        </is>
      </c>
      <c r="H4834" t="inlineStr">
        <is>
          <t>4S Last+Hilfsschuetz</t>
        </is>
      </c>
      <c r="I4834">
        <v>524</v>
      </c>
      <c r="J4834">
        <f>GS31/234.7</f>
        <v>0</v>
      </c>
      <c r="M4834" t="inlineStr">
        <is>
          <t>-234K44.1</t>
        </is>
      </c>
    </row>
    <row r="4835">
      <c r="A4835">
        <v>4834</v>
      </c>
      <c r="B4835">
        <f>GS31</f>
        <v>0</v>
      </c>
      <c r="C4835" t="inlineStr">
        <is>
          <t>+ES2</t>
        </is>
      </c>
      <c r="D4835" t="inlineStr">
        <is>
          <t>-234K44.1</t>
        </is>
      </c>
      <c r="E4835" t="inlineStr">
        <is>
          <t>DIL_ER-40-G</t>
        </is>
      </c>
      <c r="F4835" t="inlineStr">
        <is>
          <t>40_DIL-E</t>
        </is>
      </c>
      <c r="G4835" t="inlineStr">
        <is>
          <t>HILFSSCHUETZ</t>
        </is>
      </c>
      <c r="H4835" t="inlineStr">
        <is>
          <t>4S</t>
        </is>
      </c>
      <c r="I4835">
        <v>524</v>
      </c>
      <c r="J4835">
        <f>GS31/234.7</f>
        <v>0</v>
      </c>
      <c r="M4835" t="inlineStr">
        <is>
          <t>-234K44.1</t>
        </is>
      </c>
    </row>
    <row r="4836">
      <c r="A4836">
        <v>4835</v>
      </c>
      <c r="B4836">
        <f>GS01</f>
        <v>0</v>
      </c>
      <c r="C4836" t="inlineStr">
        <is>
          <t>+LS5</t>
        </is>
      </c>
      <c r="D4836" t="inlineStr">
        <is>
          <t>-234K46.2</t>
        </is>
      </c>
      <c r="E4836" t="inlineStr">
        <is>
          <t>DIL_EM-10-G</t>
        </is>
      </c>
      <c r="F4836" t="inlineStr">
        <is>
          <t>#KALK!</t>
        </is>
      </c>
      <c r="G4836" t="inlineStr">
        <is>
          <t>LASTSCHUETZ</t>
        </is>
      </c>
      <c r="H4836" t="inlineStr">
        <is>
          <t>4kW 1S</t>
        </is>
      </c>
      <c r="I4836">
        <v>397</v>
      </c>
      <c r="J4836">
        <f>GS01/234.6</f>
        <v>0</v>
      </c>
      <c r="M4836" t="inlineStr">
        <is>
          <t>-234K46.2</t>
        </is>
      </c>
    </row>
    <row r="4837">
      <c r="A4837">
        <v>4836</v>
      </c>
      <c r="B4837">
        <f>GS01</f>
        <v>0</v>
      </c>
      <c r="C4837" t="inlineStr">
        <is>
          <t>+LS5</t>
        </is>
      </c>
      <c r="D4837" t="inlineStr">
        <is>
          <t>-234K46.3</t>
        </is>
      </c>
      <c r="E4837" t="inlineStr">
        <is>
          <t>DIL_EM-10-G</t>
        </is>
      </c>
      <c r="F4837" t="inlineStr">
        <is>
          <t>#KALK!</t>
        </is>
      </c>
      <c r="G4837" t="inlineStr">
        <is>
          <t>LASTSCHUETZ</t>
        </is>
      </c>
      <c r="H4837" t="inlineStr">
        <is>
          <t>4kW 1S</t>
        </is>
      </c>
      <c r="I4837">
        <v>397</v>
      </c>
      <c r="J4837">
        <f>GS01/234.6</f>
        <v>0</v>
      </c>
      <c r="M4837" t="inlineStr">
        <is>
          <t>-234K46.3</t>
        </is>
      </c>
    </row>
    <row r="4838">
      <c r="A4838">
        <v>4837</v>
      </c>
      <c r="B4838">
        <f>GS04</f>
        <v>0</v>
      </c>
      <c r="C4838" t="inlineStr">
        <is>
          <t>+LS5</t>
        </is>
      </c>
      <c r="D4838" t="inlineStr">
        <is>
          <t>-234K48.4</t>
        </is>
      </c>
      <c r="E4838" t="inlineStr">
        <is>
          <t>DIL_EM-10-G</t>
        </is>
      </c>
      <c r="F4838" t="inlineStr">
        <is>
          <t>#KALK!</t>
        </is>
      </c>
      <c r="G4838" t="inlineStr">
        <is>
          <t>LASTSCHUETZ</t>
        </is>
      </c>
      <c r="H4838" t="inlineStr">
        <is>
          <t>4kW 1S</t>
        </is>
      </c>
      <c r="I4838">
        <v>485</v>
      </c>
      <c r="J4838">
        <f>GS04/234.6</f>
        <v>0</v>
      </c>
      <c r="M4838" t="inlineStr">
        <is>
          <t>-234K48.4</t>
        </is>
      </c>
    </row>
    <row r="4839">
      <c r="A4839">
        <v>4838</v>
      </c>
      <c r="B4839">
        <f>GS04</f>
        <v>0</v>
      </c>
      <c r="C4839" t="inlineStr">
        <is>
          <t>+LS5</t>
        </is>
      </c>
      <c r="D4839" t="inlineStr">
        <is>
          <t>-234K48.5</t>
        </is>
      </c>
      <c r="E4839" t="inlineStr">
        <is>
          <t>DIL_EM-10-G</t>
        </is>
      </c>
      <c r="F4839" t="inlineStr">
        <is>
          <t>#KALK!</t>
        </is>
      </c>
      <c r="G4839" t="inlineStr">
        <is>
          <t>LASTSCHUETZ</t>
        </is>
      </c>
      <c r="H4839" t="inlineStr">
        <is>
          <t>4kW 1S</t>
        </is>
      </c>
      <c r="I4839">
        <v>485</v>
      </c>
      <c r="J4839">
        <f>GS04/234.6</f>
        <v>0</v>
      </c>
      <c r="M4839" t="inlineStr">
        <is>
          <t>-234K48.5</t>
        </is>
      </c>
    </row>
    <row r="4840">
      <c r="A4840">
        <v>4839</v>
      </c>
      <c r="B4840">
        <f>GS23</f>
        <v>0</v>
      </c>
      <c r="C4840" t="inlineStr">
        <is>
          <t>+LS4</t>
        </is>
      </c>
      <c r="D4840" t="inlineStr">
        <is>
          <t>-234K73.6</t>
        </is>
      </c>
      <c r="E4840" t="inlineStr">
        <is>
          <t>DIL_EM-10-G</t>
        </is>
      </c>
      <c r="F4840" t="inlineStr">
        <is>
          <t>#KALK!</t>
        </is>
      </c>
      <c r="G4840" t="inlineStr">
        <is>
          <t>LASTSCHUETZ</t>
        </is>
      </c>
      <c r="H4840" t="inlineStr">
        <is>
          <t>4kW 1S</t>
        </is>
      </c>
      <c r="I4840">
        <v>535</v>
      </c>
      <c r="J4840">
        <f>GS23/234.6</f>
        <v>0</v>
      </c>
      <c r="M4840" t="inlineStr">
        <is>
          <t>-234K73.6</t>
        </is>
      </c>
    </row>
    <row r="4841">
      <c r="A4841">
        <v>4840</v>
      </c>
      <c r="B4841">
        <f>GS23</f>
        <v>0</v>
      </c>
      <c r="C4841" t="inlineStr">
        <is>
          <t>+LS4</t>
        </is>
      </c>
      <c r="D4841" t="inlineStr">
        <is>
          <t>-234K73.7</t>
        </is>
      </c>
      <c r="E4841" t="inlineStr">
        <is>
          <t>DIL_EM-10-G</t>
        </is>
      </c>
      <c r="F4841" t="inlineStr">
        <is>
          <t>#KALK!</t>
        </is>
      </c>
      <c r="G4841" t="inlineStr">
        <is>
          <t>LASTSCHUETZ</t>
        </is>
      </c>
      <c r="H4841" t="inlineStr">
        <is>
          <t>4kW 1S</t>
        </is>
      </c>
      <c r="I4841">
        <v>535</v>
      </c>
      <c r="J4841">
        <f>GS23/234.6</f>
        <v>0</v>
      </c>
      <c r="M4841" t="inlineStr">
        <is>
          <t>-234K73.7</t>
        </is>
      </c>
    </row>
    <row r="4842">
      <c r="A4842">
        <v>4841</v>
      </c>
      <c r="B4842">
        <f>GS24</f>
        <v>0</v>
      </c>
      <c r="C4842" t="inlineStr">
        <is>
          <t>+LS5</t>
        </is>
      </c>
      <c r="D4842" t="inlineStr">
        <is>
          <t>-234K84.1</t>
        </is>
      </c>
      <c r="E4842" t="inlineStr">
        <is>
          <t>DIL_EM-10-G</t>
        </is>
      </c>
      <c r="F4842" t="inlineStr">
        <is>
          <t>#KALK!</t>
        </is>
      </c>
      <c r="G4842" t="inlineStr">
        <is>
          <t>LASTSCHUETZ</t>
        </is>
      </c>
      <c r="H4842" t="inlineStr">
        <is>
          <t>4kW 1S</t>
        </is>
      </c>
      <c r="I4842">
        <v>845</v>
      </c>
      <c r="J4842">
        <f>GS24/234.5</f>
        <v>0</v>
      </c>
      <c r="M4842" t="inlineStr">
        <is>
          <t>-234K84.1</t>
        </is>
      </c>
    </row>
    <row r="4843">
      <c r="A4843">
        <v>4842</v>
      </c>
      <c r="B4843">
        <f>GS24</f>
        <v>0</v>
      </c>
      <c r="C4843" t="inlineStr">
        <is>
          <t>+LS5</t>
        </is>
      </c>
      <c r="D4843" t="inlineStr">
        <is>
          <t>-234K84.2</t>
        </is>
      </c>
      <c r="E4843" t="inlineStr">
        <is>
          <t>DIL_EM-10-G</t>
        </is>
      </c>
      <c r="F4843" t="inlineStr">
        <is>
          <t>#KALK!</t>
        </is>
      </c>
      <c r="G4843" t="inlineStr">
        <is>
          <t>LASTSCHUETZ</t>
        </is>
      </c>
      <c r="H4843" t="inlineStr">
        <is>
          <t>4kW 1S</t>
        </is>
      </c>
      <c r="I4843">
        <v>845</v>
      </c>
      <c r="J4843">
        <f>GS24/234.6</f>
        <v>0</v>
      </c>
      <c r="M4843" t="inlineStr">
        <is>
          <t>-234K84.2</t>
        </is>
      </c>
    </row>
    <row r="4844">
      <c r="A4844">
        <v>4843</v>
      </c>
      <c r="B4844">
        <f>GS24</f>
        <v>0</v>
      </c>
      <c r="C4844" t="inlineStr">
        <is>
          <t>+LS5</t>
        </is>
      </c>
      <c r="D4844" t="inlineStr">
        <is>
          <t>-234K84.3</t>
        </is>
      </c>
      <c r="E4844" t="inlineStr">
        <is>
          <t>DIL_EM-01-G</t>
        </is>
      </c>
      <c r="F4844" t="inlineStr">
        <is>
          <t>#KALK!</t>
        </is>
      </c>
      <c r="G4844" t="inlineStr">
        <is>
          <t>LASTSCHUETZ</t>
        </is>
      </c>
      <c r="H4844" t="inlineStr">
        <is>
          <t>4kW 1OE</t>
        </is>
      </c>
      <c r="I4844">
        <v>845</v>
      </c>
      <c r="J4844">
        <f>GS24/234.7</f>
        <v>0</v>
      </c>
      <c r="M4844" t="inlineStr">
        <is>
          <t>-234K84.3</t>
        </is>
      </c>
    </row>
    <row r="4845">
      <c r="A4845">
        <v>4844</v>
      </c>
      <c r="B4845">
        <f>GS24</f>
        <v>0</v>
      </c>
      <c r="C4845" t="inlineStr">
        <is>
          <t>+LS5</t>
        </is>
      </c>
      <c r="D4845" t="inlineStr">
        <is>
          <t>-234K84.4</t>
        </is>
      </c>
      <c r="E4845" t="inlineStr">
        <is>
          <t>DIL_EM-01-G</t>
        </is>
      </c>
      <c r="F4845" t="inlineStr">
        <is>
          <t>#KALK!</t>
        </is>
      </c>
      <c r="G4845" t="inlineStr">
        <is>
          <t>LASTSCHUETZ</t>
        </is>
      </c>
      <c r="H4845" t="inlineStr">
        <is>
          <t>4kW 1OE</t>
        </is>
      </c>
      <c r="I4845">
        <v>845</v>
      </c>
      <c r="J4845">
        <f>GS24/234.8</f>
        <v>0</v>
      </c>
      <c r="M4845" t="inlineStr">
        <is>
          <t>-234K84.4</t>
        </is>
      </c>
    </row>
    <row r="4846">
      <c r="A4846">
        <v>4845</v>
      </c>
      <c r="B4846">
        <f>GC03</f>
        <v>0</v>
      </c>
      <c r="C4846" t="inlineStr">
        <is>
          <t>+LS5</t>
        </is>
      </c>
      <c r="D4846" t="inlineStr">
        <is>
          <t>-234K88.1</t>
        </is>
      </c>
      <c r="E4846" t="inlineStr">
        <is>
          <t>DIL_EM-10-G</t>
        </is>
      </c>
      <c r="F4846" t="inlineStr">
        <is>
          <t>#KALK!</t>
        </is>
      </c>
      <c r="G4846" t="inlineStr">
        <is>
          <t>LASTSCHUETZ</t>
        </is>
      </c>
      <c r="H4846" t="inlineStr">
        <is>
          <t>4kW 1S</t>
        </is>
      </c>
      <c r="I4846">
        <v>638</v>
      </c>
      <c r="J4846">
        <f>GC03/234.6</f>
        <v>0</v>
      </c>
      <c r="M4846" t="inlineStr">
        <is>
          <t>-234K88.1</t>
        </is>
      </c>
    </row>
    <row r="4847">
      <c r="A4847">
        <v>4846</v>
      </c>
      <c r="B4847">
        <f>GC03</f>
        <v>0</v>
      </c>
      <c r="C4847" t="inlineStr">
        <is>
          <t>+LS5</t>
        </is>
      </c>
      <c r="D4847" t="inlineStr">
        <is>
          <t>-234K88.2</t>
        </is>
      </c>
      <c r="E4847" t="inlineStr">
        <is>
          <t>DIL_EM-10-G</t>
        </is>
      </c>
      <c r="F4847" t="inlineStr">
        <is>
          <t>#KALK!</t>
        </is>
      </c>
      <c r="G4847" t="inlineStr">
        <is>
          <t>LASTSCHUETZ</t>
        </is>
      </c>
      <c r="H4847" t="inlineStr">
        <is>
          <t>4kW 1S</t>
        </is>
      </c>
      <c r="I4847">
        <v>638</v>
      </c>
      <c r="J4847">
        <f>GC03/234.6</f>
        <v>0</v>
      </c>
      <c r="M4847" t="inlineStr">
        <is>
          <t>-234K88.2</t>
        </is>
      </c>
    </row>
    <row r="4848">
      <c r="A4848">
        <v>4847</v>
      </c>
      <c r="B4848">
        <f>GS52</f>
        <v>0</v>
      </c>
      <c r="C4848" t="inlineStr">
        <is>
          <t>+LS03</t>
        </is>
      </c>
      <c r="D4848" t="inlineStr">
        <is>
          <t>-234Q1</t>
        </is>
      </c>
      <c r="E4848" t="inlineStr">
        <is>
          <t>DILA-XHIC31</t>
        </is>
      </c>
      <c r="F4848" t="inlineStr">
        <is>
          <t>DILA-XHIC31</t>
        </is>
      </c>
      <c r="G4848" t="inlineStr">
        <is>
          <t>HILFSKONTAKTBLOCK</t>
        </is>
      </c>
      <c r="H4848" t="inlineStr">
        <is>
          <t>3S 1OE Last+Hilfssch. Cage</t>
        </is>
      </c>
      <c r="I4848">
        <v>1699</v>
      </c>
      <c r="J4848">
        <f>GS52/234.4</f>
        <v>0</v>
      </c>
      <c r="K4848" t="inlineStr">
        <is>
          <t>DIL MC12</t>
        </is>
      </c>
      <c r="M4848" t="inlineStr">
        <is>
          <t>-234Q1</t>
        </is>
      </c>
    </row>
    <row r="4849">
      <c r="A4849">
        <v>4848</v>
      </c>
      <c r="B4849">
        <f>GS13</f>
        <v>0</v>
      </c>
      <c r="C4849" t="inlineStr">
        <is>
          <t>+LS4</t>
        </is>
      </c>
      <c r="D4849" t="inlineStr">
        <is>
          <t>-23574.0</t>
        </is>
      </c>
      <c r="E4849" t="inlineStr">
        <is>
          <t>DIL_EM-10-G</t>
        </is>
      </c>
      <c r="F4849" t="inlineStr">
        <is>
          <t>#KALK!</t>
        </is>
      </c>
      <c r="G4849" t="inlineStr">
        <is>
          <t>LASTSCHUETZ</t>
        </is>
      </c>
      <c r="H4849" t="inlineStr">
        <is>
          <t>4kW 1S</t>
        </is>
      </c>
      <c r="I4849">
        <v>477</v>
      </c>
      <c r="J4849">
        <f>GS13/235.6</f>
        <v>0</v>
      </c>
      <c r="M4849" t="inlineStr">
        <is>
          <t>-23574.0</t>
        </is>
      </c>
    </row>
    <row r="4850">
      <c r="A4850">
        <v>4849</v>
      </c>
      <c r="B4850">
        <f>GS13</f>
        <v>0</v>
      </c>
      <c r="C4850" t="inlineStr">
        <is>
          <t>+LS4</t>
        </is>
      </c>
      <c r="D4850" t="inlineStr">
        <is>
          <t>-23574.1</t>
        </is>
      </c>
      <c r="E4850" t="inlineStr">
        <is>
          <t>DIL_EM-10-G</t>
        </is>
      </c>
      <c r="F4850" t="inlineStr">
        <is>
          <t>#KALK!</t>
        </is>
      </c>
      <c r="G4850" t="inlineStr">
        <is>
          <t>LASTSCHUETZ</t>
        </is>
      </c>
      <c r="H4850" t="inlineStr">
        <is>
          <t>4kW 1S</t>
        </is>
      </c>
      <c r="I4850">
        <v>477</v>
      </c>
      <c r="J4850">
        <f>GS13/235.6</f>
        <v>0</v>
      </c>
      <c r="M4850" t="inlineStr">
        <is>
          <t>-23574.1</t>
        </is>
      </c>
    </row>
    <row r="4851">
      <c r="A4851">
        <v>4850</v>
      </c>
      <c r="B4851">
        <f>GS20</f>
        <v>0</v>
      </c>
      <c r="C4851" t="inlineStr">
        <is>
          <t>+LS04</t>
        </is>
      </c>
      <c r="D4851" t="inlineStr">
        <is>
          <t>-235K127.0</t>
        </is>
      </c>
      <c r="E4851" t="inlineStr">
        <is>
          <t>DILA-40</t>
        </is>
      </c>
      <c r="F4851" t="inlineStr">
        <is>
          <t>#KALK!</t>
        </is>
      </c>
      <c r="G4851" t="inlineStr">
        <is>
          <t>HILFSSCHUETZ</t>
        </is>
      </c>
      <c r="H4851" t="inlineStr">
        <is>
          <t>4S Federzugkl.</t>
        </is>
      </c>
      <c r="I4851">
        <v>989</v>
      </c>
      <c r="J4851">
        <f>GS20/235.7</f>
        <v>0</v>
      </c>
      <c r="M4851" t="inlineStr">
        <is>
          <t>-235K127.0</t>
        </is>
      </c>
    </row>
    <row r="4852">
      <c r="A4852">
        <v>4851</v>
      </c>
      <c r="B4852">
        <f>GS46</f>
        <v>0</v>
      </c>
      <c r="C4852" t="inlineStr">
        <is>
          <t>+LS03</t>
        </is>
      </c>
      <c r="D4852" t="inlineStr">
        <is>
          <t>-235K154.0</t>
        </is>
      </c>
      <c r="E4852" t="inlineStr">
        <is>
          <t>DILA-40</t>
        </is>
      </c>
      <c r="F4852" t="inlineStr">
        <is>
          <t>#KALK!</t>
        </is>
      </c>
      <c r="G4852" t="inlineStr">
        <is>
          <t>HILFSSCHUETZ</t>
        </is>
      </c>
      <c r="H4852" t="inlineStr">
        <is>
          <t>4S Federzugkl.</t>
        </is>
      </c>
      <c r="I4852">
        <v>516</v>
      </c>
      <c r="J4852">
        <f>GS46/235.7</f>
        <v>0</v>
      </c>
      <c r="M4852" t="inlineStr">
        <is>
          <t>-235K154.0</t>
        </is>
      </c>
    </row>
    <row r="4853">
      <c r="A4853">
        <v>4852</v>
      </c>
      <c r="B4853">
        <f>GS47</f>
        <v>0</v>
      </c>
      <c r="C4853" t="inlineStr">
        <is>
          <t>+LS03</t>
        </is>
      </c>
      <c r="D4853" t="inlineStr">
        <is>
          <t>-235K154.0</t>
        </is>
      </c>
      <c r="E4853" t="inlineStr">
        <is>
          <t>DILA-40</t>
        </is>
      </c>
      <c r="F4853" t="inlineStr">
        <is>
          <t>#KALK!</t>
        </is>
      </c>
      <c r="G4853" t="inlineStr">
        <is>
          <t>HILFSSCHUETZ</t>
        </is>
      </c>
      <c r="H4853" t="inlineStr">
        <is>
          <t>4S Federzugkl.</t>
        </is>
      </c>
      <c r="I4853">
        <v>516</v>
      </c>
      <c r="J4853">
        <f>GS47/235.7</f>
        <v>0</v>
      </c>
      <c r="M4853" t="inlineStr">
        <is>
          <t>-235K154.0</t>
        </is>
      </c>
    </row>
    <row r="4854">
      <c r="A4854">
        <v>4853</v>
      </c>
      <c r="B4854">
        <f>GS48</f>
        <v>0</v>
      </c>
      <c r="C4854" t="inlineStr">
        <is>
          <t>+LS03</t>
        </is>
      </c>
      <c r="D4854" t="inlineStr">
        <is>
          <t>-235K154.0</t>
        </is>
      </c>
      <c r="E4854" t="inlineStr">
        <is>
          <t>DILA-40</t>
        </is>
      </c>
      <c r="F4854" t="inlineStr">
        <is>
          <t>#KALK!</t>
        </is>
      </c>
      <c r="G4854" t="inlineStr">
        <is>
          <t>HILFSSCHUETZ</t>
        </is>
      </c>
      <c r="H4854" t="inlineStr">
        <is>
          <t>4S Federzugkl.</t>
        </is>
      </c>
      <c r="I4854">
        <v>387</v>
      </c>
      <c r="J4854">
        <f>GS48/235.7</f>
        <v>0</v>
      </c>
      <c r="M4854" t="inlineStr">
        <is>
          <t>-235K154.0</t>
        </is>
      </c>
    </row>
    <row r="4855">
      <c r="A4855">
        <v>4854</v>
      </c>
      <c r="B4855">
        <f>GS49</f>
        <v>0</v>
      </c>
      <c r="C4855" t="inlineStr">
        <is>
          <t>+LS03</t>
        </is>
      </c>
      <c r="D4855" t="inlineStr">
        <is>
          <t>-235K154.0</t>
        </is>
      </c>
      <c r="E4855" t="inlineStr">
        <is>
          <t>DILA-40</t>
        </is>
      </c>
      <c r="F4855" t="inlineStr">
        <is>
          <t>#KALK!</t>
        </is>
      </c>
      <c r="G4855" t="inlineStr">
        <is>
          <t>HILFSSCHUETZ</t>
        </is>
      </c>
      <c r="H4855" t="inlineStr">
        <is>
          <t>4S Federzugkl.</t>
        </is>
      </c>
      <c r="I4855">
        <v>386</v>
      </c>
      <c r="J4855">
        <f>GS49/235.7</f>
        <v>0</v>
      </c>
      <c r="M4855" t="inlineStr">
        <is>
          <t>-235K154.0</t>
        </is>
      </c>
    </row>
    <row r="4856">
      <c r="A4856">
        <v>4855</v>
      </c>
      <c r="B4856">
        <f>GS36</f>
        <v>0</v>
      </c>
      <c r="C4856" t="inlineStr">
        <is>
          <t>+LS05</t>
        </is>
      </c>
      <c r="D4856" t="inlineStr">
        <is>
          <t>-259Q164.5</t>
        </is>
      </c>
      <c r="E4856" t="inlineStr">
        <is>
          <t>DILM-9-10</t>
        </is>
      </c>
      <c r="F4856" t="inlineStr">
        <is>
          <t>#KALK!</t>
        </is>
      </c>
      <c r="G4856" t="inlineStr">
        <is>
          <t>LASTSCHUETZ</t>
        </is>
      </c>
      <c r="H4856" t="inlineStr">
        <is>
          <t>4kW 1S Federzugkl.</t>
        </is>
      </c>
      <c r="I4856">
        <v>432</v>
      </c>
      <c r="J4856">
        <f>GS36/259.6</f>
        <v>0</v>
      </c>
      <c r="L4856" t="inlineStr">
        <is>
          <t>KF_3203</t>
        </is>
      </c>
      <c r="M4856" t="inlineStr">
        <is>
          <t>KF_3203
-259Q164.5</t>
        </is>
      </c>
      <c r="N4856" t="inlineStr">
        <is>
          <t>P</t>
        </is>
      </c>
    </row>
    <row r="4857">
      <c r="A4857">
        <v>4856</v>
      </c>
      <c r="B4857">
        <f>GS90</f>
        <v>0</v>
      </c>
      <c r="C4857" t="inlineStr">
        <is>
          <t>+LS03</t>
        </is>
      </c>
      <c r="D4857" t="inlineStr">
        <is>
          <t>-235K166.0</t>
        </is>
      </c>
      <c r="E4857" t="inlineStr">
        <is>
          <t>DILA-40</t>
        </is>
      </c>
      <c r="F4857" t="inlineStr">
        <is>
          <t>#KALK!</t>
        </is>
      </c>
      <c r="G4857" t="inlineStr">
        <is>
          <t>HILFSSCHUETZ</t>
        </is>
      </c>
      <c r="H4857" t="inlineStr">
        <is>
          <t>4S Federzugkl.</t>
        </is>
      </c>
      <c r="I4857">
        <v>1017</v>
      </c>
      <c r="J4857">
        <f>GS90/235.7</f>
        <v>0</v>
      </c>
      <c r="M4857" t="inlineStr">
        <is>
          <t>-235K166.0</t>
        </is>
      </c>
    </row>
    <row r="4858">
      <c r="A4858">
        <v>4857</v>
      </c>
      <c r="B4858">
        <f>GS92</f>
        <v>0</v>
      </c>
      <c r="C4858" t="inlineStr">
        <is>
          <t>+LS03</t>
        </is>
      </c>
      <c r="D4858" t="inlineStr">
        <is>
          <t>-235K173.5</t>
        </is>
      </c>
      <c r="E4858" t="inlineStr">
        <is>
          <t>DILA-22</t>
        </is>
      </c>
      <c r="F4858" t="inlineStr">
        <is>
          <t>#KALK!</t>
        </is>
      </c>
      <c r="G4858" t="inlineStr">
        <is>
          <t>HILFSSCHUETZ</t>
        </is>
      </c>
      <c r="H4858" t="inlineStr">
        <is>
          <t>2S 2Oe Federzugkl.</t>
        </is>
      </c>
      <c r="I4858">
        <v>381</v>
      </c>
      <c r="J4858">
        <f>GS92/235.6</f>
        <v>0</v>
      </c>
      <c r="M4858" t="inlineStr">
        <is>
          <t>-235K173.5</t>
        </is>
      </c>
    </row>
    <row r="4859">
      <c r="A4859">
        <v>4858</v>
      </c>
      <c r="B4859">
        <f>GS93</f>
        <v>0</v>
      </c>
      <c r="C4859" t="inlineStr">
        <is>
          <t>+LS03</t>
        </is>
      </c>
      <c r="D4859" t="inlineStr">
        <is>
          <t>-235K173.5</t>
        </is>
      </c>
      <c r="E4859" t="inlineStr">
        <is>
          <t>DILA-22</t>
        </is>
      </c>
      <c r="F4859" t="inlineStr">
        <is>
          <t>#KALK!</t>
        </is>
      </c>
      <c r="G4859" t="inlineStr">
        <is>
          <t>HILFSSCHUETZ</t>
        </is>
      </c>
      <c r="H4859" t="inlineStr">
        <is>
          <t>2S 2Oe Federzugkl.</t>
        </is>
      </c>
      <c r="I4859">
        <v>789</v>
      </c>
      <c r="J4859">
        <f>GS93/235.6</f>
        <v>0</v>
      </c>
      <c r="M4859" t="inlineStr">
        <is>
          <t>-235K173.5</t>
        </is>
      </c>
    </row>
    <row r="4860">
      <c r="A4860">
        <v>4859</v>
      </c>
      <c r="B4860">
        <f>GS16</f>
        <v>0</v>
      </c>
      <c r="C4860" t="inlineStr">
        <is>
          <t>+ES3</t>
        </is>
      </c>
      <c r="D4860" t="inlineStr">
        <is>
          <t>-235K3800.3</t>
        </is>
      </c>
      <c r="E4860" t="inlineStr">
        <is>
          <t>DIL_ER-22-G</t>
        </is>
      </c>
      <c r="F4860" t="inlineStr">
        <is>
          <t>31_DIL-E</t>
        </is>
      </c>
      <c r="G4860" t="inlineStr">
        <is>
          <t>HILFSSCHUETZ</t>
        </is>
      </c>
      <c r="H4860" t="inlineStr">
        <is>
          <t>2S 2OE</t>
        </is>
      </c>
      <c r="I4860">
        <v>460</v>
      </c>
      <c r="J4860">
        <f>GS16/235.6</f>
        <v>0</v>
      </c>
      <c r="M4860" t="inlineStr">
        <is>
          <t>-235K3800.3</t>
        </is>
      </c>
    </row>
    <row r="4861">
      <c r="A4861">
        <v>4860</v>
      </c>
      <c r="B4861">
        <f>GS16</f>
        <v>0</v>
      </c>
      <c r="C4861" t="inlineStr">
        <is>
          <t>+ES3</t>
        </is>
      </c>
      <c r="D4861" t="inlineStr">
        <is>
          <t>-235K3800.3</t>
        </is>
      </c>
      <c r="E4861" t="inlineStr">
        <is>
          <t>31_DIL-E</t>
        </is>
      </c>
      <c r="F4861" t="inlineStr">
        <is>
          <t>31_DIL-E</t>
        </is>
      </c>
      <c r="G4861" t="inlineStr">
        <is>
          <t>HILFSKONTAKTBLOCK</t>
        </is>
      </c>
      <c r="H4861" t="inlineStr">
        <is>
          <t>3S 1OE Last+Hilsschuetz</t>
        </is>
      </c>
      <c r="I4861">
        <v>460</v>
      </c>
      <c r="J4861">
        <f>GS16/235.6</f>
        <v>0</v>
      </c>
      <c r="M4861" t="inlineStr">
        <is>
          <t>-235K3800.3</t>
        </is>
      </c>
    </row>
    <row r="4862">
      <c r="A4862">
        <v>4861</v>
      </c>
      <c r="B4862">
        <f>GS30</f>
        <v>0</v>
      </c>
      <c r="C4862" t="inlineStr">
        <is>
          <t>+LS05</t>
        </is>
      </c>
      <c r="D4862" t="inlineStr">
        <is>
          <t>-235K406.4</t>
        </is>
      </c>
      <c r="E4862" t="inlineStr">
        <is>
          <t>DILA-40</t>
        </is>
      </c>
      <c r="F4862" t="inlineStr">
        <is>
          <t>#KALK!</t>
        </is>
      </c>
      <c r="G4862" t="inlineStr">
        <is>
          <t>HILFSSCHUETZ</t>
        </is>
      </c>
      <c r="H4862" t="inlineStr">
        <is>
          <t>4S Federzugkl.</t>
        </is>
      </c>
      <c r="I4862">
        <v>2361</v>
      </c>
      <c r="J4862">
        <f>GS30/235.7</f>
        <v>0</v>
      </c>
      <c r="M4862" t="inlineStr">
        <is>
          <t>-235K406.4</t>
        </is>
      </c>
    </row>
    <row r="4863">
      <c r="A4863">
        <v>4862</v>
      </c>
      <c r="B4863">
        <f>GS35</f>
        <v>0</v>
      </c>
      <c r="C4863" t="inlineStr">
        <is>
          <t>+LS05</t>
        </is>
      </c>
      <c r="D4863" t="inlineStr">
        <is>
          <t>-235K419.0</t>
        </is>
      </c>
      <c r="E4863" t="inlineStr">
        <is>
          <t>DILA-40</t>
        </is>
      </c>
      <c r="F4863" t="inlineStr">
        <is>
          <t>#KALK!</t>
        </is>
      </c>
      <c r="G4863" t="inlineStr">
        <is>
          <t>HILFSSCHUETZ</t>
        </is>
      </c>
      <c r="H4863" t="inlineStr">
        <is>
          <t>4S Federzugkl.</t>
        </is>
      </c>
      <c r="I4863">
        <v>394</v>
      </c>
      <c r="J4863">
        <f>GS35/235.7</f>
        <v>0</v>
      </c>
      <c r="M4863" t="inlineStr">
        <is>
          <t>-235K419.0</t>
        </is>
      </c>
    </row>
    <row r="4864">
      <c r="A4864">
        <v>4863</v>
      </c>
      <c r="B4864">
        <f>GS01</f>
        <v>0</v>
      </c>
      <c r="C4864" t="inlineStr">
        <is>
          <t>+LS5</t>
        </is>
      </c>
      <c r="D4864" t="inlineStr">
        <is>
          <t>-235K46.4</t>
        </is>
      </c>
      <c r="E4864" t="inlineStr">
        <is>
          <t>DIL_EM-10-G</t>
        </is>
      </c>
      <c r="F4864" t="inlineStr">
        <is>
          <t>#KALK!</t>
        </is>
      </c>
      <c r="G4864" t="inlineStr">
        <is>
          <t>LASTSCHUETZ</t>
        </is>
      </c>
      <c r="H4864" t="inlineStr">
        <is>
          <t>4kW 1S</t>
        </is>
      </c>
      <c r="I4864">
        <v>398</v>
      </c>
      <c r="J4864">
        <f>GS01/235.6</f>
        <v>0</v>
      </c>
      <c r="M4864" t="inlineStr">
        <is>
          <t>-235K46.4</t>
        </is>
      </c>
    </row>
    <row r="4865">
      <c r="A4865">
        <v>4864</v>
      </c>
      <c r="B4865">
        <f>GS01</f>
        <v>0</v>
      </c>
      <c r="C4865" t="inlineStr">
        <is>
          <t>+LS5</t>
        </is>
      </c>
      <c r="D4865" t="inlineStr">
        <is>
          <t>-235K46.5</t>
        </is>
      </c>
      <c r="E4865" t="inlineStr">
        <is>
          <t>DIL_EM-10-G</t>
        </is>
      </c>
      <c r="F4865" t="inlineStr">
        <is>
          <t>#KALK!</t>
        </is>
      </c>
      <c r="G4865" t="inlineStr">
        <is>
          <t>LASTSCHUETZ</t>
        </is>
      </c>
      <c r="H4865" t="inlineStr">
        <is>
          <t>4kW 1S</t>
        </is>
      </c>
      <c r="I4865">
        <v>398</v>
      </c>
      <c r="J4865">
        <f>GS01/235.6</f>
        <v>0</v>
      </c>
      <c r="M4865" t="inlineStr">
        <is>
          <t>-235K46.5</t>
        </is>
      </c>
    </row>
    <row r="4866">
      <c r="A4866">
        <v>4865</v>
      </c>
      <c r="B4866">
        <f>GS94</f>
        <v>0</v>
      </c>
      <c r="C4866" t="inlineStr">
        <is>
          <t>+LS17</t>
        </is>
      </c>
      <c r="D4866" t="inlineStr">
        <is>
          <t>-235K475.7</t>
        </is>
      </c>
      <c r="E4866" t="inlineStr">
        <is>
          <t>DILA-40</t>
        </is>
      </c>
      <c r="F4866" t="inlineStr">
        <is>
          <t>#KALK!</t>
        </is>
      </c>
      <c r="G4866" t="inlineStr">
        <is>
          <t>HILFSSCHUETZ</t>
        </is>
      </c>
      <c r="H4866" t="inlineStr">
        <is>
          <t>4S Federzugkl.</t>
        </is>
      </c>
      <c r="I4866">
        <v>325</v>
      </c>
      <c r="J4866">
        <f>GS94/235.7</f>
        <v>0</v>
      </c>
      <c r="M4866" t="inlineStr">
        <is>
          <t>-235K475.7</t>
        </is>
      </c>
    </row>
    <row r="4867">
      <c r="A4867">
        <v>4866</v>
      </c>
      <c r="B4867">
        <f>GS95</f>
        <v>0</v>
      </c>
      <c r="C4867" t="inlineStr">
        <is>
          <t>+LS17</t>
        </is>
      </c>
      <c r="D4867" t="inlineStr">
        <is>
          <t>-235K475.7</t>
        </is>
      </c>
      <c r="E4867" t="inlineStr">
        <is>
          <t>DILA-40</t>
        </is>
      </c>
      <c r="F4867" t="inlineStr">
        <is>
          <t>#KALK!</t>
        </is>
      </c>
      <c r="G4867" t="inlineStr">
        <is>
          <t>HILFSSCHUETZ</t>
        </is>
      </c>
      <c r="H4867" t="inlineStr">
        <is>
          <t>4S Federzugkl.</t>
        </is>
      </c>
      <c r="I4867">
        <v>325</v>
      </c>
      <c r="J4867">
        <f>GS95/235.7</f>
        <v>0</v>
      </c>
      <c r="M4867" t="inlineStr">
        <is>
          <t>-235K475.7</t>
        </is>
      </c>
    </row>
    <row r="4868">
      <c r="A4868">
        <v>4867</v>
      </c>
      <c r="B4868">
        <f>GS96</f>
        <v>0</v>
      </c>
      <c r="C4868" t="inlineStr">
        <is>
          <t>+LS17</t>
        </is>
      </c>
      <c r="D4868" t="inlineStr">
        <is>
          <t>-235K475.7</t>
        </is>
      </c>
      <c r="E4868" t="inlineStr">
        <is>
          <t>DILA-40</t>
        </is>
      </c>
      <c r="F4868" t="inlineStr">
        <is>
          <t>#KALK!</t>
        </is>
      </c>
      <c r="G4868" t="inlineStr">
        <is>
          <t>HILFSSCHUETZ</t>
        </is>
      </c>
      <c r="H4868" t="inlineStr">
        <is>
          <t>4S Federzugkl.</t>
        </is>
      </c>
      <c r="I4868">
        <v>325</v>
      </c>
      <c r="J4868">
        <f>GS96/235.7</f>
        <v>0</v>
      </c>
      <c r="M4868" t="inlineStr">
        <is>
          <t>-235K475.7</t>
        </is>
      </c>
    </row>
    <row r="4869">
      <c r="A4869">
        <v>4868</v>
      </c>
      <c r="B4869">
        <f>GS97</f>
        <v>0</v>
      </c>
      <c r="C4869" t="inlineStr">
        <is>
          <t>+LS17</t>
        </is>
      </c>
      <c r="D4869" t="inlineStr">
        <is>
          <t>-235K475.7</t>
        </is>
      </c>
      <c r="E4869" t="inlineStr">
        <is>
          <t>DILA-40</t>
        </is>
      </c>
      <c r="F4869" t="inlineStr">
        <is>
          <t>#KALK!</t>
        </is>
      </c>
      <c r="G4869" t="inlineStr">
        <is>
          <t>HILFSSCHUETZ</t>
        </is>
      </c>
      <c r="H4869" t="inlineStr">
        <is>
          <t>4S Federzugkl.</t>
        </is>
      </c>
      <c r="I4869">
        <v>325</v>
      </c>
      <c r="J4869">
        <f>GS97/235.7</f>
        <v>0</v>
      </c>
      <c r="M4869" t="inlineStr">
        <is>
          <t>-235K475.7</t>
        </is>
      </c>
    </row>
    <row r="4870">
      <c r="A4870">
        <v>4869</v>
      </c>
      <c r="B4870">
        <f>GS04</f>
        <v>0</v>
      </c>
      <c r="C4870" t="inlineStr">
        <is>
          <t>+LS5</t>
        </is>
      </c>
      <c r="D4870" t="inlineStr">
        <is>
          <t>-235K49.0</t>
        </is>
      </c>
      <c r="E4870" t="inlineStr">
        <is>
          <t>DIL_EM-10-G</t>
        </is>
      </c>
      <c r="F4870" t="inlineStr">
        <is>
          <t>#KALK!</t>
        </is>
      </c>
      <c r="G4870" t="inlineStr">
        <is>
          <t>LASTSCHUETZ</t>
        </is>
      </c>
      <c r="H4870" t="inlineStr">
        <is>
          <t>4kW 1S</t>
        </is>
      </c>
      <c r="I4870">
        <v>486</v>
      </c>
      <c r="J4870">
        <f>GS04/235.6</f>
        <v>0</v>
      </c>
      <c r="M4870" t="inlineStr">
        <is>
          <t>-235K49.0</t>
        </is>
      </c>
    </row>
    <row r="4871">
      <c r="A4871">
        <v>4870</v>
      </c>
      <c r="B4871">
        <f>GS04</f>
        <v>0</v>
      </c>
      <c r="C4871" t="inlineStr">
        <is>
          <t>+LS5</t>
        </is>
      </c>
      <c r="D4871" t="inlineStr">
        <is>
          <t>-235K49.1</t>
        </is>
      </c>
      <c r="E4871" t="inlineStr">
        <is>
          <t>DIL_EM-10-G</t>
        </is>
      </c>
      <c r="F4871" t="inlineStr">
        <is>
          <t>#KALK!</t>
        </is>
      </c>
      <c r="G4871" t="inlineStr">
        <is>
          <t>LASTSCHUETZ</t>
        </is>
      </c>
      <c r="H4871" t="inlineStr">
        <is>
          <t>4kW 1S</t>
        </is>
      </c>
      <c r="I4871">
        <v>486</v>
      </c>
      <c r="J4871">
        <f>GS04/235.6</f>
        <v>0</v>
      </c>
      <c r="M4871" t="inlineStr">
        <is>
          <t>-235K49.1</t>
        </is>
      </c>
    </row>
    <row r="4872">
      <c r="A4872">
        <v>4871</v>
      </c>
      <c r="B4872">
        <f>GS23</f>
        <v>0</v>
      </c>
      <c r="C4872" t="inlineStr">
        <is>
          <t>+LS4</t>
        </is>
      </c>
      <c r="D4872" t="inlineStr">
        <is>
          <t>-235K74.0</t>
        </is>
      </c>
      <c r="E4872" t="inlineStr">
        <is>
          <t>DIL_EM-10-G</t>
        </is>
      </c>
      <c r="F4872" t="inlineStr">
        <is>
          <t>#KALK!</t>
        </is>
      </c>
      <c r="G4872" t="inlineStr">
        <is>
          <t>LASTSCHUETZ</t>
        </is>
      </c>
      <c r="H4872" t="inlineStr">
        <is>
          <t>4kW 1S</t>
        </is>
      </c>
      <c r="I4872">
        <v>536</v>
      </c>
      <c r="J4872">
        <f>GS23/235.6</f>
        <v>0</v>
      </c>
      <c r="M4872" t="inlineStr">
        <is>
          <t>-235K74.0</t>
        </is>
      </c>
    </row>
    <row r="4873">
      <c r="A4873">
        <v>4872</v>
      </c>
      <c r="B4873">
        <f>GS23</f>
        <v>0</v>
      </c>
      <c r="C4873" t="inlineStr">
        <is>
          <t>+LS4</t>
        </is>
      </c>
      <c r="D4873" t="inlineStr">
        <is>
          <t>-235K74.1</t>
        </is>
      </c>
      <c r="E4873" t="inlineStr">
        <is>
          <t>DIL_EM-10-G</t>
        </is>
      </c>
      <c r="F4873" t="inlineStr">
        <is>
          <t>#KALK!</t>
        </is>
      </c>
      <c r="G4873" t="inlineStr">
        <is>
          <t>LASTSCHUETZ</t>
        </is>
      </c>
      <c r="H4873" t="inlineStr">
        <is>
          <t>4kW 1S</t>
        </is>
      </c>
      <c r="I4873">
        <v>536</v>
      </c>
      <c r="J4873">
        <f>GS23/235.6</f>
        <v>0</v>
      </c>
      <c r="M4873" t="inlineStr">
        <is>
          <t>-235K74.1</t>
        </is>
      </c>
    </row>
    <row r="4874">
      <c r="A4874">
        <v>4873</v>
      </c>
      <c r="B4874">
        <f>GS24</f>
        <v>0</v>
      </c>
      <c r="C4874" t="inlineStr">
        <is>
          <t>+LS5</t>
        </is>
      </c>
      <c r="D4874" t="inlineStr">
        <is>
          <t>-235K84.5</t>
        </is>
      </c>
      <c r="E4874" t="inlineStr">
        <is>
          <t>DIL_EM-10-G</t>
        </is>
      </c>
      <c r="F4874" t="inlineStr">
        <is>
          <t>#KALK!</t>
        </is>
      </c>
      <c r="G4874" t="inlineStr">
        <is>
          <t>LASTSCHUETZ</t>
        </is>
      </c>
      <c r="H4874" t="inlineStr">
        <is>
          <t>4kW 1S</t>
        </is>
      </c>
      <c r="I4874">
        <v>844</v>
      </c>
      <c r="J4874">
        <f>GS24/235.6</f>
        <v>0</v>
      </c>
      <c r="M4874" t="inlineStr">
        <is>
          <t>-235K84.5</t>
        </is>
      </c>
    </row>
    <row r="4875">
      <c r="A4875">
        <v>4874</v>
      </c>
      <c r="B4875">
        <f>GS24</f>
        <v>0</v>
      </c>
      <c r="C4875" t="inlineStr">
        <is>
          <t>+LS5</t>
        </is>
      </c>
      <c r="D4875" t="inlineStr">
        <is>
          <t>-235K84.6</t>
        </is>
      </c>
      <c r="E4875" t="inlineStr">
        <is>
          <t>DIL_EM-10-G</t>
        </is>
      </c>
      <c r="F4875" t="inlineStr">
        <is>
          <t>#KALK!</t>
        </is>
      </c>
      <c r="G4875" t="inlineStr">
        <is>
          <t>LASTSCHUETZ</t>
        </is>
      </c>
      <c r="H4875" t="inlineStr">
        <is>
          <t>4kW 1S</t>
        </is>
      </c>
      <c r="I4875">
        <v>844</v>
      </c>
      <c r="J4875">
        <f>GS24/235.6</f>
        <v>0</v>
      </c>
      <c r="M4875" t="inlineStr">
        <is>
          <t>-235K84.6</t>
        </is>
      </c>
    </row>
    <row r="4876">
      <c r="A4876">
        <v>4875</v>
      </c>
      <c r="B4876">
        <f>GC03</f>
        <v>0</v>
      </c>
      <c r="C4876" t="inlineStr">
        <is>
          <t>+LS5</t>
        </is>
      </c>
      <c r="D4876" t="inlineStr">
        <is>
          <t>-235K88.3</t>
        </is>
      </c>
      <c r="E4876" t="inlineStr">
        <is>
          <t>DIL_EM-10-G</t>
        </is>
      </c>
      <c r="F4876" t="inlineStr">
        <is>
          <t>#KALK!</t>
        </is>
      </c>
      <c r="G4876" t="inlineStr">
        <is>
          <t>LASTSCHUETZ</t>
        </is>
      </c>
      <c r="H4876" t="inlineStr">
        <is>
          <t>4kW 1S</t>
        </is>
      </c>
      <c r="I4876">
        <v>680</v>
      </c>
      <c r="J4876">
        <f>GC03/235.6</f>
        <v>0</v>
      </c>
      <c r="M4876" t="inlineStr">
        <is>
          <t>-235K88.3</t>
        </is>
      </c>
    </row>
    <row r="4877">
      <c r="A4877">
        <v>4876</v>
      </c>
      <c r="B4877">
        <f>GC03</f>
        <v>0</v>
      </c>
      <c r="C4877" t="inlineStr">
        <is>
          <t>+LS5</t>
        </is>
      </c>
      <c r="D4877" t="inlineStr">
        <is>
          <t>-235K88.4</t>
        </is>
      </c>
      <c r="E4877" t="inlineStr">
        <is>
          <t>DIL_EM-10-G</t>
        </is>
      </c>
      <c r="F4877" t="inlineStr">
        <is>
          <t>#KALK!</t>
        </is>
      </c>
      <c r="G4877" t="inlineStr">
        <is>
          <t>LASTSCHUETZ</t>
        </is>
      </c>
      <c r="H4877" t="inlineStr">
        <is>
          <t>4kW 1S</t>
        </is>
      </c>
      <c r="I4877">
        <v>680</v>
      </c>
      <c r="J4877">
        <f>GC03/235.6</f>
        <v>0</v>
      </c>
      <c r="M4877" t="inlineStr">
        <is>
          <t>-235K88.4</t>
        </is>
      </c>
    </row>
    <row r="4878">
      <c r="A4878">
        <v>4877</v>
      </c>
      <c r="B4878">
        <f>GS20</f>
        <v>0</v>
      </c>
      <c r="C4878" t="inlineStr">
        <is>
          <t>+LS04</t>
        </is>
      </c>
      <c r="D4878" t="inlineStr">
        <is>
          <t>-235Q1</t>
        </is>
      </c>
      <c r="E4878" t="inlineStr">
        <is>
          <t>DILA-XHI22</t>
        </is>
      </c>
      <c r="F4878" t="inlineStr">
        <is>
          <t>DILA-XHI22</t>
        </is>
      </c>
      <c r="G4878" t="inlineStr">
        <is>
          <t>HILFSKONTAKTBLOCK</t>
        </is>
      </c>
      <c r="H4878" t="inlineStr">
        <is>
          <t>2S 2OE Last+Hilfssch. Cage</t>
        </is>
      </c>
      <c r="I4878">
        <v>989</v>
      </c>
      <c r="J4878">
        <f>GS20/235.4</f>
        <v>0</v>
      </c>
      <c r="K4878" t="inlineStr">
        <is>
          <t>DIL MC25</t>
        </is>
      </c>
      <c r="M4878" t="inlineStr">
        <is>
          <t>-235Q1</t>
        </is>
      </c>
    </row>
    <row r="4879">
      <c r="A4879">
        <v>4878</v>
      </c>
      <c r="B4879">
        <f>GS20</f>
        <v>0</v>
      </c>
      <c r="C4879" t="inlineStr">
        <is>
          <t>+LS04</t>
        </is>
      </c>
      <c r="D4879" t="inlineStr">
        <is>
          <t>-235Q1</t>
        </is>
      </c>
      <c r="E4879" t="inlineStr">
        <is>
          <t>DILMC25-10(RDC24)</t>
        </is>
      </c>
      <c r="F4879" t="inlineStr">
        <is>
          <t>DILA-XHI22</t>
        </is>
      </c>
      <c r="G4879" t="inlineStr">
        <is>
          <t>LASTSCHUETZ</t>
        </is>
      </c>
      <c r="H4879" t="inlineStr">
        <is>
          <t>11kW 1S Federzugkl.</t>
        </is>
      </c>
      <c r="I4879">
        <v>989</v>
      </c>
      <c r="J4879">
        <f>GS20/235.4</f>
        <v>0</v>
      </c>
      <c r="K4879" t="inlineStr">
        <is>
          <t>DIL MC25</t>
        </is>
      </c>
      <c r="M4879" t="inlineStr">
        <is>
          <t>-235Q1</t>
        </is>
      </c>
    </row>
    <row r="4880">
      <c r="A4880">
        <v>4879</v>
      </c>
      <c r="B4880">
        <f>GS30</f>
        <v>0</v>
      </c>
      <c r="C4880" t="inlineStr">
        <is>
          <t>+LS05</t>
        </is>
      </c>
      <c r="D4880" t="inlineStr">
        <is>
          <t>-235Q1</t>
        </is>
      </c>
      <c r="E4880" t="inlineStr">
        <is>
          <t>DILA-XHI22</t>
        </is>
      </c>
      <c r="F4880" t="inlineStr">
        <is>
          <t>DILA-XHI22</t>
        </is>
      </c>
      <c r="G4880" t="inlineStr">
        <is>
          <t>HILFSKONTAKTBLOCK</t>
        </is>
      </c>
      <c r="H4880" t="inlineStr">
        <is>
          <t>2S 2OE Last+Hilfssch. Cage</t>
        </is>
      </c>
      <c r="I4880">
        <v>2361</v>
      </c>
      <c r="J4880">
        <f>GS30/235.4</f>
        <v>0</v>
      </c>
      <c r="K4880" t="inlineStr">
        <is>
          <t>DIL MC25</t>
        </is>
      </c>
      <c r="M4880" t="inlineStr">
        <is>
          <t>-235Q1</t>
        </is>
      </c>
    </row>
    <row r="4881">
      <c r="A4881">
        <v>4880</v>
      </c>
      <c r="B4881">
        <f>GS30</f>
        <v>0</v>
      </c>
      <c r="C4881" t="inlineStr">
        <is>
          <t>+LS05</t>
        </is>
      </c>
      <c r="D4881" t="inlineStr">
        <is>
          <t>-235Q1</t>
        </is>
      </c>
      <c r="E4881" t="inlineStr">
        <is>
          <t>DILMC25-10(RDC24)</t>
        </is>
      </c>
      <c r="F4881" t="inlineStr">
        <is>
          <t>DILA-XHI22</t>
        </is>
      </c>
      <c r="G4881" t="inlineStr">
        <is>
          <t>LASTSCHUETZ</t>
        </is>
      </c>
      <c r="H4881" t="inlineStr">
        <is>
          <t>11kW 1S Federzugkl.</t>
        </is>
      </c>
      <c r="I4881">
        <v>2361</v>
      </c>
      <c r="J4881">
        <f>GS30/235.4</f>
        <v>0</v>
      </c>
      <c r="K4881" t="inlineStr">
        <is>
          <t>DIL MC25</t>
        </is>
      </c>
      <c r="M4881" t="inlineStr">
        <is>
          <t>-235Q1</t>
        </is>
      </c>
    </row>
    <row r="4882">
      <c r="A4882">
        <v>4881</v>
      </c>
      <c r="B4882">
        <f>GS35</f>
        <v>0</v>
      </c>
      <c r="C4882" t="inlineStr">
        <is>
          <t>+LS05</t>
        </is>
      </c>
      <c r="D4882" t="inlineStr">
        <is>
          <t>-235Q1</t>
        </is>
      </c>
      <c r="E4882" t="inlineStr">
        <is>
          <t>DILM-25-10</t>
        </is>
      </c>
      <c r="F4882" t="inlineStr">
        <is>
          <t>DILA-XHI22</t>
        </is>
      </c>
      <c r="G4882" t="inlineStr">
        <is>
          <t>LASTSCHUETZ</t>
        </is>
      </c>
      <c r="H4882" t="inlineStr">
        <is>
          <t>11kW 1S Federzugkl.</t>
        </is>
      </c>
      <c r="I4882">
        <v>394</v>
      </c>
      <c r="J4882">
        <f>GS35/235.4</f>
        <v>0</v>
      </c>
      <c r="K4882" t="inlineStr">
        <is>
          <t>DIL MC25</t>
        </is>
      </c>
      <c r="M4882" t="inlineStr">
        <is>
          <t>-235Q1</t>
        </is>
      </c>
    </row>
    <row r="4883">
      <c r="A4883">
        <v>4882</v>
      </c>
      <c r="B4883">
        <f>GS35</f>
        <v>0</v>
      </c>
      <c r="C4883" t="inlineStr">
        <is>
          <t>+LS05</t>
        </is>
      </c>
      <c r="D4883" t="inlineStr">
        <is>
          <t>-235Q1</t>
        </is>
      </c>
      <c r="E4883" t="inlineStr">
        <is>
          <t>DILA-XHI22</t>
        </is>
      </c>
      <c r="F4883" t="inlineStr">
        <is>
          <t>DILA-XHI22</t>
        </is>
      </c>
      <c r="G4883" t="inlineStr">
        <is>
          <t>HILFSKONTAKTBLOCK</t>
        </is>
      </c>
      <c r="H4883" t="inlineStr">
        <is>
          <t>2S 2OE Last+Hilfssch. Cage</t>
        </is>
      </c>
      <c r="I4883">
        <v>394</v>
      </c>
      <c r="J4883">
        <f>GS35/235.4</f>
        <v>0</v>
      </c>
      <c r="K4883" t="inlineStr">
        <is>
          <t>DIL MC25</t>
        </is>
      </c>
      <c r="M4883" t="inlineStr">
        <is>
          <t>-235Q1</t>
        </is>
      </c>
    </row>
    <row r="4884">
      <c r="A4884">
        <v>4883</v>
      </c>
      <c r="B4884">
        <f>GS36</f>
        <v>0</v>
      </c>
      <c r="C4884" t="inlineStr">
        <is>
          <t>+LS04</t>
        </is>
      </c>
      <c r="D4884" t="inlineStr">
        <is>
          <t>-235Q1</t>
        </is>
      </c>
      <c r="E4884" t="inlineStr">
        <is>
          <t>DILA-XHI22</t>
        </is>
      </c>
      <c r="F4884" t="inlineStr">
        <is>
          <t>DILA-XHI22</t>
        </is>
      </c>
      <c r="G4884" t="inlineStr">
        <is>
          <t>HILFSKONTAKTBLOCK</t>
        </is>
      </c>
      <c r="H4884" t="inlineStr">
        <is>
          <t>2S 2OE Last+Hilfssch. Cage</t>
        </is>
      </c>
      <c r="I4884">
        <v>408</v>
      </c>
      <c r="J4884">
        <f>GS36/235.4</f>
        <v>0</v>
      </c>
      <c r="K4884" t="inlineStr">
        <is>
          <t>DIL MC25</t>
        </is>
      </c>
      <c r="L4884" t="inlineStr">
        <is>
          <t>HVO 26</t>
        </is>
      </c>
      <c r="M4884" t="inlineStr">
        <is>
          <t>HVO 26
-235Q1</t>
        </is>
      </c>
      <c r="N4884" t="inlineStr">
        <is>
          <t>P</t>
        </is>
      </c>
    </row>
    <row r="4885">
      <c r="A4885">
        <v>4884</v>
      </c>
      <c r="B4885">
        <f>GS36</f>
        <v>0</v>
      </c>
      <c r="C4885" t="inlineStr">
        <is>
          <t>+LS04</t>
        </is>
      </c>
      <c r="D4885" t="inlineStr">
        <is>
          <t>-235Q1</t>
        </is>
      </c>
      <c r="E4885" t="inlineStr">
        <is>
          <t>DILMC25-10(RDC24)</t>
        </is>
      </c>
      <c r="F4885" t="inlineStr">
        <is>
          <t>DILA-XHI22</t>
        </is>
      </c>
      <c r="G4885" t="inlineStr">
        <is>
          <t>LASTSCHUETZ</t>
        </is>
      </c>
      <c r="H4885" t="inlineStr">
        <is>
          <t>11kW 1S Federzugkl.</t>
        </is>
      </c>
      <c r="I4885">
        <v>408</v>
      </c>
      <c r="J4885">
        <f>GS36/235.4</f>
        <v>0</v>
      </c>
      <c r="K4885" t="inlineStr">
        <is>
          <t>DIL MC25</t>
        </is>
      </c>
      <c r="L4885" t="inlineStr">
        <is>
          <t>HVO 26</t>
        </is>
      </c>
      <c r="M4885" t="inlineStr">
        <is>
          <t>HVO 26
-235Q1</t>
        </is>
      </c>
      <c r="N4885" t="inlineStr">
        <is>
          <t>P</t>
        </is>
      </c>
    </row>
    <row r="4886">
      <c r="A4886">
        <v>4885</v>
      </c>
      <c r="B4886">
        <f>GS46</f>
        <v>0</v>
      </c>
      <c r="C4886" t="inlineStr">
        <is>
          <t>+LS03</t>
        </is>
      </c>
      <c r="D4886" t="inlineStr">
        <is>
          <t>-235Q1</t>
        </is>
      </c>
      <c r="E4886" t="inlineStr">
        <is>
          <t>DILMC25-10(RDC24)</t>
        </is>
      </c>
      <c r="F4886" t="inlineStr">
        <is>
          <t>DILA-XHI22</t>
        </is>
      </c>
      <c r="G4886" t="inlineStr">
        <is>
          <t>LASTSCHUETZ</t>
        </is>
      </c>
      <c r="H4886" t="inlineStr">
        <is>
          <t>11kW 1S Federzugkl.</t>
        </is>
      </c>
      <c r="I4886">
        <v>516</v>
      </c>
      <c r="J4886">
        <f>GS46/235.4</f>
        <v>0</v>
      </c>
      <c r="K4886" t="inlineStr">
        <is>
          <t>DIL MC25</t>
        </is>
      </c>
      <c r="M4886" t="inlineStr">
        <is>
          <t>-235Q1</t>
        </is>
      </c>
    </row>
    <row r="4887">
      <c r="A4887">
        <v>4886</v>
      </c>
      <c r="B4887">
        <f>GS46</f>
        <v>0</v>
      </c>
      <c r="C4887" t="inlineStr">
        <is>
          <t>+LS03</t>
        </is>
      </c>
      <c r="D4887" t="inlineStr">
        <is>
          <t>-235Q1</t>
        </is>
      </c>
      <c r="E4887" t="inlineStr">
        <is>
          <t>DILA-XHI22</t>
        </is>
      </c>
      <c r="F4887" t="inlineStr">
        <is>
          <t>DILA-XHI22</t>
        </is>
      </c>
      <c r="G4887" t="inlineStr">
        <is>
          <t>HILFSKONTAKTBLOCK</t>
        </is>
      </c>
      <c r="H4887" t="inlineStr">
        <is>
          <t>2S 2OE Last+Hilfssch. Cage</t>
        </is>
      </c>
      <c r="I4887">
        <v>516</v>
      </c>
      <c r="J4887">
        <f>GS46/235.4</f>
        <v>0</v>
      </c>
      <c r="K4887" t="inlineStr">
        <is>
          <t>DIL MC25</t>
        </is>
      </c>
      <c r="M4887" t="inlineStr">
        <is>
          <t>-235Q1</t>
        </is>
      </c>
    </row>
    <row r="4888">
      <c r="A4888">
        <v>4887</v>
      </c>
      <c r="B4888">
        <f>GS47</f>
        <v>0</v>
      </c>
      <c r="C4888" t="inlineStr">
        <is>
          <t>+LS03</t>
        </is>
      </c>
      <c r="D4888" t="inlineStr">
        <is>
          <t>-235Q1</t>
        </is>
      </c>
      <c r="E4888" t="inlineStr">
        <is>
          <t>DILA-XHI22</t>
        </is>
      </c>
      <c r="F4888" t="inlineStr">
        <is>
          <t>DILA-XHI22</t>
        </is>
      </c>
      <c r="G4888" t="inlineStr">
        <is>
          <t>HILFSKONTAKTBLOCK</t>
        </is>
      </c>
      <c r="H4888" t="inlineStr">
        <is>
          <t>2S 2OE Last+Hilfssch. Cage</t>
        </is>
      </c>
      <c r="I4888">
        <v>516</v>
      </c>
      <c r="J4888">
        <f>GS47/235.4</f>
        <v>0</v>
      </c>
      <c r="K4888" t="inlineStr">
        <is>
          <t>DIL MC25</t>
        </is>
      </c>
      <c r="M4888" t="inlineStr">
        <is>
          <t>-235Q1</t>
        </is>
      </c>
    </row>
    <row r="4889">
      <c r="A4889">
        <v>4888</v>
      </c>
      <c r="B4889">
        <f>GS47</f>
        <v>0</v>
      </c>
      <c r="C4889" t="inlineStr">
        <is>
          <t>+LS03</t>
        </is>
      </c>
      <c r="D4889" t="inlineStr">
        <is>
          <t>-235Q1</t>
        </is>
      </c>
      <c r="E4889" t="inlineStr">
        <is>
          <t>DILMC25-10(RDC24)</t>
        </is>
      </c>
      <c r="F4889" t="inlineStr">
        <is>
          <t>DILA-XHI22</t>
        </is>
      </c>
      <c r="G4889" t="inlineStr">
        <is>
          <t>LASTSCHUETZ</t>
        </is>
      </c>
      <c r="H4889" t="inlineStr">
        <is>
          <t>11kW 1S Federzugkl.</t>
        </is>
      </c>
      <c r="I4889">
        <v>516</v>
      </c>
      <c r="J4889">
        <f>GS47/235.4</f>
        <v>0</v>
      </c>
      <c r="K4889" t="inlineStr">
        <is>
          <t>DIL MC25</t>
        </is>
      </c>
      <c r="M4889" t="inlineStr">
        <is>
          <t>-235Q1</t>
        </is>
      </c>
    </row>
    <row r="4890">
      <c r="A4890">
        <v>4889</v>
      </c>
      <c r="B4890">
        <f>GS48</f>
        <v>0</v>
      </c>
      <c r="C4890" t="inlineStr">
        <is>
          <t>+LS03</t>
        </is>
      </c>
      <c r="D4890" t="inlineStr">
        <is>
          <t>-235Q1</t>
        </is>
      </c>
      <c r="E4890" t="inlineStr">
        <is>
          <t>DILA-XHI22</t>
        </is>
      </c>
      <c r="F4890" t="inlineStr">
        <is>
          <t>DILA-XHI22</t>
        </is>
      </c>
      <c r="G4890" t="inlineStr">
        <is>
          <t>HILFSKONTAKTBLOCK</t>
        </is>
      </c>
      <c r="H4890" t="inlineStr">
        <is>
          <t>2S 2OE Last+Hilfssch. Cage</t>
        </is>
      </c>
      <c r="I4890">
        <v>387</v>
      </c>
      <c r="J4890">
        <f>GS48/235.4</f>
        <v>0</v>
      </c>
      <c r="K4890" t="inlineStr">
        <is>
          <t>DIL MC25</t>
        </is>
      </c>
      <c r="M4890" t="inlineStr">
        <is>
          <t>-235Q1</t>
        </is>
      </c>
    </row>
    <row r="4891">
      <c r="A4891">
        <v>4890</v>
      </c>
      <c r="B4891">
        <f>GS48</f>
        <v>0</v>
      </c>
      <c r="C4891" t="inlineStr">
        <is>
          <t>+LS03</t>
        </is>
      </c>
      <c r="D4891" t="inlineStr">
        <is>
          <t>-235Q1</t>
        </is>
      </c>
      <c r="E4891" t="inlineStr">
        <is>
          <t>DILMC25-10(RDC24)</t>
        </is>
      </c>
      <c r="F4891" t="inlineStr">
        <is>
          <t>DILA-XHI22</t>
        </is>
      </c>
      <c r="G4891" t="inlineStr">
        <is>
          <t>LASTSCHUETZ</t>
        </is>
      </c>
      <c r="H4891" t="inlineStr">
        <is>
          <t>11kW 1S Federzugkl.</t>
        </is>
      </c>
      <c r="I4891">
        <v>387</v>
      </c>
      <c r="J4891">
        <f>GS48/235.4</f>
        <v>0</v>
      </c>
      <c r="K4891" t="inlineStr">
        <is>
          <t>DIL MC25</t>
        </is>
      </c>
      <c r="M4891" t="inlineStr">
        <is>
          <t>-235Q1</t>
        </is>
      </c>
    </row>
    <row r="4892">
      <c r="A4892">
        <v>4891</v>
      </c>
      <c r="B4892">
        <f>GS49</f>
        <v>0</v>
      </c>
      <c r="C4892" t="inlineStr">
        <is>
          <t>+LS03</t>
        </is>
      </c>
      <c r="D4892" t="inlineStr">
        <is>
          <t>-235Q1</t>
        </is>
      </c>
      <c r="E4892" t="inlineStr">
        <is>
          <t>DILMC25-10(RDC24)</t>
        </is>
      </c>
      <c r="F4892" t="inlineStr">
        <is>
          <t>DILA-XHI22</t>
        </is>
      </c>
      <c r="G4892" t="inlineStr">
        <is>
          <t>LASTSCHUETZ</t>
        </is>
      </c>
      <c r="H4892" t="inlineStr">
        <is>
          <t>11kW 1S Federzugkl.</t>
        </is>
      </c>
      <c r="I4892">
        <v>386</v>
      </c>
      <c r="J4892">
        <f>GS49/235.4</f>
        <v>0</v>
      </c>
      <c r="K4892" t="inlineStr">
        <is>
          <t>DIL MC25</t>
        </is>
      </c>
      <c r="M4892" t="inlineStr">
        <is>
          <t>-235Q1</t>
        </is>
      </c>
    </row>
    <row r="4893">
      <c r="A4893">
        <v>4892</v>
      </c>
      <c r="B4893">
        <f>GS49</f>
        <v>0</v>
      </c>
      <c r="C4893" t="inlineStr">
        <is>
          <t>+LS03</t>
        </is>
      </c>
      <c r="D4893" t="inlineStr">
        <is>
          <t>-235Q1</t>
        </is>
      </c>
      <c r="E4893" t="inlineStr">
        <is>
          <t>DILA-XHI22</t>
        </is>
      </c>
      <c r="F4893" t="inlineStr">
        <is>
          <t>DILA-XHI22</t>
        </is>
      </c>
      <c r="G4893" t="inlineStr">
        <is>
          <t>HILFSKONTAKTBLOCK</t>
        </is>
      </c>
      <c r="H4893" t="inlineStr">
        <is>
          <t>2S 2OE Last+Hilfssch. Cage</t>
        </is>
      </c>
      <c r="I4893">
        <v>386</v>
      </c>
      <c r="J4893">
        <f>GS49/235.4</f>
        <v>0</v>
      </c>
      <c r="K4893" t="inlineStr">
        <is>
          <t>DIL MC25</t>
        </is>
      </c>
      <c r="M4893" t="inlineStr">
        <is>
          <t>-235Q1</t>
        </is>
      </c>
    </row>
    <row r="4894">
      <c r="A4894">
        <v>4893</v>
      </c>
      <c r="B4894">
        <f>GS90</f>
        <v>0</v>
      </c>
      <c r="C4894" t="inlineStr">
        <is>
          <t>+LS03</t>
        </is>
      </c>
      <c r="D4894" t="inlineStr">
        <is>
          <t>-235Q1</t>
        </is>
      </c>
      <c r="E4894" t="inlineStr">
        <is>
          <t>DILA-XHI22</t>
        </is>
      </c>
      <c r="F4894" t="inlineStr">
        <is>
          <t>DILA-XHI22</t>
        </is>
      </c>
      <c r="G4894" t="inlineStr">
        <is>
          <t>HILFSKONTAKTBLOCK</t>
        </is>
      </c>
      <c r="H4894" t="inlineStr">
        <is>
          <t>2S 2OE Last+Hilfssch. Cage</t>
        </is>
      </c>
      <c r="I4894">
        <v>1017</v>
      </c>
      <c r="J4894">
        <f>GS90/235.4</f>
        <v>0</v>
      </c>
      <c r="K4894" t="inlineStr">
        <is>
          <t>DIL MC25</t>
        </is>
      </c>
      <c r="M4894" t="inlineStr">
        <is>
          <t>-235Q1</t>
        </is>
      </c>
    </row>
    <row r="4895">
      <c r="A4895">
        <v>4894</v>
      </c>
      <c r="B4895">
        <f>GS90</f>
        <v>0</v>
      </c>
      <c r="C4895" t="inlineStr">
        <is>
          <t>+LS03</t>
        </is>
      </c>
      <c r="D4895" t="inlineStr">
        <is>
          <t>-235Q1</t>
        </is>
      </c>
      <c r="E4895" t="inlineStr">
        <is>
          <t>DILMC25-10(RDC24)</t>
        </is>
      </c>
      <c r="F4895" t="inlineStr">
        <is>
          <t>DILA-XHI22</t>
        </is>
      </c>
      <c r="G4895" t="inlineStr">
        <is>
          <t>LASTSCHUETZ</t>
        </is>
      </c>
      <c r="H4895" t="inlineStr">
        <is>
          <t>11kW 1S Federzugkl.</t>
        </is>
      </c>
      <c r="I4895">
        <v>1017</v>
      </c>
      <c r="J4895">
        <f>GS90/235.4</f>
        <v>0</v>
      </c>
      <c r="K4895" t="inlineStr">
        <is>
          <t>DIL MC25</t>
        </is>
      </c>
      <c r="M4895" t="inlineStr">
        <is>
          <t>-235Q1</t>
        </is>
      </c>
    </row>
    <row r="4896">
      <c r="A4896">
        <v>4895</v>
      </c>
      <c r="B4896">
        <f>GS92</f>
        <v>0</v>
      </c>
      <c r="C4896" t="inlineStr">
        <is>
          <t>+LS03</t>
        </is>
      </c>
      <c r="D4896" t="inlineStr">
        <is>
          <t>-235Q1</t>
        </is>
      </c>
      <c r="E4896" t="inlineStr">
        <is>
          <t>DILMC25-10(RDC24)</t>
        </is>
      </c>
      <c r="F4896" t="inlineStr">
        <is>
          <t>DILA-XHIC31</t>
        </is>
      </c>
      <c r="G4896" t="inlineStr">
        <is>
          <t>LASTSCHUETZ</t>
        </is>
      </c>
      <c r="H4896" t="inlineStr">
        <is>
          <t>11kW 1S Federzugkl.</t>
        </is>
      </c>
      <c r="I4896">
        <v>381</v>
      </c>
      <c r="J4896">
        <f>GS92/235.2</f>
        <v>0</v>
      </c>
      <c r="M4896" t="inlineStr">
        <is>
          <t>-235Q1</t>
        </is>
      </c>
    </row>
    <row r="4897">
      <c r="A4897">
        <v>4896</v>
      </c>
      <c r="B4897">
        <f>GS92</f>
        <v>0</v>
      </c>
      <c r="C4897" t="inlineStr">
        <is>
          <t>+LS03</t>
        </is>
      </c>
      <c r="D4897" t="inlineStr">
        <is>
          <t>-235Q1</t>
        </is>
      </c>
      <c r="E4897" t="inlineStr">
        <is>
          <t>DILA-XHIC31</t>
        </is>
      </c>
      <c r="F4897" t="inlineStr">
        <is>
          <t>DILA-XHIC31</t>
        </is>
      </c>
      <c r="G4897" t="inlineStr">
        <is>
          <t>HILFSKONTAKTBLOCK</t>
        </is>
      </c>
      <c r="H4897" t="inlineStr">
        <is>
          <t>3S 1OE Last+Hilfssch. Cage</t>
        </is>
      </c>
      <c r="I4897">
        <v>381</v>
      </c>
      <c r="J4897">
        <f>GS92/235.2</f>
        <v>0</v>
      </c>
      <c r="M4897" t="inlineStr">
        <is>
          <t>-235Q1</t>
        </is>
      </c>
    </row>
    <row r="4898">
      <c r="A4898">
        <v>4897</v>
      </c>
      <c r="B4898">
        <f>GS93</f>
        <v>0</v>
      </c>
      <c r="C4898" t="inlineStr">
        <is>
          <t>+LS03</t>
        </is>
      </c>
      <c r="D4898" t="inlineStr">
        <is>
          <t>-235Q1</t>
        </is>
      </c>
      <c r="E4898" t="inlineStr">
        <is>
          <t>DILMC25-10(RDC24)</t>
        </is>
      </c>
      <c r="F4898" t="inlineStr">
        <is>
          <t>DILA-XHIC31</t>
        </is>
      </c>
      <c r="G4898" t="inlineStr">
        <is>
          <t>LASTSCHUETZ</t>
        </is>
      </c>
      <c r="H4898" t="inlineStr">
        <is>
          <t>11kW 1S Federzugkl.</t>
        </is>
      </c>
      <c r="I4898">
        <v>789</v>
      </c>
      <c r="J4898">
        <f>GS93/235.2</f>
        <v>0</v>
      </c>
      <c r="M4898" t="inlineStr">
        <is>
          <t>-235Q1</t>
        </is>
      </c>
    </row>
    <row r="4899">
      <c r="A4899">
        <v>4898</v>
      </c>
      <c r="B4899">
        <f>GS93</f>
        <v>0</v>
      </c>
      <c r="C4899" t="inlineStr">
        <is>
          <t>+LS03</t>
        </is>
      </c>
      <c r="D4899" t="inlineStr">
        <is>
          <t>-235Q1</t>
        </is>
      </c>
      <c r="E4899" t="inlineStr">
        <is>
          <t>DILA-XHIC31</t>
        </is>
      </c>
      <c r="F4899" t="inlineStr">
        <is>
          <t>DILA-XHIC31</t>
        </is>
      </c>
      <c r="G4899" t="inlineStr">
        <is>
          <t>HILFSKONTAKTBLOCK</t>
        </is>
      </c>
      <c r="H4899" t="inlineStr">
        <is>
          <t>3S 1OE Last+Hilfssch. Cage</t>
        </is>
      </c>
      <c r="I4899">
        <v>789</v>
      </c>
      <c r="J4899">
        <f>GS93/235.2</f>
        <v>0</v>
      </c>
      <c r="M4899" t="inlineStr">
        <is>
          <t>-235Q1</t>
        </is>
      </c>
    </row>
    <row r="4900">
      <c r="A4900">
        <v>4899</v>
      </c>
      <c r="B4900">
        <f>GS94</f>
        <v>0</v>
      </c>
      <c r="C4900" t="inlineStr">
        <is>
          <t>+LS17</t>
        </is>
      </c>
      <c r="D4900" t="inlineStr">
        <is>
          <t>-235Q1</t>
        </is>
      </c>
      <c r="E4900" t="inlineStr">
        <is>
          <t>DILMC25-10(RDC24)</t>
        </is>
      </c>
      <c r="F4900" t="inlineStr">
        <is>
          <t>DILA-XHI22</t>
        </is>
      </c>
      <c r="G4900" t="inlineStr">
        <is>
          <t>LASTSCHUETZ</t>
        </is>
      </c>
      <c r="H4900" t="inlineStr">
        <is>
          <t>11kW 1S Federzugkl.</t>
        </is>
      </c>
      <c r="I4900">
        <v>325</v>
      </c>
      <c r="J4900">
        <f>GS94/235.4</f>
        <v>0</v>
      </c>
      <c r="K4900" t="inlineStr">
        <is>
          <t>DIL MC25</t>
        </is>
      </c>
      <c r="M4900" t="inlineStr">
        <is>
          <t>-235Q1</t>
        </is>
      </c>
    </row>
    <row r="4901">
      <c r="A4901">
        <v>4900</v>
      </c>
      <c r="B4901">
        <f>GS94</f>
        <v>0</v>
      </c>
      <c r="C4901" t="inlineStr">
        <is>
          <t>+LS17</t>
        </is>
      </c>
      <c r="D4901" t="inlineStr">
        <is>
          <t>-235Q1</t>
        </is>
      </c>
      <c r="E4901" t="inlineStr">
        <is>
          <t>DILA-XHI22</t>
        </is>
      </c>
      <c r="F4901" t="inlineStr">
        <is>
          <t>DILA-XHI22</t>
        </is>
      </c>
      <c r="G4901" t="inlineStr">
        <is>
          <t>HILFSKONTAKTBLOCK</t>
        </is>
      </c>
      <c r="H4901" t="inlineStr">
        <is>
          <t>2S 2OE Last+Hilfssch. Cage</t>
        </is>
      </c>
      <c r="I4901">
        <v>325</v>
      </c>
      <c r="J4901">
        <f>GS94/235.4</f>
        <v>0</v>
      </c>
      <c r="K4901" t="inlineStr">
        <is>
          <t>DIL MC25</t>
        </is>
      </c>
      <c r="M4901" t="inlineStr">
        <is>
          <t>-235Q1</t>
        </is>
      </c>
    </row>
    <row r="4902">
      <c r="A4902">
        <v>4901</v>
      </c>
      <c r="B4902">
        <f>GS95</f>
        <v>0</v>
      </c>
      <c r="C4902" t="inlineStr">
        <is>
          <t>+LS17</t>
        </is>
      </c>
      <c r="D4902" t="inlineStr">
        <is>
          <t>-235Q1</t>
        </is>
      </c>
      <c r="E4902" t="inlineStr">
        <is>
          <t>DILA-XHI22</t>
        </is>
      </c>
      <c r="F4902" t="inlineStr">
        <is>
          <t>DILA-XHI22</t>
        </is>
      </c>
      <c r="G4902" t="inlineStr">
        <is>
          <t>HILFSKONTAKTBLOCK</t>
        </is>
      </c>
      <c r="H4902" t="inlineStr">
        <is>
          <t>2S 2OE Last+Hilfssch. Cage</t>
        </is>
      </c>
      <c r="I4902">
        <v>325</v>
      </c>
      <c r="J4902">
        <f>GS95/235.4</f>
        <v>0</v>
      </c>
      <c r="K4902" t="inlineStr">
        <is>
          <t>DIL MC25</t>
        </is>
      </c>
      <c r="M4902" t="inlineStr">
        <is>
          <t>-235Q1</t>
        </is>
      </c>
    </row>
    <row r="4903">
      <c r="A4903">
        <v>4902</v>
      </c>
      <c r="B4903">
        <f>GS95</f>
        <v>0</v>
      </c>
      <c r="C4903" t="inlineStr">
        <is>
          <t>+LS17</t>
        </is>
      </c>
      <c r="D4903" t="inlineStr">
        <is>
          <t>-235Q1</t>
        </is>
      </c>
      <c r="E4903" t="inlineStr">
        <is>
          <t>DILMC25-10(RDC24)</t>
        </is>
      </c>
      <c r="F4903" t="inlineStr">
        <is>
          <t>DILA-XHI22</t>
        </is>
      </c>
      <c r="G4903" t="inlineStr">
        <is>
          <t>LASTSCHUETZ</t>
        </is>
      </c>
      <c r="H4903" t="inlineStr">
        <is>
          <t>11kW 1S Federzugkl.</t>
        </is>
      </c>
      <c r="I4903">
        <v>325</v>
      </c>
      <c r="J4903">
        <f>GS95/235.4</f>
        <v>0</v>
      </c>
      <c r="K4903" t="inlineStr">
        <is>
          <t>DIL MC25</t>
        </is>
      </c>
      <c r="M4903" t="inlineStr">
        <is>
          <t>-235Q1</t>
        </is>
      </c>
    </row>
    <row r="4904">
      <c r="A4904">
        <v>4903</v>
      </c>
      <c r="B4904">
        <f>GS96</f>
        <v>0</v>
      </c>
      <c r="C4904" t="inlineStr">
        <is>
          <t>+LS17</t>
        </is>
      </c>
      <c r="D4904" t="inlineStr">
        <is>
          <t>-235Q1</t>
        </is>
      </c>
      <c r="E4904" t="inlineStr">
        <is>
          <t>DILMC25-10(RDC24)</t>
        </is>
      </c>
      <c r="F4904" t="inlineStr">
        <is>
          <t>DILA-XHI22</t>
        </is>
      </c>
      <c r="G4904" t="inlineStr">
        <is>
          <t>LASTSCHUETZ</t>
        </is>
      </c>
      <c r="H4904" t="inlineStr">
        <is>
          <t>11kW 1S Federzugkl.</t>
        </is>
      </c>
      <c r="I4904">
        <v>325</v>
      </c>
      <c r="J4904">
        <f>GS96/235.4</f>
        <v>0</v>
      </c>
      <c r="K4904" t="inlineStr">
        <is>
          <t>DIL MC25</t>
        </is>
      </c>
      <c r="M4904" t="inlineStr">
        <is>
          <t>-235Q1</t>
        </is>
      </c>
    </row>
    <row r="4905">
      <c r="A4905">
        <v>4904</v>
      </c>
      <c r="B4905">
        <f>GS96</f>
        <v>0</v>
      </c>
      <c r="C4905" t="inlineStr">
        <is>
          <t>+LS17</t>
        </is>
      </c>
      <c r="D4905" t="inlineStr">
        <is>
          <t>-235Q1</t>
        </is>
      </c>
      <c r="E4905" t="inlineStr">
        <is>
          <t>DILA-XHI22</t>
        </is>
      </c>
      <c r="F4905" t="inlineStr">
        <is>
          <t>DILA-XHI22</t>
        </is>
      </c>
      <c r="G4905" t="inlineStr">
        <is>
          <t>HILFSKONTAKTBLOCK</t>
        </is>
      </c>
      <c r="H4905" t="inlineStr">
        <is>
          <t>2S 2OE Last+Hilfssch. Cage</t>
        </is>
      </c>
      <c r="I4905">
        <v>325</v>
      </c>
      <c r="J4905">
        <f>GS96/235.4</f>
        <v>0</v>
      </c>
      <c r="K4905" t="inlineStr">
        <is>
          <t>DIL MC25</t>
        </is>
      </c>
      <c r="M4905" t="inlineStr">
        <is>
          <t>-235Q1</t>
        </is>
      </c>
    </row>
    <row r="4906">
      <c r="A4906">
        <v>4905</v>
      </c>
      <c r="B4906">
        <f>GS97</f>
        <v>0</v>
      </c>
      <c r="C4906" t="inlineStr">
        <is>
          <t>+LS17</t>
        </is>
      </c>
      <c r="D4906" t="inlineStr">
        <is>
          <t>-235Q1</t>
        </is>
      </c>
      <c r="E4906" t="inlineStr">
        <is>
          <t>DILMC25-10(RDC24)</t>
        </is>
      </c>
      <c r="F4906" t="inlineStr">
        <is>
          <t>DILA-XHI22</t>
        </is>
      </c>
      <c r="G4906" t="inlineStr">
        <is>
          <t>LASTSCHUETZ</t>
        </is>
      </c>
      <c r="H4906" t="inlineStr">
        <is>
          <t>11kW 1S Federzugkl.</t>
        </is>
      </c>
      <c r="I4906">
        <v>325</v>
      </c>
      <c r="J4906">
        <f>GS97/235.4</f>
        <v>0</v>
      </c>
      <c r="K4906" t="inlineStr">
        <is>
          <t>DIL MC25</t>
        </is>
      </c>
      <c r="M4906" t="inlineStr">
        <is>
          <t>-235Q1</t>
        </is>
      </c>
    </row>
    <row r="4907">
      <c r="A4907">
        <v>4906</v>
      </c>
      <c r="B4907">
        <f>GS97</f>
        <v>0</v>
      </c>
      <c r="C4907" t="inlineStr">
        <is>
          <t>+LS17</t>
        </is>
      </c>
      <c r="D4907" t="inlineStr">
        <is>
          <t>-235Q1</t>
        </is>
      </c>
      <c r="E4907" t="inlineStr">
        <is>
          <t>DILA-XHI22</t>
        </is>
      </c>
      <c r="F4907" t="inlineStr">
        <is>
          <t>DILA-XHI22</t>
        </is>
      </c>
      <c r="G4907" t="inlineStr">
        <is>
          <t>HILFSKONTAKTBLOCK</t>
        </is>
      </c>
      <c r="H4907" t="inlineStr">
        <is>
          <t>2S 2OE Last+Hilfssch. Cage</t>
        </is>
      </c>
      <c r="I4907">
        <v>325</v>
      </c>
      <c r="J4907">
        <f>GS97/235.4</f>
        <v>0</v>
      </c>
      <c r="K4907" t="inlineStr">
        <is>
          <t>DIL MC25</t>
        </is>
      </c>
      <c r="M4907" t="inlineStr">
        <is>
          <t>-235Q1</t>
        </is>
      </c>
    </row>
    <row r="4908">
      <c r="A4908">
        <v>4907</v>
      </c>
      <c r="B4908">
        <f>GS92</f>
        <v>0</v>
      </c>
      <c r="C4908" t="inlineStr">
        <is>
          <t>+LS03</t>
        </is>
      </c>
      <c r="D4908" t="inlineStr">
        <is>
          <t>-235Q2</t>
        </is>
      </c>
      <c r="E4908" t="inlineStr">
        <is>
          <t>DILM-9-01</t>
        </is>
      </c>
      <c r="F4908" t="inlineStr">
        <is>
          <t>#KALK!</t>
        </is>
      </c>
      <c r="G4908" t="inlineStr">
        <is>
          <t>LASTSCHUETZ</t>
        </is>
      </c>
      <c r="H4908" t="inlineStr">
        <is>
          <t>4kW 1Oe Federzugkl.</t>
        </is>
      </c>
      <c r="I4908">
        <v>381</v>
      </c>
      <c r="J4908">
        <f>GS92/235.3</f>
        <v>0</v>
      </c>
      <c r="M4908" t="inlineStr">
        <is>
          <t>-235Q2</t>
        </is>
      </c>
    </row>
    <row r="4909">
      <c r="A4909">
        <v>4908</v>
      </c>
      <c r="B4909">
        <f>GS93</f>
        <v>0</v>
      </c>
      <c r="C4909" t="inlineStr">
        <is>
          <t>+LS03</t>
        </is>
      </c>
      <c r="D4909" t="inlineStr">
        <is>
          <t>-235Q2</t>
        </is>
      </c>
      <c r="E4909" t="inlineStr">
        <is>
          <t>DILM-9-01</t>
        </is>
      </c>
      <c r="F4909" t="inlineStr">
        <is>
          <t>#KALK!</t>
        </is>
      </c>
      <c r="G4909" t="inlineStr">
        <is>
          <t>LASTSCHUETZ</t>
        </is>
      </c>
      <c r="H4909" t="inlineStr">
        <is>
          <t>4kW 1Oe Federzugkl.</t>
        </is>
      </c>
      <c r="I4909">
        <v>789</v>
      </c>
      <c r="J4909">
        <f>GS93/235.3</f>
        <v>0</v>
      </c>
      <c r="M4909" t="inlineStr">
        <is>
          <t>-235Q2</t>
        </is>
      </c>
    </row>
    <row r="4910">
      <c r="A4910">
        <v>4909</v>
      </c>
      <c r="B4910">
        <f>GS38</f>
        <v>0</v>
      </c>
      <c r="C4910" t="inlineStr">
        <is>
          <t>+LS04</t>
        </is>
      </c>
      <c r="D4910" t="inlineStr">
        <is>
          <t>-235Q405.5</t>
        </is>
      </c>
      <c r="E4910" t="inlineStr">
        <is>
          <t>DILA-XHI22</t>
        </is>
      </c>
      <c r="F4910" t="inlineStr">
        <is>
          <t>DILA-XHI22</t>
        </is>
      </c>
      <c r="G4910" t="inlineStr">
        <is>
          <t>HILFSKONTAKTBLOCK</t>
        </is>
      </c>
      <c r="H4910" t="inlineStr">
        <is>
          <t>2S 2OE Last+Hilfssch. Cage</t>
        </is>
      </c>
      <c r="I4910">
        <v>405</v>
      </c>
      <c r="J4910">
        <f>GS38/235.5</f>
        <v>0</v>
      </c>
      <c r="K4910" t="inlineStr">
        <is>
          <t>DIL MC25</t>
        </is>
      </c>
      <c r="M4910" t="inlineStr">
        <is>
          <t>-235Q405.5</t>
        </is>
      </c>
    </row>
    <row r="4911">
      <c r="A4911">
        <v>4910</v>
      </c>
      <c r="B4911">
        <f>GS38</f>
        <v>0</v>
      </c>
      <c r="C4911" t="inlineStr">
        <is>
          <t>+LS04</t>
        </is>
      </c>
      <c r="D4911" t="inlineStr">
        <is>
          <t>-235Q405.5</t>
        </is>
      </c>
      <c r="E4911" t="inlineStr">
        <is>
          <t>DILMC25-10(RDC24)</t>
        </is>
      </c>
      <c r="F4911" t="inlineStr">
        <is>
          <t>DILA-XHI22</t>
        </is>
      </c>
      <c r="G4911" t="inlineStr">
        <is>
          <t>LASTSCHUETZ</t>
        </is>
      </c>
      <c r="H4911" t="inlineStr">
        <is>
          <t>11kW 1S Federzugkl.</t>
        </is>
      </c>
      <c r="I4911">
        <v>405</v>
      </c>
      <c r="J4911">
        <f>GS38/235.5</f>
        <v>0</v>
      </c>
      <c r="K4911" t="inlineStr">
        <is>
          <t>DIL MC25</t>
        </is>
      </c>
      <c r="M4911" t="inlineStr">
        <is>
          <t>-235Q405.5</t>
        </is>
      </c>
    </row>
    <row r="4912">
      <c r="A4912">
        <v>4911</v>
      </c>
      <c r="B4912">
        <f>GS39</f>
        <v>0</v>
      </c>
      <c r="C4912" t="inlineStr">
        <is>
          <t>+LS04</t>
        </is>
      </c>
      <c r="D4912" t="inlineStr">
        <is>
          <t>-235Q405.5</t>
        </is>
      </c>
      <c r="E4912" t="inlineStr">
        <is>
          <t>DILMC25-10(RDC24)</t>
        </is>
      </c>
      <c r="F4912" t="inlineStr">
        <is>
          <t>DILA-XHI22</t>
        </is>
      </c>
      <c r="G4912" t="inlineStr">
        <is>
          <t>LASTSCHUETZ</t>
        </is>
      </c>
      <c r="H4912" t="inlineStr">
        <is>
          <t>11kW 1S Federzugkl.</t>
        </is>
      </c>
      <c r="I4912">
        <v>1155</v>
      </c>
      <c r="J4912">
        <f>GS39/235.5</f>
        <v>0</v>
      </c>
      <c r="K4912" t="inlineStr">
        <is>
          <t>DIL MC25</t>
        </is>
      </c>
      <c r="M4912" t="inlineStr">
        <is>
          <t>-235Q405.5</t>
        </is>
      </c>
    </row>
    <row r="4913">
      <c r="A4913">
        <v>4912</v>
      </c>
      <c r="B4913">
        <f>GS39</f>
        <v>0</v>
      </c>
      <c r="C4913" t="inlineStr">
        <is>
          <t>+LS04</t>
        </is>
      </c>
      <c r="D4913" t="inlineStr">
        <is>
          <t>-235Q405.5</t>
        </is>
      </c>
      <c r="E4913" t="inlineStr">
        <is>
          <t>DILA-XHI22</t>
        </is>
      </c>
      <c r="F4913" t="inlineStr">
        <is>
          <t>DILA-XHI22</t>
        </is>
      </c>
      <c r="G4913" t="inlineStr">
        <is>
          <t>HILFSKONTAKTBLOCK</t>
        </is>
      </c>
      <c r="H4913" t="inlineStr">
        <is>
          <t>2S 2OE Last+Hilfssch. Cage</t>
        </is>
      </c>
      <c r="I4913">
        <v>1155</v>
      </c>
      <c r="J4913">
        <f>GS39/235.5</f>
        <v>0</v>
      </c>
      <c r="K4913" t="inlineStr">
        <is>
          <t>DIL MC25</t>
        </is>
      </c>
      <c r="M4913" t="inlineStr">
        <is>
          <t>-235Q405.5</t>
        </is>
      </c>
    </row>
    <row r="4914">
      <c r="A4914">
        <v>4913</v>
      </c>
      <c r="B4914">
        <f>GS07</f>
        <v>0</v>
      </c>
      <c r="C4914" t="inlineStr">
        <is>
          <t>+LS03</t>
        </is>
      </c>
      <c r="D4914" t="inlineStr">
        <is>
          <t>-236.1K1</t>
        </is>
      </c>
      <c r="E4914" t="inlineStr">
        <is>
          <t>31_DIL-E</t>
        </is>
      </c>
      <c r="F4914" t="inlineStr">
        <is>
          <t>31_DIL-E</t>
        </is>
      </c>
      <c r="G4914" t="inlineStr">
        <is>
          <t>HILFSKONTAKTBLOCK</t>
        </is>
      </c>
      <c r="H4914" t="inlineStr">
        <is>
          <t>3S 1OE Last+Hilsschuetz</t>
        </is>
      </c>
      <c r="I4914">
        <v>946</v>
      </c>
      <c r="J4914">
        <f>GS07/236.1.6</f>
        <v>0</v>
      </c>
      <c r="M4914" t="inlineStr">
        <is>
          <t>-236.1K1</t>
        </is>
      </c>
    </row>
    <row r="4915">
      <c r="A4915">
        <v>4914</v>
      </c>
      <c r="B4915">
        <f>GS07</f>
        <v>0</v>
      </c>
      <c r="C4915" t="inlineStr">
        <is>
          <t>+LS03</t>
        </is>
      </c>
      <c r="D4915" t="inlineStr">
        <is>
          <t>-236.1K1</t>
        </is>
      </c>
      <c r="E4915" t="inlineStr">
        <is>
          <t>DILM-9-01</t>
        </is>
      </c>
      <c r="F4915" t="inlineStr">
        <is>
          <t>31_DIL-E</t>
        </is>
      </c>
      <c r="G4915" t="inlineStr">
        <is>
          <t>LASTSCHUETZ</t>
        </is>
      </c>
      <c r="H4915" t="inlineStr">
        <is>
          <t>4kW 1Oe Federzugkl.</t>
        </is>
      </c>
      <c r="I4915">
        <v>946</v>
      </c>
      <c r="J4915">
        <f>GS07/236.1.6</f>
        <v>0</v>
      </c>
      <c r="M4915" t="inlineStr">
        <is>
          <t>-236.1K1</t>
        </is>
      </c>
    </row>
    <row r="4916">
      <c r="A4916">
        <v>4915</v>
      </c>
      <c r="B4916">
        <f>GS07</f>
        <v>0</v>
      </c>
      <c r="C4916" t="inlineStr">
        <is>
          <t>+LS03</t>
        </is>
      </c>
      <c r="D4916" t="inlineStr">
        <is>
          <t>-236.1K2</t>
        </is>
      </c>
      <c r="E4916" t="inlineStr">
        <is>
          <t>DILM-9-01</t>
        </is>
      </c>
      <c r="F4916" t="inlineStr">
        <is>
          <t>31_DIL-E</t>
        </is>
      </c>
      <c r="G4916" t="inlineStr">
        <is>
          <t>LASTSCHUETZ</t>
        </is>
      </c>
      <c r="H4916" t="inlineStr">
        <is>
          <t>4kW 1Oe Federzugkl.</t>
        </is>
      </c>
      <c r="I4916">
        <v>946</v>
      </c>
      <c r="J4916">
        <f>GS07/236.1.7</f>
        <v>0</v>
      </c>
      <c r="M4916" t="inlineStr">
        <is>
          <t>-236.1K2</t>
        </is>
      </c>
    </row>
    <row r="4917">
      <c r="A4917">
        <v>4916</v>
      </c>
      <c r="B4917">
        <f>GS07</f>
        <v>0</v>
      </c>
      <c r="C4917" t="inlineStr">
        <is>
          <t>+LS03</t>
        </is>
      </c>
      <c r="D4917" t="inlineStr">
        <is>
          <t>-236.1K2</t>
        </is>
      </c>
      <c r="E4917" t="inlineStr">
        <is>
          <t>31_DIL-E</t>
        </is>
      </c>
      <c r="F4917" t="inlineStr">
        <is>
          <t>31_DIL-E</t>
        </is>
      </c>
      <c r="G4917" t="inlineStr">
        <is>
          <t>HILFSKONTAKTBLOCK</t>
        </is>
      </c>
      <c r="H4917" t="inlineStr">
        <is>
          <t>3S 1OE Last+Hilsschuetz</t>
        </is>
      </c>
      <c r="I4917">
        <v>946</v>
      </c>
      <c r="J4917">
        <f>GS07/236.1.7</f>
        <v>0</v>
      </c>
      <c r="M4917" t="inlineStr">
        <is>
          <t>-236.1K2</t>
        </is>
      </c>
    </row>
    <row r="4918">
      <c r="A4918">
        <v>4917</v>
      </c>
      <c r="B4918">
        <f>GS55</f>
        <v>0</v>
      </c>
      <c r="C4918" t="inlineStr">
        <is>
          <t>+LS38</t>
        </is>
      </c>
      <c r="D4918" t="inlineStr">
        <is>
          <t>-2365Q1</t>
        </is>
      </c>
      <c r="E4918" t="inlineStr">
        <is>
          <t>DILMC25-10(RDC24)</t>
        </is>
      </c>
      <c r="F4918" t="inlineStr">
        <is>
          <t>DILA-XHI22</t>
        </is>
      </c>
      <c r="G4918" t="inlineStr">
        <is>
          <t>LASTSCHUETZ</t>
        </is>
      </c>
      <c r="H4918" t="inlineStr">
        <is>
          <t>11kW 1S Federzugkl.</t>
        </is>
      </c>
      <c r="I4918">
        <v>2529</v>
      </c>
      <c r="J4918">
        <f>GS55/2365.6</f>
        <v>0</v>
      </c>
      <c r="K4918" t="inlineStr">
        <is>
          <t>DIL MC25</t>
        </is>
      </c>
      <c r="M4918" t="inlineStr">
        <is>
          <t>-2365Q1</t>
        </is>
      </c>
    </row>
    <row r="4919">
      <c r="A4919">
        <v>4918</v>
      </c>
      <c r="B4919">
        <f>GS55</f>
        <v>0</v>
      </c>
      <c r="C4919" t="inlineStr">
        <is>
          <t>+LS38</t>
        </is>
      </c>
      <c r="D4919" t="inlineStr">
        <is>
          <t>-2365Q1</t>
        </is>
      </c>
      <c r="E4919" t="inlineStr">
        <is>
          <t>DILA-XHI22</t>
        </is>
      </c>
      <c r="F4919" t="inlineStr">
        <is>
          <t>DILA-XHI22</t>
        </is>
      </c>
      <c r="G4919" t="inlineStr">
        <is>
          <t>HILFSKONTAKTBLOCK</t>
        </is>
      </c>
      <c r="H4919" t="inlineStr">
        <is>
          <t>2S 2OE Last+Hilfssch. Cage</t>
        </is>
      </c>
      <c r="I4919">
        <v>2529</v>
      </c>
      <c r="J4919">
        <f>GS55/2365.6</f>
        <v>0</v>
      </c>
      <c r="K4919" t="inlineStr">
        <is>
          <t>DIL MC25</t>
        </is>
      </c>
      <c r="M4919" t="inlineStr">
        <is>
          <t>-2365Q1</t>
        </is>
      </c>
    </row>
    <row r="4920">
      <c r="A4920">
        <v>4919</v>
      </c>
      <c r="B4920">
        <f>GS13</f>
        <v>0</v>
      </c>
      <c r="C4920" t="inlineStr">
        <is>
          <t>+LS4</t>
        </is>
      </c>
      <c r="D4920" t="inlineStr">
        <is>
          <t>-23674.2</t>
        </is>
      </c>
      <c r="E4920" t="inlineStr">
        <is>
          <t>DIL_EM-10-G</t>
        </is>
      </c>
      <c r="F4920" t="inlineStr">
        <is>
          <t>#KALK!</t>
        </is>
      </c>
      <c r="G4920" t="inlineStr">
        <is>
          <t>LASTSCHUETZ</t>
        </is>
      </c>
      <c r="H4920" t="inlineStr">
        <is>
          <t>4kW 1S</t>
        </is>
      </c>
      <c r="I4920">
        <v>478</v>
      </c>
      <c r="J4920">
        <f>GS13/236.6</f>
        <v>0</v>
      </c>
      <c r="M4920" t="inlineStr">
        <is>
          <t>-23674.2</t>
        </is>
      </c>
    </row>
    <row r="4921">
      <c r="A4921">
        <v>4920</v>
      </c>
      <c r="B4921">
        <f>GS13</f>
        <v>0</v>
      </c>
      <c r="C4921" t="inlineStr">
        <is>
          <t>+LS4</t>
        </is>
      </c>
      <c r="D4921" t="inlineStr">
        <is>
          <t>-23674.3</t>
        </is>
      </c>
      <c r="E4921" t="inlineStr">
        <is>
          <t>DIL_EM-10-G</t>
        </is>
      </c>
      <c r="F4921" t="inlineStr">
        <is>
          <t>#KALK!</t>
        </is>
      </c>
      <c r="G4921" t="inlineStr">
        <is>
          <t>LASTSCHUETZ</t>
        </is>
      </c>
      <c r="H4921" t="inlineStr">
        <is>
          <t>4kW 1S</t>
        </is>
      </c>
      <c r="I4921">
        <v>478</v>
      </c>
      <c r="J4921">
        <f>GS13/236.6</f>
        <v>0</v>
      </c>
      <c r="M4921" t="inlineStr">
        <is>
          <t>-23674.3</t>
        </is>
      </c>
    </row>
    <row r="4922">
      <c r="A4922">
        <v>4921</v>
      </c>
      <c r="B4922">
        <f>GS55</f>
        <v>0</v>
      </c>
      <c r="C4922" t="inlineStr">
        <is>
          <t>+LS38</t>
        </is>
      </c>
      <c r="D4922" t="inlineStr">
        <is>
          <t>-2367Q1646.1</t>
        </is>
      </c>
      <c r="E4922" t="inlineStr">
        <is>
          <t>DILM-9-10</t>
        </is>
      </c>
      <c r="F4922" t="inlineStr">
        <is>
          <t>#KALK!</t>
        </is>
      </c>
      <c r="G4922" t="inlineStr">
        <is>
          <t>LASTSCHUETZ</t>
        </is>
      </c>
      <c r="H4922" t="inlineStr">
        <is>
          <t>4kW 1S Federzugkl.</t>
        </is>
      </c>
      <c r="I4922">
        <v>2531</v>
      </c>
      <c r="J4922">
        <f>GS55/2367.6</f>
        <v>0</v>
      </c>
      <c r="K4922" t="inlineStr">
        <is>
          <t>DIL MC9</t>
        </is>
      </c>
      <c r="M4922" t="inlineStr">
        <is>
          <t>-2367Q1646.1</t>
        </is>
      </c>
    </row>
    <row r="4923">
      <c r="A4923">
        <v>4922</v>
      </c>
      <c r="B4923">
        <f>GS07</f>
        <v>0</v>
      </c>
      <c r="C4923" t="inlineStr">
        <is>
          <t>+LS03</t>
        </is>
      </c>
      <c r="D4923" t="inlineStr">
        <is>
          <t>-236K1</t>
        </is>
      </c>
      <c r="E4923" t="inlineStr">
        <is>
          <t>DILM-9-01</t>
        </is>
      </c>
      <c r="F4923" t="inlineStr">
        <is>
          <t>31_DIL-E</t>
        </is>
      </c>
      <c r="G4923" t="inlineStr">
        <is>
          <t>LASTSCHUETZ</t>
        </is>
      </c>
      <c r="H4923" t="inlineStr">
        <is>
          <t>4kW 1Oe Federzugkl.</t>
        </is>
      </c>
      <c r="I4923">
        <v>379</v>
      </c>
      <c r="J4923">
        <f>GS07/236.6</f>
        <v>0</v>
      </c>
      <c r="M4923" t="inlineStr">
        <is>
          <t>-236K1</t>
        </is>
      </c>
    </row>
    <row r="4924">
      <c r="A4924">
        <v>4923</v>
      </c>
      <c r="B4924">
        <f>GS07</f>
        <v>0</v>
      </c>
      <c r="C4924" t="inlineStr">
        <is>
          <t>+LS03</t>
        </is>
      </c>
      <c r="D4924" t="inlineStr">
        <is>
          <t>-236K1</t>
        </is>
      </c>
      <c r="E4924" t="inlineStr">
        <is>
          <t>31_DIL-E</t>
        </is>
      </c>
      <c r="F4924" t="inlineStr">
        <is>
          <t>31_DIL-E</t>
        </is>
      </c>
      <c r="G4924" t="inlineStr">
        <is>
          <t>HILFSKONTAKTBLOCK</t>
        </is>
      </c>
      <c r="H4924" t="inlineStr">
        <is>
          <t>3S 1OE Last+Hilsschuetz</t>
        </is>
      </c>
      <c r="I4924">
        <v>379</v>
      </c>
      <c r="J4924">
        <f>GS07/236.6</f>
        <v>0</v>
      </c>
      <c r="M4924" t="inlineStr">
        <is>
          <t>-236K1</t>
        </is>
      </c>
    </row>
    <row r="4925">
      <c r="A4925">
        <v>4924</v>
      </c>
      <c r="B4925">
        <f>GS07</f>
        <v>0</v>
      </c>
      <c r="C4925" t="inlineStr">
        <is>
          <t>+LS03</t>
        </is>
      </c>
      <c r="D4925" t="inlineStr">
        <is>
          <t>-236K2</t>
        </is>
      </c>
      <c r="E4925" t="inlineStr">
        <is>
          <t>DILM-9-01</t>
        </is>
      </c>
      <c r="F4925" t="inlineStr">
        <is>
          <t>31_DIL-E</t>
        </is>
      </c>
      <c r="G4925" t="inlineStr">
        <is>
          <t>LASTSCHUETZ</t>
        </is>
      </c>
      <c r="H4925" t="inlineStr">
        <is>
          <t>4kW 1Oe Federzugkl.</t>
        </is>
      </c>
      <c r="I4925">
        <v>379</v>
      </c>
      <c r="J4925">
        <f>GS07/236.7</f>
        <v>0</v>
      </c>
      <c r="M4925" t="inlineStr">
        <is>
          <t>-236K2</t>
        </is>
      </c>
    </row>
    <row r="4926">
      <c r="A4926">
        <v>4925</v>
      </c>
      <c r="B4926">
        <f>GS07</f>
        <v>0</v>
      </c>
      <c r="C4926" t="inlineStr">
        <is>
          <t>+LS03</t>
        </is>
      </c>
      <c r="D4926" t="inlineStr">
        <is>
          <t>-236K2</t>
        </is>
      </c>
      <c r="E4926" t="inlineStr">
        <is>
          <t>31_DIL-E</t>
        </is>
      </c>
      <c r="F4926" t="inlineStr">
        <is>
          <t>31_DIL-E</t>
        </is>
      </c>
      <c r="G4926" t="inlineStr">
        <is>
          <t>HILFSKONTAKTBLOCK</t>
        </is>
      </c>
      <c r="H4926" t="inlineStr">
        <is>
          <t>3S 1OE Last+Hilsschuetz</t>
        </is>
      </c>
      <c r="I4926">
        <v>379</v>
      </c>
      <c r="J4926">
        <f>GS07/236.7</f>
        <v>0</v>
      </c>
      <c r="M4926" t="inlineStr">
        <is>
          <t>-236K2</t>
        </is>
      </c>
    </row>
    <row r="4927">
      <c r="A4927">
        <v>4926</v>
      </c>
      <c r="B4927">
        <f>GS01</f>
        <v>0</v>
      </c>
      <c r="C4927" t="inlineStr">
        <is>
          <t>+LS5</t>
        </is>
      </c>
      <c r="D4927" t="inlineStr">
        <is>
          <t>-236K47.1</t>
        </is>
      </c>
      <c r="E4927" t="inlineStr">
        <is>
          <t>DIL_EM-10-G</t>
        </is>
      </c>
      <c r="F4927" t="inlineStr">
        <is>
          <t>#KALK!</t>
        </is>
      </c>
      <c r="G4927" t="inlineStr">
        <is>
          <t>LASTSCHUETZ</t>
        </is>
      </c>
      <c r="H4927" t="inlineStr">
        <is>
          <t>4kW 1S</t>
        </is>
      </c>
      <c r="I4927">
        <v>399</v>
      </c>
      <c r="J4927">
        <f>GS01/236.7</f>
        <v>0</v>
      </c>
      <c r="M4927" t="inlineStr">
        <is>
          <t>-236K47.1</t>
        </is>
      </c>
    </row>
    <row r="4928">
      <c r="A4928">
        <v>4927</v>
      </c>
      <c r="B4928">
        <f>GS23</f>
        <v>0</v>
      </c>
      <c r="C4928" t="inlineStr">
        <is>
          <t>+LS4</t>
        </is>
      </c>
      <c r="D4928" t="inlineStr">
        <is>
          <t>-236K74.2</t>
        </is>
      </c>
      <c r="E4928" t="inlineStr">
        <is>
          <t>DIL_EM-10-G</t>
        </is>
      </c>
      <c r="F4928" t="inlineStr">
        <is>
          <t>#KALK!</t>
        </is>
      </c>
      <c r="G4928" t="inlineStr">
        <is>
          <t>LASTSCHUETZ</t>
        </is>
      </c>
      <c r="H4928" t="inlineStr">
        <is>
          <t>4kW 1S</t>
        </is>
      </c>
      <c r="I4928">
        <v>537</v>
      </c>
      <c r="J4928">
        <f>GS23/236.6</f>
        <v>0</v>
      </c>
      <c r="M4928" t="inlineStr">
        <is>
          <t>-236K74.2</t>
        </is>
      </c>
    </row>
    <row r="4929">
      <c r="A4929">
        <v>4928</v>
      </c>
      <c r="B4929">
        <f>GS23</f>
        <v>0</v>
      </c>
      <c r="C4929" t="inlineStr">
        <is>
          <t>+LS4</t>
        </is>
      </c>
      <c r="D4929" t="inlineStr">
        <is>
          <t>-236K74.3</t>
        </is>
      </c>
      <c r="E4929" t="inlineStr">
        <is>
          <t>DIL_EM-10-G</t>
        </is>
      </c>
      <c r="F4929" t="inlineStr">
        <is>
          <t>#KALK!</t>
        </is>
      </c>
      <c r="G4929" t="inlineStr">
        <is>
          <t>LASTSCHUETZ</t>
        </is>
      </c>
      <c r="H4929" t="inlineStr">
        <is>
          <t>4kW 1S</t>
        </is>
      </c>
      <c r="I4929">
        <v>537</v>
      </c>
      <c r="J4929">
        <f>GS23/236.6</f>
        <v>0</v>
      </c>
      <c r="M4929" t="inlineStr">
        <is>
          <t>-236K74.3</t>
        </is>
      </c>
    </row>
    <row r="4930">
      <c r="A4930">
        <v>4929</v>
      </c>
      <c r="B4930">
        <f>GS25</f>
        <v>0</v>
      </c>
      <c r="C4930" t="inlineStr">
        <is>
          <t>+LS5</t>
        </is>
      </c>
      <c r="D4930" t="inlineStr">
        <is>
          <t>-236K78.0</t>
        </is>
      </c>
      <c r="E4930" t="inlineStr">
        <is>
          <t>DIL_EM-10-G</t>
        </is>
      </c>
      <c r="F4930" t="inlineStr">
        <is>
          <t>#KALK!</t>
        </is>
      </c>
      <c r="G4930" t="inlineStr">
        <is>
          <t>LASTSCHUETZ</t>
        </is>
      </c>
      <c r="H4930" t="inlineStr">
        <is>
          <t>4kW 1S</t>
        </is>
      </c>
      <c r="I4930">
        <v>357</v>
      </c>
      <c r="J4930">
        <f>GS25/236.6</f>
        <v>0</v>
      </c>
      <c r="M4930" t="inlineStr">
        <is>
          <t>-236K78.0</t>
        </is>
      </c>
    </row>
    <row r="4931">
      <c r="A4931">
        <v>4930</v>
      </c>
      <c r="B4931">
        <f>GS25</f>
        <v>0</v>
      </c>
      <c r="C4931" t="inlineStr">
        <is>
          <t>+LS5</t>
        </is>
      </c>
      <c r="D4931" t="inlineStr">
        <is>
          <t>-236K78.1</t>
        </is>
      </c>
      <c r="E4931" t="inlineStr">
        <is>
          <t>DIL_EM-10-G</t>
        </is>
      </c>
      <c r="F4931" t="inlineStr">
        <is>
          <t>#KALK!</t>
        </is>
      </c>
      <c r="G4931" t="inlineStr">
        <is>
          <t>LASTSCHUETZ</t>
        </is>
      </c>
      <c r="H4931" t="inlineStr">
        <is>
          <t>4kW 1S</t>
        </is>
      </c>
      <c r="I4931">
        <v>357</v>
      </c>
      <c r="J4931">
        <f>GS25/236.6</f>
        <v>0</v>
      </c>
      <c r="M4931" t="inlineStr">
        <is>
          <t>-236K78.1</t>
        </is>
      </c>
    </row>
    <row r="4932">
      <c r="A4932">
        <v>4931</v>
      </c>
      <c r="B4932">
        <f>GC03</f>
        <v>0</v>
      </c>
      <c r="C4932" t="inlineStr">
        <is>
          <t>+LS5</t>
        </is>
      </c>
      <c r="D4932" t="inlineStr">
        <is>
          <t>-236K88.5</t>
        </is>
      </c>
      <c r="E4932" t="inlineStr">
        <is>
          <t>DIL_EM-10-G</t>
        </is>
      </c>
      <c r="F4932" t="inlineStr">
        <is>
          <t>#KALK!</t>
        </is>
      </c>
      <c r="G4932" t="inlineStr">
        <is>
          <t>LASTSCHUETZ</t>
        </is>
      </c>
      <c r="H4932" t="inlineStr">
        <is>
          <t>4kW 1S</t>
        </is>
      </c>
      <c r="I4932">
        <v>568</v>
      </c>
      <c r="J4932">
        <f>GC03/236.6</f>
        <v>0</v>
      </c>
      <c r="M4932" t="inlineStr">
        <is>
          <t>-236K88.5</t>
        </is>
      </c>
    </row>
    <row r="4933">
      <c r="A4933">
        <v>4932</v>
      </c>
      <c r="B4933">
        <f>GC03</f>
        <v>0</v>
      </c>
      <c r="C4933" t="inlineStr">
        <is>
          <t>+LS5</t>
        </is>
      </c>
      <c r="D4933" t="inlineStr">
        <is>
          <t>-236K88.6</t>
        </is>
      </c>
      <c r="E4933" t="inlineStr">
        <is>
          <t>DIL_EM-10-G</t>
        </is>
      </c>
      <c r="F4933" t="inlineStr">
        <is>
          <t>#KALK!</t>
        </is>
      </c>
      <c r="G4933" t="inlineStr">
        <is>
          <t>LASTSCHUETZ</t>
        </is>
      </c>
      <c r="H4933" t="inlineStr">
        <is>
          <t>4kW 1S</t>
        </is>
      </c>
      <c r="I4933">
        <v>568</v>
      </c>
      <c r="J4933">
        <f>GC03/236.6</f>
        <v>0</v>
      </c>
      <c r="M4933" t="inlineStr">
        <is>
          <t>-236K88.6</t>
        </is>
      </c>
    </row>
    <row r="4934">
      <c r="A4934">
        <v>4933</v>
      </c>
      <c r="B4934">
        <f>GS90</f>
        <v>0</v>
      </c>
      <c r="C4934" t="inlineStr">
        <is>
          <t>+LS03</t>
        </is>
      </c>
      <c r="D4934" t="inlineStr">
        <is>
          <t>-236Q166.1</t>
        </is>
      </c>
      <c r="E4934" t="inlineStr">
        <is>
          <t>DILM-9-10</t>
        </is>
      </c>
      <c r="F4934" t="inlineStr">
        <is>
          <t>DILA-XHI22</t>
        </is>
      </c>
      <c r="G4934" t="inlineStr">
        <is>
          <t>LASTSCHUETZ</t>
        </is>
      </c>
      <c r="H4934" t="inlineStr">
        <is>
          <t>4kW 1S Federzugkl.</t>
        </is>
      </c>
      <c r="I4934">
        <v>1016</v>
      </c>
      <c r="J4934">
        <f>GS90/236.5</f>
        <v>0</v>
      </c>
      <c r="M4934" t="inlineStr">
        <is>
          <t>-236Q166.1</t>
        </is>
      </c>
    </row>
    <row r="4935">
      <c r="A4935">
        <v>4934</v>
      </c>
      <c r="B4935">
        <f>GS90</f>
        <v>0</v>
      </c>
      <c r="C4935" t="inlineStr">
        <is>
          <t>+LS03</t>
        </is>
      </c>
      <c r="D4935" t="inlineStr">
        <is>
          <t>-236Q166.1</t>
        </is>
      </c>
      <c r="E4935" t="inlineStr">
        <is>
          <t>DILA-XHI22</t>
        </is>
      </c>
      <c r="F4935" t="inlineStr">
        <is>
          <t>DILA-XHI22</t>
        </is>
      </c>
      <c r="G4935" t="inlineStr">
        <is>
          <t>HILFSKONTAKTBLOCK</t>
        </is>
      </c>
      <c r="H4935" t="inlineStr">
        <is>
          <t>2S 2OE Last+Hilfssch. Cage</t>
        </is>
      </c>
      <c r="I4935">
        <v>1016</v>
      </c>
      <c r="J4935">
        <f>GS90/236.5</f>
        <v>0</v>
      </c>
      <c r="M4935" t="inlineStr">
        <is>
          <t>-236Q166.1</t>
        </is>
      </c>
    </row>
    <row r="4936">
      <c r="A4936">
        <v>4935</v>
      </c>
      <c r="B4936">
        <f>GS90</f>
        <v>0</v>
      </c>
      <c r="C4936" t="inlineStr">
        <is>
          <t>+LS03</t>
        </is>
      </c>
      <c r="D4936" t="inlineStr">
        <is>
          <t>-236Q166.2</t>
        </is>
      </c>
      <c r="E4936" t="inlineStr">
        <is>
          <t>DILM-9-10</t>
        </is>
      </c>
      <c r="F4936" t="inlineStr">
        <is>
          <t>DILA-XHI22</t>
        </is>
      </c>
      <c r="G4936" t="inlineStr">
        <is>
          <t>LASTSCHUETZ</t>
        </is>
      </c>
      <c r="H4936" t="inlineStr">
        <is>
          <t>4kW 1S Federzugkl.</t>
        </is>
      </c>
      <c r="I4936">
        <v>1016</v>
      </c>
      <c r="J4936">
        <f>GS90/236.6</f>
        <v>0</v>
      </c>
      <c r="M4936" t="inlineStr">
        <is>
          <t>-236Q166.2</t>
        </is>
      </c>
    </row>
    <row r="4937">
      <c r="A4937">
        <v>4936</v>
      </c>
      <c r="B4937">
        <f>GS90</f>
        <v>0</v>
      </c>
      <c r="C4937" t="inlineStr">
        <is>
          <t>+LS03</t>
        </is>
      </c>
      <c r="D4937" t="inlineStr">
        <is>
          <t>-236Q166.2</t>
        </is>
      </c>
      <c r="E4937" t="inlineStr">
        <is>
          <t>DILA-XHI22</t>
        </is>
      </c>
      <c r="F4937" t="inlineStr">
        <is>
          <t>DILA-XHI22</t>
        </is>
      </c>
      <c r="G4937" t="inlineStr">
        <is>
          <t>HILFSKONTAKTBLOCK</t>
        </is>
      </c>
      <c r="H4937" t="inlineStr">
        <is>
          <t>2S 2OE Last+Hilfssch. Cage</t>
        </is>
      </c>
      <c r="I4937">
        <v>1016</v>
      </c>
      <c r="J4937">
        <f>GS90/236.6</f>
        <v>0</v>
      </c>
      <c r="M4937" t="inlineStr">
        <is>
          <t>-236Q166.2</t>
        </is>
      </c>
    </row>
    <row r="4938">
      <c r="A4938">
        <v>4937</v>
      </c>
      <c r="B4938">
        <f>GS55</f>
        <v>0</v>
      </c>
      <c r="C4938" t="inlineStr">
        <is>
          <t>+LS38</t>
        </is>
      </c>
      <c r="D4938" t="inlineStr">
        <is>
          <t>-2375Q1</t>
        </is>
      </c>
      <c r="E4938" t="inlineStr">
        <is>
          <t>DILMC25-10(RDC24)</t>
        </is>
      </c>
      <c r="F4938" t="inlineStr">
        <is>
          <t>DILA-XHI22</t>
        </is>
      </c>
      <c r="G4938" t="inlineStr">
        <is>
          <t>LASTSCHUETZ</t>
        </is>
      </c>
      <c r="H4938" t="inlineStr">
        <is>
          <t>11kW 1S Federzugkl.</t>
        </is>
      </c>
      <c r="I4938">
        <v>2541</v>
      </c>
      <c r="J4938">
        <f>GS55/2375.6</f>
        <v>0</v>
      </c>
      <c r="K4938" t="inlineStr">
        <is>
          <t>DIL MC25</t>
        </is>
      </c>
      <c r="M4938" t="inlineStr">
        <is>
          <t>-2375Q1</t>
        </is>
      </c>
    </row>
    <row r="4939">
      <c r="A4939">
        <v>4938</v>
      </c>
      <c r="B4939">
        <f>GS55</f>
        <v>0</v>
      </c>
      <c r="C4939" t="inlineStr">
        <is>
          <t>+LS38</t>
        </is>
      </c>
      <c r="D4939" t="inlineStr">
        <is>
          <t>-2375Q1</t>
        </is>
      </c>
      <c r="E4939" t="inlineStr">
        <is>
          <t>DILA-XHI22</t>
        </is>
      </c>
      <c r="F4939" t="inlineStr">
        <is>
          <t>DILA-XHI22</t>
        </is>
      </c>
      <c r="G4939" t="inlineStr">
        <is>
          <t>HILFSKONTAKTBLOCK</t>
        </is>
      </c>
      <c r="H4939" t="inlineStr">
        <is>
          <t>2S 2OE Last+Hilfssch. Cage</t>
        </is>
      </c>
      <c r="I4939">
        <v>2541</v>
      </c>
      <c r="J4939">
        <f>GS55/2375.6</f>
        <v>0</v>
      </c>
      <c r="K4939" t="inlineStr">
        <is>
          <t>DIL MC25</t>
        </is>
      </c>
      <c r="M4939" t="inlineStr">
        <is>
          <t>-2375Q1</t>
        </is>
      </c>
    </row>
    <row r="4940">
      <c r="A4940">
        <v>4939</v>
      </c>
      <c r="B4940">
        <f>GS13</f>
        <v>0</v>
      </c>
      <c r="C4940" t="inlineStr">
        <is>
          <t>+LS4</t>
        </is>
      </c>
      <c r="D4940" t="inlineStr">
        <is>
          <t>-23774.4</t>
        </is>
      </c>
      <c r="E4940" t="inlineStr">
        <is>
          <t>DIL_EM-10-G</t>
        </is>
      </c>
      <c r="F4940" t="inlineStr">
        <is>
          <t>#KALK!</t>
        </is>
      </c>
      <c r="G4940" t="inlineStr">
        <is>
          <t>LASTSCHUETZ</t>
        </is>
      </c>
      <c r="H4940" t="inlineStr">
        <is>
          <t>4kW 1S</t>
        </is>
      </c>
      <c r="I4940">
        <v>479</v>
      </c>
      <c r="J4940">
        <f>GS13/237.6</f>
        <v>0</v>
      </c>
      <c r="M4940" t="inlineStr">
        <is>
          <t>-23774.4</t>
        </is>
      </c>
    </row>
    <row r="4941">
      <c r="A4941">
        <v>4940</v>
      </c>
      <c r="B4941">
        <f>GS01</f>
        <v>0</v>
      </c>
      <c r="C4941" t="inlineStr">
        <is>
          <t>+LS5</t>
        </is>
      </c>
      <c r="D4941" t="inlineStr">
        <is>
          <t>-237K47.7</t>
        </is>
      </c>
      <c r="E4941" t="inlineStr">
        <is>
          <t>DIL_EM-10-G</t>
        </is>
      </c>
      <c r="F4941" t="inlineStr">
        <is>
          <t>#KALK!</t>
        </is>
      </c>
      <c r="G4941" t="inlineStr">
        <is>
          <t>LASTSCHUETZ</t>
        </is>
      </c>
      <c r="H4941" t="inlineStr">
        <is>
          <t>4kW 1S</t>
        </is>
      </c>
      <c r="I4941">
        <v>400</v>
      </c>
      <c r="J4941">
        <f>GS01/237.7</f>
        <v>0</v>
      </c>
      <c r="M4941" t="inlineStr">
        <is>
          <t>-237K47.7</t>
        </is>
      </c>
    </row>
    <row r="4942">
      <c r="A4942">
        <v>4941</v>
      </c>
      <c r="B4942">
        <f>GS23</f>
        <v>0</v>
      </c>
      <c r="C4942" t="inlineStr">
        <is>
          <t>+LS4</t>
        </is>
      </c>
      <c r="D4942" t="inlineStr">
        <is>
          <t>-237K74.4</t>
        </is>
      </c>
      <c r="E4942" t="inlineStr">
        <is>
          <t>DIL_EM-10-G</t>
        </is>
      </c>
      <c r="F4942" t="inlineStr">
        <is>
          <t>#KALK!</t>
        </is>
      </c>
      <c r="G4942" t="inlineStr">
        <is>
          <t>LASTSCHUETZ</t>
        </is>
      </c>
      <c r="H4942" t="inlineStr">
        <is>
          <t>4kW 1S</t>
        </is>
      </c>
      <c r="I4942">
        <v>538</v>
      </c>
      <c r="J4942">
        <f>GS23/237.6</f>
        <v>0</v>
      </c>
      <c r="M4942" t="inlineStr">
        <is>
          <t>-237K74.4</t>
        </is>
      </c>
    </row>
    <row r="4943">
      <c r="A4943">
        <v>4942</v>
      </c>
      <c r="B4943">
        <f>GS90</f>
        <v>0</v>
      </c>
      <c r="C4943" t="inlineStr">
        <is>
          <t>+LS03</t>
        </is>
      </c>
      <c r="D4943" t="inlineStr">
        <is>
          <t>-237Q166.3</t>
        </is>
      </c>
      <c r="E4943" t="inlineStr">
        <is>
          <t>DILM-9-10</t>
        </is>
      </c>
      <c r="F4943" t="inlineStr">
        <is>
          <t>#KALK!</t>
        </is>
      </c>
      <c r="G4943" t="inlineStr">
        <is>
          <t>LASTSCHUETZ</t>
        </is>
      </c>
      <c r="H4943" t="inlineStr">
        <is>
          <t>4kW 1S Federzugkl.</t>
        </is>
      </c>
      <c r="I4943">
        <v>1013</v>
      </c>
      <c r="J4943">
        <f>GS90/237.5</f>
        <v>0</v>
      </c>
      <c r="M4943" t="inlineStr">
        <is>
          <t>-237Q166.3</t>
        </is>
      </c>
    </row>
    <row r="4944">
      <c r="A4944">
        <v>4943</v>
      </c>
      <c r="B4944">
        <f>GS33</f>
        <v>0</v>
      </c>
      <c r="C4944" t="inlineStr">
        <is>
          <t>+LS4</t>
        </is>
      </c>
      <c r="D4944" t="inlineStr">
        <is>
          <t>-237Q30.7</t>
        </is>
      </c>
      <c r="E4944" t="inlineStr">
        <is>
          <t>DILA-XHI22</t>
        </is>
      </c>
      <c r="F4944" t="inlineStr">
        <is>
          <t>DILA-XHI22</t>
        </is>
      </c>
      <c r="G4944" t="inlineStr">
        <is>
          <t>HILFSKONTAKTBLOCK</t>
        </is>
      </c>
      <c r="H4944" t="inlineStr">
        <is>
          <t>2S 2OE Last+Hilfssch. Cage</t>
        </is>
      </c>
      <c r="I4944">
        <v>678</v>
      </c>
      <c r="J4944">
        <f>GS33/237.6</f>
        <v>0</v>
      </c>
      <c r="K4944" t="inlineStr">
        <is>
          <t>DIL MC25</t>
        </is>
      </c>
      <c r="M4944" t="inlineStr">
        <is>
          <t>-237Q30.7</t>
        </is>
      </c>
    </row>
    <row r="4945">
      <c r="A4945">
        <v>4944</v>
      </c>
      <c r="B4945">
        <f>GS33</f>
        <v>0</v>
      </c>
      <c r="C4945" t="inlineStr">
        <is>
          <t>+LS4</t>
        </is>
      </c>
      <c r="D4945" t="inlineStr">
        <is>
          <t>-237Q30.7</t>
        </is>
      </c>
      <c r="E4945" t="inlineStr">
        <is>
          <t>DILMC25-10(RDC24)</t>
        </is>
      </c>
      <c r="F4945" t="inlineStr">
        <is>
          <t>DILA-XHI22</t>
        </is>
      </c>
      <c r="G4945" t="inlineStr">
        <is>
          <t>LASTSCHUETZ</t>
        </is>
      </c>
      <c r="H4945" t="inlineStr">
        <is>
          <t>11kW 1S Federzugkl.</t>
        </is>
      </c>
      <c r="I4945">
        <v>678</v>
      </c>
      <c r="J4945">
        <f>GS33/237.6</f>
        <v>0</v>
      </c>
      <c r="K4945" t="inlineStr">
        <is>
          <t>DIL MC25</t>
        </is>
      </c>
      <c r="M4945" t="inlineStr">
        <is>
          <t>-237Q30.7</t>
        </is>
      </c>
    </row>
    <row r="4946">
      <c r="A4946">
        <v>4945</v>
      </c>
      <c r="B4946">
        <f>GS13</f>
        <v>0</v>
      </c>
      <c r="C4946" t="inlineStr">
        <is>
          <t>+LS4</t>
        </is>
      </c>
      <c r="D4946" t="inlineStr">
        <is>
          <t>-23876.7</t>
        </is>
      </c>
      <c r="E4946" t="inlineStr">
        <is>
          <t>DIL_EM-10-G</t>
        </is>
      </c>
      <c r="F4946" t="inlineStr">
        <is>
          <t>#KALK!</t>
        </is>
      </c>
      <c r="G4946" t="inlineStr">
        <is>
          <t>LASTSCHUETZ</t>
        </is>
      </c>
      <c r="H4946" t="inlineStr">
        <is>
          <t>4kW 1S</t>
        </is>
      </c>
      <c r="I4946">
        <v>480</v>
      </c>
      <c r="J4946">
        <f>GS13/238.7</f>
        <v>0</v>
      </c>
      <c r="M4946" t="inlineStr">
        <is>
          <t>-23876.7</t>
        </is>
      </c>
    </row>
    <row r="4947">
      <c r="A4947">
        <v>4946</v>
      </c>
      <c r="B4947">
        <f>GS37</f>
        <v>0</v>
      </c>
      <c r="C4947" t="inlineStr">
        <is>
          <t>+LS04</t>
        </is>
      </c>
      <c r="D4947" t="inlineStr">
        <is>
          <t>-238K1</t>
        </is>
      </c>
      <c r="E4947" t="inlineStr">
        <is>
          <t>DILM-9-01</t>
        </is>
      </c>
      <c r="F4947" t="inlineStr">
        <is>
          <t>#KALK!</t>
        </is>
      </c>
      <c r="G4947" t="inlineStr">
        <is>
          <t>LASTSCHUETZ</t>
        </is>
      </c>
      <c r="H4947" t="inlineStr">
        <is>
          <t>4kW 1Oe Federzugkl.</t>
        </is>
      </c>
      <c r="I4947">
        <v>268</v>
      </c>
      <c r="J4947">
        <f>GS37/238.6</f>
        <v>0</v>
      </c>
      <c r="M4947" t="inlineStr">
        <is>
          <t>-238K1</t>
        </is>
      </c>
    </row>
    <row r="4948">
      <c r="A4948">
        <v>4947</v>
      </c>
      <c r="B4948">
        <f>GS37</f>
        <v>0</v>
      </c>
      <c r="C4948" t="inlineStr">
        <is>
          <t>+LS04</t>
        </is>
      </c>
      <c r="D4948" t="inlineStr">
        <is>
          <t>-238K2</t>
        </is>
      </c>
      <c r="E4948" t="inlineStr">
        <is>
          <t>DILM-9-01</t>
        </is>
      </c>
      <c r="F4948" t="inlineStr">
        <is>
          <t>#KALK!</t>
        </is>
      </c>
      <c r="G4948" t="inlineStr">
        <is>
          <t>LASTSCHUETZ</t>
        </is>
      </c>
      <c r="H4948" t="inlineStr">
        <is>
          <t>4kW 1Oe Federzugkl.</t>
        </is>
      </c>
      <c r="I4948">
        <v>268</v>
      </c>
      <c r="J4948">
        <f>GS37/238.7</f>
        <v>0</v>
      </c>
      <c r="M4948" t="inlineStr">
        <is>
          <t>-238K2</t>
        </is>
      </c>
    </row>
    <row r="4949">
      <c r="A4949">
        <v>4948</v>
      </c>
      <c r="B4949">
        <f>GS01</f>
        <v>0</v>
      </c>
      <c r="C4949" t="inlineStr">
        <is>
          <t>+LS5</t>
        </is>
      </c>
      <c r="D4949" t="inlineStr">
        <is>
          <t>-238K48.5</t>
        </is>
      </c>
      <c r="E4949" t="inlineStr">
        <is>
          <t>DIL_EM-10-G</t>
        </is>
      </c>
      <c r="F4949" t="inlineStr">
        <is>
          <t>#KALK!</t>
        </is>
      </c>
      <c r="G4949" t="inlineStr">
        <is>
          <t>LASTSCHUETZ</t>
        </is>
      </c>
      <c r="H4949" t="inlineStr">
        <is>
          <t>4kW 1S</t>
        </is>
      </c>
      <c r="I4949">
        <v>401</v>
      </c>
      <c r="J4949">
        <f>GS01/238.7</f>
        <v>0</v>
      </c>
      <c r="M4949" t="inlineStr">
        <is>
          <t>-238K48.5</t>
        </is>
      </c>
    </row>
    <row r="4950">
      <c r="A4950">
        <v>4949</v>
      </c>
      <c r="B4950">
        <f>GS23</f>
        <v>0</v>
      </c>
      <c r="C4950" t="inlineStr">
        <is>
          <t>+LS4</t>
        </is>
      </c>
      <c r="D4950" t="inlineStr">
        <is>
          <t>-238K76.7</t>
        </is>
      </c>
      <c r="E4950" t="inlineStr">
        <is>
          <t>DIL_EM-10-G</t>
        </is>
      </c>
      <c r="F4950" t="inlineStr">
        <is>
          <t>#KALK!</t>
        </is>
      </c>
      <c r="G4950" t="inlineStr">
        <is>
          <t>LASTSCHUETZ</t>
        </is>
      </c>
      <c r="H4950" t="inlineStr">
        <is>
          <t>4kW 1S</t>
        </is>
      </c>
      <c r="I4950">
        <v>539</v>
      </c>
      <c r="J4950">
        <f>GS23/238.7</f>
        <v>0</v>
      </c>
      <c r="M4950" t="inlineStr">
        <is>
          <t>-238K76.7</t>
        </is>
      </c>
    </row>
    <row r="4951">
      <c r="A4951">
        <v>4950</v>
      </c>
      <c r="B4951">
        <f>GS25</f>
        <v>0</v>
      </c>
      <c r="C4951" t="inlineStr">
        <is>
          <t>+LS5</t>
        </is>
      </c>
      <c r="D4951" t="inlineStr">
        <is>
          <t>-238K78.7</t>
        </is>
      </c>
      <c r="E4951" t="inlineStr">
        <is>
          <t>DIL_EM-10-G</t>
        </is>
      </c>
      <c r="F4951" t="inlineStr">
        <is>
          <t>#KALK!</t>
        </is>
      </c>
      <c r="G4951" t="inlineStr">
        <is>
          <t>LASTSCHUETZ</t>
        </is>
      </c>
      <c r="H4951" t="inlineStr">
        <is>
          <t>4kW 1S</t>
        </is>
      </c>
      <c r="I4951">
        <v>359</v>
      </c>
      <c r="J4951">
        <f>GS25/238.5</f>
        <v>0</v>
      </c>
      <c r="M4951" t="inlineStr">
        <is>
          <t>-238K78.7</t>
        </is>
      </c>
    </row>
    <row r="4952">
      <c r="A4952">
        <v>4951</v>
      </c>
      <c r="B4952">
        <f>GS25</f>
        <v>0</v>
      </c>
      <c r="C4952" t="inlineStr">
        <is>
          <t>+LS5</t>
        </is>
      </c>
      <c r="D4952" t="inlineStr">
        <is>
          <t>-238K79.0</t>
        </is>
      </c>
      <c r="E4952" t="inlineStr">
        <is>
          <t>DIL_EM-10-G</t>
        </is>
      </c>
      <c r="F4952" t="inlineStr">
        <is>
          <t>#KALK!</t>
        </is>
      </c>
      <c r="G4952" t="inlineStr">
        <is>
          <t>LASTSCHUETZ</t>
        </is>
      </c>
      <c r="H4952" t="inlineStr">
        <is>
          <t>4kW 1S</t>
        </is>
      </c>
      <c r="I4952">
        <v>359</v>
      </c>
      <c r="J4952">
        <f>GS25/238.6</f>
        <v>0</v>
      </c>
      <c r="M4952" t="inlineStr">
        <is>
          <t>-238K79.0</t>
        </is>
      </c>
    </row>
    <row r="4953">
      <c r="A4953">
        <v>4952</v>
      </c>
      <c r="B4953">
        <f>GS25</f>
        <v>0</v>
      </c>
      <c r="C4953" t="inlineStr">
        <is>
          <t>+LS5</t>
        </is>
      </c>
      <c r="D4953" t="inlineStr">
        <is>
          <t>-238K79.1</t>
        </is>
      </c>
      <c r="E4953" t="inlineStr">
        <is>
          <t>DIL_EM-01-G</t>
        </is>
      </c>
      <c r="F4953" t="inlineStr">
        <is>
          <t>#KALK!</t>
        </is>
      </c>
      <c r="G4953" t="inlineStr">
        <is>
          <t>LASTSCHUETZ</t>
        </is>
      </c>
      <c r="H4953" t="inlineStr">
        <is>
          <t>4kW 1OE</t>
        </is>
      </c>
      <c r="I4953">
        <v>359</v>
      </c>
      <c r="J4953">
        <f>GS25/238.7</f>
        <v>0</v>
      </c>
      <c r="M4953" t="inlineStr">
        <is>
          <t>-238K79.1</t>
        </is>
      </c>
    </row>
    <row r="4954">
      <c r="A4954">
        <v>4953</v>
      </c>
      <c r="B4954">
        <f>GS25</f>
        <v>0</v>
      </c>
      <c r="C4954" t="inlineStr">
        <is>
          <t>+LS5</t>
        </is>
      </c>
      <c r="D4954" t="inlineStr">
        <is>
          <t>-238K79.2</t>
        </is>
      </c>
      <c r="E4954" t="inlineStr">
        <is>
          <t>DIL_EM-01-G</t>
        </is>
      </c>
      <c r="F4954" t="inlineStr">
        <is>
          <t>#KALK!</t>
        </is>
      </c>
      <c r="G4954" t="inlineStr">
        <is>
          <t>LASTSCHUETZ</t>
        </is>
      </c>
      <c r="H4954" t="inlineStr">
        <is>
          <t>4kW 1OE</t>
        </is>
      </c>
      <c r="I4954">
        <v>359</v>
      </c>
      <c r="J4954">
        <f>GS25/238.8</f>
        <v>0</v>
      </c>
      <c r="M4954" t="inlineStr">
        <is>
          <t>-238K79.2</t>
        </is>
      </c>
    </row>
    <row r="4955">
      <c r="A4955">
        <v>4954</v>
      </c>
      <c r="B4955">
        <f>GS90</f>
        <v>0</v>
      </c>
      <c r="C4955" t="inlineStr">
        <is>
          <t>+LS03</t>
        </is>
      </c>
      <c r="D4955" t="inlineStr">
        <is>
          <t>-238Q166.4</t>
        </is>
      </c>
      <c r="E4955" t="inlineStr">
        <is>
          <t>DILM-9-10</t>
        </is>
      </c>
      <c r="F4955" t="inlineStr">
        <is>
          <t>#KALK!</t>
        </is>
      </c>
      <c r="G4955" t="inlineStr">
        <is>
          <t>LASTSCHUETZ</t>
        </is>
      </c>
      <c r="H4955" t="inlineStr">
        <is>
          <t>4kW 1S Federzugkl.</t>
        </is>
      </c>
      <c r="I4955">
        <v>1012</v>
      </c>
      <c r="J4955">
        <f>GS90/238.5</f>
        <v>0</v>
      </c>
      <c r="M4955" t="inlineStr">
        <is>
          <t>-238Q166.4</t>
        </is>
      </c>
    </row>
    <row r="4956">
      <c r="A4956">
        <v>4955</v>
      </c>
      <c r="B4956">
        <f>GS94</f>
        <v>0</v>
      </c>
      <c r="C4956" t="inlineStr">
        <is>
          <t>+LS17</t>
        </is>
      </c>
      <c r="D4956" t="inlineStr">
        <is>
          <t>-238Q474.5</t>
        </is>
      </c>
      <c r="E4956" t="inlineStr">
        <is>
          <t>DILM-9-10</t>
        </is>
      </c>
      <c r="F4956" t="inlineStr">
        <is>
          <t>#KALK!</t>
        </is>
      </c>
      <c r="G4956" t="inlineStr">
        <is>
          <t>LASTSCHUETZ</t>
        </is>
      </c>
      <c r="H4956" t="inlineStr">
        <is>
          <t>4kW 1S Federzugkl.</t>
        </is>
      </c>
      <c r="I4956">
        <v>328</v>
      </c>
      <c r="J4956">
        <f>GS94/238.5</f>
        <v>0</v>
      </c>
      <c r="M4956" t="inlineStr">
        <is>
          <t>-238Q474.5</t>
        </is>
      </c>
    </row>
    <row r="4957">
      <c r="A4957">
        <v>4956</v>
      </c>
      <c r="B4957">
        <f>GS96</f>
        <v>0</v>
      </c>
      <c r="C4957" t="inlineStr">
        <is>
          <t>+LS17</t>
        </is>
      </c>
      <c r="D4957" t="inlineStr">
        <is>
          <t>-238Q474.5</t>
        </is>
      </c>
      <c r="E4957" t="inlineStr">
        <is>
          <t>DILM-9-10</t>
        </is>
      </c>
      <c r="F4957" t="inlineStr">
        <is>
          <t>#KALK!</t>
        </is>
      </c>
      <c r="G4957" t="inlineStr">
        <is>
          <t>LASTSCHUETZ</t>
        </is>
      </c>
      <c r="H4957" t="inlineStr">
        <is>
          <t>4kW 1S Federzugkl.</t>
        </is>
      </c>
      <c r="I4957">
        <v>328</v>
      </c>
      <c r="J4957">
        <f>GS96/238.5</f>
        <v>0</v>
      </c>
      <c r="M4957" t="inlineStr">
        <is>
          <t>-238Q474.5</t>
        </is>
      </c>
    </row>
    <row r="4958">
      <c r="A4958">
        <v>4957</v>
      </c>
      <c r="B4958">
        <f>GS33</f>
        <v>0</v>
      </c>
      <c r="C4958" t="inlineStr">
        <is>
          <t>+LS4</t>
        </is>
      </c>
      <c r="D4958" t="inlineStr">
        <is>
          <t>-239.1K1</t>
        </is>
      </c>
      <c r="E4958" t="inlineStr">
        <is>
          <t>DILA-XHI22</t>
        </is>
      </c>
      <c r="F4958" t="inlineStr">
        <is>
          <t>DILA-XHI22</t>
        </is>
      </c>
      <c r="G4958" t="inlineStr">
        <is>
          <t>HILFSKONTAKTBLOCK</t>
        </is>
      </c>
      <c r="H4958" t="inlineStr">
        <is>
          <t>2S 2OE Last+Hilfssch. Cage</t>
        </is>
      </c>
      <c r="I4958">
        <v>681</v>
      </c>
      <c r="J4958">
        <f>GS33/239.1.5</f>
        <v>0</v>
      </c>
      <c r="M4958" t="inlineStr">
        <is>
          <t>-239.1K1</t>
        </is>
      </c>
    </row>
    <row r="4959">
      <c r="A4959">
        <v>4958</v>
      </c>
      <c r="B4959">
        <f>GS33</f>
        <v>0</v>
      </c>
      <c r="C4959" t="inlineStr">
        <is>
          <t>+LS4</t>
        </is>
      </c>
      <c r="D4959" t="inlineStr">
        <is>
          <t>-239.1K1</t>
        </is>
      </c>
      <c r="E4959" t="inlineStr">
        <is>
          <t>DILM-9-10</t>
        </is>
      </c>
      <c r="F4959" t="inlineStr">
        <is>
          <t>DILA-XHI22</t>
        </is>
      </c>
      <c r="G4959" t="inlineStr">
        <is>
          <t>LASTSCHUETZ</t>
        </is>
      </c>
      <c r="H4959" t="inlineStr">
        <is>
          <t>4kW 1S Federzugkl.</t>
        </is>
      </c>
      <c r="I4959">
        <v>681</v>
      </c>
      <c r="J4959">
        <f>GS33/239.1.5</f>
        <v>0</v>
      </c>
      <c r="M4959" t="inlineStr">
        <is>
          <t>-239.1K1</t>
        </is>
      </c>
    </row>
    <row r="4960">
      <c r="A4960">
        <v>4959</v>
      </c>
      <c r="B4960">
        <f>GS33</f>
        <v>0</v>
      </c>
      <c r="C4960" t="inlineStr">
        <is>
          <t>+LS4</t>
        </is>
      </c>
      <c r="D4960" t="inlineStr">
        <is>
          <t>-239.1K2</t>
        </is>
      </c>
      <c r="E4960" t="inlineStr">
        <is>
          <t>DILA-XHI22</t>
        </is>
      </c>
      <c r="F4960" t="inlineStr">
        <is>
          <t>DILA-XHI22</t>
        </is>
      </c>
      <c r="G4960" t="inlineStr">
        <is>
          <t>HILFSKONTAKTBLOCK</t>
        </is>
      </c>
      <c r="H4960" t="inlineStr">
        <is>
          <t>2S 2OE Last+Hilfssch. Cage</t>
        </is>
      </c>
      <c r="I4960">
        <v>681</v>
      </c>
      <c r="J4960">
        <f>GS33/239.1.6</f>
        <v>0</v>
      </c>
      <c r="M4960" t="inlineStr">
        <is>
          <t>-239.1K2</t>
        </is>
      </c>
    </row>
    <row r="4961">
      <c r="A4961">
        <v>4960</v>
      </c>
      <c r="B4961">
        <f>GS33</f>
        <v>0</v>
      </c>
      <c r="C4961" t="inlineStr">
        <is>
          <t>+LS4</t>
        </is>
      </c>
      <c r="D4961" t="inlineStr">
        <is>
          <t>-239.1K2</t>
        </is>
      </c>
      <c r="E4961" t="inlineStr">
        <is>
          <t>DILM-9-10</t>
        </is>
      </c>
      <c r="F4961" t="inlineStr">
        <is>
          <t>DILA-XHI22</t>
        </is>
      </c>
      <c r="G4961" t="inlineStr">
        <is>
          <t>LASTSCHUETZ</t>
        </is>
      </c>
      <c r="H4961" t="inlineStr">
        <is>
          <t>4kW 1S Federzugkl.</t>
        </is>
      </c>
      <c r="I4961">
        <v>681</v>
      </c>
      <c r="J4961">
        <f>GS33/239.1.6</f>
        <v>0</v>
      </c>
      <c r="M4961" t="inlineStr">
        <is>
          <t>-239.1K2</t>
        </is>
      </c>
    </row>
    <row r="4962">
      <c r="A4962">
        <v>4961</v>
      </c>
      <c r="B4962">
        <f>GS33</f>
        <v>0</v>
      </c>
      <c r="C4962" t="inlineStr">
        <is>
          <t>+LS4</t>
        </is>
      </c>
      <c r="D4962" t="inlineStr">
        <is>
          <t>-239.2K1</t>
        </is>
      </c>
      <c r="E4962" t="inlineStr">
        <is>
          <t>DILA-XHI22</t>
        </is>
      </c>
      <c r="F4962" t="inlineStr">
        <is>
          <t>DILA-XHI22</t>
        </is>
      </c>
      <c r="G4962" t="inlineStr">
        <is>
          <t>HILFSKONTAKTBLOCK</t>
        </is>
      </c>
      <c r="H4962" t="inlineStr">
        <is>
          <t>2S 2OE Last+Hilfssch. Cage</t>
        </is>
      </c>
      <c r="I4962">
        <v>682</v>
      </c>
      <c r="J4962">
        <f>GS33/239.2.5</f>
        <v>0</v>
      </c>
      <c r="M4962" t="inlineStr">
        <is>
          <t>-239.2K1</t>
        </is>
      </c>
    </row>
    <row r="4963">
      <c r="A4963">
        <v>4962</v>
      </c>
      <c r="B4963">
        <f>GS33</f>
        <v>0</v>
      </c>
      <c r="C4963" t="inlineStr">
        <is>
          <t>+LS4</t>
        </is>
      </c>
      <c r="D4963" t="inlineStr">
        <is>
          <t>-239.2K1</t>
        </is>
      </c>
      <c r="E4963" t="inlineStr">
        <is>
          <t>DILM-9-10</t>
        </is>
      </c>
      <c r="F4963" t="inlineStr">
        <is>
          <t>DILA-XHI22</t>
        </is>
      </c>
      <c r="G4963" t="inlineStr">
        <is>
          <t>LASTSCHUETZ</t>
        </is>
      </c>
      <c r="H4963" t="inlineStr">
        <is>
          <t>4kW 1S Federzugkl.</t>
        </is>
      </c>
      <c r="I4963">
        <v>682</v>
      </c>
      <c r="J4963">
        <f>GS33/239.2.5</f>
        <v>0</v>
      </c>
      <c r="M4963" t="inlineStr">
        <is>
          <t>-239.2K1</t>
        </is>
      </c>
    </row>
    <row r="4964">
      <c r="A4964">
        <v>4963</v>
      </c>
      <c r="B4964">
        <f>GS33</f>
        <v>0</v>
      </c>
      <c r="C4964" t="inlineStr">
        <is>
          <t>+LS4</t>
        </is>
      </c>
      <c r="D4964" t="inlineStr">
        <is>
          <t>-239.2K2</t>
        </is>
      </c>
      <c r="E4964" t="inlineStr">
        <is>
          <t>DILA-XHI22</t>
        </is>
      </c>
      <c r="F4964" t="inlineStr">
        <is>
          <t>DILA-XHI22</t>
        </is>
      </c>
      <c r="G4964" t="inlineStr">
        <is>
          <t>HILFSKONTAKTBLOCK</t>
        </is>
      </c>
      <c r="H4964" t="inlineStr">
        <is>
          <t>2S 2OE Last+Hilfssch. Cage</t>
        </is>
      </c>
      <c r="I4964">
        <v>682</v>
      </c>
      <c r="J4964">
        <f>GS33/239.2.6</f>
        <v>0</v>
      </c>
      <c r="M4964" t="inlineStr">
        <is>
          <t>-239.2K2</t>
        </is>
      </c>
    </row>
    <row r="4965">
      <c r="A4965">
        <v>4964</v>
      </c>
      <c r="B4965">
        <f>GS33</f>
        <v>0</v>
      </c>
      <c r="C4965" t="inlineStr">
        <is>
          <t>+LS4</t>
        </is>
      </c>
      <c r="D4965" t="inlineStr">
        <is>
          <t>-239.2K2</t>
        </is>
      </c>
      <c r="E4965" t="inlineStr">
        <is>
          <t>DILM-9-10</t>
        </is>
      </c>
      <c r="F4965" t="inlineStr">
        <is>
          <t>DILA-XHI22</t>
        </is>
      </c>
      <c r="G4965" t="inlineStr">
        <is>
          <t>LASTSCHUETZ</t>
        </is>
      </c>
      <c r="H4965" t="inlineStr">
        <is>
          <t>4kW 1S Federzugkl.</t>
        </is>
      </c>
      <c r="I4965">
        <v>682</v>
      </c>
      <c r="J4965">
        <f>GS33/239.2.6</f>
        <v>0</v>
      </c>
      <c r="M4965" t="inlineStr">
        <is>
          <t>-239.2K2</t>
        </is>
      </c>
    </row>
    <row r="4966">
      <c r="A4966">
        <v>4965</v>
      </c>
      <c r="B4966">
        <f>GS33</f>
        <v>0</v>
      </c>
      <c r="C4966" t="inlineStr">
        <is>
          <t>+LS4</t>
        </is>
      </c>
      <c r="D4966" t="inlineStr">
        <is>
          <t>-239.3K1</t>
        </is>
      </c>
      <c r="E4966" t="inlineStr">
        <is>
          <t>DILA-XHI22</t>
        </is>
      </c>
      <c r="F4966" t="inlineStr">
        <is>
          <t>DILA-XHI22</t>
        </is>
      </c>
      <c r="G4966" t="inlineStr">
        <is>
          <t>HILFSKONTAKTBLOCK</t>
        </is>
      </c>
      <c r="H4966" t="inlineStr">
        <is>
          <t>2S 2OE Last+Hilfssch. Cage</t>
        </is>
      </c>
      <c r="I4966">
        <v>683</v>
      </c>
      <c r="J4966">
        <f>GS33/239.3.5</f>
        <v>0</v>
      </c>
      <c r="M4966" t="inlineStr">
        <is>
          <t>-239.3K1</t>
        </is>
      </c>
    </row>
    <row r="4967">
      <c r="A4967">
        <v>4966</v>
      </c>
      <c r="B4967">
        <f>GS33</f>
        <v>0</v>
      </c>
      <c r="C4967" t="inlineStr">
        <is>
          <t>+LS4</t>
        </is>
      </c>
      <c r="D4967" t="inlineStr">
        <is>
          <t>-239.3K1</t>
        </is>
      </c>
      <c r="E4967" t="inlineStr">
        <is>
          <t>DILM-9-10</t>
        </is>
      </c>
      <c r="F4967" t="inlineStr">
        <is>
          <t>DILA-XHI22</t>
        </is>
      </c>
      <c r="G4967" t="inlineStr">
        <is>
          <t>LASTSCHUETZ</t>
        </is>
      </c>
      <c r="H4967" t="inlineStr">
        <is>
          <t>4kW 1S Federzugkl.</t>
        </is>
      </c>
      <c r="I4967">
        <v>683</v>
      </c>
      <c r="J4967">
        <f>GS33/239.3.5</f>
        <v>0</v>
      </c>
      <c r="M4967" t="inlineStr">
        <is>
          <t>-239.3K1</t>
        </is>
      </c>
    </row>
    <row r="4968">
      <c r="A4968">
        <v>4967</v>
      </c>
      <c r="B4968">
        <f>GS33</f>
        <v>0</v>
      </c>
      <c r="C4968" t="inlineStr">
        <is>
          <t>+LS4</t>
        </is>
      </c>
      <c r="D4968" t="inlineStr">
        <is>
          <t>-239.3K2</t>
        </is>
      </c>
      <c r="E4968" t="inlineStr">
        <is>
          <t>DILA-XHI22</t>
        </is>
      </c>
      <c r="F4968" t="inlineStr">
        <is>
          <t>DILA-XHI22</t>
        </is>
      </c>
      <c r="G4968" t="inlineStr">
        <is>
          <t>HILFSKONTAKTBLOCK</t>
        </is>
      </c>
      <c r="H4968" t="inlineStr">
        <is>
          <t>2S 2OE Last+Hilfssch. Cage</t>
        </is>
      </c>
      <c r="I4968">
        <v>683</v>
      </c>
      <c r="J4968">
        <f>GS33/239.3.6</f>
        <v>0</v>
      </c>
      <c r="M4968" t="inlineStr">
        <is>
          <t>-239.3K2</t>
        </is>
      </c>
    </row>
    <row r="4969">
      <c r="A4969">
        <v>4968</v>
      </c>
      <c r="B4969">
        <f>GS33</f>
        <v>0</v>
      </c>
      <c r="C4969" t="inlineStr">
        <is>
          <t>+LS4</t>
        </is>
      </c>
      <c r="D4969" t="inlineStr">
        <is>
          <t>-239.3K2</t>
        </is>
      </c>
      <c r="E4969" t="inlineStr">
        <is>
          <t>DILM-9-10</t>
        </is>
      </c>
      <c r="F4969" t="inlineStr">
        <is>
          <t>DILA-XHI22</t>
        </is>
      </c>
      <c r="G4969" t="inlineStr">
        <is>
          <t>LASTSCHUETZ</t>
        </is>
      </c>
      <c r="H4969" t="inlineStr">
        <is>
          <t>4kW 1S Federzugkl.</t>
        </is>
      </c>
      <c r="I4969">
        <v>683</v>
      </c>
      <c r="J4969">
        <f>GS33/239.3.6</f>
        <v>0</v>
      </c>
      <c r="M4969" t="inlineStr">
        <is>
          <t>-239.3K2</t>
        </is>
      </c>
    </row>
    <row r="4970">
      <c r="A4970">
        <v>4969</v>
      </c>
      <c r="B4970">
        <f>GS33</f>
        <v>0</v>
      </c>
      <c r="C4970" t="inlineStr">
        <is>
          <t>+LS4</t>
        </is>
      </c>
      <c r="D4970" t="inlineStr">
        <is>
          <t>-239.4K1</t>
        </is>
      </c>
      <c r="E4970" t="inlineStr">
        <is>
          <t>DILA-XHI22</t>
        </is>
      </c>
      <c r="F4970" t="inlineStr">
        <is>
          <t>DILA-XHI22</t>
        </is>
      </c>
      <c r="G4970" t="inlineStr">
        <is>
          <t>HILFSKONTAKTBLOCK</t>
        </is>
      </c>
      <c r="H4970" t="inlineStr">
        <is>
          <t>2S 2OE Last+Hilfssch. Cage</t>
        </is>
      </c>
      <c r="I4970">
        <v>684</v>
      </c>
      <c r="J4970">
        <f>GS33/239.4.5</f>
        <v>0</v>
      </c>
      <c r="M4970" t="inlineStr">
        <is>
          <t>-239.4K1</t>
        </is>
      </c>
    </row>
    <row r="4971">
      <c r="A4971">
        <v>4970</v>
      </c>
      <c r="B4971">
        <f>GS33</f>
        <v>0</v>
      </c>
      <c r="C4971" t="inlineStr">
        <is>
          <t>+LS4</t>
        </is>
      </c>
      <c r="D4971" t="inlineStr">
        <is>
          <t>-239.4K1</t>
        </is>
      </c>
      <c r="E4971" t="inlineStr">
        <is>
          <t>DILM-9-10</t>
        </is>
      </c>
      <c r="F4971" t="inlineStr">
        <is>
          <t>DILA-XHI22</t>
        </is>
      </c>
      <c r="G4971" t="inlineStr">
        <is>
          <t>LASTSCHUETZ</t>
        </is>
      </c>
      <c r="H4971" t="inlineStr">
        <is>
          <t>4kW 1S Federzugkl.</t>
        </is>
      </c>
      <c r="I4971">
        <v>684</v>
      </c>
      <c r="J4971">
        <f>GS33/239.4.5</f>
        <v>0</v>
      </c>
      <c r="M4971" t="inlineStr">
        <is>
          <t>-239.4K1</t>
        </is>
      </c>
    </row>
    <row r="4972">
      <c r="A4972">
        <v>4971</v>
      </c>
      <c r="B4972">
        <f>GS33</f>
        <v>0</v>
      </c>
      <c r="C4972" t="inlineStr">
        <is>
          <t>+LS4</t>
        </is>
      </c>
      <c r="D4972" t="inlineStr">
        <is>
          <t>-239.4K2</t>
        </is>
      </c>
      <c r="E4972" t="inlineStr">
        <is>
          <t>DILA-XHI22</t>
        </is>
      </c>
      <c r="F4972" t="inlineStr">
        <is>
          <t>DILA-XHI22</t>
        </is>
      </c>
      <c r="G4972" t="inlineStr">
        <is>
          <t>HILFSKONTAKTBLOCK</t>
        </is>
      </c>
      <c r="H4972" t="inlineStr">
        <is>
          <t>2S 2OE Last+Hilfssch. Cage</t>
        </is>
      </c>
      <c r="I4972">
        <v>684</v>
      </c>
      <c r="J4972">
        <f>GS33/239.4.6</f>
        <v>0</v>
      </c>
      <c r="M4972" t="inlineStr">
        <is>
          <t>-239.4K2</t>
        </is>
      </c>
    </row>
    <row r="4973">
      <c r="A4973">
        <v>4972</v>
      </c>
      <c r="B4973">
        <f>GS33</f>
        <v>0</v>
      </c>
      <c r="C4973" t="inlineStr">
        <is>
          <t>+LS4</t>
        </is>
      </c>
      <c r="D4973" t="inlineStr">
        <is>
          <t>-239.4K2</t>
        </is>
      </c>
      <c r="E4973" t="inlineStr">
        <is>
          <t>DILM-9-10</t>
        </is>
      </c>
      <c r="F4973" t="inlineStr">
        <is>
          <t>DILA-XHI22</t>
        </is>
      </c>
      <c r="G4973" t="inlineStr">
        <is>
          <t>LASTSCHUETZ</t>
        </is>
      </c>
      <c r="H4973" t="inlineStr">
        <is>
          <t>4kW 1S Federzugkl.</t>
        </is>
      </c>
      <c r="I4973">
        <v>684</v>
      </c>
      <c r="J4973">
        <f>GS33/239.4.6</f>
        <v>0</v>
      </c>
      <c r="M4973" t="inlineStr">
        <is>
          <t>-239.4K2</t>
        </is>
      </c>
    </row>
    <row r="4974">
      <c r="A4974">
        <v>4973</v>
      </c>
      <c r="B4974">
        <f>GS33</f>
        <v>0</v>
      </c>
      <c r="C4974" t="inlineStr">
        <is>
          <t>+LS4</t>
        </is>
      </c>
      <c r="D4974" t="inlineStr">
        <is>
          <t>-239.5K1</t>
        </is>
      </c>
      <c r="E4974" t="inlineStr">
        <is>
          <t>DILA-XHI22</t>
        </is>
      </c>
      <c r="F4974" t="inlineStr">
        <is>
          <t>DILA-XHI22</t>
        </is>
      </c>
      <c r="G4974" t="inlineStr">
        <is>
          <t>HILFSKONTAKTBLOCK</t>
        </is>
      </c>
      <c r="H4974" t="inlineStr">
        <is>
          <t>2S 2OE Last+Hilfssch. Cage</t>
        </is>
      </c>
      <c r="I4974">
        <v>685</v>
      </c>
      <c r="J4974">
        <f>GS33/239.5.5</f>
        <v>0</v>
      </c>
      <c r="M4974" t="inlineStr">
        <is>
          <t>-239.5K1</t>
        </is>
      </c>
    </row>
    <row r="4975">
      <c r="A4975">
        <v>4974</v>
      </c>
      <c r="B4975">
        <f>GS33</f>
        <v>0</v>
      </c>
      <c r="C4975" t="inlineStr">
        <is>
          <t>+LS4</t>
        </is>
      </c>
      <c r="D4975" t="inlineStr">
        <is>
          <t>-239.5K1</t>
        </is>
      </c>
      <c r="E4975" t="inlineStr">
        <is>
          <t>DILM-9-10</t>
        </is>
      </c>
      <c r="F4975" t="inlineStr">
        <is>
          <t>DILA-XHI22</t>
        </is>
      </c>
      <c r="G4975" t="inlineStr">
        <is>
          <t>LASTSCHUETZ</t>
        </is>
      </c>
      <c r="H4975" t="inlineStr">
        <is>
          <t>4kW 1S Federzugkl.</t>
        </is>
      </c>
      <c r="I4975">
        <v>685</v>
      </c>
      <c r="J4975">
        <f>GS33/239.5.5</f>
        <v>0</v>
      </c>
      <c r="M4975" t="inlineStr">
        <is>
          <t>-239.5K1</t>
        </is>
      </c>
    </row>
    <row r="4976">
      <c r="A4976">
        <v>4975</v>
      </c>
      <c r="B4976">
        <f>GS33</f>
        <v>0</v>
      </c>
      <c r="C4976" t="inlineStr">
        <is>
          <t>+LS4</t>
        </is>
      </c>
      <c r="D4976" t="inlineStr">
        <is>
          <t>-239.5K2</t>
        </is>
      </c>
      <c r="E4976" t="inlineStr">
        <is>
          <t>DILA-XHI22</t>
        </is>
      </c>
      <c r="F4976" t="inlineStr">
        <is>
          <t>DILA-XHI22</t>
        </is>
      </c>
      <c r="G4976" t="inlineStr">
        <is>
          <t>HILFSKONTAKTBLOCK</t>
        </is>
      </c>
      <c r="H4976" t="inlineStr">
        <is>
          <t>2S 2OE Last+Hilfssch. Cage</t>
        </is>
      </c>
      <c r="I4976">
        <v>685</v>
      </c>
      <c r="J4976">
        <f>GS33/239.5.6</f>
        <v>0</v>
      </c>
      <c r="M4976" t="inlineStr">
        <is>
          <t>-239.5K2</t>
        </is>
      </c>
    </row>
    <row r="4977">
      <c r="A4977">
        <v>4976</v>
      </c>
      <c r="B4977">
        <f>GS33</f>
        <v>0</v>
      </c>
      <c r="C4977" t="inlineStr">
        <is>
          <t>+LS4</t>
        </is>
      </c>
      <c r="D4977" t="inlineStr">
        <is>
          <t>-239.5K2</t>
        </is>
      </c>
      <c r="E4977" t="inlineStr">
        <is>
          <t>DILM-9-10</t>
        </is>
      </c>
      <c r="F4977" t="inlineStr">
        <is>
          <t>DILA-XHI22</t>
        </is>
      </c>
      <c r="G4977" t="inlineStr">
        <is>
          <t>LASTSCHUETZ</t>
        </is>
      </c>
      <c r="H4977" t="inlineStr">
        <is>
          <t>4kW 1S Federzugkl.</t>
        </is>
      </c>
      <c r="I4977">
        <v>685</v>
      </c>
      <c r="J4977">
        <f>GS33/239.5.6</f>
        <v>0</v>
      </c>
      <c r="M4977" t="inlineStr">
        <is>
          <t>-239.5K2</t>
        </is>
      </c>
    </row>
    <row r="4978">
      <c r="A4978">
        <v>4977</v>
      </c>
      <c r="B4978">
        <f>GS33</f>
        <v>0</v>
      </c>
      <c r="C4978" t="inlineStr">
        <is>
          <t>+LS4</t>
        </is>
      </c>
      <c r="D4978" t="inlineStr">
        <is>
          <t>-239.6K1</t>
        </is>
      </c>
      <c r="E4978" t="inlineStr">
        <is>
          <t>DILA-XHIC31</t>
        </is>
      </c>
      <c r="F4978" t="inlineStr">
        <is>
          <t>DILA-XHIC31</t>
        </is>
      </c>
      <c r="G4978" t="inlineStr">
        <is>
          <t>HILFSKONTAKTBLOCK</t>
        </is>
      </c>
      <c r="H4978" t="inlineStr">
        <is>
          <t>3S 1OE Last+Hilfssch. Cage</t>
        </is>
      </c>
      <c r="I4978">
        <v>686</v>
      </c>
      <c r="J4978">
        <f>GS33/239.6.2</f>
        <v>0</v>
      </c>
      <c r="M4978" t="inlineStr">
        <is>
          <t>-239.6K1</t>
        </is>
      </c>
    </row>
    <row r="4979">
      <c r="A4979">
        <v>4978</v>
      </c>
      <c r="B4979">
        <f>GS33</f>
        <v>0</v>
      </c>
      <c r="C4979" t="inlineStr">
        <is>
          <t>+LS4</t>
        </is>
      </c>
      <c r="D4979" t="inlineStr">
        <is>
          <t>-239.6K1</t>
        </is>
      </c>
      <c r="E4979" t="inlineStr">
        <is>
          <t>DILA-40</t>
        </is>
      </c>
      <c r="F4979" t="inlineStr">
        <is>
          <t>DILA-XHIC31</t>
        </is>
      </c>
      <c r="G4979" t="inlineStr">
        <is>
          <t>HILFSSCHUETZ</t>
        </is>
      </c>
      <c r="H4979" t="inlineStr">
        <is>
          <t>4S Federzugkl.</t>
        </is>
      </c>
      <c r="I4979">
        <v>686</v>
      </c>
      <c r="J4979">
        <f>GS33/239.6.2</f>
        <v>0</v>
      </c>
      <c r="M4979" t="inlineStr">
        <is>
          <t>-239.6K1</t>
        </is>
      </c>
    </row>
    <row r="4980">
      <c r="A4980">
        <v>4979</v>
      </c>
      <c r="B4980">
        <f>GS13</f>
        <v>0</v>
      </c>
      <c r="C4980" t="inlineStr">
        <is>
          <t>+LS4</t>
        </is>
      </c>
      <c r="D4980" t="inlineStr">
        <is>
          <t>-23974.6</t>
        </is>
      </c>
      <c r="E4980" t="inlineStr">
        <is>
          <t>DIL_EM-10-G</t>
        </is>
      </c>
      <c r="F4980" t="inlineStr">
        <is>
          <t>#KALK!</t>
        </is>
      </c>
      <c r="G4980" t="inlineStr">
        <is>
          <t>LASTSCHUETZ</t>
        </is>
      </c>
      <c r="H4980" t="inlineStr">
        <is>
          <t>4kW 1S</t>
        </is>
      </c>
      <c r="I4980">
        <v>481</v>
      </c>
      <c r="J4980">
        <f>GS13/239.6</f>
        <v>0</v>
      </c>
      <c r="M4980" t="inlineStr">
        <is>
          <t>-23974.6</t>
        </is>
      </c>
    </row>
    <row r="4981">
      <c r="A4981">
        <v>4980</v>
      </c>
      <c r="B4981">
        <f>GS13</f>
        <v>0</v>
      </c>
      <c r="C4981" t="inlineStr">
        <is>
          <t>+LS4</t>
        </is>
      </c>
      <c r="D4981" t="inlineStr">
        <is>
          <t>-23974.7</t>
        </is>
      </c>
      <c r="E4981" t="inlineStr">
        <is>
          <t>DIL_EM-10-G</t>
        </is>
      </c>
      <c r="F4981" t="inlineStr">
        <is>
          <t>#KALK!</t>
        </is>
      </c>
      <c r="G4981" t="inlineStr">
        <is>
          <t>LASTSCHUETZ</t>
        </is>
      </c>
      <c r="H4981" t="inlineStr">
        <is>
          <t>4kW 1S</t>
        </is>
      </c>
      <c r="I4981">
        <v>481</v>
      </c>
      <c r="J4981">
        <f>GS13/239.6</f>
        <v>0</v>
      </c>
      <c r="M4981" t="inlineStr">
        <is>
          <t>-23974.7</t>
        </is>
      </c>
    </row>
    <row r="4982">
      <c r="A4982">
        <v>4981</v>
      </c>
      <c r="B4982">
        <f>GS14</f>
        <v>0</v>
      </c>
      <c r="C4982" t="inlineStr">
        <is>
          <t>+LS5</t>
        </is>
      </c>
      <c r="D4982" t="inlineStr">
        <is>
          <t>-239K1</t>
        </is>
      </c>
      <c r="E4982" t="inlineStr">
        <is>
          <t>DIL_0AM</t>
        </is>
      </c>
      <c r="F4982" t="inlineStr">
        <is>
          <t>22_DIL-M</t>
        </is>
      </c>
      <c r="G4982" t="inlineStr">
        <is>
          <t>LASTSCHUETZ</t>
        </is>
      </c>
      <c r="H4982" t="inlineStr">
        <is>
          <t>11 kW</t>
        </is>
      </c>
      <c r="I4982">
        <v>365</v>
      </c>
      <c r="J4982">
        <f>GS14/239.2</f>
        <v>0</v>
      </c>
      <c r="K4982" t="inlineStr">
        <is>
          <t>DIL0AM</t>
        </is>
      </c>
      <c r="M4982" t="inlineStr">
        <is>
          <t>-239K1</t>
        </is>
      </c>
    </row>
    <row r="4983">
      <c r="A4983">
        <v>4982</v>
      </c>
      <c r="B4983">
        <f>GS14</f>
        <v>0</v>
      </c>
      <c r="C4983" t="inlineStr">
        <is>
          <t>+LS5</t>
        </is>
      </c>
      <c r="D4983" t="inlineStr">
        <is>
          <t>-239K1</t>
        </is>
      </c>
      <c r="E4983" t="inlineStr">
        <is>
          <t>22_DIL-M</t>
        </is>
      </c>
      <c r="F4983" t="inlineStr">
        <is>
          <t>22_DIL-M</t>
        </is>
      </c>
      <c r="G4983" t="inlineStr">
        <is>
          <t>HILFSKONTAKTBLOCK</t>
        </is>
      </c>
      <c r="H4983" t="inlineStr">
        <is>
          <t>2S 2OE Lastschuetz DIL M</t>
        </is>
      </c>
      <c r="I4983">
        <v>365</v>
      </c>
      <c r="J4983">
        <f>GS14/239.2</f>
        <v>0</v>
      </c>
      <c r="K4983" t="inlineStr">
        <is>
          <t>DIL0AM</t>
        </is>
      </c>
      <c r="M4983" t="inlineStr">
        <is>
          <t>-239K1</t>
        </is>
      </c>
    </row>
    <row r="4984">
      <c r="A4984">
        <v>4983</v>
      </c>
      <c r="B4984">
        <f>GS01</f>
        <v>0</v>
      </c>
      <c r="C4984" t="inlineStr">
        <is>
          <t>+LS5</t>
        </is>
      </c>
      <c r="D4984" t="inlineStr">
        <is>
          <t>-239K48.6</t>
        </is>
      </c>
      <c r="E4984" t="inlineStr">
        <is>
          <t>DIL_EM-10-G</t>
        </is>
      </c>
      <c r="F4984" t="inlineStr">
        <is>
          <t>#KALK!</t>
        </is>
      </c>
      <c r="G4984" t="inlineStr">
        <is>
          <t>LASTSCHUETZ</t>
        </is>
      </c>
      <c r="H4984" t="inlineStr">
        <is>
          <t>4kW 1S</t>
        </is>
      </c>
      <c r="I4984">
        <v>402</v>
      </c>
      <c r="J4984">
        <f>GS01/239.6</f>
        <v>0</v>
      </c>
      <c r="M4984" t="inlineStr">
        <is>
          <t>-239K48.6</t>
        </is>
      </c>
    </row>
    <row r="4985">
      <c r="A4985">
        <v>4984</v>
      </c>
      <c r="B4985">
        <f>GS23</f>
        <v>0</v>
      </c>
      <c r="C4985" t="inlineStr">
        <is>
          <t>+LS4</t>
        </is>
      </c>
      <c r="D4985" t="inlineStr">
        <is>
          <t>-239K74.6</t>
        </is>
      </c>
      <c r="E4985" t="inlineStr">
        <is>
          <t>DIL_EM-10-G</t>
        </is>
      </c>
      <c r="F4985" t="inlineStr">
        <is>
          <t>#KALK!</t>
        </is>
      </c>
      <c r="G4985" t="inlineStr">
        <is>
          <t>LASTSCHUETZ</t>
        </is>
      </c>
      <c r="H4985" t="inlineStr">
        <is>
          <t>4kW 1S</t>
        </is>
      </c>
      <c r="I4985">
        <v>540</v>
      </c>
      <c r="J4985">
        <f>GS23/239.6</f>
        <v>0</v>
      </c>
      <c r="M4985" t="inlineStr">
        <is>
          <t>-239K74.6</t>
        </is>
      </c>
    </row>
    <row r="4986">
      <c r="A4986">
        <v>4985</v>
      </c>
      <c r="B4986">
        <f>GS23</f>
        <v>0</v>
      </c>
      <c r="C4986" t="inlineStr">
        <is>
          <t>+LS4</t>
        </is>
      </c>
      <c r="D4986" t="inlineStr">
        <is>
          <t>-239K74.7</t>
        </is>
      </c>
      <c r="E4986" t="inlineStr">
        <is>
          <t>DIL_EM-10-G</t>
        </is>
      </c>
      <c r="F4986" t="inlineStr">
        <is>
          <t>#KALK!</t>
        </is>
      </c>
      <c r="G4986" t="inlineStr">
        <is>
          <t>LASTSCHUETZ</t>
        </is>
      </c>
      <c r="H4986" t="inlineStr">
        <is>
          <t>4kW 1S</t>
        </is>
      </c>
      <c r="I4986">
        <v>540</v>
      </c>
      <c r="J4986">
        <f>GS23/239.6</f>
        <v>0</v>
      </c>
      <c r="M4986" t="inlineStr">
        <is>
          <t>-239K74.7</t>
        </is>
      </c>
    </row>
    <row r="4987">
      <c r="A4987">
        <v>4986</v>
      </c>
      <c r="B4987">
        <f>GS95</f>
        <v>0</v>
      </c>
      <c r="C4987" t="inlineStr">
        <is>
          <t>+LS17</t>
        </is>
      </c>
      <c r="D4987" t="inlineStr">
        <is>
          <t>-239Q475.4</t>
        </is>
      </c>
      <c r="E4987" t="inlineStr">
        <is>
          <t>DILM-9-10</t>
        </is>
      </c>
      <c r="F4987" t="inlineStr">
        <is>
          <t>#KALK!</t>
        </is>
      </c>
      <c r="G4987" t="inlineStr">
        <is>
          <t>LASTSCHUETZ</t>
        </is>
      </c>
      <c r="H4987" t="inlineStr">
        <is>
          <t>4kW 1S Federzugkl.</t>
        </is>
      </c>
      <c r="I4987">
        <v>345</v>
      </c>
      <c r="J4987">
        <f>GS95/239.5</f>
        <v>0</v>
      </c>
      <c r="M4987" t="inlineStr">
        <is>
          <t>-239Q475.4</t>
        </is>
      </c>
    </row>
    <row r="4988">
      <c r="A4988">
        <v>4987</v>
      </c>
      <c r="B4988">
        <f>GS97</f>
        <v>0</v>
      </c>
      <c r="C4988" t="inlineStr">
        <is>
          <t>+LS17</t>
        </is>
      </c>
      <c r="D4988" t="inlineStr">
        <is>
          <t>-239Q475.4</t>
        </is>
      </c>
      <c r="E4988" t="inlineStr">
        <is>
          <t>DILM-9-10</t>
        </is>
      </c>
      <c r="F4988" t="inlineStr">
        <is>
          <t>#KALK!</t>
        </is>
      </c>
      <c r="G4988" t="inlineStr">
        <is>
          <t>LASTSCHUETZ</t>
        </is>
      </c>
      <c r="H4988" t="inlineStr">
        <is>
          <t>4kW 1S Federzugkl.</t>
        </is>
      </c>
      <c r="I4988">
        <v>345</v>
      </c>
      <c r="J4988">
        <f>GS97/239.5</f>
        <v>0</v>
      </c>
      <c r="M4988" t="inlineStr">
        <is>
          <t>-239Q475.4</t>
        </is>
      </c>
    </row>
    <row r="4989">
      <c r="A4989">
        <v>4988</v>
      </c>
      <c r="B4989">
        <f>GS07</f>
        <v>0</v>
      </c>
      <c r="C4989" t="inlineStr">
        <is>
          <t>+LS[p1]</t>
        </is>
      </c>
      <c r="D4989" t="inlineStr">
        <is>
          <t>-23K1</t>
        </is>
      </c>
      <c r="E4989" t="inlineStr">
        <is>
          <t>DILA-22</t>
        </is>
      </c>
      <c r="F4989" t="inlineStr">
        <is>
          <t>#KALK!</t>
        </is>
      </c>
      <c r="G4989" t="inlineStr">
        <is>
          <t>HILFSSCHUETZ</t>
        </is>
      </c>
      <c r="H4989" t="inlineStr">
        <is>
          <t>2S 2Oe Federzugkl.</t>
        </is>
      </c>
      <c r="I4989">
        <v>172</v>
      </c>
      <c r="J4989">
        <f>GS07/23.1</f>
        <v>0</v>
      </c>
      <c r="M4989" t="inlineStr">
        <is>
          <t>-23K1</t>
        </is>
      </c>
    </row>
    <row r="4990">
      <c r="A4990">
        <v>4989</v>
      </c>
      <c r="B4990">
        <f>GS06</f>
        <v>0</v>
      </c>
      <c r="C4990" t="inlineStr">
        <is>
          <t>+ES02</t>
        </is>
      </c>
      <c r="D4990" t="inlineStr">
        <is>
          <t>-24.1K1</t>
        </is>
      </c>
      <c r="E4990" t="inlineStr">
        <is>
          <t>DILA-40</t>
        </is>
      </c>
      <c r="F4990" t="inlineStr">
        <is>
          <t>DILA-XHIC31</t>
        </is>
      </c>
      <c r="G4990" t="inlineStr">
        <is>
          <t>HILFSSCHUETZ</t>
        </is>
      </c>
      <c r="H4990" t="inlineStr">
        <is>
          <t>4S Federzugkl.</t>
        </is>
      </c>
      <c r="I4990">
        <v>429</v>
      </c>
      <c r="J4990">
        <f>GS06/24.1.4</f>
        <v>0</v>
      </c>
      <c r="M4990" t="inlineStr">
        <is>
          <t>-24.1K1</t>
        </is>
      </c>
    </row>
    <row r="4991">
      <c r="A4991">
        <v>4990</v>
      </c>
      <c r="B4991">
        <f>GS06</f>
        <v>0</v>
      </c>
      <c r="C4991" t="inlineStr">
        <is>
          <t>+ES02</t>
        </is>
      </c>
      <c r="D4991" t="inlineStr">
        <is>
          <t>-24.1K1</t>
        </is>
      </c>
      <c r="E4991" t="inlineStr">
        <is>
          <t>DILA-XHIC31</t>
        </is>
      </c>
      <c r="F4991" t="inlineStr">
        <is>
          <t>DILA-XHIC31</t>
        </is>
      </c>
      <c r="G4991" t="inlineStr">
        <is>
          <t>HILFSKONTAKTBLOCK</t>
        </is>
      </c>
      <c r="H4991" t="inlineStr">
        <is>
          <t>3S 1OE Last+Hilfssch. Cage</t>
        </is>
      </c>
      <c r="I4991">
        <v>429</v>
      </c>
      <c r="J4991">
        <f>GS06/24.1.4</f>
        <v>0</v>
      </c>
      <c r="M4991" t="inlineStr">
        <is>
          <t>-24.1K1</t>
        </is>
      </c>
    </row>
    <row r="4992">
      <c r="A4992">
        <v>4991</v>
      </c>
      <c r="B4992">
        <f>GS07</f>
        <v>0</v>
      </c>
      <c r="C4992" t="inlineStr">
        <is>
          <t>+ES02</t>
        </is>
      </c>
      <c r="D4992" t="inlineStr">
        <is>
          <t>-24.1K1</t>
        </is>
      </c>
      <c r="E4992" t="inlineStr">
        <is>
          <t>DILA-40</t>
        </is>
      </c>
      <c r="F4992" t="inlineStr">
        <is>
          <t>DILA-XHIC31</t>
        </is>
      </c>
      <c r="G4992" t="inlineStr">
        <is>
          <t>HILFSSCHUETZ</t>
        </is>
      </c>
      <c r="H4992" t="inlineStr">
        <is>
          <t>4S Federzugkl.</t>
        </is>
      </c>
      <c r="I4992">
        <v>202</v>
      </c>
      <c r="J4992">
        <f>GS07/24.1.4</f>
        <v>0</v>
      </c>
      <c r="M4992" t="inlineStr">
        <is>
          <t>-24.1K1</t>
        </is>
      </c>
    </row>
    <row r="4993">
      <c r="A4993">
        <v>4992</v>
      </c>
      <c r="B4993">
        <f>GS07</f>
        <v>0</v>
      </c>
      <c r="C4993" t="inlineStr">
        <is>
          <t>+ES02</t>
        </is>
      </c>
      <c r="D4993" t="inlineStr">
        <is>
          <t>-24.1K1</t>
        </is>
      </c>
      <c r="E4993" t="inlineStr">
        <is>
          <t>DILA-XHIC31</t>
        </is>
      </c>
      <c r="F4993" t="inlineStr">
        <is>
          <t>DILA-XHIC31</t>
        </is>
      </c>
      <c r="G4993" t="inlineStr">
        <is>
          <t>HILFSKONTAKTBLOCK</t>
        </is>
      </c>
      <c r="H4993" t="inlineStr">
        <is>
          <t>3S 1OE Last+Hilfssch. Cage</t>
        </is>
      </c>
      <c r="I4993">
        <v>202</v>
      </c>
      <c r="J4993">
        <f>GS07/24.1.4</f>
        <v>0</v>
      </c>
      <c r="M4993" t="inlineStr">
        <is>
          <t>-24.1K1</t>
        </is>
      </c>
    </row>
    <row r="4994">
      <c r="A4994">
        <v>4993</v>
      </c>
      <c r="B4994">
        <f>GS08</f>
        <v>0</v>
      </c>
      <c r="C4994" t="inlineStr">
        <is>
          <t>+ES02</t>
        </is>
      </c>
      <c r="D4994" t="inlineStr">
        <is>
          <t>-24.1K1</t>
        </is>
      </c>
      <c r="E4994" t="inlineStr">
        <is>
          <t>DILA-XHIC31</t>
        </is>
      </c>
      <c r="F4994" t="inlineStr">
        <is>
          <t>DILA-XHIC31</t>
        </is>
      </c>
      <c r="G4994" t="inlineStr">
        <is>
          <t>HILFSKONTAKTBLOCK</t>
        </is>
      </c>
      <c r="H4994" t="inlineStr">
        <is>
          <t>3S 1OE Last+Hilfssch. Cage</t>
        </is>
      </c>
      <c r="I4994">
        <v>429</v>
      </c>
      <c r="J4994">
        <f>GS08/24.1.4</f>
        <v>0</v>
      </c>
      <c r="M4994" t="inlineStr">
        <is>
          <t>-24.1K1</t>
        </is>
      </c>
    </row>
    <row r="4995">
      <c r="A4995">
        <v>4994</v>
      </c>
      <c r="B4995">
        <f>GS08</f>
        <v>0</v>
      </c>
      <c r="C4995" t="inlineStr">
        <is>
          <t>+ES02</t>
        </is>
      </c>
      <c r="D4995" t="inlineStr">
        <is>
          <t>-24.1K1</t>
        </is>
      </c>
      <c r="E4995" t="inlineStr">
        <is>
          <t>DILA-40</t>
        </is>
      </c>
      <c r="F4995" t="inlineStr">
        <is>
          <t>DILA-XHIC31</t>
        </is>
      </c>
      <c r="G4995" t="inlineStr">
        <is>
          <t>HILFSSCHUETZ</t>
        </is>
      </c>
      <c r="H4995" t="inlineStr">
        <is>
          <t>4S Federzugkl.</t>
        </is>
      </c>
      <c r="I4995">
        <v>429</v>
      </c>
      <c r="J4995">
        <f>GS08/24.1.4</f>
        <v>0</v>
      </c>
      <c r="M4995" t="inlineStr">
        <is>
          <t>-24.1K1</t>
        </is>
      </c>
    </row>
    <row r="4996">
      <c r="A4996">
        <v>4995</v>
      </c>
      <c r="B4996">
        <f>GS52</f>
        <v>0</v>
      </c>
      <c r="C4996" t="inlineStr">
        <is>
          <t>+ES02</t>
        </is>
      </c>
      <c r="D4996" t="inlineStr">
        <is>
          <t>-24.1K1</t>
        </is>
      </c>
      <c r="E4996" t="inlineStr">
        <is>
          <t>DILA-40</t>
        </is>
      </c>
      <c r="F4996" t="inlineStr">
        <is>
          <t>DILA-XHIC31</t>
        </is>
      </c>
      <c r="G4996" t="inlineStr">
        <is>
          <t>HILFSSCHUETZ</t>
        </is>
      </c>
      <c r="H4996" t="inlineStr">
        <is>
          <t>4S Federzugkl.</t>
        </is>
      </c>
      <c r="I4996">
        <v>1677</v>
      </c>
      <c r="J4996">
        <f>GS52/24.1.4</f>
        <v>0</v>
      </c>
      <c r="M4996" t="inlineStr">
        <is>
          <t>-24.1K1</t>
        </is>
      </c>
    </row>
    <row r="4997">
      <c r="A4997">
        <v>4996</v>
      </c>
      <c r="B4997">
        <f>GS52</f>
        <v>0</v>
      </c>
      <c r="C4997" t="inlineStr">
        <is>
          <t>+ES02</t>
        </is>
      </c>
      <c r="D4997" t="inlineStr">
        <is>
          <t>-24.1K1</t>
        </is>
      </c>
      <c r="E4997" t="inlineStr">
        <is>
          <t>DILA-XHIC31</t>
        </is>
      </c>
      <c r="F4997" t="inlineStr">
        <is>
          <t>DILA-XHIC31</t>
        </is>
      </c>
      <c r="G4997" t="inlineStr">
        <is>
          <t>HILFSKONTAKTBLOCK</t>
        </is>
      </c>
      <c r="H4997" t="inlineStr">
        <is>
          <t>3S 1OE Last+Hilfssch. Cage</t>
        </is>
      </c>
      <c r="I4997">
        <v>1677</v>
      </c>
      <c r="J4997">
        <f>GS52/24.1.4</f>
        <v>0</v>
      </c>
      <c r="M4997" t="inlineStr">
        <is>
          <t>-24.1K1</t>
        </is>
      </c>
    </row>
    <row r="4998">
      <c r="A4998">
        <v>4997</v>
      </c>
      <c r="B4998">
        <f>GS55</f>
        <v>0</v>
      </c>
      <c r="C4998" t="inlineStr">
        <is>
          <t>+ES02</t>
        </is>
      </c>
      <c r="D4998" t="inlineStr">
        <is>
          <t>-24.1K1</t>
        </is>
      </c>
      <c r="E4998" t="inlineStr">
        <is>
          <t>DILA-40</t>
        </is>
      </c>
      <c r="F4998" t="inlineStr">
        <is>
          <t>DILA-XHIC31</t>
        </is>
      </c>
      <c r="G4998" t="inlineStr">
        <is>
          <t>HILFSSCHUETZ</t>
        </is>
      </c>
      <c r="H4998" t="inlineStr">
        <is>
          <t>4S Federzugkl.</t>
        </is>
      </c>
      <c r="I4998">
        <v>354</v>
      </c>
      <c r="J4998">
        <f>GS55/24.1.4</f>
        <v>0</v>
      </c>
      <c r="M4998" t="inlineStr">
        <is>
          <t>-24.1K1</t>
        </is>
      </c>
    </row>
    <row r="4999">
      <c r="A4999">
        <v>4998</v>
      </c>
      <c r="B4999">
        <f>GS55</f>
        <v>0</v>
      </c>
      <c r="C4999" t="inlineStr">
        <is>
          <t>+ES02</t>
        </is>
      </c>
      <c r="D4999" t="inlineStr">
        <is>
          <t>-24.1K1</t>
        </is>
      </c>
      <c r="E4999" t="inlineStr">
        <is>
          <t>DILA-XHIC31</t>
        </is>
      </c>
      <c r="F4999" t="inlineStr">
        <is>
          <t>DILA-XHIC31</t>
        </is>
      </c>
      <c r="G4999" t="inlineStr">
        <is>
          <t>HILFSKONTAKTBLOCK</t>
        </is>
      </c>
      <c r="H4999" t="inlineStr">
        <is>
          <t>3S 1OE Last+Hilfssch. Cage</t>
        </is>
      </c>
      <c r="I4999">
        <v>354</v>
      </c>
      <c r="J4999">
        <f>GS55/24.1.4</f>
        <v>0</v>
      </c>
      <c r="M4999" t="inlineStr">
        <is>
          <t>-24.1K1</t>
        </is>
      </c>
    </row>
    <row r="5000">
      <c r="A5000">
        <v>4999</v>
      </c>
      <c r="B5000">
        <f>GS69</f>
        <v>0</v>
      </c>
      <c r="C5000" t="inlineStr">
        <is>
          <t>+ES02</t>
        </is>
      </c>
      <c r="D5000" t="inlineStr">
        <is>
          <t>-24.1K1</t>
        </is>
      </c>
      <c r="E5000" t="inlineStr">
        <is>
          <t>DILA-40</t>
        </is>
      </c>
      <c r="F5000" t="inlineStr">
        <is>
          <t>DILA-XHIC31</t>
        </is>
      </c>
      <c r="G5000" t="inlineStr">
        <is>
          <t>HILFSSCHUETZ</t>
        </is>
      </c>
      <c r="H5000" t="inlineStr">
        <is>
          <t>4S Federzugkl.</t>
        </is>
      </c>
      <c r="I5000">
        <v>190</v>
      </c>
      <c r="J5000">
        <f>GS69/24.1.4</f>
        <v>0</v>
      </c>
      <c r="M5000" t="inlineStr">
        <is>
          <t>-24.1K1</t>
        </is>
      </c>
    </row>
    <row r="5001">
      <c r="A5001">
        <v>5000</v>
      </c>
      <c r="B5001">
        <f>GS69</f>
        <v>0</v>
      </c>
      <c r="C5001" t="inlineStr">
        <is>
          <t>+ES02</t>
        </is>
      </c>
      <c r="D5001" t="inlineStr">
        <is>
          <t>-24.1K1</t>
        </is>
      </c>
      <c r="E5001" t="inlineStr">
        <is>
          <t>DILA-XHIC31</t>
        </is>
      </c>
      <c r="F5001" t="inlineStr">
        <is>
          <t>DILA-XHIC31</t>
        </is>
      </c>
      <c r="G5001" t="inlineStr">
        <is>
          <t>HILFSKONTAKTBLOCK</t>
        </is>
      </c>
      <c r="H5001" t="inlineStr">
        <is>
          <t>3S 1OE Last+Hilfssch. Cage</t>
        </is>
      </c>
      <c r="I5001">
        <v>190</v>
      </c>
      <c r="J5001">
        <f>GS69/24.1.4</f>
        <v>0</v>
      </c>
      <c r="M5001" t="inlineStr">
        <is>
          <t>-24.1K1</t>
        </is>
      </c>
    </row>
    <row r="5002">
      <c r="A5002">
        <v>5001</v>
      </c>
      <c r="B5002">
        <f>GS06</f>
        <v>0</v>
      </c>
      <c r="C5002" t="inlineStr">
        <is>
          <t>+ES02</t>
        </is>
      </c>
      <c r="D5002" t="inlineStr">
        <is>
          <t>-24.1K2</t>
        </is>
      </c>
      <c r="E5002" t="inlineStr">
        <is>
          <t>DILA-40</t>
        </is>
      </c>
      <c r="F5002" t="inlineStr">
        <is>
          <t>DILA-XHIC31</t>
        </is>
      </c>
      <c r="G5002" t="inlineStr">
        <is>
          <t>HILFSSCHUETZ</t>
        </is>
      </c>
      <c r="H5002" t="inlineStr">
        <is>
          <t>4S Federzugkl.</t>
        </is>
      </c>
      <c r="I5002">
        <v>429</v>
      </c>
      <c r="J5002">
        <f>GS06/24.1.5</f>
        <v>0</v>
      </c>
      <c r="M5002" t="inlineStr">
        <is>
          <t>-24.1K2</t>
        </is>
      </c>
    </row>
    <row r="5003">
      <c r="A5003">
        <v>5002</v>
      </c>
      <c r="B5003">
        <f>GS06</f>
        <v>0</v>
      </c>
      <c r="C5003" t="inlineStr">
        <is>
          <t>+ES02</t>
        </is>
      </c>
      <c r="D5003" t="inlineStr">
        <is>
          <t>-24.1K2</t>
        </is>
      </c>
      <c r="E5003" t="inlineStr">
        <is>
          <t>DILA-XHIC31</t>
        </is>
      </c>
      <c r="F5003" t="inlineStr">
        <is>
          <t>DILA-XHIC31</t>
        </is>
      </c>
      <c r="G5003" t="inlineStr">
        <is>
          <t>HILFSKONTAKTBLOCK</t>
        </is>
      </c>
      <c r="H5003" t="inlineStr">
        <is>
          <t>3S 1OE Last+Hilfssch. Cage</t>
        </is>
      </c>
      <c r="I5003">
        <v>429</v>
      </c>
      <c r="J5003">
        <f>GS06/24.1.5</f>
        <v>0</v>
      </c>
      <c r="M5003" t="inlineStr">
        <is>
          <t>-24.1K2</t>
        </is>
      </c>
    </row>
    <row r="5004">
      <c r="A5004">
        <v>5003</v>
      </c>
      <c r="B5004">
        <f>GS07</f>
        <v>0</v>
      </c>
      <c r="C5004" t="inlineStr">
        <is>
          <t>+ES02</t>
        </is>
      </c>
      <c r="D5004" t="inlineStr">
        <is>
          <t>-24.1K2</t>
        </is>
      </c>
      <c r="E5004" t="inlineStr">
        <is>
          <t>DILA-40</t>
        </is>
      </c>
      <c r="F5004" t="inlineStr">
        <is>
          <t>DILA-XHIC31</t>
        </is>
      </c>
      <c r="G5004" t="inlineStr">
        <is>
          <t>HILFSSCHUETZ</t>
        </is>
      </c>
      <c r="H5004" t="inlineStr">
        <is>
          <t>4S Federzugkl.</t>
        </is>
      </c>
      <c r="I5004">
        <v>202</v>
      </c>
      <c r="J5004">
        <f>GS07/24.1.5</f>
        <v>0</v>
      </c>
      <c r="M5004" t="inlineStr">
        <is>
          <t>-24.1K2</t>
        </is>
      </c>
    </row>
    <row r="5005">
      <c r="A5005">
        <v>5004</v>
      </c>
      <c r="B5005">
        <f>GS07</f>
        <v>0</v>
      </c>
      <c r="C5005" t="inlineStr">
        <is>
          <t>+ES02</t>
        </is>
      </c>
      <c r="D5005" t="inlineStr">
        <is>
          <t>-24.1K2</t>
        </is>
      </c>
      <c r="E5005" t="inlineStr">
        <is>
          <t>DILA-XHIC31</t>
        </is>
      </c>
      <c r="F5005" t="inlineStr">
        <is>
          <t>DILA-XHIC31</t>
        </is>
      </c>
      <c r="G5005" t="inlineStr">
        <is>
          <t>HILFSKONTAKTBLOCK</t>
        </is>
      </c>
      <c r="H5005" t="inlineStr">
        <is>
          <t>3S 1OE Last+Hilfssch. Cage</t>
        </is>
      </c>
      <c r="I5005">
        <v>202</v>
      </c>
      <c r="J5005">
        <f>GS07/24.1.5</f>
        <v>0</v>
      </c>
      <c r="M5005" t="inlineStr">
        <is>
          <t>-24.1K2</t>
        </is>
      </c>
    </row>
    <row r="5006">
      <c r="A5006">
        <v>5005</v>
      </c>
      <c r="B5006">
        <f>GS08</f>
        <v>0</v>
      </c>
      <c r="C5006" t="inlineStr">
        <is>
          <t>+ES02</t>
        </is>
      </c>
      <c r="D5006" t="inlineStr">
        <is>
          <t>-24.1K2</t>
        </is>
      </c>
      <c r="E5006" t="inlineStr">
        <is>
          <t>DILA-XHIC31</t>
        </is>
      </c>
      <c r="F5006" t="inlineStr">
        <is>
          <t>DILA-XHIC31</t>
        </is>
      </c>
      <c r="G5006" t="inlineStr">
        <is>
          <t>HILFSKONTAKTBLOCK</t>
        </is>
      </c>
      <c r="H5006" t="inlineStr">
        <is>
          <t>3S 1OE Last+Hilfssch. Cage</t>
        </is>
      </c>
      <c r="I5006">
        <v>429</v>
      </c>
      <c r="J5006">
        <f>GS08/24.1.5</f>
        <v>0</v>
      </c>
      <c r="M5006" t="inlineStr">
        <is>
          <t>-24.1K2</t>
        </is>
      </c>
    </row>
    <row r="5007">
      <c r="A5007">
        <v>5006</v>
      </c>
      <c r="B5007">
        <f>GS08</f>
        <v>0</v>
      </c>
      <c r="C5007" t="inlineStr">
        <is>
          <t>+ES02</t>
        </is>
      </c>
      <c r="D5007" t="inlineStr">
        <is>
          <t>-24.1K2</t>
        </is>
      </c>
      <c r="E5007" t="inlineStr">
        <is>
          <t>DILA-40</t>
        </is>
      </c>
      <c r="F5007" t="inlineStr">
        <is>
          <t>DILA-XHIC31</t>
        </is>
      </c>
      <c r="G5007" t="inlineStr">
        <is>
          <t>HILFSSCHUETZ</t>
        </is>
      </c>
      <c r="H5007" t="inlineStr">
        <is>
          <t>4S Federzugkl.</t>
        </is>
      </c>
      <c r="I5007">
        <v>429</v>
      </c>
      <c r="J5007">
        <f>GS08/24.1.5</f>
        <v>0</v>
      </c>
      <c r="M5007" t="inlineStr">
        <is>
          <t>-24.1K2</t>
        </is>
      </c>
    </row>
    <row r="5008">
      <c r="A5008">
        <v>5007</v>
      </c>
      <c r="B5008">
        <f>GS52</f>
        <v>0</v>
      </c>
      <c r="C5008" t="inlineStr">
        <is>
          <t>+ES02</t>
        </is>
      </c>
      <c r="D5008" t="inlineStr">
        <is>
          <t>-24.1K2</t>
        </is>
      </c>
      <c r="E5008" t="inlineStr">
        <is>
          <t>DILA-40</t>
        </is>
      </c>
      <c r="F5008" t="inlineStr">
        <is>
          <t>DILA-XHIC31</t>
        </is>
      </c>
      <c r="G5008" t="inlineStr">
        <is>
          <t>HILFSSCHUETZ</t>
        </is>
      </c>
      <c r="H5008" t="inlineStr">
        <is>
          <t>4S Federzugkl.</t>
        </is>
      </c>
      <c r="I5008">
        <v>1677</v>
      </c>
      <c r="J5008">
        <f>GS52/24.1.5</f>
        <v>0</v>
      </c>
      <c r="M5008" t="inlineStr">
        <is>
          <t>-24.1K2</t>
        </is>
      </c>
    </row>
    <row r="5009">
      <c r="A5009">
        <v>5008</v>
      </c>
      <c r="B5009">
        <f>GS52</f>
        <v>0</v>
      </c>
      <c r="C5009" t="inlineStr">
        <is>
          <t>+ES02</t>
        </is>
      </c>
      <c r="D5009" t="inlineStr">
        <is>
          <t>-24.1K2</t>
        </is>
      </c>
      <c r="E5009" t="inlineStr">
        <is>
          <t>DILA-XHIC31</t>
        </is>
      </c>
      <c r="F5009" t="inlineStr">
        <is>
          <t>DILA-XHIC31</t>
        </is>
      </c>
      <c r="G5009" t="inlineStr">
        <is>
          <t>HILFSKONTAKTBLOCK</t>
        </is>
      </c>
      <c r="H5009" t="inlineStr">
        <is>
          <t>3S 1OE Last+Hilfssch. Cage</t>
        </is>
      </c>
      <c r="I5009">
        <v>1677</v>
      </c>
      <c r="J5009">
        <f>GS52/24.1.5</f>
        <v>0</v>
      </c>
      <c r="M5009" t="inlineStr">
        <is>
          <t>-24.1K2</t>
        </is>
      </c>
    </row>
    <row r="5010">
      <c r="A5010">
        <v>5009</v>
      </c>
      <c r="B5010">
        <f>GS55</f>
        <v>0</v>
      </c>
      <c r="C5010" t="inlineStr">
        <is>
          <t>+ES02</t>
        </is>
      </c>
      <c r="D5010" t="inlineStr">
        <is>
          <t>-24.1K2</t>
        </is>
      </c>
      <c r="E5010" t="inlineStr">
        <is>
          <t>DILA-40</t>
        </is>
      </c>
      <c r="F5010" t="inlineStr">
        <is>
          <t>DILA-XHIC31</t>
        </is>
      </c>
      <c r="G5010" t="inlineStr">
        <is>
          <t>HILFSSCHUETZ</t>
        </is>
      </c>
      <c r="H5010" t="inlineStr">
        <is>
          <t>4S Federzugkl.</t>
        </is>
      </c>
      <c r="I5010">
        <v>354</v>
      </c>
      <c r="J5010">
        <f>GS55/24.1.5</f>
        <v>0</v>
      </c>
      <c r="M5010" t="inlineStr">
        <is>
          <t>-24.1K2</t>
        </is>
      </c>
    </row>
    <row r="5011">
      <c r="A5011">
        <v>5010</v>
      </c>
      <c r="B5011">
        <f>GS55</f>
        <v>0</v>
      </c>
      <c r="C5011" t="inlineStr">
        <is>
          <t>+ES02</t>
        </is>
      </c>
      <c r="D5011" t="inlineStr">
        <is>
          <t>-24.1K2</t>
        </is>
      </c>
      <c r="E5011" t="inlineStr">
        <is>
          <t>DILA-XHIC31</t>
        </is>
      </c>
      <c r="F5011" t="inlineStr">
        <is>
          <t>DILA-XHIC31</t>
        </is>
      </c>
      <c r="G5011" t="inlineStr">
        <is>
          <t>HILFSKONTAKTBLOCK</t>
        </is>
      </c>
      <c r="H5011" t="inlineStr">
        <is>
          <t>3S 1OE Last+Hilfssch. Cage</t>
        </is>
      </c>
      <c r="I5011">
        <v>354</v>
      </c>
      <c r="J5011">
        <f>GS55/24.1.5</f>
        <v>0</v>
      </c>
      <c r="M5011" t="inlineStr">
        <is>
          <t>-24.1K2</t>
        </is>
      </c>
    </row>
    <row r="5012">
      <c r="A5012">
        <v>5011</v>
      </c>
      <c r="B5012">
        <f>GS69</f>
        <v>0</v>
      </c>
      <c r="C5012" t="inlineStr">
        <is>
          <t>+ES02</t>
        </is>
      </c>
      <c r="D5012" t="inlineStr">
        <is>
          <t>-24.1K2</t>
        </is>
      </c>
      <c r="E5012" t="inlineStr">
        <is>
          <t>DILA-40</t>
        </is>
      </c>
      <c r="F5012" t="inlineStr">
        <is>
          <t>DILA-XHIC31</t>
        </is>
      </c>
      <c r="G5012" t="inlineStr">
        <is>
          <t>HILFSSCHUETZ</t>
        </is>
      </c>
      <c r="H5012" t="inlineStr">
        <is>
          <t>4S Federzugkl.</t>
        </is>
      </c>
      <c r="I5012">
        <v>190</v>
      </c>
      <c r="J5012">
        <f>GS69/24.1.5</f>
        <v>0</v>
      </c>
      <c r="M5012" t="inlineStr">
        <is>
          <t>-24.1K2</t>
        </is>
      </c>
    </row>
    <row r="5013">
      <c r="A5013">
        <v>5012</v>
      </c>
      <c r="B5013">
        <f>GS69</f>
        <v>0</v>
      </c>
      <c r="C5013" t="inlineStr">
        <is>
          <t>+ES02</t>
        </is>
      </c>
      <c r="D5013" t="inlineStr">
        <is>
          <t>-24.1K2</t>
        </is>
      </c>
      <c r="E5013" t="inlineStr">
        <is>
          <t>DILA-XHIC31</t>
        </is>
      </c>
      <c r="F5013" t="inlineStr">
        <is>
          <t>DILA-XHIC31</t>
        </is>
      </c>
      <c r="G5013" t="inlineStr">
        <is>
          <t>HILFSKONTAKTBLOCK</t>
        </is>
      </c>
      <c r="H5013" t="inlineStr">
        <is>
          <t>3S 1OE Last+Hilfssch. Cage</t>
        </is>
      </c>
      <c r="I5013">
        <v>190</v>
      </c>
      <c r="J5013">
        <f>GS69/24.1.5</f>
        <v>0</v>
      </c>
      <c r="M5013" t="inlineStr">
        <is>
          <t>-24.1K2</t>
        </is>
      </c>
    </row>
    <row r="5014">
      <c r="A5014">
        <v>5013</v>
      </c>
      <c r="B5014">
        <f>GS13</f>
        <v>0</v>
      </c>
      <c r="C5014" t="inlineStr">
        <is>
          <t>+LS4</t>
        </is>
      </c>
      <c r="D5014" t="inlineStr">
        <is>
          <t>-24075.0</t>
        </is>
      </c>
      <c r="E5014" t="inlineStr">
        <is>
          <t>DIL_EM-10-G</t>
        </is>
      </c>
      <c r="F5014" t="inlineStr">
        <is>
          <t>#KALK!</t>
        </is>
      </c>
      <c r="G5014" t="inlineStr">
        <is>
          <t>LASTSCHUETZ</t>
        </is>
      </c>
      <c r="H5014" t="inlineStr">
        <is>
          <t>4kW 1S</t>
        </is>
      </c>
      <c r="I5014">
        <v>482</v>
      </c>
      <c r="J5014">
        <f>GS13/240.6</f>
        <v>0</v>
      </c>
      <c r="M5014" t="inlineStr">
        <is>
          <t>-24075.0</t>
        </is>
      </c>
    </row>
    <row r="5015">
      <c r="A5015">
        <v>5014</v>
      </c>
      <c r="B5015">
        <f>GS13</f>
        <v>0</v>
      </c>
      <c r="C5015" t="inlineStr">
        <is>
          <t>+LS4</t>
        </is>
      </c>
      <c r="D5015" t="inlineStr">
        <is>
          <t>-24075.1</t>
        </is>
      </c>
      <c r="E5015" t="inlineStr">
        <is>
          <t>DIL_EM-10-G</t>
        </is>
      </c>
      <c r="F5015" t="inlineStr">
        <is>
          <t>#KALK!</t>
        </is>
      </c>
      <c r="G5015" t="inlineStr">
        <is>
          <t>LASTSCHUETZ</t>
        </is>
      </c>
      <c r="H5015" t="inlineStr">
        <is>
          <t>4kW 1S</t>
        </is>
      </c>
      <c r="I5015">
        <v>482</v>
      </c>
      <c r="J5015">
        <f>GS13/240.6</f>
        <v>0</v>
      </c>
      <c r="M5015" t="inlineStr">
        <is>
          <t>-24075.1</t>
        </is>
      </c>
    </row>
    <row r="5016">
      <c r="A5016">
        <v>5015</v>
      </c>
      <c r="B5016">
        <f>GS02</f>
        <v>0</v>
      </c>
      <c r="C5016" t="inlineStr">
        <is>
          <t>+LS4</t>
        </is>
      </c>
      <c r="D5016" t="inlineStr">
        <is>
          <t>-240K1</t>
        </is>
      </c>
      <c r="E5016" t="inlineStr">
        <is>
          <t>22_DIL-M</t>
        </is>
      </c>
      <c r="F5016" t="inlineStr">
        <is>
          <t>22_DIL-M</t>
        </is>
      </c>
      <c r="G5016" t="inlineStr">
        <is>
          <t>HILFSKONTAKTBLOCK</t>
        </is>
      </c>
      <c r="H5016" t="inlineStr">
        <is>
          <t>2S 2OE Lastschuetz DIL M</t>
        </is>
      </c>
      <c r="I5016">
        <v>645</v>
      </c>
      <c r="J5016">
        <f>GS02/240.2</f>
        <v>0</v>
      </c>
      <c r="K5016" t="inlineStr">
        <is>
          <t>DIL0AM</t>
        </is>
      </c>
      <c r="M5016" t="inlineStr">
        <is>
          <t>-240K1</t>
        </is>
      </c>
    </row>
    <row r="5017">
      <c r="A5017">
        <v>5016</v>
      </c>
      <c r="B5017">
        <f>GS02</f>
        <v>0</v>
      </c>
      <c r="C5017" t="inlineStr">
        <is>
          <t>+LS4</t>
        </is>
      </c>
      <c r="D5017" t="inlineStr">
        <is>
          <t>-240K1</t>
        </is>
      </c>
      <c r="E5017" t="inlineStr">
        <is>
          <t>DIL_0AM</t>
        </is>
      </c>
      <c r="F5017" t="inlineStr">
        <is>
          <t>22_DIL-M</t>
        </is>
      </c>
      <c r="G5017" t="inlineStr">
        <is>
          <t>LASTSCHUETZ</t>
        </is>
      </c>
      <c r="H5017" t="inlineStr">
        <is>
          <t>11 kW</t>
        </is>
      </c>
      <c r="I5017">
        <v>645</v>
      </c>
      <c r="J5017">
        <f>GS02/240.2</f>
        <v>0</v>
      </c>
      <c r="K5017" t="inlineStr">
        <is>
          <t>DIL0AM</t>
        </is>
      </c>
      <c r="M5017" t="inlineStr">
        <is>
          <t>-240K1</t>
        </is>
      </c>
    </row>
    <row r="5018">
      <c r="A5018">
        <v>5017</v>
      </c>
      <c r="B5018">
        <f>GS15</f>
        <v>0</v>
      </c>
      <c r="C5018" t="inlineStr">
        <is>
          <t>+LS5</t>
        </is>
      </c>
      <c r="D5018" t="inlineStr">
        <is>
          <t>-240K1</t>
        </is>
      </c>
      <c r="E5018" t="inlineStr">
        <is>
          <t>22_DIL-M</t>
        </is>
      </c>
      <c r="F5018" t="inlineStr">
        <is>
          <t>22_DIL-M</t>
        </is>
      </c>
      <c r="G5018" t="inlineStr">
        <is>
          <t>HILFSKONTAKTBLOCK</t>
        </is>
      </c>
      <c r="H5018" t="inlineStr">
        <is>
          <t>2S 2OE Lastschuetz DIL M</t>
        </is>
      </c>
      <c r="I5018">
        <v>734</v>
      </c>
      <c r="J5018">
        <f>GS15/240.2</f>
        <v>0</v>
      </c>
      <c r="K5018" t="inlineStr">
        <is>
          <t>DIL0AM</t>
        </is>
      </c>
      <c r="M5018" t="inlineStr">
        <is>
          <t>-240K1</t>
        </is>
      </c>
    </row>
    <row r="5019">
      <c r="A5019">
        <v>5018</v>
      </c>
      <c r="B5019">
        <f>GS15</f>
        <v>0</v>
      </c>
      <c r="C5019" t="inlineStr">
        <is>
          <t>+LS5</t>
        </is>
      </c>
      <c r="D5019" t="inlineStr">
        <is>
          <t>-240K1</t>
        </is>
      </c>
      <c r="E5019" t="inlineStr">
        <is>
          <t>DIL_0AM</t>
        </is>
      </c>
      <c r="F5019" t="inlineStr">
        <is>
          <t>22_DIL-M</t>
        </is>
      </c>
      <c r="G5019" t="inlineStr">
        <is>
          <t>LASTSCHUETZ</t>
        </is>
      </c>
      <c r="H5019" t="inlineStr">
        <is>
          <t>11 kW</t>
        </is>
      </c>
      <c r="I5019">
        <v>734</v>
      </c>
      <c r="J5019">
        <f>GS15/240.2</f>
        <v>0</v>
      </c>
      <c r="K5019" t="inlineStr">
        <is>
          <t>DIL0AM</t>
        </is>
      </c>
      <c r="M5019" t="inlineStr">
        <is>
          <t>-240K1</t>
        </is>
      </c>
    </row>
    <row r="5020">
      <c r="A5020">
        <v>5019</v>
      </c>
      <c r="B5020">
        <f>GS38</f>
        <v>0</v>
      </c>
      <c r="C5020" t="inlineStr">
        <is>
          <t>+LS04</t>
        </is>
      </c>
      <c r="D5020" t="inlineStr">
        <is>
          <t>-240K1</t>
        </is>
      </c>
      <c r="E5020" t="inlineStr">
        <is>
          <t>DILA-XHIC40</t>
        </is>
      </c>
      <c r="F5020" t="inlineStr">
        <is>
          <t>DILA-XHIC40</t>
        </is>
      </c>
      <c r="G5020" t="inlineStr">
        <is>
          <t>HILFSKONTAKTBLOCK</t>
        </is>
      </c>
      <c r="H5020" t="inlineStr">
        <is>
          <t>4S Last+Hilfssch. Cage</t>
        </is>
      </c>
      <c r="I5020">
        <v>410</v>
      </c>
      <c r="J5020">
        <f>GS38/240.5</f>
        <v>0</v>
      </c>
      <c r="M5020" t="inlineStr">
        <is>
          <t>-240K1</t>
        </is>
      </c>
    </row>
    <row r="5021">
      <c r="A5021">
        <v>5020</v>
      </c>
      <c r="B5021">
        <f>GS38</f>
        <v>0</v>
      </c>
      <c r="C5021" t="inlineStr">
        <is>
          <t>+LS04</t>
        </is>
      </c>
      <c r="D5021" t="inlineStr">
        <is>
          <t>-240K1</t>
        </is>
      </c>
      <c r="E5021" t="inlineStr">
        <is>
          <t>DILA-40</t>
        </is>
      </c>
      <c r="F5021" t="inlineStr">
        <is>
          <t>DILA-XHIC40</t>
        </is>
      </c>
      <c r="G5021" t="inlineStr">
        <is>
          <t>HILFSSCHUETZ</t>
        </is>
      </c>
      <c r="H5021" t="inlineStr">
        <is>
          <t>4S Federzugkl.</t>
        </is>
      </c>
      <c r="I5021">
        <v>410</v>
      </c>
      <c r="J5021">
        <f>GS38/240.5</f>
        <v>0</v>
      </c>
      <c r="M5021" t="inlineStr">
        <is>
          <t>-240K1</t>
        </is>
      </c>
    </row>
    <row r="5022">
      <c r="A5022">
        <v>5021</v>
      </c>
      <c r="B5022">
        <f>GS39</f>
        <v>0</v>
      </c>
      <c r="C5022" t="inlineStr">
        <is>
          <t>+LS04</t>
        </is>
      </c>
      <c r="D5022" t="inlineStr">
        <is>
          <t>-240K1</t>
        </is>
      </c>
      <c r="E5022" t="inlineStr">
        <is>
          <t>DILA-40</t>
        </is>
      </c>
      <c r="F5022" t="inlineStr">
        <is>
          <t>DILA-XHIC40</t>
        </is>
      </c>
      <c r="G5022" t="inlineStr">
        <is>
          <t>HILFSSCHUETZ</t>
        </is>
      </c>
      <c r="H5022" t="inlineStr">
        <is>
          <t>4S Federzugkl.</t>
        </is>
      </c>
      <c r="I5022">
        <v>1160</v>
      </c>
      <c r="J5022">
        <f>GS39/240.5</f>
        <v>0</v>
      </c>
      <c r="M5022" t="inlineStr">
        <is>
          <t>-240K1</t>
        </is>
      </c>
    </row>
    <row r="5023">
      <c r="A5023">
        <v>5022</v>
      </c>
      <c r="B5023">
        <f>GS39</f>
        <v>0</v>
      </c>
      <c r="C5023" t="inlineStr">
        <is>
          <t>+LS04</t>
        </is>
      </c>
      <c r="D5023" t="inlineStr">
        <is>
          <t>-240K1</t>
        </is>
      </c>
      <c r="E5023" t="inlineStr">
        <is>
          <t>DILA-XHIC40</t>
        </is>
      </c>
      <c r="F5023" t="inlineStr">
        <is>
          <t>DILA-XHIC40</t>
        </is>
      </c>
      <c r="G5023" t="inlineStr">
        <is>
          <t>HILFSKONTAKTBLOCK</t>
        </is>
      </c>
      <c r="H5023" t="inlineStr">
        <is>
          <t>4S Last+Hilfssch. Cage</t>
        </is>
      </c>
      <c r="I5023">
        <v>1160</v>
      </c>
      <c r="J5023">
        <f>GS39/240.5</f>
        <v>0</v>
      </c>
      <c r="M5023" t="inlineStr">
        <is>
          <t>-240K1</t>
        </is>
      </c>
    </row>
    <row r="5024">
      <c r="A5024">
        <v>5023</v>
      </c>
      <c r="B5024">
        <f>GS46</f>
        <v>0</v>
      </c>
      <c r="C5024" t="inlineStr">
        <is>
          <t>+LS03</t>
        </is>
      </c>
      <c r="D5024" t="inlineStr">
        <is>
          <t>-240K155.0</t>
        </is>
      </c>
      <c r="E5024" t="inlineStr">
        <is>
          <t>DILA-40</t>
        </is>
      </c>
      <c r="F5024" t="inlineStr">
        <is>
          <t>#KALK!</t>
        </is>
      </c>
      <c r="G5024" t="inlineStr">
        <is>
          <t>HILFSSCHUETZ</t>
        </is>
      </c>
      <c r="H5024" t="inlineStr">
        <is>
          <t>4S Federzugkl.</t>
        </is>
      </c>
      <c r="I5024">
        <v>298</v>
      </c>
      <c r="J5024">
        <f>GS46/240.7</f>
        <v>0</v>
      </c>
      <c r="M5024" t="inlineStr">
        <is>
          <t>-240K155.0</t>
        </is>
      </c>
    </row>
    <row r="5025">
      <c r="A5025">
        <v>5024</v>
      </c>
      <c r="B5025">
        <f>GS47</f>
        <v>0</v>
      </c>
      <c r="C5025" t="inlineStr">
        <is>
          <t>+LS03</t>
        </is>
      </c>
      <c r="D5025" t="inlineStr">
        <is>
          <t>-240K155.0</t>
        </is>
      </c>
      <c r="E5025" t="inlineStr">
        <is>
          <t>DILA-40</t>
        </is>
      </c>
      <c r="F5025" t="inlineStr">
        <is>
          <t>#KALK!</t>
        </is>
      </c>
      <c r="G5025" t="inlineStr">
        <is>
          <t>HILFSSCHUETZ</t>
        </is>
      </c>
      <c r="H5025" t="inlineStr">
        <is>
          <t>4S Federzugkl.</t>
        </is>
      </c>
      <c r="I5025">
        <v>298</v>
      </c>
      <c r="J5025">
        <f>GS47/240.7</f>
        <v>0</v>
      </c>
      <c r="M5025" t="inlineStr">
        <is>
          <t>-240K155.0</t>
        </is>
      </c>
    </row>
    <row r="5026">
      <c r="A5026">
        <v>5025</v>
      </c>
      <c r="B5026">
        <f>GS48</f>
        <v>0</v>
      </c>
      <c r="C5026" t="inlineStr">
        <is>
          <t>+LS03</t>
        </is>
      </c>
      <c r="D5026" t="inlineStr">
        <is>
          <t>-240K155.0</t>
        </is>
      </c>
      <c r="E5026" t="inlineStr">
        <is>
          <t>DILA-40</t>
        </is>
      </c>
      <c r="F5026" t="inlineStr">
        <is>
          <t>#KALK!</t>
        </is>
      </c>
      <c r="G5026" t="inlineStr">
        <is>
          <t>HILFSSCHUETZ</t>
        </is>
      </c>
      <c r="H5026" t="inlineStr">
        <is>
          <t>4S Federzugkl.</t>
        </is>
      </c>
      <c r="I5026">
        <v>392</v>
      </c>
      <c r="J5026">
        <f>GS48/240.7</f>
        <v>0</v>
      </c>
      <c r="M5026" t="inlineStr">
        <is>
          <t>-240K155.0</t>
        </is>
      </c>
    </row>
    <row r="5027">
      <c r="A5027">
        <v>5026</v>
      </c>
      <c r="B5027">
        <f>GS49</f>
        <v>0</v>
      </c>
      <c r="C5027" t="inlineStr">
        <is>
          <t>+LS03</t>
        </is>
      </c>
      <c r="D5027" t="inlineStr">
        <is>
          <t>-240K155.0</t>
        </is>
      </c>
      <c r="E5027" t="inlineStr">
        <is>
          <t>DILA-40</t>
        </is>
      </c>
      <c r="F5027" t="inlineStr">
        <is>
          <t>#KALK!</t>
        </is>
      </c>
      <c r="G5027" t="inlineStr">
        <is>
          <t>HILFSSCHUETZ</t>
        </is>
      </c>
      <c r="H5027" t="inlineStr">
        <is>
          <t>4S Federzugkl.</t>
        </is>
      </c>
      <c r="I5027">
        <v>391</v>
      </c>
      <c r="J5027">
        <f>GS49/240.7</f>
        <v>0</v>
      </c>
      <c r="M5027" t="inlineStr">
        <is>
          <t>-240K155.0</t>
        </is>
      </c>
    </row>
    <row r="5028">
      <c r="A5028">
        <v>5027</v>
      </c>
      <c r="B5028">
        <f>GS91</f>
        <v>0</v>
      </c>
      <c r="C5028" t="inlineStr">
        <is>
          <t>+LS03</t>
        </is>
      </c>
      <c r="D5028" t="inlineStr">
        <is>
          <t>-240K162.0</t>
        </is>
      </c>
      <c r="E5028" t="inlineStr">
        <is>
          <t>DILA-40</t>
        </is>
      </c>
      <c r="F5028" t="inlineStr">
        <is>
          <t>#KALK!</t>
        </is>
      </c>
      <c r="G5028" t="inlineStr">
        <is>
          <t>HILFSSCHUETZ</t>
        </is>
      </c>
      <c r="H5028" t="inlineStr">
        <is>
          <t>4S Federzugkl.</t>
        </is>
      </c>
      <c r="I5028">
        <v>388</v>
      </c>
      <c r="J5028">
        <f>GS91/240.7</f>
        <v>0</v>
      </c>
      <c r="M5028" t="inlineStr">
        <is>
          <t>-240K162.0</t>
        </is>
      </c>
    </row>
    <row r="5029">
      <c r="A5029">
        <v>5028</v>
      </c>
      <c r="B5029">
        <f>GS92</f>
        <v>0</v>
      </c>
      <c r="C5029" t="inlineStr">
        <is>
          <t>+LS03</t>
        </is>
      </c>
      <c r="D5029" t="inlineStr">
        <is>
          <t>-240K171.0</t>
        </is>
      </c>
      <c r="E5029" t="inlineStr">
        <is>
          <t>DILA-40</t>
        </is>
      </c>
      <c r="F5029" t="inlineStr">
        <is>
          <t>#KALK!</t>
        </is>
      </c>
      <c r="G5029" t="inlineStr">
        <is>
          <t>HILFSSCHUETZ</t>
        </is>
      </c>
      <c r="H5029" t="inlineStr">
        <is>
          <t>4S Federzugkl.</t>
        </is>
      </c>
      <c r="I5029">
        <v>386</v>
      </c>
      <c r="J5029">
        <f>GS92/240.7</f>
        <v>0</v>
      </c>
      <c r="M5029" t="inlineStr">
        <is>
          <t>-240K171.0</t>
        </is>
      </c>
    </row>
    <row r="5030">
      <c r="A5030">
        <v>5029</v>
      </c>
      <c r="B5030">
        <f>GS93</f>
        <v>0</v>
      </c>
      <c r="C5030" t="inlineStr">
        <is>
          <t>+LS03</t>
        </is>
      </c>
      <c r="D5030" t="inlineStr">
        <is>
          <t>-240K171.0</t>
        </is>
      </c>
      <c r="E5030" t="inlineStr">
        <is>
          <t>DILA-40</t>
        </is>
      </c>
      <c r="F5030" t="inlineStr">
        <is>
          <t>#KALK!</t>
        </is>
      </c>
      <c r="G5030" t="inlineStr">
        <is>
          <t>HILFSSCHUETZ</t>
        </is>
      </c>
      <c r="H5030" t="inlineStr">
        <is>
          <t>4S Federzugkl.</t>
        </is>
      </c>
      <c r="I5030">
        <v>794</v>
      </c>
      <c r="J5030">
        <f>GS93/240.7</f>
        <v>0</v>
      </c>
      <c r="M5030" t="inlineStr">
        <is>
          <t>-240K171.0</t>
        </is>
      </c>
    </row>
    <row r="5031">
      <c r="A5031">
        <v>5030</v>
      </c>
      <c r="B5031">
        <f>GS38</f>
        <v>0</v>
      </c>
      <c r="C5031" t="inlineStr">
        <is>
          <t>+LS04</t>
        </is>
      </c>
      <c r="D5031" t="inlineStr">
        <is>
          <t>-240K432.0</t>
        </is>
      </c>
      <c r="E5031" t="inlineStr">
        <is>
          <t>DILA-40</t>
        </is>
      </c>
      <c r="F5031" t="inlineStr">
        <is>
          <t>#KALK!</t>
        </is>
      </c>
      <c r="G5031" t="inlineStr">
        <is>
          <t>HILFSSCHUETZ</t>
        </is>
      </c>
      <c r="H5031" t="inlineStr">
        <is>
          <t>4S Federzugkl.</t>
        </is>
      </c>
      <c r="I5031">
        <v>410</v>
      </c>
      <c r="J5031">
        <f>GS38/240.6</f>
        <v>0</v>
      </c>
      <c r="M5031" t="inlineStr">
        <is>
          <t>-240K432.0</t>
        </is>
      </c>
    </row>
    <row r="5032">
      <c r="A5032">
        <v>5031</v>
      </c>
      <c r="B5032">
        <f>GS39</f>
        <v>0</v>
      </c>
      <c r="C5032" t="inlineStr">
        <is>
          <t>+LS04</t>
        </is>
      </c>
      <c r="D5032" t="inlineStr">
        <is>
          <t>-240K432.0</t>
        </is>
      </c>
      <c r="E5032" t="inlineStr">
        <is>
          <t>DILA-40</t>
        </is>
      </c>
      <c r="F5032" t="inlineStr">
        <is>
          <t>#KALK!</t>
        </is>
      </c>
      <c r="G5032" t="inlineStr">
        <is>
          <t>HILFSSCHUETZ</t>
        </is>
      </c>
      <c r="H5032" t="inlineStr">
        <is>
          <t>4S Federzugkl.</t>
        </is>
      </c>
      <c r="I5032">
        <v>1160</v>
      </c>
      <c r="J5032">
        <f>GS39/240.6</f>
        <v>0</v>
      </c>
      <c r="M5032" t="inlineStr">
        <is>
          <t>-240K432.0</t>
        </is>
      </c>
    </row>
    <row r="5033">
      <c r="A5033">
        <v>5032</v>
      </c>
      <c r="B5033">
        <f>GS01</f>
        <v>0</v>
      </c>
      <c r="C5033" t="inlineStr">
        <is>
          <t>+LS5</t>
        </is>
      </c>
      <c r="D5033" t="inlineStr">
        <is>
          <t>-240K49.0</t>
        </is>
      </c>
      <c r="E5033" t="inlineStr">
        <is>
          <t>DIL_EM-10-G</t>
        </is>
      </c>
      <c r="F5033" t="inlineStr">
        <is>
          <t>#KALK!</t>
        </is>
      </c>
      <c r="G5033" t="inlineStr">
        <is>
          <t>LASTSCHUETZ</t>
        </is>
      </c>
      <c r="H5033" t="inlineStr">
        <is>
          <t>4kW 1S</t>
        </is>
      </c>
      <c r="I5033">
        <v>403</v>
      </c>
      <c r="J5033">
        <f>GS01/240.6</f>
        <v>0</v>
      </c>
      <c r="M5033" t="inlineStr">
        <is>
          <t>-240K49.0</t>
        </is>
      </c>
    </row>
    <row r="5034">
      <c r="A5034">
        <v>5033</v>
      </c>
      <c r="B5034">
        <f>GS01</f>
        <v>0</v>
      </c>
      <c r="C5034" t="inlineStr">
        <is>
          <t>+LS5</t>
        </is>
      </c>
      <c r="D5034" t="inlineStr">
        <is>
          <t>-240K49.1</t>
        </is>
      </c>
      <c r="E5034" t="inlineStr">
        <is>
          <t>DIL_EM-10-G</t>
        </is>
      </c>
      <c r="F5034" t="inlineStr">
        <is>
          <t>#KALK!</t>
        </is>
      </c>
      <c r="G5034" t="inlineStr">
        <is>
          <t>LASTSCHUETZ</t>
        </is>
      </c>
      <c r="H5034" t="inlineStr">
        <is>
          <t>4kW 1S</t>
        </is>
      </c>
      <c r="I5034">
        <v>403</v>
      </c>
      <c r="J5034">
        <f>GS01/240.6</f>
        <v>0</v>
      </c>
      <c r="M5034" t="inlineStr">
        <is>
          <t>-240K49.1</t>
        </is>
      </c>
    </row>
    <row r="5035">
      <c r="A5035">
        <v>5034</v>
      </c>
      <c r="B5035">
        <f>GS23</f>
        <v>0</v>
      </c>
      <c r="C5035" t="inlineStr">
        <is>
          <t>+LS4</t>
        </is>
      </c>
      <c r="D5035" t="inlineStr">
        <is>
          <t>-240K75.0</t>
        </is>
      </c>
      <c r="E5035" t="inlineStr">
        <is>
          <t>DIL_EM-10-G</t>
        </is>
      </c>
      <c r="F5035" t="inlineStr">
        <is>
          <t>#KALK!</t>
        </is>
      </c>
      <c r="G5035" t="inlineStr">
        <is>
          <t>LASTSCHUETZ</t>
        </is>
      </c>
      <c r="H5035" t="inlineStr">
        <is>
          <t>4kW 1S</t>
        </is>
      </c>
      <c r="I5035">
        <v>541</v>
      </c>
      <c r="J5035">
        <f>GS23/240.6</f>
        <v>0</v>
      </c>
      <c r="M5035" t="inlineStr">
        <is>
          <t>-240K75.0</t>
        </is>
      </c>
    </row>
    <row r="5036">
      <c r="A5036">
        <v>5035</v>
      </c>
      <c r="B5036">
        <f>GS23</f>
        <v>0</v>
      </c>
      <c r="C5036" t="inlineStr">
        <is>
          <t>+LS4</t>
        </is>
      </c>
      <c r="D5036" t="inlineStr">
        <is>
          <t>-240K75.1</t>
        </is>
      </c>
      <c r="E5036" t="inlineStr">
        <is>
          <t>DIL_EM-10-G</t>
        </is>
      </c>
      <c r="F5036" t="inlineStr">
        <is>
          <t>#KALK!</t>
        </is>
      </c>
      <c r="G5036" t="inlineStr">
        <is>
          <t>LASTSCHUETZ</t>
        </is>
      </c>
      <c r="H5036" t="inlineStr">
        <is>
          <t>4kW 1S</t>
        </is>
      </c>
      <c r="I5036">
        <v>541</v>
      </c>
      <c r="J5036">
        <f>GS23/240.6</f>
        <v>0</v>
      </c>
      <c r="M5036" t="inlineStr">
        <is>
          <t>-240K75.1</t>
        </is>
      </c>
    </row>
    <row r="5037">
      <c r="A5037">
        <v>5036</v>
      </c>
      <c r="B5037">
        <f>GS25</f>
        <v>0</v>
      </c>
      <c r="C5037" t="inlineStr">
        <is>
          <t>+LS5</t>
        </is>
      </c>
      <c r="D5037" t="inlineStr">
        <is>
          <t>-240K80.1</t>
        </is>
      </c>
      <c r="E5037" t="inlineStr">
        <is>
          <t>DIL_EM-10-G</t>
        </is>
      </c>
      <c r="F5037" t="inlineStr">
        <is>
          <t>#KALK!</t>
        </is>
      </c>
      <c r="G5037" t="inlineStr">
        <is>
          <t>LASTSCHUETZ</t>
        </is>
      </c>
      <c r="H5037" t="inlineStr">
        <is>
          <t>4kW 1S</t>
        </is>
      </c>
      <c r="I5037">
        <v>361</v>
      </c>
      <c r="J5037">
        <f>GS25/240.5</f>
        <v>0</v>
      </c>
      <c r="M5037" t="inlineStr">
        <is>
          <t>-240K80.1</t>
        </is>
      </c>
    </row>
    <row r="5038">
      <c r="A5038">
        <v>5037</v>
      </c>
      <c r="B5038">
        <f>GS25</f>
        <v>0</v>
      </c>
      <c r="C5038" t="inlineStr">
        <is>
          <t>+LS5</t>
        </is>
      </c>
      <c r="D5038" t="inlineStr">
        <is>
          <t>-240K80.2</t>
        </is>
      </c>
      <c r="E5038" t="inlineStr">
        <is>
          <t>DIL_EM-10-G</t>
        </is>
      </c>
      <c r="F5038" t="inlineStr">
        <is>
          <t>#KALK!</t>
        </is>
      </c>
      <c r="G5038" t="inlineStr">
        <is>
          <t>LASTSCHUETZ</t>
        </is>
      </c>
      <c r="H5038" t="inlineStr">
        <is>
          <t>4kW 1S</t>
        </is>
      </c>
      <c r="I5038">
        <v>361</v>
      </c>
      <c r="J5038">
        <f>GS25/240.6</f>
        <v>0</v>
      </c>
      <c r="M5038" t="inlineStr">
        <is>
          <t>-240K80.2</t>
        </is>
      </c>
    </row>
    <row r="5039">
      <c r="A5039">
        <v>5038</v>
      </c>
      <c r="B5039">
        <f>GS25</f>
        <v>0</v>
      </c>
      <c r="C5039" t="inlineStr">
        <is>
          <t>+LS5</t>
        </is>
      </c>
      <c r="D5039" t="inlineStr">
        <is>
          <t>-240K80.3</t>
        </is>
      </c>
      <c r="E5039" t="inlineStr">
        <is>
          <t>DIL_EM-01-G</t>
        </is>
      </c>
      <c r="F5039" t="inlineStr">
        <is>
          <t>#KALK!</t>
        </is>
      </c>
      <c r="G5039" t="inlineStr">
        <is>
          <t>LASTSCHUETZ</t>
        </is>
      </c>
      <c r="H5039" t="inlineStr">
        <is>
          <t>4kW 1OE</t>
        </is>
      </c>
      <c r="I5039">
        <v>361</v>
      </c>
      <c r="J5039">
        <f>GS25/240.7</f>
        <v>0</v>
      </c>
      <c r="M5039" t="inlineStr">
        <is>
          <t>-240K80.3</t>
        </is>
      </c>
    </row>
    <row r="5040">
      <c r="A5040">
        <v>5039</v>
      </c>
      <c r="B5040">
        <f>GS25</f>
        <v>0</v>
      </c>
      <c r="C5040" t="inlineStr">
        <is>
          <t>+LS5</t>
        </is>
      </c>
      <c r="D5040" t="inlineStr">
        <is>
          <t>-240K80.4</t>
        </is>
      </c>
      <c r="E5040" t="inlineStr">
        <is>
          <t>DIL_EM-01-G</t>
        </is>
      </c>
      <c r="F5040" t="inlineStr">
        <is>
          <t>#KALK!</t>
        </is>
      </c>
      <c r="G5040" t="inlineStr">
        <is>
          <t>LASTSCHUETZ</t>
        </is>
      </c>
      <c r="H5040" t="inlineStr">
        <is>
          <t>4kW 1OE</t>
        </is>
      </c>
      <c r="I5040">
        <v>361</v>
      </c>
      <c r="J5040">
        <f>GS25/240.8</f>
        <v>0</v>
      </c>
      <c r="M5040" t="inlineStr">
        <is>
          <t>-240K80.4</t>
        </is>
      </c>
    </row>
    <row r="5041">
      <c r="A5041">
        <v>5040</v>
      </c>
      <c r="B5041">
        <f>GS05</f>
        <v>0</v>
      </c>
      <c r="C5041" t="inlineStr">
        <is>
          <t>+LS03</t>
        </is>
      </c>
      <c r="D5041" t="inlineStr">
        <is>
          <t>-240Q1</t>
        </is>
      </c>
      <c r="E5041" t="inlineStr">
        <is>
          <t>DILA-XHI22</t>
        </is>
      </c>
      <c r="F5041" t="inlineStr">
        <is>
          <t>DILA-XHI22</t>
        </is>
      </c>
      <c r="G5041" t="inlineStr">
        <is>
          <t>HILFSKONTAKTBLOCK</t>
        </is>
      </c>
      <c r="H5041" t="inlineStr">
        <is>
          <t>2S 2OE Last+Hilfssch. Cage</t>
        </is>
      </c>
      <c r="I5041">
        <v>1908</v>
      </c>
      <c r="J5041">
        <f>GS05/240.6</f>
        <v>0</v>
      </c>
      <c r="K5041" t="inlineStr">
        <is>
          <t>DIL MC25</t>
        </is>
      </c>
      <c r="M5041" t="inlineStr">
        <is>
          <t>-240Q1</t>
        </is>
      </c>
    </row>
    <row r="5042">
      <c r="A5042">
        <v>5041</v>
      </c>
      <c r="B5042">
        <f>GS05</f>
        <v>0</v>
      </c>
      <c r="C5042" t="inlineStr">
        <is>
          <t>+LS03</t>
        </is>
      </c>
      <c r="D5042" t="inlineStr">
        <is>
          <t>-240Q1</t>
        </is>
      </c>
      <c r="E5042" t="inlineStr">
        <is>
          <t>DILMC25-10(RDC24)</t>
        </is>
      </c>
      <c r="F5042" t="inlineStr">
        <is>
          <t>DILA-XHI22</t>
        </is>
      </c>
      <c r="G5042" t="inlineStr">
        <is>
          <t>LASTSCHUETZ</t>
        </is>
      </c>
      <c r="H5042" t="inlineStr">
        <is>
          <t>11kW 1S Federzugkl.</t>
        </is>
      </c>
      <c r="I5042">
        <v>1908</v>
      </c>
      <c r="J5042">
        <f>GS05/240.6</f>
        <v>0</v>
      </c>
      <c r="K5042" t="inlineStr">
        <is>
          <t>DIL MC25</t>
        </is>
      </c>
      <c r="M5042" t="inlineStr">
        <is>
          <t>-240Q1</t>
        </is>
      </c>
    </row>
    <row r="5043">
      <c r="A5043">
        <v>5042</v>
      </c>
      <c r="B5043">
        <f>GS38</f>
        <v>0</v>
      </c>
      <c r="C5043" t="inlineStr">
        <is>
          <t>+LS04</t>
        </is>
      </c>
      <c r="D5043" t="inlineStr">
        <is>
          <t>-240Q1</t>
        </is>
      </c>
      <c r="E5043" t="inlineStr">
        <is>
          <t>DILA-XHI22</t>
        </is>
      </c>
      <c r="F5043" t="inlineStr">
        <is>
          <t>DILA-XHI22</t>
        </is>
      </c>
      <c r="G5043" t="inlineStr">
        <is>
          <t>HILFSKONTAKTBLOCK</t>
        </is>
      </c>
      <c r="H5043" t="inlineStr">
        <is>
          <t>2S 2OE Last+Hilfssch. Cage</t>
        </is>
      </c>
      <c r="I5043">
        <v>410</v>
      </c>
      <c r="J5043">
        <f>GS38/240.3</f>
        <v>0</v>
      </c>
      <c r="K5043" t="inlineStr">
        <is>
          <t>DIL MC25</t>
        </is>
      </c>
      <c r="M5043" t="inlineStr">
        <is>
          <t>-240Q1</t>
        </is>
      </c>
    </row>
    <row r="5044">
      <c r="A5044">
        <v>5043</v>
      </c>
      <c r="B5044">
        <f>GS38</f>
        <v>0</v>
      </c>
      <c r="C5044" t="inlineStr">
        <is>
          <t>+LS04</t>
        </is>
      </c>
      <c r="D5044" t="inlineStr">
        <is>
          <t>-240Q1</t>
        </is>
      </c>
      <c r="E5044" t="inlineStr">
        <is>
          <t>DILMC25-10(RDC24)</t>
        </is>
      </c>
      <c r="F5044" t="inlineStr">
        <is>
          <t>DILA-XHI22</t>
        </is>
      </c>
      <c r="G5044" t="inlineStr">
        <is>
          <t>LASTSCHUETZ</t>
        </is>
      </c>
      <c r="H5044" t="inlineStr">
        <is>
          <t>11kW 1S Federzugkl.</t>
        </is>
      </c>
      <c r="I5044">
        <v>410</v>
      </c>
      <c r="J5044">
        <f>GS38/240.3</f>
        <v>0</v>
      </c>
      <c r="K5044" t="inlineStr">
        <is>
          <t>DIL MC25</t>
        </is>
      </c>
      <c r="M5044" t="inlineStr">
        <is>
          <t>-240Q1</t>
        </is>
      </c>
    </row>
    <row r="5045">
      <c r="A5045">
        <v>5044</v>
      </c>
      <c r="B5045">
        <f>GS39</f>
        <v>0</v>
      </c>
      <c r="C5045" t="inlineStr">
        <is>
          <t>+LS04</t>
        </is>
      </c>
      <c r="D5045" t="inlineStr">
        <is>
          <t>-240Q1</t>
        </is>
      </c>
      <c r="E5045" t="inlineStr">
        <is>
          <t>DILMC25-10(RDC24)</t>
        </is>
      </c>
      <c r="F5045" t="inlineStr">
        <is>
          <t>DILA-XHI22</t>
        </is>
      </c>
      <c r="G5045" t="inlineStr">
        <is>
          <t>LASTSCHUETZ</t>
        </is>
      </c>
      <c r="H5045" t="inlineStr">
        <is>
          <t>11kW 1S Federzugkl.</t>
        </is>
      </c>
      <c r="I5045">
        <v>1160</v>
      </c>
      <c r="J5045">
        <f>GS39/240.3</f>
        <v>0</v>
      </c>
      <c r="K5045" t="inlineStr">
        <is>
          <t>DIL MC25</t>
        </is>
      </c>
      <c r="M5045" t="inlineStr">
        <is>
          <t>-240Q1</t>
        </is>
      </c>
    </row>
    <row r="5046">
      <c r="A5046">
        <v>5045</v>
      </c>
      <c r="B5046">
        <f>GS39</f>
        <v>0</v>
      </c>
      <c r="C5046" t="inlineStr">
        <is>
          <t>+LS04</t>
        </is>
      </c>
      <c r="D5046" t="inlineStr">
        <is>
          <t>-240Q1</t>
        </is>
      </c>
      <c r="E5046" t="inlineStr">
        <is>
          <t>DILA-XHI22</t>
        </is>
      </c>
      <c r="F5046" t="inlineStr">
        <is>
          <t>DILA-XHI22</t>
        </is>
      </c>
      <c r="G5046" t="inlineStr">
        <is>
          <t>HILFSKONTAKTBLOCK</t>
        </is>
      </c>
      <c r="H5046" t="inlineStr">
        <is>
          <t>2S 2OE Last+Hilfssch. Cage</t>
        </is>
      </c>
      <c r="I5046">
        <v>1160</v>
      </c>
      <c r="J5046">
        <f>GS39/240.3</f>
        <v>0</v>
      </c>
      <c r="K5046" t="inlineStr">
        <is>
          <t>DIL MC25</t>
        </is>
      </c>
      <c r="M5046" t="inlineStr">
        <is>
          <t>-240Q1</t>
        </is>
      </c>
    </row>
    <row r="5047">
      <c r="A5047">
        <v>5046</v>
      </c>
      <c r="B5047">
        <f>GS46</f>
        <v>0</v>
      </c>
      <c r="C5047" t="inlineStr">
        <is>
          <t>+LS03</t>
        </is>
      </c>
      <c r="D5047" t="inlineStr">
        <is>
          <t>-240Q1</t>
        </is>
      </c>
      <c r="E5047" t="inlineStr">
        <is>
          <t>DILMC25-10(RDC24)</t>
        </is>
      </c>
      <c r="F5047" t="inlineStr">
        <is>
          <t>DILA-XHI22</t>
        </is>
      </c>
      <c r="G5047" t="inlineStr">
        <is>
          <t>LASTSCHUETZ</t>
        </is>
      </c>
      <c r="H5047" t="inlineStr">
        <is>
          <t>11kW 1S Federzugkl.</t>
        </is>
      </c>
      <c r="I5047">
        <v>298</v>
      </c>
      <c r="J5047">
        <f>GS46/240.4</f>
        <v>0</v>
      </c>
      <c r="K5047" t="inlineStr">
        <is>
          <t>DIL MC25</t>
        </is>
      </c>
      <c r="M5047" t="inlineStr">
        <is>
          <t>-240Q1</t>
        </is>
      </c>
    </row>
    <row r="5048">
      <c r="A5048">
        <v>5047</v>
      </c>
      <c r="B5048">
        <f>GS46</f>
        <v>0</v>
      </c>
      <c r="C5048" t="inlineStr">
        <is>
          <t>+LS03</t>
        </is>
      </c>
      <c r="D5048" t="inlineStr">
        <is>
          <t>-240Q1</t>
        </is>
      </c>
      <c r="E5048" t="inlineStr">
        <is>
          <t>DILA-XHI22</t>
        </is>
      </c>
      <c r="F5048" t="inlineStr">
        <is>
          <t>DILA-XHI22</t>
        </is>
      </c>
      <c r="G5048" t="inlineStr">
        <is>
          <t>HILFSKONTAKTBLOCK</t>
        </is>
      </c>
      <c r="H5048" t="inlineStr">
        <is>
          <t>2S 2OE Last+Hilfssch. Cage</t>
        </is>
      </c>
      <c r="I5048">
        <v>298</v>
      </c>
      <c r="J5048">
        <f>GS46/240.4</f>
        <v>0</v>
      </c>
      <c r="K5048" t="inlineStr">
        <is>
          <t>DIL MC25</t>
        </is>
      </c>
      <c r="M5048" t="inlineStr">
        <is>
          <t>-240Q1</t>
        </is>
      </c>
    </row>
    <row r="5049">
      <c r="A5049">
        <v>5048</v>
      </c>
      <c r="B5049">
        <f>GS47</f>
        <v>0</v>
      </c>
      <c r="C5049" t="inlineStr">
        <is>
          <t>+LS03</t>
        </is>
      </c>
      <c r="D5049" t="inlineStr">
        <is>
          <t>-240Q1</t>
        </is>
      </c>
      <c r="E5049" t="inlineStr">
        <is>
          <t>DILA-XHI22</t>
        </is>
      </c>
      <c r="F5049" t="inlineStr">
        <is>
          <t>DILA-XHI22</t>
        </is>
      </c>
      <c r="G5049" t="inlineStr">
        <is>
          <t>HILFSKONTAKTBLOCK</t>
        </is>
      </c>
      <c r="H5049" t="inlineStr">
        <is>
          <t>2S 2OE Last+Hilfssch. Cage</t>
        </is>
      </c>
      <c r="I5049">
        <v>298</v>
      </c>
      <c r="J5049">
        <f>GS47/240.4</f>
        <v>0</v>
      </c>
      <c r="K5049" t="inlineStr">
        <is>
          <t>DIL MC25</t>
        </is>
      </c>
      <c r="M5049" t="inlineStr">
        <is>
          <t>-240Q1</t>
        </is>
      </c>
    </row>
    <row r="5050">
      <c r="A5050">
        <v>5049</v>
      </c>
      <c r="B5050">
        <f>GS47</f>
        <v>0</v>
      </c>
      <c r="C5050" t="inlineStr">
        <is>
          <t>+LS03</t>
        </is>
      </c>
      <c r="D5050" t="inlineStr">
        <is>
          <t>-240Q1</t>
        </is>
      </c>
      <c r="E5050" t="inlineStr">
        <is>
          <t>DILMC25-10(RDC24)</t>
        </is>
      </c>
      <c r="F5050" t="inlineStr">
        <is>
          <t>DILA-XHI22</t>
        </is>
      </c>
      <c r="G5050" t="inlineStr">
        <is>
          <t>LASTSCHUETZ</t>
        </is>
      </c>
      <c r="H5050" t="inlineStr">
        <is>
          <t>11kW 1S Federzugkl.</t>
        </is>
      </c>
      <c r="I5050">
        <v>298</v>
      </c>
      <c r="J5050">
        <f>GS47/240.4</f>
        <v>0</v>
      </c>
      <c r="K5050" t="inlineStr">
        <is>
          <t>DIL MC25</t>
        </is>
      </c>
      <c r="M5050" t="inlineStr">
        <is>
          <t>-240Q1</t>
        </is>
      </c>
    </row>
    <row r="5051">
      <c r="A5051">
        <v>5050</v>
      </c>
      <c r="B5051">
        <f>GS48</f>
        <v>0</v>
      </c>
      <c r="C5051" t="inlineStr">
        <is>
          <t>+LS03</t>
        </is>
      </c>
      <c r="D5051" t="inlineStr">
        <is>
          <t>-240Q1</t>
        </is>
      </c>
      <c r="E5051" t="inlineStr">
        <is>
          <t>DILA-XHI22</t>
        </is>
      </c>
      <c r="F5051" t="inlineStr">
        <is>
          <t>DILA-XHI22</t>
        </is>
      </c>
      <c r="G5051" t="inlineStr">
        <is>
          <t>HILFSKONTAKTBLOCK</t>
        </is>
      </c>
      <c r="H5051" t="inlineStr">
        <is>
          <t>2S 2OE Last+Hilfssch. Cage</t>
        </is>
      </c>
      <c r="I5051">
        <v>392</v>
      </c>
      <c r="J5051">
        <f>GS48/240.4</f>
        <v>0</v>
      </c>
      <c r="K5051" t="inlineStr">
        <is>
          <t>DIL MC25</t>
        </is>
      </c>
      <c r="M5051" t="inlineStr">
        <is>
          <t>-240Q1</t>
        </is>
      </c>
    </row>
    <row r="5052">
      <c r="A5052">
        <v>5051</v>
      </c>
      <c r="B5052">
        <f>GS48</f>
        <v>0</v>
      </c>
      <c r="C5052" t="inlineStr">
        <is>
          <t>+LS03</t>
        </is>
      </c>
      <c r="D5052" t="inlineStr">
        <is>
          <t>-240Q1</t>
        </is>
      </c>
      <c r="E5052" t="inlineStr">
        <is>
          <t>DILMC25-10(RDC24)</t>
        </is>
      </c>
      <c r="F5052" t="inlineStr">
        <is>
          <t>DILA-XHI22</t>
        </is>
      </c>
      <c r="G5052" t="inlineStr">
        <is>
          <t>LASTSCHUETZ</t>
        </is>
      </c>
      <c r="H5052" t="inlineStr">
        <is>
          <t>11kW 1S Federzugkl.</t>
        </is>
      </c>
      <c r="I5052">
        <v>392</v>
      </c>
      <c r="J5052">
        <f>GS48/240.4</f>
        <v>0</v>
      </c>
      <c r="K5052" t="inlineStr">
        <is>
          <t>DIL MC25</t>
        </is>
      </c>
      <c r="M5052" t="inlineStr">
        <is>
          <t>-240Q1</t>
        </is>
      </c>
    </row>
    <row r="5053">
      <c r="A5053">
        <v>5052</v>
      </c>
      <c r="B5053">
        <f>GS49</f>
        <v>0</v>
      </c>
      <c r="C5053" t="inlineStr">
        <is>
          <t>+LS03</t>
        </is>
      </c>
      <c r="D5053" t="inlineStr">
        <is>
          <t>-240Q1</t>
        </is>
      </c>
      <c r="E5053" t="inlineStr">
        <is>
          <t>DILMC25-10(RDC24)</t>
        </is>
      </c>
      <c r="F5053" t="inlineStr">
        <is>
          <t>DILA-XHI22</t>
        </is>
      </c>
      <c r="G5053" t="inlineStr">
        <is>
          <t>LASTSCHUETZ</t>
        </is>
      </c>
      <c r="H5053" t="inlineStr">
        <is>
          <t>11kW 1S Federzugkl.</t>
        </is>
      </c>
      <c r="I5053">
        <v>391</v>
      </c>
      <c r="J5053">
        <f>GS49/240.4</f>
        <v>0</v>
      </c>
      <c r="K5053" t="inlineStr">
        <is>
          <t>DIL MC25</t>
        </is>
      </c>
      <c r="M5053" t="inlineStr">
        <is>
          <t>-240Q1</t>
        </is>
      </c>
    </row>
    <row r="5054">
      <c r="A5054">
        <v>5053</v>
      </c>
      <c r="B5054">
        <f>GS49</f>
        <v>0</v>
      </c>
      <c r="C5054" t="inlineStr">
        <is>
          <t>+LS03</t>
        </is>
      </c>
      <c r="D5054" t="inlineStr">
        <is>
          <t>-240Q1</t>
        </is>
      </c>
      <c r="E5054" t="inlineStr">
        <is>
          <t>DILA-XHI22</t>
        </is>
      </c>
      <c r="F5054" t="inlineStr">
        <is>
          <t>DILA-XHI22</t>
        </is>
      </c>
      <c r="G5054" t="inlineStr">
        <is>
          <t>HILFSKONTAKTBLOCK</t>
        </is>
      </c>
      <c r="H5054" t="inlineStr">
        <is>
          <t>2S 2OE Last+Hilfssch. Cage</t>
        </is>
      </c>
      <c r="I5054">
        <v>391</v>
      </c>
      <c r="J5054">
        <f>GS49/240.4</f>
        <v>0</v>
      </c>
      <c r="K5054" t="inlineStr">
        <is>
          <t>DIL MC25</t>
        </is>
      </c>
      <c r="M5054" t="inlineStr">
        <is>
          <t>-240Q1</t>
        </is>
      </c>
    </row>
    <row r="5055">
      <c r="A5055">
        <v>5054</v>
      </c>
      <c r="B5055">
        <f>GS52</f>
        <v>0</v>
      </c>
      <c r="C5055" t="inlineStr">
        <is>
          <t>+LS03</t>
        </is>
      </c>
      <c r="D5055" t="inlineStr">
        <is>
          <t>-240Q1</t>
        </is>
      </c>
      <c r="E5055" t="inlineStr">
        <is>
          <t>DILMC25-10(RDC24)</t>
        </is>
      </c>
      <c r="F5055" t="inlineStr">
        <is>
          <t>DILA-XHI22</t>
        </is>
      </c>
      <c r="G5055" t="inlineStr">
        <is>
          <t>LASTSCHUETZ</t>
        </is>
      </c>
      <c r="H5055" t="inlineStr">
        <is>
          <t>11kW 1S Federzugkl.</t>
        </is>
      </c>
      <c r="I5055">
        <v>1779</v>
      </c>
      <c r="J5055">
        <f>GS52/240.6</f>
        <v>0</v>
      </c>
      <c r="K5055" t="inlineStr">
        <is>
          <t>DIL MC25</t>
        </is>
      </c>
      <c r="M5055" t="inlineStr">
        <is>
          <t>-240Q1</t>
        </is>
      </c>
    </row>
    <row r="5056">
      <c r="A5056">
        <v>5055</v>
      </c>
      <c r="B5056">
        <f>GS52</f>
        <v>0</v>
      </c>
      <c r="C5056" t="inlineStr">
        <is>
          <t>+LS03</t>
        </is>
      </c>
      <c r="D5056" t="inlineStr">
        <is>
          <t>-240Q1</t>
        </is>
      </c>
      <c r="E5056" t="inlineStr">
        <is>
          <t>DILA-XHI22</t>
        </is>
      </c>
      <c r="F5056" t="inlineStr">
        <is>
          <t>DILA-XHI22</t>
        </is>
      </c>
      <c r="G5056" t="inlineStr">
        <is>
          <t>HILFSKONTAKTBLOCK</t>
        </is>
      </c>
      <c r="H5056" t="inlineStr">
        <is>
          <t>2S 2OE Last+Hilfssch. Cage</t>
        </is>
      </c>
      <c r="I5056">
        <v>1779</v>
      </c>
      <c r="J5056">
        <f>GS52/240.6</f>
        <v>0</v>
      </c>
      <c r="K5056" t="inlineStr">
        <is>
          <t>DIL MC25</t>
        </is>
      </c>
      <c r="M5056" t="inlineStr">
        <is>
          <t>-240Q1</t>
        </is>
      </c>
    </row>
    <row r="5057">
      <c r="A5057">
        <v>5056</v>
      </c>
      <c r="B5057">
        <f>GS55</f>
        <v>0</v>
      </c>
      <c r="C5057" t="inlineStr">
        <is>
          <t>+LS03</t>
        </is>
      </c>
      <c r="D5057" t="inlineStr">
        <is>
          <t>-240Q1</t>
        </is>
      </c>
      <c r="E5057" t="inlineStr">
        <is>
          <t>DILA-XHI22</t>
        </is>
      </c>
      <c r="F5057" t="inlineStr">
        <is>
          <t>DILA-XHI22</t>
        </is>
      </c>
      <c r="G5057" t="inlineStr">
        <is>
          <t>HILFSKONTAKTBLOCK</t>
        </is>
      </c>
      <c r="H5057" t="inlineStr">
        <is>
          <t>2S 2OE Last+Hilfssch. Cage</t>
        </is>
      </c>
      <c r="I5057">
        <v>512</v>
      </c>
      <c r="J5057">
        <f>GS55/240.6</f>
        <v>0</v>
      </c>
      <c r="K5057" t="inlineStr">
        <is>
          <t>DIL MC25</t>
        </is>
      </c>
      <c r="M5057" t="inlineStr">
        <is>
          <t>-240Q1</t>
        </is>
      </c>
    </row>
    <row r="5058">
      <c r="A5058">
        <v>5057</v>
      </c>
      <c r="B5058">
        <f>GS55</f>
        <v>0</v>
      </c>
      <c r="C5058" t="inlineStr">
        <is>
          <t>+LS03</t>
        </is>
      </c>
      <c r="D5058" t="inlineStr">
        <is>
          <t>-240Q1</t>
        </is>
      </c>
      <c r="E5058" t="inlineStr">
        <is>
          <t>DILMC25-10(RDC24)</t>
        </is>
      </c>
      <c r="F5058" t="inlineStr">
        <is>
          <t>DILA-XHI22</t>
        </is>
      </c>
      <c r="G5058" t="inlineStr">
        <is>
          <t>LASTSCHUETZ</t>
        </is>
      </c>
      <c r="H5058" t="inlineStr">
        <is>
          <t>11kW 1S Federzugkl.</t>
        </is>
      </c>
      <c r="I5058">
        <v>512</v>
      </c>
      <c r="J5058">
        <f>GS55/240.6</f>
        <v>0</v>
      </c>
      <c r="K5058" t="inlineStr">
        <is>
          <t>DIL MC25</t>
        </is>
      </c>
      <c r="M5058" t="inlineStr">
        <is>
          <t>-240Q1</t>
        </is>
      </c>
    </row>
    <row r="5059">
      <c r="A5059">
        <v>5058</v>
      </c>
      <c r="B5059">
        <f>GS91</f>
        <v>0</v>
      </c>
      <c r="C5059" t="inlineStr">
        <is>
          <t>+LS03</t>
        </is>
      </c>
      <c r="D5059" t="inlineStr">
        <is>
          <t>-240Q1</t>
        </is>
      </c>
      <c r="E5059" t="inlineStr">
        <is>
          <t>DILA-XHI22</t>
        </is>
      </c>
      <c r="F5059" t="inlineStr">
        <is>
          <t>DILA-XHI22</t>
        </is>
      </c>
      <c r="G5059" t="inlineStr">
        <is>
          <t>HILFSKONTAKTBLOCK</t>
        </is>
      </c>
      <c r="H5059" t="inlineStr">
        <is>
          <t>2S 2OE Last+Hilfssch. Cage</t>
        </is>
      </c>
      <c r="I5059">
        <v>388</v>
      </c>
      <c r="J5059">
        <f>GS91/240.4</f>
        <v>0</v>
      </c>
      <c r="K5059" t="inlineStr">
        <is>
          <t>DIL MC25</t>
        </is>
      </c>
      <c r="M5059" t="inlineStr">
        <is>
          <t>-240Q1</t>
        </is>
      </c>
    </row>
    <row r="5060">
      <c r="A5060">
        <v>5059</v>
      </c>
      <c r="B5060">
        <f>GS91</f>
        <v>0</v>
      </c>
      <c r="C5060" t="inlineStr">
        <is>
          <t>+LS03</t>
        </is>
      </c>
      <c r="D5060" t="inlineStr">
        <is>
          <t>-240Q1</t>
        </is>
      </c>
      <c r="E5060" t="inlineStr">
        <is>
          <t>DILMC25-10(RDC24)</t>
        </is>
      </c>
      <c r="F5060" t="inlineStr">
        <is>
          <t>DILA-XHI22</t>
        </is>
      </c>
      <c r="G5060" t="inlineStr">
        <is>
          <t>LASTSCHUETZ</t>
        </is>
      </c>
      <c r="H5060" t="inlineStr">
        <is>
          <t>11kW 1S Federzugkl.</t>
        </is>
      </c>
      <c r="I5060">
        <v>388</v>
      </c>
      <c r="J5060">
        <f>GS91/240.4</f>
        <v>0</v>
      </c>
      <c r="K5060" t="inlineStr">
        <is>
          <t>DIL MC25</t>
        </is>
      </c>
      <c r="M5060" t="inlineStr">
        <is>
          <t>-240Q1</t>
        </is>
      </c>
    </row>
    <row r="5061">
      <c r="A5061">
        <v>5060</v>
      </c>
      <c r="B5061">
        <f>GS92</f>
        <v>0</v>
      </c>
      <c r="C5061" t="inlineStr">
        <is>
          <t>+LS03</t>
        </is>
      </c>
      <c r="D5061" t="inlineStr">
        <is>
          <t>-240Q1</t>
        </is>
      </c>
      <c r="E5061" t="inlineStr">
        <is>
          <t>DILMC25-10(RDC24)</t>
        </is>
      </c>
      <c r="F5061" t="inlineStr">
        <is>
          <t>DILA-XHI22</t>
        </is>
      </c>
      <c r="G5061" t="inlineStr">
        <is>
          <t>LASTSCHUETZ</t>
        </is>
      </c>
      <c r="H5061" t="inlineStr">
        <is>
          <t>11kW 1S Federzugkl.</t>
        </is>
      </c>
      <c r="I5061">
        <v>386</v>
      </c>
      <c r="J5061">
        <f>GS92/240.4</f>
        <v>0</v>
      </c>
      <c r="K5061" t="inlineStr">
        <is>
          <t>DIL MC25</t>
        </is>
      </c>
      <c r="M5061" t="inlineStr">
        <is>
          <t>-240Q1</t>
        </is>
      </c>
    </row>
    <row r="5062">
      <c r="A5062">
        <v>5061</v>
      </c>
      <c r="B5062">
        <f>GS92</f>
        <v>0</v>
      </c>
      <c r="C5062" t="inlineStr">
        <is>
          <t>+LS03</t>
        </is>
      </c>
      <c r="D5062" t="inlineStr">
        <is>
          <t>-240Q1</t>
        </is>
      </c>
      <c r="E5062" t="inlineStr">
        <is>
          <t>DILA-XHI22</t>
        </is>
      </c>
      <c r="F5062" t="inlineStr">
        <is>
          <t>DILA-XHI22</t>
        </is>
      </c>
      <c r="G5062" t="inlineStr">
        <is>
          <t>HILFSKONTAKTBLOCK</t>
        </is>
      </c>
      <c r="H5062" t="inlineStr">
        <is>
          <t>2S 2OE Last+Hilfssch. Cage</t>
        </is>
      </c>
      <c r="I5062">
        <v>386</v>
      </c>
      <c r="J5062">
        <f>GS92/240.4</f>
        <v>0</v>
      </c>
      <c r="K5062" t="inlineStr">
        <is>
          <t>DIL MC25</t>
        </is>
      </c>
      <c r="M5062" t="inlineStr">
        <is>
          <t>-240Q1</t>
        </is>
      </c>
    </row>
    <row r="5063">
      <c r="A5063">
        <v>5062</v>
      </c>
      <c r="B5063">
        <f>GS93</f>
        <v>0</v>
      </c>
      <c r="C5063" t="inlineStr">
        <is>
          <t>+LS03</t>
        </is>
      </c>
      <c r="D5063" t="inlineStr">
        <is>
          <t>-240Q1</t>
        </is>
      </c>
      <c r="E5063" t="inlineStr">
        <is>
          <t>DILMC25-10(RDC24)</t>
        </is>
      </c>
      <c r="F5063" t="inlineStr">
        <is>
          <t>DILA-XHI22</t>
        </is>
      </c>
      <c r="G5063" t="inlineStr">
        <is>
          <t>LASTSCHUETZ</t>
        </is>
      </c>
      <c r="H5063" t="inlineStr">
        <is>
          <t>11kW 1S Federzugkl.</t>
        </is>
      </c>
      <c r="I5063">
        <v>794</v>
      </c>
      <c r="J5063">
        <f>GS93/240.4</f>
        <v>0</v>
      </c>
      <c r="K5063" t="inlineStr">
        <is>
          <t>DIL MC25</t>
        </is>
      </c>
      <c r="M5063" t="inlineStr">
        <is>
          <t>-240Q1</t>
        </is>
      </c>
    </row>
    <row r="5064">
      <c r="A5064">
        <v>5063</v>
      </c>
      <c r="B5064">
        <f>GS93</f>
        <v>0</v>
      </c>
      <c r="C5064" t="inlineStr">
        <is>
          <t>+LS03</t>
        </is>
      </c>
      <c r="D5064" t="inlineStr">
        <is>
          <t>-240Q1</t>
        </is>
      </c>
      <c r="E5064" t="inlineStr">
        <is>
          <t>DILA-XHI22</t>
        </is>
      </c>
      <c r="F5064" t="inlineStr">
        <is>
          <t>DILA-XHI22</t>
        </is>
      </c>
      <c r="G5064" t="inlineStr">
        <is>
          <t>HILFSKONTAKTBLOCK</t>
        </is>
      </c>
      <c r="H5064" t="inlineStr">
        <is>
          <t>2S 2OE Last+Hilfssch. Cage</t>
        </is>
      </c>
      <c r="I5064">
        <v>794</v>
      </c>
      <c r="J5064">
        <f>GS93/240.4</f>
        <v>0</v>
      </c>
      <c r="K5064" t="inlineStr">
        <is>
          <t>DIL MC25</t>
        </is>
      </c>
      <c r="M5064" t="inlineStr">
        <is>
          <t>-240Q1</t>
        </is>
      </c>
    </row>
    <row r="5065">
      <c r="A5065">
        <v>5064</v>
      </c>
      <c r="B5065">
        <f>GS95</f>
        <v>0</v>
      </c>
      <c r="C5065" t="inlineStr">
        <is>
          <t>+LS17</t>
        </is>
      </c>
      <c r="D5065" t="inlineStr">
        <is>
          <t>-240Q475.5</t>
        </is>
      </c>
      <c r="E5065" t="inlineStr">
        <is>
          <t>DILM-9-10</t>
        </is>
      </c>
      <c r="F5065" t="inlineStr">
        <is>
          <t>#KALK!</t>
        </is>
      </c>
      <c r="G5065" t="inlineStr">
        <is>
          <t>LASTSCHUETZ</t>
        </is>
      </c>
      <c r="H5065" t="inlineStr">
        <is>
          <t>4kW 1S Federzugkl.</t>
        </is>
      </c>
      <c r="I5065">
        <v>346</v>
      </c>
      <c r="J5065">
        <f>GS95/240.5</f>
        <v>0</v>
      </c>
      <c r="M5065" t="inlineStr">
        <is>
          <t>-240Q475.5</t>
        </is>
      </c>
    </row>
    <row r="5066">
      <c r="A5066">
        <v>5065</v>
      </c>
      <c r="B5066">
        <f>GS97</f>
        <v>0</v>
      </c>
      <c r="C5066" t="inlineStr">
        <is>
          <t>+LS17</t>
        </is>
      </c>
      <c r="D5066" t="inlineStr">
        <is>
          <t>-240Q475.5</t>
        </is>
      </c>
      <c r="E5066" t="inlineStr">
        <is>
          <t>DILM-9-10</t>
        </is>
      </c>
      <c r="F5066" t="inlineStr">
        <is>
          <t>#KALK!</t>
        </is>
      </c>
      <c r="G5066" t="inlineStr">
        <is>
          <t>LASTSCHUETZ</t>
        </is>
      </c>
      <c r="H5066" t="inlineStr">
        <is>
          <t>4kW 1S Federzugkl.</t>
        </is>
      </c>
      <c r="I5066">
        <v>346</v>
      </c>
      <c r="J5066">
        <f>GS97/240.5</f>
        <v>0</v>
      </c>
      <c r="M5066" t="inlineStr">
        <is>
          <t>-240Q475.5</t>
        </is>
      </c>
    </row>
    <row r="5067">
      <c r="A5067">
        <v>5066</v>
      </c>
      <c r="B5067">
        <f>GS04</f>
        <v>0</v>
      </c>
      <c r="C5067" t="inlineStr">
        <is>
          <t>+LS5</t>
        </is>
      </c>
      <c r="D5067" t="inlineStr">
        <is>
          <t>-241K1</t>
        </is>
      </c>
      <c r="E5067" t="inlineStr">
        <is>
          <t>DIL_0AM</t>
        </is>
      </c>
      <c r="F5067" t="inlineStr">
        <is>
          <t>22_DIL-M</t>
        </is>
      </c>
      <c r="G5067" t="inlineStr">
        <is>
          <t>LASTSCHUETZ</t>
        </is>
      </c>
      <c r="H5067" t="inlineStr">
        <is>
          <t>11 kW</t>
        </is>
      </c>
      <c r="I5067">
        <v>492</v>
      </c>
      <c r="J5067">
        <f>GS04/241.2</f>
        <v>0</v>
      </c>
      <c r="K5067" t="inlineStr">
        <is>
          <t>DIL0AM</t>
        </is>
      </c>
      <c r="M5067" t="inlineStr">
        <is>
          <t>-241K1</t>
        </is>
      </c>
    </row>
    <row r="5068">
      <c r="A5068">
        <v>5067</v>
      </c>
      <c r="B5068">
        <f>GS04</f>
        <v>0</v>
      </c>
      <c r="C5068" t="inlineStr">
        <is>
          <t>+LS5</t>
        </is>
      </c>
      <c r="D5068" t="inlineStr">
        <is>
          <t>-241K1</t>
        </is>
      </c>
      <c r="E5068" t="inlineStr">
        <is>
          <t>22_DIL-M</t>
        </is>
      </c>
      <c r="F5068" t="inlineStr">
        <is>
          <t>22_DIL-M</t>
        </is>
      </c>
      <c r="G5068" t="inlineStr">
        <is>
          <t>HILFSKONTAKTBLOCK</t>
        </is>
      </c>
      <c r="H5068" t="inlineStr">
        <is>
          <t>2S 2OE Lastschuetz DIL M</t>
        </is>
      </c>
      <c r="I5068">
        <v>492</v>
      </c>
      <c r="J5068">
        <f>GS04/241.2</f>
        <v>0</v>
      </c>
      <c r="K5068" t="inlineStr">
        <is>
          <t>DIL0AM</t>
        </is>
      </c>
      <c r="M5068" t="inlineStr">
        <is>
          <t>-241K1</t>
        </is>
      </c>
    </row>
    <row r="5069">
      <c r="A5069">
        <v>5068</v>
      </c>
      <c r="B5069">
        <f>GS02</f>
        <v>0</v>
      </c>
      <c r="C5069" t="inlineStr">
        <is>
          <t>+LS4</t>
        </is>
      </c>
      <c r="D5069" t="inlineStr">
        <is>
          <t>-241K38.3</t>
        </is>
      </c>
      <c r="E5069" t="inlineStr">
        <is>
          <t>DIL_EM-10-G</t>
        </is>
      </c>
      <c r="F5069" t="inlineStr">
        <is>
          <t>#KALK!</t>
        </is>
      </c>
      <c r="G5069" t="inlineStr">
        <is>
          <t>LASTSCHUETZ</t>
        </is>
      </c>
      <c r="H5069" t="inlineStr">
        <is>
          <t>4kW 1S</t>
        </is>
      </c>
      <c r="I5069">
        <v>646</v>
      </c>
      <c r="J5069">
        <f>GS02/241.7</f>
        <v>0</v>
      </c>
      <c r="M5069" t="inlineStr">
        <is>
          <t>-241K38.3</t>
        </is>
      </c>
    </row>
    <row r="5070">
      <c r="A5070">
        <v>5069</v>
      </c>
      <c r="B5070">
        <f>GS01</f>
        <v>0</v>
      </c>
      <c r="C5070" t="inlineStr">
        <is>
          <t>+LS5</t>
        </is>
      </c>
      <c r="D5070" t="inlineStr">
        <is>
          <t>-241K49.2</t>
        </is>
      </c>
      <c r="E5070" t="inlineStr">
        <is>
          <t>DIL_EM-10-G</t>
        </is>
      </c>
      <c r="F5070" t="inlineStr">
        <is>
          <t>#KALK!</t>
        </is>
      </c>
      <c r="G5070" t="inlineStr">
        <is>
          <t>LASTSCHUETZ</t>
        </is>
      </c>
      <c r="H5070" t="inlineStr">
        <is>
          <t>4kW 1S</t>
        </is>
      </c>
      <c r="I5070">
        <v>404</v>
      </c>
      <c r="J5070">
        <f>GS01/241.6</f>
        <v>0</v>
      </c>
      <c r="M5070" t="inlineStr">
        <is>
          <t>-241K49.2</t>
        </is>
      </c>
    </row>
    <row r="5071">
      <c r="A5071">
        <v>5070</v>
      </c>
      <c r="B5071">
        <f>GS01</f>
        <v>0</v>
      </c>
      <c r="C5071" t="inlineStr">
        <is>
          <t>+LS5</t>
        </is>
      </c>
      <c r="D5071" t="inlineStr">
        <is>
          <t>-241K49.3</t>
        </is>
      </c>
      <c r="E5071" t="inlineStr">
        <is>
          <t>DIL_EM-10-G</t>
        </is>
      </c>
      <c r="F5071" t="inlineStr">
        <is>
          <t>#KALK!</t>
        </is>
      </c>
      <c r="G5071" t="inlineStr">
        <is>
          <t>LASTSCHUETZ</t>
        </is>
      </c>
      <c r="H5071" t="inlineStr">
        <is>
          <t>4kW 1S</t>
        </is>
      </c>
      <c r="I5071">
        <v>404</v>
      </c>
      <c r="J5071">
        <f>GS01/241.6</f>
        <v>0</v>
      </c>
      <c r="M5071" t="inlineStr">
        <is>
          <t>-241K49.3</t>
        </is>
      </c>
    </row>
    <row r="5072">
      <c r="A5072">
        <v>5071</v>
      </c>
      <c r="B5072">
        <f>GS25</f>
        <v>0</v>
      </c>
      <c r="C5072" t="inlineStr">
        <is>
          <t>+LS5</t>
        </is>
      </c>
      <c r="D5072" t="inlineStr">
        <is>
          <t>-241K80.5</t>
        </is>
      </c>
      <c r="E5072" t="inlineStr">
        <is>
          <t>DIL_EM-10-G</t>
        </is>
      </c>
      <c r="F5072" t="inlineStr">
        <is>
          <t>#KALK!</t>
        </is>
      </c>
      <c r="G5072" t="inlineStr">
        <is>
          <t>LASTSCHUETZ</t>
        </is>
      </c>
      <c r="H5072" t="inlineStr">
        <is>
          <t>4kW 1S</t>
        </is>
      </c>
      <c r="I5072">
        <v>362</v>
      </c>
      <c r="J5072">
        <f>GS25/241.6</f>
        <v>0</v>
      </c>
      <c r="M5072" t="inlineStr">
        <is>
          <t>-241K80.5</t>
        </is>
      </c>
    </row>
    <row r="5073">
      <c r="A5073">
        <v>5072</v>
      </c>
      <c r="B5073">
        <f>GS25</f>
        <v>0</v>
      </c>
      <c r="C5073" t="inlineStr">
        <is>
          <t>+LS5</t>
        </is>
      </c>
      <c r="D5073" t="inlineStr">
        <is>
          <t>-241K80.6</t>
        </is>
      </c>
      <c r="E5073" t="inlineStr">
        <is>
          <t>DIL_EM-10-G</t>
        </is>
      </c>
      <c r="F5073" t="inlineStr">
        <is>
          <t>#KALK!</t>
        </is>
      </c>
      <c r="G5073" t="inlineStr">
        <is>
          <t>LASTSCHUETZ</t>
        </is>
      </c>
      <c r="H5073" t="inlineStr">
        <is>
          <t>4kW 1S</t>
        </is>
      </c>
      <c r="I5073">
        <v>362</v>
      </c>
      <c r="J5073">
        <f>GS25/241.6</f>
        <v>0</v>
      </c>
      <c r="M5073" t="inlineStr">
        <is>
          <t>-241K80.6</t>
        </is>
      </c>
    </row>
    <row r="5074">
      <c r="A5074">
        <v>5073</v>
      </c>
      <c r="B5074">
        <f>GS14</f>
        <v>0</v>
      </c>
      <c r="C5074" t="inlineStr">
        <is>
          <t>+LS5</t>
        </is>
      </c>
      <c r="D5074" t="inlineStr">
        <is>
          <t>-241K82.0</t>
        </is>
      </c>
      <c r="E5074" t="inlineStr">
        <is>
          <t>DIL_EM-10-G</t>
        </is>
      </c>
      <c r="F5074" t="inlineStr">
        <is>
          <t>#KALK!</t>
        </is>
      </c>
      <c r="G5074" t="inlineStr">
        <is>
          <t>LASTSCHUETZ</t>
        </is>
      </c>
      <c r="H5074" t="inlineStr">
        <is>
          <t>4kW 1S</t>
        </is>
      </c>
      <c r="I5074">
        <v>367</v>
      </c>
      <c r="J5074">
        <f>GS14/241.6</f>
        <v>0</v>
      </c>
      <c r="M5074" t="inlineStr">
        <is>
          <t>-241K82.0</t>
        </is>
      </c>
    </row>
    <row r="5075">
      <c r="A5075">
        <v>5074</v>
      </c>
      <c r="B5075">
        <f>GS14</f>
        <v>0</v>
      </c>
      <c r="C5075" t="inlineStr">
        <is>
          <t>+LS5</t>
        </is>
      </c>
      <c r="D5075" t="inlineStr">
        <is>
          <t>-241K82.1</t>
        </is>
      </c>
      <c r="E5075" t="inlineStr">
        <is>
          <t>DIL_EM-10-G</t>
        </is>
      </c>
      <c r="F5075" t="inlineStr">
        <is>
          <t>#KALK!</t>
        </is>
      </c>
      <c r="G5075" t="inlineStr">
        <is>
          <t>LASTSCHUETZ</t>
        </is>
      </c>
      <c r="H5075" t="inlineStr">
        <is>
          <t>4kW 1S</t>
        </is>
      </c>
      <c r="I5075">
        <v>367</v>
      </c>
      <c r="J5075">
        <f>GS14/241.6</f>
        <v>0</v>
      </c>
      <c r="M5075" t="inlineStr">
        <is>
          <t>-241K82.1</t>
        </is>
      </c>
    </row>
    <row r="5076">
      <c r="A5076">
        <v>5075</v>
      </c>
      <c r="B5076">
        <f>GS92</f>
        <v>0</v>
      </c>
      <c r="C5076" t="inlineStr">
        <is>
          <t>+LS03</t>
        </is>
      </c>
      <c r="D5076" t="inlineStr">
        <is>
          <t>-241Q171.1</t>
        </is>
      </c>
      <c r="E5076" t="inlineStr">
        <is>
          <t>DILA-XHI22</t>
        </is>
      </c>
      <c r="F5076" t="inlineStr">
        <is>
          <t>DILA-XHI22</t>
        </is>
      </c>
      <c r="G5076" t="inlineStr">
        <is>
          <t>HILFSKONTAKTBLOCK</t>
        </is>
      </c>
      <c r="H5076" t="inlineStr">
        <is>
          <t>2S 2OE Last+Hilfssch. Cage</t>
        </is>
      </c>
      <c r="I5076">
        <v>387</v>
      </c>
      <c r="J5076">
        <f>GS92/241.5</f>
        <v>0</v>
      </c>
      <c r="M5076" t="inlineStr">
        <is>
          <t>-241Q171.1</t>
        </is>
      </c>
    </row>
    <row r="5077">
      <c r="A5077">
        <v>5076</v>
      </c>
      <c r="B5077">
        <f>GS92</f>
        <v>0</v>
      </c>
      <c r="C5077" t="inlineStr">
        <is>
          <t>+LS03</t>
        </is>
      </c>
      <c r="D5077" t="inlineStr">
        <is>
          <t>-241Q171.1</t>
        </is>
      </c>
      <c r="E5077" t="inlineStr">
        <is>
          <t>DILM-9-10</t>
        </is>
      </c>
      <c r="F5077" t="inlineStr">
        <is>
          <t>DILA-XHI22</t>
        </is>
      </c>
      <c r="G5077" t="inlineStr">
        <is>
          <t>LASTSCHUETZ</t>
        </is>
      </c>
      <c r="H5077" t="inlineStr">
        <is>
          <t>4kW 1S Federzugkl.</t>
        </is>
      </c>
      <c r="I5077">
        <v>387</v>
      </c>
      <c r="J5077">
        <f>GS92/241.5</f>
        <v>0</v>
      </c>
      <c r="M5077" t="inlineStr">
        <is>
          <t>-241Q171.1</t>
        </is>
      </c>
    </row>
    <row r="5078">
      <c r="A5078">
        <v>5077</v>
      </c>
      <c r="B5078">
        <f>GS93</f>
        <v>0</v>
      </c>
      <c r="C5078" t="inlineStr">
        <is>
          <t>+LS03</t>
        </is>
      </c>
      <c r="D5078" t="inlineStr">
        <is>
          <t>-241Q171.1</t>
        </is>
      </c>
      <c r="E5078" t="inlineStr">
        <is>
          <t>DILM-9-10</t>
        </is>
      </c>
      <c r="F5078" t="inlineStr">
        <is>
          <t>DILA-XHI22</t>
        </is>
      </c>
      <c r="G5078" t="inlineStr">
        <is>
          <t>LASTSCHUETZ</t>
        </is>
      </c>
      <c r="H5078" t="inlineStr">
        <is>
          <t>4kW 1S Federzugkl.</t>
        </is>
      </c>
      <c r="I5078">
        <v>795</v>
      </c>
      <c r="J5078">
        <f>GS93/241.5</f>
        <v>0</v>
      </c>
      <c r="M5078" t="inlineStr">
        <is>
          <t>-241Q171.1</t>
        </is>
      </c>
    </row>
    <row r="5079">
      <c r="A5079">
        <v>5078</v>
      </c>
      <c r="B5079">
        <f>GS93</f>
        <v>0</v>
      </c>
      <c r="C5079" t="inlineStr">
        <is>
          <t>+LS03</t>
        </is>
      </c>
      <c r="D5079" t="inlineStr">
        <is>
          <t>-241Q171.1</t>
        </is>
      </c>
      <c r="E5079" t="inlineStr">
        <is>
          <t>DILA-XHI22</t>
        </is>
      </c>
      <c r="F5079" t="inlineStr">
        <is>
          <t>DILA-XHI22</t>
        </is>
      </c>
      <c r="G5079" t="inlineStr">
        <is>
          <t>HILFSKONTAKTBLOCK</t>
        </is>
      </c>
      <c r="H5079" t="inlineStr">
        <is>
          <t>2S 2OE Last+Hilfssch. Cage</t>
        </is>
      </c>
      <c r="I5079">
        <v>795</v>
      </c>
      <c r="J5079">
        <f>GS93/241.5</f>
        <v>0</v>
      </c>
      <c r="M5079" t="inlineStr">
        <is>
          <t>-241Q171.1</t>
        </is>
      </c>
    </row>
    <row r="5080">
      <c r="A5080">
        <v>5079</v>
      </c>
      <c r="B5080">
        <f>GS92</f>
        <v>0</v>
      </c>
      <c r="C5080" t="inlineStr">
        <is>
          <t>+LS03</t>
        </is>
      </c>
      <c r="D5080" t="inlineStr">
        <is>
          <t>-241Q171.2</t>
        </is>
      </c>
      <c r="E5080" t="inlineStr">
        <is>
          <t>DILA-XHI22</t>
        </is>
      </c>
      <c r="F5080" t="inlineStr">
        <is>
          <t>DILA-XHI22</t>
        </is>
      </c>
      <c r="G5080" t="inlineStr">
        <is>
          <t>HILFSKONTAKTBLOCK</t>
        </is>
      </c>
      <c r="H5080" t="inlineStr">
        <is>
          <t>2S 2OE Last+Hilfssch. Cage</t>
        </is>
      </c>
      <c r="I5080">
        <v>387</v>
      </c>
      <c r="J5080">
        <f>GS92/241.6</f>
        <v>0</v>
      </c>
      <c r="M5080" t="inlineStr">
        <is>
          <t>-241Q171.2</t>
        </is>
      </c>
    </row>
    <row r="5081">
      <c r="A5081">
        <v>5080</v>
      </c>
      <c r="B5081">
        <f>GS92</f>
        <v>0</v>
      </c>
      <c r="C5081" t="inlineStr">
        <is>
          <t>+LS03</t>
        </is>
      </c>
      <c r="D5081" t="inlineStr">
        <is>
          <t>-241Q171.2</t>
        </is>
      </c>
      <c r="E5081" t="inlineStr">
        <is>
          <t>DILM-9-10</t>
        </is>
      </c>
      <c r="F5081" t="inlineStr">
        <is>
          <t>DILA-XHI22</t>
        </is>
      </c>
      <c r="G5081" t="inlineStr">
        <is>
          <t>LASTSCHUETZ</t>
        </is>
      </c>
      <c r="H5081" t="inlineStr">
        <is>
          <t>4kW 1S Federzugkl.</t>
        </is>
      </c>
      <c r="I5081">
        <v>387</v>
      </c>
      <c r="J5081">
        <f>GS92/241.6</f>
        <v>0</v>
      </c>
      <c r="M5081" t="inlineStr">
        <is>
          <t>-241Q171.2</t>
        </is>
      </c>
    </row>
    <row r="5082">
      <c r="A5082">
        <v>5081</v>
      </c>
      <c r="B5082">
        <f>GS93</f>
        <v>0</v>
      </c>
      <c r="C5082" t="inlineStr">
        <is>
          <t>+LS03</t>
        </is>
      </c>
      <c r="D5082" t="inlineStr">
        <is>
          <t>-241Q171.2</t>
        </is>
      </c>
      <c r="E5082" t="inlineStr">
        <is>
          <t>DILM-9-10</t>
        </is>
      </c>
      <c r="F5082" t="inlineStr">
        <is>
          <t>DILA-XHI22</t>
        </is>
      </c>
      <c r="G5082" t="inlineStr">
        <is>
          <t>LASTSCHUETZ</t>
        </is>
      </c>
      <c r="H5082" t="inlineStr">
        <is>
          <t>4kW 1S Federzugkl.</t>
        </is>
      </c>
      <c r="I5082">
        <v>795</v>
      </c>
      <c r="J5082">
        <f>GS93/241.6</f>
        <v>0</v>
      </c>
      <c r="M5082" t="inlineStr">
        <is>
          <t>-241Q171.2</t>
        </is>
      </c>
    </row>
    <row r="5083">
      <c r="A5083">
        <v>5082</v>
      </c>
      <c r="B5083">
        <f>GS93</f>
        <v>0</v>
      </c>
      <c r="C5083" t="inlineStr">
        <is>
          <t>+LS03</t>
        </is>
      </c>
      <c r="D5083" t="inlineStr">
        <is>
          <t>-241Q171.2</t>
        </is>
      </c>
      <c r="E5083" t="inlineStr">
        <is>
          <t>DILA-XHI22</t>
        </is>
      </c>
      <c r="F5083" t="inlineStr">
        <is>
          <t>DILA-XHI22</t>
        </is>
      </c>
      <c r="G5083" t="inlineStr">
        <is>
          <t>HILFSKONTAKTBLOCK</t>
        </is>
      </c>
      <c r="H5083" t="inlineStr">
        <is>
          <t>2S 2OE Last+Hilfssch. Cage</t>
        </is>
      </c>
      <c r="I5083">
        <v>795</v>
      </c>
      <c r="J5083">
        <f>GS93/241.6</f>
        <v>0</v>
      </c>
      <c r="M5083" t="inlineStr">
        <is>
          <t>-241Q171.2</t>
        </is>
      </c>
    </row>
    <row r="5084">
      <c r="A5084">
        <v>5083</v>
      </c>
      <c r="B5084">
        <f>GS35</f>
        <v>0</v>
      </c>
      <c r="C5084" t="inlineStr">
        <is>
          <t>+LS05</t>
        </is>
      </c>
      <c r="D5084" t="inlineStr">
        <is>
          <t>-241Q419.6</t>
        </is>
      </c>
      <c r="E5084" t="inlineStr">
        <is>
          <t>DILM-12-10</t>
        </is>
      </c>
      <c r="F5084" t="inlineStr">
        <is>
          <t>#KALK!</t>
        </is>
      </c>
      <c r="G5084" t="inlineStr">
        <is>
          <t>LASTSCHUETZ</t>
        </is>
      </c>
      <c r="H5084" t="inlineStr">
        <is>
          <t>5,5kW 1S Federzugkl.</t>
        </is>
      </c>
      <c r="I5084">
        <v>388</v>
      </c>
      <c r="J5084">
        <f>GS35/241.5</f>
        <v>0</v>
      </c>
      <c r="K5084" t="inlineStr">
        <is>
          <t>DIL MC12</t>
        </is>
      </c>
      <c r="M5084" t="inlineStr">
        <is>
          <t>-241Q419.6</t>
        </is>
      </c>
    </row>
    <row r="5085">
      <c r="A5085">
        <v>5084</v>
      </c>
      <c r="B5085">
        <f>GS94</f>
        <v>0</v>
      </c>
      <c r="C5085" t="inlineStr">
        <is>
          <t>+LS17</t>
        </is>
      </c>
      <c r="D5085" t="inlineStr">
        <is>
          <t>-241Q474.6</t>
        </is>
      </c>
      <c r="E5085" t="inlineStr">
        <is>
          <t>DILM-9-10</t>
        </is>
      </c>
      <c r="F5085" t="inlineStr">
        <is>
          <t>#KALK!</t>
        </is>
      </c>
      <c r="G5085" t="inlineStr">
        <is>
          <t>LASTSCHUETZ</t>
        </is>
      </c>
      <c r="H5085" t="inlineStr">
        <is>
          <t>4kW 1S Federzugkl.</t>
        </is>
      </c>
      <c r="I5085">
        <v>331</v>
      </c>
      <c r="J5085">
        <f>GS94/241.5</f>
        <v>0</v>
      </c>
      <c r="M5085" t="inlineStr">
        <is>
          <t>-241Q474.6</t>
        </is>
      </c>
    </row>
    <row r="5086">
      <c r="A5086">
        <v>5085</v>
      </c>
      <c r="B5086">
        <f>GS96</f>
        <v>0</v>
      </c>
      <c r="C5086" t="inlineStr">
        <is>
          <t>+LS17</t>
        </is>
      </c>
      <c r="D5086" t="inlineStr">
        <is>
          <t>-241Q474.6</t>
        </is>
      </c>
      <c r="E5086" t="inlineStr">
        <is>
          <t>DILM-9-10</t>
        </is>
      </c>
      <c r="F5086" t="inlineStr">
        <is>
          <t>#KALK!</t>
        </is>
      </c>
      <c r="G5086" t="inlineStr">
        <is>
          <t>LASTSCHUETZ</t>
        </is>
      </c>
      <c r="H5086" t="inlineStr">
        <is>
          <t>4kW 1S Federzugkl.</t>
        </is>
      </c>
      <c r="I5086">
        <v>331</v>
      </c>
      <c r="J5086">
        <f>GS96/241.5</f>
        <v>0</v>
      </c>
      <c r="M5086" t="inlineStr">
        <is>
          <t>-241Q474.6</t>
        </is>
      </c>
    </row>
    <row r="5087">
      <c r="A5087">
        <v>5086</v>
      </c>
      <c r="B5087">
        <f>GS01</f>
        <v>0</v>
      </c>
      <c r="C5087" t="inlineStr">
        <is>
          <t>+LS5</t>
        </is>
      </c>
      <c r="D5087" t="inlineStr">
        <is>
          <t>-242K49.4</t>
        </is>
      </c>
      <c r="E5087" t="inlineStr">
        <is>
          <t>DIL_EM-10-G</t>
        </is>
      </c>
      <c r="F5087" t="inlineStr">
        <is>
          <t>#KALK!</t>
        </is>
      </c>
      <c r="G5087" t="inlineStr">
        <is>
          <t>LASTSCHUETZ</t>
        </is>
      </c>
      <c r="H5087" t="inlineStr">
        <is>
          <t>4kW 1S</t>
        </is>
      </c>
      <c r="I5087">
        <v>405</v>
      </c>
      <c r="J5087">
        <f>GS01/242.6</f>
        <v>0</v>
      </c>
      <c r="M5087" t="inlineStr">
        <is>
          <t>-242K49.4</t>
        </is>
      </c>
    </row>
    <row r="5088">
      <c r="A5088">
        <v>5087</v>
      </c>
      <c r="B5088">
        <f>GS01</f>
        <v>0</v>
      </c>
      <c r="C5088" t="inlineStr">
        <is>
          <t>+LS5</t>
        </is>
      </c>
      <c r="D5088" t="inlineStr">
        <is>
          <t>-242K49.5</t>
        </is>
      </c>
      <c r="E5088" t="inlineStr">
        <is>
          <t>DIL_EM-10-G</t>
        </is>
      </c>
      <c r="F5088" t="inlineStr">
        <is>
          <t>#KALK!</t>
        </is>
      </c>
      <c r="G5088" t="inlineStr">
        <is>
          <t>LASTSCHUETZ</t>
        </is>
      </c>
      <c r="H5088" t="inlineStr">
        <is>
          <t>4kW 1S</t>
        </is>
      </c>
      <c r="I5088">
        <v>405</v>
      </c>
      <c r="J5088">
        <f>GS01/242.6</f>
        <v>0</v>
      </c>
      <c r="M5088" t="inlineStr">
        <is>
          <t>-242K49.5</t>
        </is>
      </c>
    </row>
    <row r="5089">
      <c r="A5089">
        <v>5088</v>
      </c>
      <c r="B5089">
        <f>GS15</f>
        <v>0</v>
      </c>
      <c r="C5089" t="inlineStr">
        <is>
          <t>+LS5</t>
        </is>
      </c>
      <c r="D5089" t="inlineStr">
        <is>
          <t>-242K78.0</t>
        </is>
      </c>
      <c r="E5089" t="inlineStr">
        <is>
          <t>DIL_EM-10-G</t>
        </is>
      </c>
      <c r="F5089" t="inlineStr">
        <is>
          <t>#KALK!</t>
        </is>
      </c>
      <c r="G5089" t="inlineStr">
        <is>
          <t>LASTSCHUETZ</t>
        </is>
      </c>
      <c r="H5089" t="inlineStr">
        <is>
          <t>4kW 1S</t>
        </is>
      </c>
      <c r="I5089">
        <v>736</v>
      </c>
      <c r="J5089">
        <f>GS15/242.6</f>
        <v>0</v>
      </c>
      <c r="M5089" t="inlineStr">
        <is>
          <t>-242K78.0</t>
        </is>
      </c>
    </row>
    <row r="5090">
      <c r="A5090">
        <v>5089</v>
      </c>
      <c r="B5090">
        <f>GS15</f>
        <v>0</v>
      </c>
      <c r="C5090" t="inlineStr">
        <is>
          <t>+LS5</t>
        </is>
      </c>
      <c r="D5090" t="inlineStr">
        <is>
          <t>-242K78.1</t>
        </is>
      </c>
      <c r="E5090" t="inlineStr">
        <is>
          <t>DIL_EM-10-G</t>
        </is>
      </c>
      <c r="F5090" t="inlineStr">
        <is>
          <t>#KALK!</t>
        </is>
      </c>
      <c r="G5090" t="inlineStr">
        <is>
          <t>LASTSCHUETZ</t>
        </is>
      </c>
      <c r="H5090" t="inlineStr">
        <is>
          <t>4kW 1S</t>
        </is>
      </c>
      <c r="I5090">
        <v>736</v>
      </c>
      <c r="J5090">
        <f>GS15/242.6</f>
        <v>0</v>
      </c>
      <c r="M5090" t="inlineStr">
        <is>
          <t>-242K78.1</t>
        </is>
      </c>
    </row>
    <row r="5091">
      <c r="A5091">
        <v>5090</v>
      </c>
      <c r="B5091">
        <f>GS92</f>
        <v>0</v>
      </c>
      <c r="C5091" t="inlineStr">
        <is>
          <t>+LS03</t>
        </is>
      </c>
      <c r="D5091" t="inlineStr">
        <is>
          <t>-242Q171.3</t>
        </is>
      </c>
      <c r="E5091" t="inlineStr">
        <is>
          <t>DILM-9-10</t>
        </is>
      </c>
      <c r="F5091" t="inlineStr">
        <is>
          <t>#KALK!</t>
        </is>
      </c>
      <c r="G5091" t="inlineStr">
        <is>
          <t>LASTSCHUETZ</t>
        </is>
      </c>
      <c r="H5091" t="inlineStr">
        <is>
          <t>4kW 1S Federzugkl.</t>
        </is>
      </c>
      <c r="I5091">
        <v>388</v>
      </c>
      <c r="J5091">
        <f>GS92/242.5</f>
        <v>0</v>
      </c>
      <c r="M5091" t="inlineStr">
        <is>
          <t>-242Q171.3</t>
        </is>
      </c>
    </row>
    <row r="5092">
      <c r="A5092">
        <v>5091</v>
      </c>
      <c r="B5092">
        <f>GS93</f>
        <v>0</v>
      </c>
      <c r="C5092" t="inlineStr">
        <is>
          <t>+LS03</t>
        </is>
      </c>
      <c r="D5092" t="inlineStr">
        <is>
          <t>-242Q171.3</t>
        </is>
      </c>
      <c r="E5092" t="inlineStr">
        <is>
          <t>DILM-9-10</t>
        </is>
      </c>
      <c r="F5092" t="inlineStr">
        <is>
          <t>#KALK!</t>
        </is>
      </c>
      <c r="G5092" t="inlineStr">
        <is>
          <t>LASTSCHUETZ</t>
        </is>
      </c>
      <c r="H5092" t="inlineStr">
        <is>
          <t>4kW 1S Federzugkl.</t>
        </is>
      </c>
      <c r="I5092">
        <v>796</v>
      </c>
      <c r="J5092">
        <f>GS93/242.5</f>
        <v>0</v>
      </c>
      <c r="M5092" t="inlineStr">
        <is>
          <t>-242Q171.3</t>
        </is>
      </c>
    </row>
    <row r="5093">
      <c r="A5093">
        <v>5092</v>
      </c>
      <c r="B5093">
        <f>GS94</f>
        <v>0</v>
      </c>
      <c r="C5093" t="inlineStr">
        <is>
          <t>+LS17</t>
        </is>
      </c>
      <c r="D5093" t="inlineStr">
        <is>
          <t>-242Q474.7</t>
        </is>
      </c>
      <c r="E5093" t="inlineStr">
        <is>
          <t>DILM-9-10</t>
        </is>
      </c>
      <c r="F5093" t="inlineStr">
        <is>
          <t>#KALK!</t>
        </is>
      </c>
      <c r="G5093" t="inlineStr">
        <is>
          <t>LASTSCHUETZ</t>
        </is>
      </c>
      <c r="H5093" t="inlineStr">
        <is>
          <t>4kW 1S Federzugkl.</t>
        </is>
      </c>
      <c r="I5093">
        <v>332</v>
      </c>
      <c r="J5093">
        <f>GS94/242.5</f>
        <v>0</v>
      </c>
      <c r="M5093" t="inlineStr">
        <is>
          <t>-242Q474.7</t>
        </is>
      </c>
    </row>
    <row r="5094">
      <c r="A5094">
        <v>5093</v>
      </c>
      <c r="B5094">
        <f>GS96</f>
        <v>0</v>
      </c>
      <c r="C5094" t="inlineStr">
        <is>
          <t>+LS17</t>
        </is>
      </c>
      <c r="D5094" t="inlineStr">
        <is>
          <t>-242Q474.7</t>
        </is>
      </c>
      <c r="E5094" t="inlineStr">
        <is>
          <t>DILM-9-10</t>
        </is>
      </c>
      <c r="F5094" t="inlineStr">
        <is>
          <t>#KALK!</t>
        </is>
      </c>
      <c r="G5094" t="inlineStr">
        <is>
          <t>LASTSCHUETZ</t>
        </is>
      </c>
      <c r="H5094" t="inlineStr">
        <is>
          <t>4kW 1S Federzugkl.</t>
        </is>
      </c>
      <c r="I5094">
        <v>332</v>
      </c>
      <c r="J5094">
        <f>GS96/242.5</f>
        <v>0</v>
      </c>
      <c r="M5094" t="inlineStr">
        <is>
          <t>-242Q474.7</t>
        </is>
      </c>
    </row>
    <row r="5095">
      <c r="A5095">
        <v>5094</v>
      </c>
      <c r="B5095">
        <f>GS95</f>
        <v>0</v>
      </c>
      <c r="C5095" t="inlineStr">
        <is>
          <t>+LS17</t>
        </is>
      </c>
      <c r="D5095" t="inlineStr">
        <is>
          <t>-242Q476.0</t>
        </is>
      </c>
      <c r="E5095" t="inlineStr">
        <is>
          <t>DILM-9-10</t>
        </is>
      </c>
      <c r="F5095" t="inlineStr">
        <is>
          <t>#KALK!</t>
        </is>
      </c>
      <c r="G5095" t="inlineStr">
        <is>
          <t>LASTSCHUETZ</t>
        </is>
      </c>
      <c r="H5095" t="inlineStr">
        <is>
          <t>4kW 1S Federzugkl.</t>
        </is>
      </c>
      <c r="I5095">
        <v>343</v>
      </c>
      <c r="J5095">
        <f>GS95/242.5</f>
        <v>0</v>
      </c>
      <c r="M5095" t="inlineStr">
        <is>
          <t>-242Q476.0</t>
        </is>
      </c>
    </row>
    <row r="5096">
      <c r="A5096">
        <v>5095</v>
      </c>
      <c r="B5096">
        <f>GS97</f>
        <v>0</v>
      </c>
      <c r="C5096" t="inlineStr">
        <is>
          <t>+LS17</t>
        </is>
      </c>
      <c r="D5096" t="inlineStr">
        <is>
          <t>-242Q476.0</t>
        </is>
      </c>
      <c r="E5096" t="inlineStr">
        <is>
          <t>DILM-9-10</t>
        </is>
      </c>
      <c r="F5096" t="inlineStr">
        <is>
          <t>#KALK!</t>
        </is>
      </c>
      <c r="G5096" t="inlineStr">
        <is>
          <t>LASTSCHUETZ</t>
        </is>
      </c>
      <c r="H5096" t="inlineStr">
        <is>
          <t>4kW 1S Federzugkl.</t>
        </is>
      </c>
      <c r="I5096">
        <v>343</v>
      </c>
      <c r="J5096">
        <f>GS97/242.5</f>
        <v>0</v>
      </c>
      <c r="M5096" t="inlineStr">
        <is>
          <t>-242Q476.0</t>
        </is>
      </c>
    </row>
    <row r="5097">
      <c r="A5097">
        <v>5096</v>
      </c>
      <c r="B5097">
        <f>GS36</f>
        <v>0</v>
      </c>
      <c r="C5097" t="inlineStr">
        <is>
          <t>+LS04</t>
        </is>
      </c>
      <c r="D5097" t="inlineStr">
        <is>
          <t>-243K1</t>
        </is>
      </c>
      <c r="E5097" t="inlineStr">
        <is>
          <t>DILA-XHIC40</t>
        </is>
      </c>
      <c r="F5097" t="inlineStr">
        <is>
          <t>DILA-XHIC40</t>
        </is>
      </c>
      <c r="G5097" t="inlineStr">
        <is>
          <t>HILFSKONTAKTBLOCK</t>
        </is>
      </c>
      <c r="H5097" t="inlineStr">
        <is>
          <t>4S Last+Hilfssch. Cage</t>
        </is>
      </c>
      <c r="I5097">
        <v>416</v>
      </c>
      <c r="J5097">
        <f>GS36/243.6</f>
        <v>0</v>
      </c>
      <c r="L5097" t="inlineStr">
        <is>
          <t>Lichtvorhang KF</t>
        </is>
      </c>
      <c r="M5097" t="inlineStr">
        <is>
          <t>Lichtvorhang KF
-243K1</t>
        </is>
      </c>
    </row>
    <row r="5098">
      <c r="A5098">
        <v>5097</v>
      </c>
      <c r="B5098">
        <f>GS36</f>
        <v>0</v>
      </c>
      <c r="C5098" t="inlineStr">
        <is>
          <t>+LS05</t>
        </is>
      </c>
      <c r="D5098" t="inlineStr">
        <is>
          <t>-268K1</t>
        </is>
      </c>
      <c r="E5098" t="inlineStr">
        <is>
          <t>DILM-9-01</t>
        </is>
      </c>
      <c r="F5098" t="inlineStr">
        <is>
          <t>#KALK!</t>
        </is>
      </c>
      <c r="G5098" t="inlineStr">
        <is>
          <t>LASTSCHUETZ</t>
        </is>
      </c>
      <c r="H5098" t="inlineStr">
        <is>
          <t>4kW 1Oe Federzugkl.</t>
        </is>
      </c>
      <c r="I5098">
        <v>441</v>
      </c>
      <c r="J5098">
        <f>GS36/268.6</f>
        <v>0</v>
      </c>
      <c r="L5098" t="inlineStr">
        <is>
          <t>Lichtgitter KF3</t>
        </is>
      </c>
      <c r="M5098" t="inlineStr">
        <is>
          <t>Lichtgitter KF3
-268K1</t>
        </is>
      </c>
    </row>
    <row r="5099">
      <c r="A5099">
        <v>5098</v>
      </c>
      <c r="B5099">
        <f>GS36</f>
        <v>0</v>
      </c>
      <c r="C5099" t="inlineStr">
        <is>
          <t>+LS04</t>
        </is>
      </c>
      <c r="D5099" t="inlineStr">
        <is>
          <t>-243K2</t>
        </is>
      </c>
      <c r="E5099" t="inlineStr">
        <is>
          <t>DILA-XHIC40</t>
        </is>
      </c>
      <c r="F5099" t="inlineStr">
        <is>
          <t>DILA-XHIC40</t>
        </is>
      </c>
      <c r="G5099" t="inlineStr">
        <is>
          <t>HILFSKONTAKTBLOCK</t>
        </is>
      </c>
      <c r="H5099" t="inlineStr">
        <is>
          <t>4S Last+Hilfssch. Cage</t>
        </is>
      </c>
      <c r="I5099">
        <v>416</v>
      </c>
      <c r="J5099">
        <f>GS36/243.7</f>
        <v>0</v>
      </c>
      <c r="L5099" t="inlineStr">
        <is>
          <t>Lichtvorhang KF</t>
        </is>
      </c>
      <c r="M5099" t="inlineStr">
        <is>
          <t>Lichtvorhang KF
-243K2</t>
        </is>
      </c>
    </row>
    <row r="5100">
      <c r="A5100">
        <v>5099</v>
      </c>
      <c r="B5100">
        <f>GS36</f>
        <v>0</v>
      </c>
      <c r="C5100" t="inlineStr">
        <is>
          <t>+LS05</t>
        </is>
      </c>
      <c r="D5100" t="inlineStr">
        <is>
          <t>-268K2</t>
        </is>
      </c>
      <c r="E5100" t="inlineStr">
        <is>
          <t>DILM-9-01</t>
        </is>
      </c>
      <c r="F5100" t="inlineStr">
        <is>
          <t>#KALK!</t>
        </is>
      </c>
      <c r="G5100" t="inlineStr">
        <is>
          <t>LASTSCHUETZ</t>
        </is>
      </c>
      <c r="H5100" t="inlineStr">
        <is>
          <t>4kW 1Oe Federzugkl.</t>
        </is>
      </c>
      <c r="I5100">
        <v>441</v>
      </c>
      <c r="J5100">
        <f>GS36/268.7</f>
        <v>0</v>
      </c>
      <c r="L5100" t="inlineStr">
        <is>
          <t>Lichtvorhang KF</t>
        </is>
      </c>
      <c r="M5100" t="inlineStr">
        <is>
          <t>Lichtvorhang KF
-268K2</t>
        </is>
      </c>
    </row>
    <row r="5101">
      <c r="A5101">
        <v>5100</v>
      </c>
      <c r="B5101">
        <f>GS02</f>
        <v>0</v>
      </c>
      <c r="C5101" t="inlineStr">
        <is>
          <t>+LS4</t>
        </is>
      </c>
      <c r="D5101" t="inlineStr">
        <is>
          <t>-243K39.1</t>
        </is>
      </c>
      <c r="E5101" t="inlineStr">
        <is>
          <t>DIL_EM-10-G</t>
        </is>
      </c>
      <c r="F5101" t="inlineStr">
        <is>
          <t>#KALK!</t>
        </is>
      </c>
      <c r="G5101" t="inlineStr">
        <is>
          <t>LASTSCHUETZ</t>
        </is>
      </c>
      <c r="H5101" t="inlineStr">
        <is>
          <t>4kW 1S</t>
        </is>
      </c>
      <c r="I5101">
        <v>648</v>
      </c>
      <c r="J5101">
        <f>GS02/243.5</f>
        <v>0</v>
      </c>
      <c r="M5101" t="inlineStr">
        <is>
          <t>-243K39.1</t>
        </is>
      </c>
    </row>
    <row r="5102">
      <c r="A5102">
        <v>5101</v>
      </c>
      <c r="B5102">
        <f>GS02</f>
        <v>0</v>
      </c>
      <c r="C5102" t="inlineStr">
        <is>
          <t>+LS4</t>
        </is>
      </c>
      <c r="D5102" t="inlineStr">
        <is>
          <t>-243K39.2</t>
        </is>
      </c>
      <c r="E5102" t="inlineStr">
        <is>
          <t>DIL_EM-10-G</t>
        </is>
      </c>
      <c r="F5102" t="inlineStr">
        <is>
          <t>#KALK!</t>
        </is>
      </c>
      <c r="G5102" t="inlineStr">
        <is>
          <t>LASTSCHUETZ</t>
        </is>
      </c>
      <c r="H5102" t="inlineStr">
        <is>
          <t>4kW 1S</t>
        </is>
      </c>
      <c r="I5102">
        <v>648</v>
      </c>
      <c r="J5102">
        <f>GS02/243.6</f>
        <v>0</v>
      </c>
      <c r="M5102" t="inlineStr">
        <is>
          <t>-243K39.2</t>
        </is>
      </c>
    </row>
    <row r="5103">
      <c r="A5103">
        <v>5102</v>
      </c>
      <c r="B5103">
        <f>GS02</f>
        <v>0</v>
      </c>
      <c r="C5103" t="inlineStr">
        <is>
          <t>+LS4</t>
        </is>
      </c>
      <c r="D5103" t="inlineStr">
        <is>
          <t>-243K39.3</t>
        </is>
      </c>
      <c r="E5103" t="inlineStr">
        <is>
          <t>DIL_EM-01-G</t>
        </is>
      </c>
      <c r="F5103" t="inlineStr">
        <is>
          <t>#KALK!</t>
        </is>
      </c>
      <c r="G5103" t="inlineStr">
        <is>
          <t>LASTSCHUETZ</t>
        </is>
      </c>
      <c r="H5103" t="inlineStr">
        <is>
          <t>4kW 1OE</t>
        </is>
      </c>
      <c r="I5103">
        <v>648</v>
      </c>
      <c r="J5103">
        <f>GS02/243.7</f>
        <v>0</v>
      </c>
      <c r="M5103" t="inlineStr">
        <is>
          <t>-243K39.3</t>
        </is>
      </c>
    </row>
    <row r="5104">
      <c r="A5104">
        <v>5103</v>
      </c>
      <c r="B5104">
        <f>GS02</f>
        <v>0</v>
      </c>
      <c r="C5104" t="inlineStr">
        <is>
          <t>+LS4</t>
        </is>
      </c>
      <c r="D5104" t="inlineStr">
        <is>
          <t>-243K39.4</t>
        </is>
      </c>
      <c r="E5104" t="inlineStr">
        <is>
          <t>DIL_EM-01-G</t>
        </is>
      </c>
      <c r="F5104" t="inlineStr">
        <is>
          <t>#KALK!</t>
        </is>
      </c>
      <c r="G5104" t="inlineStr">
        <is>
          <t>LASTSCHUETZ</t>
        </is>
      </c>
      <c r="H5104" t="inlineStr">
        <is>
          <t>4kW 1OE</t>
        </is>
      </c>
      <c r="I5104">
        <v>648</v>
      </c>
      <c r="J5104">
        <f>GS02/243.8</f>
        <v>0</v>
      </c>
      <c r="M5104" t="inlineStr">
        <is>
          <t>-243K39.4</t>
        </is>
      </c>
    </row>
    <row r="5105">
      <c r="A5105">
        <v>5104</v>
      </c>
      <c r="B5105">
        <f>GS04</f>
        <v>0</v>
      </c>
      <c r="C5105" t="inlineStr">
        <is>
          <t>+LS5</t>
        </is>
      </c>
      <c r="D5105" t="inlineStr">
        <is>
          <t>-243K50.0</t>
        </is>
      </c>
      <c r="E5105" t="inlineStr">
        <is>
          <t>DIL_EM-10-G</t>
        </is>
      </c>
      <c r="F5105" t="inlineStr">
        <is>
          <t>#KALK!</t>
        </is>
      </c>
      <c r="G5105" t="inlineStr">
        <is>
          <t>LASTSCHUETZ</t>
        </is>
      </c>
      <c r="H5105" t="inlineStr">
        <is>
          <t>4kW 1S</t>
        </is>
      </c>
      <c r="I5105">
        <v>494</v>
      </c>
      <c r="J5105">
        <f>GS04/243.6</f>
        <v>0</v>
      </c>
      <c r="M5105" t="inlineStr">
        <is>
          <t>-243K50.0</t>
        </is>
      </c>
    </row>
    <row r="5106">
      <c r="A5106">
        <v>5105</v>
      </c>
      <c r="B5106">
        <f>GS04</f>
        <v>0</v>
      </c>
      <c r="C5106" t="inlineStr">
        <is>
          <t>+LS5</t>
        </is>
      </c>
      <c r="D5106" t="inlineStr">
        <is>
          <t>-243K50.1</t>
        </is>
      </c>
      <c r="E5106" t="inlineStr">
        <is>
          <t>DIL_EM-10-G</t>
        </is>
      </c>
      <c r="F5106" t="inlineStr">
        <is>
          <t>#KALK!</t>
        </is>
      </c>
      <c r="G5106" t="inlineStr">
        <is>
          <t>LASTSCHUETZ</t>
        </is>
      </c>
      <c r="H5106" t="inlineStr">
        <is>
          <t>4kW 1S</t>
        </is>
      </c>
      <c r="I5106">
        <v>494</v>
      </c>
      <c r="J5106">
        <f>GS04/243.6</f>
        <v>0</v>
      </c>
      <c r="M5106" t="inlineStr">
        <is>
          <t>-243K50.1</t>
        </is>
      </c>
    </row>
    <row r="5107">
      <c r="A5107">
        <v>5106</v>
      </c>
      <c r="B5107">
        <f>GS14</f>
        <v>0</v>
      </c>
      <c r="C5107" t="inlineStr">
        <is>
          <t>+LS5</t>
        </is>
      </c>
      <c r="D5107" t="inlineStr">
        <is>
          <t>-243K82.7</t>
        </is>
      </c>
      <c r="E5107" t="inlineStr">
        <is>
          <t>DIL_EM-10-G</t>
        </is>
      </c>
      <c r="F5107" t="inlineStr">
        <is>
          <t>#KALK!</t>
        </is>
      </c>
      <c r="G5107" t="inlineStr">
        <is>
          <t>LASTSCHUETZ</t>
        </is>
      </c>
      <c r="H5107" t="inlineStr">
        <is>
          <t>4kW 1S</t>
        </is>
      </c>
      <c r="I5107">
        <v>369</v>
      </c>
      <c r="J5107">
        <f>GS14/243.5</f>
        <v>0</v>
      </c>
      <c r="M5107" t="inlineStr">
        <is>
          <t>-243K82.7</t>
        </is>
      </c>
    </row>
    <row r="5108">
      <c r="A5108">
        <v>5107</v>
      </c>
      <c r="B5108">
        <f>GS14</f>
        <v>0</v>
      </c>
      <c r="C5108" t="inlineStr">
        <is>
          <t>+LS5</t>
        </is>
      </c>
      <c r="D5108" t="inlineStr">
        <is>
          <t>-243K83.0</t>
        </is>
      </c>
      <c r="E5108" t="inlineStr">
        <is>
          <t>DIL_EM-10-G</t>
        </is>
      </c>
      <c r="F5108" t="inlineStr">
        <is>
          <t>#KALK!</t>
        </is>
      </c>
      <c r="G5108" t="inlineStr">
        <is>
          <t>LASTSCHUETZ</t>
        </is>
      </c>
      <c r="H5108" t="inlineStr">
        <is>
          <t>4kW 1S</t>
        </is>
      </c>
      <c r="I5108">
        <v>369</v>
      </c>
      <c r="J5108">
        <f>GS14/243.6</f>
        <v>0</v>
      </c>
      <c r="M5108" t="inlineStr">
        <is>
          <t>-243K83.0</t>
        </is>
      </c>
    </row>
    <row r="5109">
      <c r="A5109">
        <v>5108</v>
      </c>
      <c r="B5109">
        <f>GS14</f>
        <v>0</v>
      </c>
      <c r="C5109" t="inlineStr">
        <is>
          <t>+LS5</t>
        </is>
      </c>
      <c r="D5109" t="inlineStr">
        <is>
          <t>-243K83.1</t>
        </is>
      </c>
      <c r="E5109" t="inlineStr">
        <is>
          <t>DIL_EM-01-G</t>
        </is>
      </c>
      <c r="F5109" t="inlineStr">
        <is>
          <t>#KALK!</t>
        </is>
      </c>
      <c r="G5109" t="inlineStr">
        <is>
          <t>LASTSCHUETZ</t>
        </is>
      </c>
      <c r="H5109" t="inlineStr">
        <is>
          <t>4kW 1OE</t>
        </is>
      </c>
      <c r="I5109">
        <v>369</v>
      </c>
      <c r="J5109">
        <f>GS14/243.7</f>
        <v>0</v>
      </c>
      <c r="M5109" t="inlineStr">
        <is>
          <t>-243K83.1</t>
        </is>
      </c>
    </row>
    <row r="5110">
      <c r="A5110">
        <v>5109</v>
      </c>
      <c r="B5110">
        <f>GS14</f>
        <v>0</v>
      </c>
      <c r="C5110" t="inlineStr">
        <is>
          <t>+LS5</t>
        </is>
      </c>
      <c r="D5110" t="inlineStr">
        <is>
          <t>-243K83.2</t>
        </is>
      </c>
      <c r="E5110" t="inlineStr">
        <is>
          <t>DIL_EM-01-G</t>
        </is>
      </c>
      <c r="F5110" t="inlineStr">
        <is>
          <t>#KALK!</t>
        </is>
      </c>
      <c r="G5110" t="inlineStr">
        <is>
          <t>LASTSCHUETZ</t>
        </is>
      </c>
      <c r="H5110" t="inlineStr">
        <is>
          <t>4kW 1OE</t>
        </is>
      </c>
      <c r="I5110">
        <v>369</v>
      </c>
      <c r="J5110">
        <f>GS14/243.8</f>
        <v>0</v>
      </c>
      <c r="M5110" t="inlineStr">
        <is>
          <t>-243K83.2</t>
        </is>
      </c>
    </row>
    <row r="5111">
      <c r="A5111">
        <v>5110</v>
      </c>
      <c r="B5111">
        <f>GS90</f>
        <v>0</v>
      </c>
      <c r="C5111" t="inlineStr">
        <is>
          <t>+LS03</t>
        </is>
      </c>
      <c r="D5111" t="inlineStr">
        <is>
          <t>-243Q167.0</t>
        </is>
      </c>
      <c r="E5111" t="inlineStr">
        <is>
          <t>DILM-9-10</t>
        </is>
      </c>
      <c r="F5111" t="inlineStr">
        <is>
          <t>#KALK!</t>
        </is>
      </c>
      <c r="G5111" t="inlineStr">
        <is>
          <t>LASTSCHUETZ</t>
        </is>
      </c>
      <c r="H5111" t="inlineStr">
        <is>
          <t>4kW 1S Federzugkl.</t>
        </is>
      </c>
      <c r="I5111">
        <v>1007</v>
      </c>
      <c r="J5111">
        <f>GS90/243.5</f>
        <v>0</v>
      </c>
      <c r="M5111" t="inlineStr">
        <is>
          <t>-243Q167.0</t>
        </is>
      </c>
    </row>
    <row r="5112">
      <c r="A5112">
        <v>5111</v>
      </c>
      <c r="B5112">
        <f>GS95</f>
        <v>0</v>
      </c>
      <c r="C5112" t="inlineStr">
        <is>
          <t>+LS17</t>
        </is>
      </c>
      <c r="D5112" t="inlineStr">
        <is>
          <t>-243Q476.1</t>
        </is>
      </c>
      <c r="E5112" t="inlineStr">
        <is>
          <t>DILM-9-10</t>
        </is>
      </c>
      <c r="F5112" t="inlineStr">
        <is>
          <t>#KALK!</t>
        </is>
      </c>
      <c r="G5112" t="inlineStr">
        <is>
          <t>LASTSCHUETZ</t>
        </is>
      </c>
      <c r="H5112" t="inlineStr">
        <is>
          <t>4kW 1S Federzugkl.</t>
        </is>
      </c>
      <c r="I5112">
        <v>342</v>
      </c>
      <c r="J5112">
        <f>GS95/243.5</f>
        <v>0</v>
      </c>
      <c r="M5112" t="inlineStr">
        <is>
          <t>-243Q476.1</t>
        </is>
      </c>
    </row>
    <row r="5113">
      <c r="A5113">
        <v>5112</v>
      </c>
      <c r="B5113">
        <f>GS97</f>
        <v>0</v>
      </c>
      <c r="C5113" t="inlineStr">
        <is>
          <t>+LS17</t>
        </is>
      </c>
      <c r="D5113" t="inlineStr">
        <is>
          <t>-243Q476.1</t>
        </is>
      </c>
      <c r="E5113" t="inlineStr">
        <is>
          <t>DILM-9-10</t>
        </is>
      </c>
      <c r="F5113" t="inlineStr">
        <is>
          <t>#KALK!</t>
        </is>
      </c>
      <c r="G5113" t="inlineStr">
        <is>
          <t>LASTSCHUETZ</t>
        </is>
      </c>
      <c r="H5113" t="inlineStr">
        <is>
          <t>4kW 1S Federzugkl.</t>
        </is>
      </c>
      <c r="I5113">
        <v>342</v>
      </c>
      <c r="J5113">
        <f>GS97/243.5</f>
        <v>0</v>
      </c>
      <c r="M5113" t="inlineStr">
        <is>
          <t>-243Q476.1</t>
        </is>
      </c>
    </row>
    <row r="5114">
      <c r="A5114">
        <v>5113</v>
      </c>
      <c r="B5114">
        <f>GS02</f>
        <v>0</v>
      </c>
      <c r="C5114" t="inlineStr">
        <is>
          <t>+LS4</t>
        </is>
      </c>
      <c r="D5114" t="inlineStr">
        <is>
          <t>-244K40.3</t>
        </is>
      </c>
      <c r="E5114" t="inlineStr">
        <is>
          <t>DIL_EM-10-G</t>
        </is>
      </c>
      <c r="F5114" t="inlineStr">
        <is>
          <t>#KALK!</t>
        </is>
      </c>
      <c r="G5114" t="inlineStr">
        <is>
          <t>LASTSCHUETZ</t>
        </is>
      </c>
      <c r="H5114" t="inlineStr">
        <is>
          <t>4kW 1S</t>
        </is>
      </c>
      <c r="I5114">
        <v>649</v>
      </c>
      <c r="J5114">
        <f>GS02/244.7</f>
        <v>0</v>
      </c>
      <c r="M5114" t="inlineStr">
        <is>
          <t>-244K40.3</t>
        </is>
      </c>
    </row>
    <row r="5115">
      <c r="A5115">
        <v>5114</v>
      </c>
      <c r="B5115">
        <f>GS04</f>
        <v>0</v>
      </c>
      <c r="C5115" t="inlineStr">
        <is>
          <t>+LS5</t>
        </is>
      </c>
      <c r="D5115" t="inlineStr">
        <is>
          <t>-244K50.4</t>
        </is>
      </c>
      <c r="E5115" t="inlineStr">
        <is>
          <t>DIL_EM-10-G</t>
        </is>
      </c>
      <c r="F5115" t="inlineStr">
        <is>
          <t>#KALK!</t>
        </is>
      </c>
      <c r="G5115" t="inlineStr">
        <is>
          <t>LASTSCHUETZ</t>
        </is>
      </c>
      <c r="H5115" t="inlineStr">
        <is>
          <t>4kW 1S</t>
        </is>
      </c>
      <c r="I5115">
        <v>495</v>
      </c>
      <c r="J5115">
        <f>GS04/244.6</f>
        <v>0</v>
      </c>
      <c r="M5115" t="inlineStr">
        <is>
          <t>-244K50.4</t>
        </is>
      </c>
    </row>
    <row r="5116">
      <c r="A5116">
        <v>5115</v>
      </c>
      <c r="B5116">
        <f>GS04</f>
        <v>0</v>
      </c>
      <c r="C5116" t="inlineStr">
        <is>
          <t>+LS5</t>
        </is>
      </c>
      <c r="D5116" t="inlineStr">
        <is>
          <t>-244K50.5</t>
        </is>
      </c>
      <c r="E5116" t="inlineStr">
        <is>
          <t>DIL_EM-10-G</t>
        </is>
      </c>
      <c r="F5116" t="inlineStr">
        <is>
          <t>#KALK!</t>
        </is>
      </c>
      <c r="G5116" t="inlineStr">
        <is>
          <t>LASTSCHUETZ</t>
        </is>
      </c>
      <c r="H5116" t="inlineStr">
        <is>
          <t>4kW 1S</t>
        </is>
      </c>
      <c r="I5116">
        <v>495</v>
      </c>
      <c r="J5116">
        <f>GS04/244.6</f>
        <v>0</v>
      </c>
      <c r="M5116" t="inlineStr">
        <is>
          <t>-244K50.5</t>
        </is>
      </c>
    </row>
    <row r="5117">
      <c r="A5117">
        <v>5116</v>
      </c>
      <c r="B5117">
        <f>GS15</f>
        <v>0</v>
      </c>
      <c r="C5117" t="inlineStr">
        <is>
          <t>+LS5</t>
        </is>
      </c>
      <c r="D5117" t="inlineStr">
        <is>
          <t>-244K78.7</t>
        </is>
      </c>
      <c r="E5117" t="inlineStr">
        <is>
          <t>DIL_EM-10-G</t>
        </is>
      </c>
      <c r="F5117" t="inlineStr">
        <is>
          <t>#KALK!</t>
        </is>
      </c>
      <c r="G5117" t="inlineStr">
        <is>
          <t>LASTSCHUETZ</t>
        </is>
      </c>
      <c r="H5117" t="inlineStr">
        <is>
          <t>4kW 1S</t>
        </is>
      </c>
      <c r="I5117">
        <v>738</v>
      </c>
      <c r="J5117">
        <f>GS15/244.5</f>
        <v>0</v>
      </c>
      <c r="M5117" t="inlineStr">
        <is>
          <t>-244K78.7</t>
        </is>
      </c>
    </row>
    <row r="5118">
      <c r="A5118">
        <v>5117</v>
      </c>
      <c r="B5118">
        <f>GS15</f>
        <v>0</v>
      </c>
      <c r="C5118" t="inlineStr">
        <is>
          <t>+LS5</t>
        </is>
      </c>
      <c r="D5118" t="inlineStr">
        <is>
          <t>-244K79.0</t>
        </is>
      </c>
      <c r="E5118" t="inlineStr">
        <is>
          <t>DIL_EM-10-G</t>
        </is>
      </c>
      <c r="F5118" t="inlineStr">
        <is>
          <t>#KALK!</t>
        </is>
      </c>
      <c r="G5118" t="inlineStr">
        <is>
          <t>LASTSCHUETZ</t>
        </is>
      </c>
      <c r="H5118" t="inlineStr">
        <is>
          <t>4kW 1S</t>
        </is>
      </c>
      <c r="I5118">
        <v>738</v>
      </c>
      <c r="J5118">
        <f>GS15/244.6</f>
        <v>0</v>
      </c>
      <c r="M5118" t="inlineStr">
        <is>
          <t>-244K79.0</t>
        </is>
      </c>
    </row>
    <row r="5119">
      <c r="A5119">
        <v>5118</v>
      </c>
      <c r="B5119">
        <f>GS15</f>
        <v>0</v>
      </c>
      <c r="C5119" t="inlineStr">
        <is>
          <t>+LS5</t>
        </is>
      </c>
      <c r="D5119" t="inlineStr">
        <is>
          <t>-244K79.1</t>
        </is>
      </c>
      <c r="E5119" t="inlineStr">
        <is>
          <t>DIL_EM-01-G</t>
        </is>
      </c>
      <c r="F5119" t="inlineStr">
        <is>
          <t>#KALK!</t>
        </is>
      </c>
      <c r="G5119" t="inlineStr">
        <is>
          <t>LASTSCHUETZ</t>
        </is>
      </c>
      <c r="H5119" t="inlineStr">
        <is>
          <t>4kW 1OE</t>
        </is>
      </c>
      <c r="I5119">
        <v>738</v>
      </c>
      <c r="J5119">
        <f>GS15/244.7</f>
        <v>0</v>
      </c>
      <c r="M5119" t="inlineStr">
        <is>
          <t>-244K79.1</t>
        </is>
      </c>
    </row>
    <row r="5120">
      <c r="A5120">
        <v>5119</v>
      </c>
      <c r="B5120">
        <f>GS15</f>
        <v>0</v>
      </c>
      <c r="C5120" t="inlineStr">
        <is>
          <t>+LS5</t>
        </is>
      </c>
      <c r="D5120" t="inlineStr">
        <is>
          <t>-244K79.2</t>
        </is>
      </c>
      <c r="E5120" t="inlineStr">
        <is>
          <t>DIL_EM-01-G</t>
        </is>
      </c>
      <c r="F5120" t="inlineStr">
        <is>
          <t>#KALK!</t>
        </is>
      </c>
      <c r="G5120" t="inlineStr">
        <is>
          <t>LASTSCHUETZ</t>
        </is>
      </c>
      <c r="H5120" t="inlineStr">
        <is>
          <t>4kW 1OE</t>
        </is>
      </c>
      <c r="I5120">
        <v>738</v>
      </c>
      <c r="J5120">
        <f>GS15/244.8</f>
        <v>0</v>
      </c>
      <c r="M5120" t="inlineStr">
        <is>
          <t>-244K79.2</t>
        </is>
      </c>
    </row>
    <row r="5121">
      <c r="A5121">
        <v>5120</v>
      </c>
      <c r="B5121">
        <f>GS05</f>
        <v>0</v>
      </c>
      <c r="C5121" t="inlineStr">
        <is>
          <t>+LS03</t>
        </is>
      </c>
      <c r="D5121" t="inlineStr">
        <is>
          <t>-244Q118.6</t>
        </is>
      </c>
      <c r="E5121" t="inlineStr">
        <is>
          <t>DILMC17-10(RDC24)</t>
        </is>
      </c>
      <c r="F5121" t="inlineStr">
        <is>
          <t>#KALK!</t>
        </is>
      </c>
      <c r="G5121" t="inlineStr">
        <is>
          <t>LASTSCHUETZ</t>
        </is>
      </c>
      <c r="H5121" t="inlineStr">
        <is>
          <t>7,5kW 1S Federzugkl.</t>
        </is>
      </c>
      <c r="I5121">
        <v>2133</v>
      </c>
      <c r="J5121">
        <f>GS05/244.5</f>
        <v>0</v>
      </c>
      <c r="K5121" t="inlineStr">
        <is>
          <t>DIL MC17</t>
        </is>
      </c>
      <c r="M5121" t="inlineStr">
        <is>
          <t>-244Q118.6</t>
        </is>
      </c>
    </row>
    <row r="5122">
      <c r="A5122">
        <v>5121</v>
      </c>
      <c r="B5122">
        <f>GS90</f>
        <v>0</v>
      </c>
      <c r="C5122" t="inlineStr">
        <is>
          <t>+LS03</t>
        </is>
      </c>
      <c r="D5122" t="inlineStr">
        <is>
          <t>-244Q167.1</t>
        </is>
      </c>
      <c r="E5122" t="inlineStr">
        <is>
          <t>DILM-9-10</t>
        </is>
      </c>
      <c r="F5122" t="inlineStr">
        <is>
          <t>#KALK!</t>
        </is>
      </c>
      <c r="G5122" t="inlineStr">
        <is>
          <t>LASTSCHUETZ</t>
        </is>
      </c>
      <c r="H5122" t="inlineStr">
        <is>
          <t>4kW 1S Federzugkl.</t>
        </is>
      </c>
      <c r="I5122">
        <v>1006</v>
      </c>
      <c r="J5122">
        <f>GS90/244.5</f>
        <v>0</v>
      </c>
      <c r="M5122" t="inlineStr">
        <is>
          <t>-244Q167.1</t>
        </is>
      </c>
    </row>
    <row r="5123">
      <c r="A5123">
        <v>5122</v>
      </c>
      <c r="B5123">
        <f>GS33</f>
        <v>0</v>
      </c>
      <c r="C5123" t="inlineStr">
        <is>
          <t>+LS5</t>
        </is>
      </c>
      <c r="D5123" t="inlineStr">
        <is>
          <t>-245K1</t>
        </is>
      </c>
      <c r="E5123" t="inlineStr">
        <is>
          <t>DIL_2AM</t>
        </is>
      </c>
      <c r="F5123" t="inlineStr">
        <is>
          <t>22_DIL-M</t>
        </is>
      </c>
      <c r="G5123" t="inlineStr">
        <is>
          <t>LASTSCHUETZ</t>
        </is>
      </c>
      <c r="H5123" t="inlineStr">
        <is>
          <t>30 kW</t>
        </is>
      </c>
      <c r="I5123">
        <v>692</v>
      </c>
      <c r="J5123">
        <f>GS33/245.2</f>
        <v>0</v>
      </c>
      <c r="K5123" t="inlineStr">
        <is>
          <t>DIL2AM</t>
        </is>
      </c>
      <c r="M5123" t="inlineStr">
        <is>
          <t>-245K1</t>
        </is>
      </c>
    </row>
    <row r="5124">
      <c r="A5124">
        <v>5123</v>
      </c>
      <c r="B5124">
        <f>GS33</f>
        <v>0</v>
      </c>
      <c r="C5124" t="inlineStr">
        <is>
          <t>+LS5</t>
        </is>
      </c>
      <c r="D5124" t="inlineStr">
        <is>
          <t>-245K1</t>
        </is>
      </c>
      <c r="E5124" t="inlineStr">
        <is>
          <t>22_DIL-M</t>
        </is>
      </c>
      <c r="F5124" t="inlineStr">
        <is>
          <t>22_DIL-M</t>
        </is>
      </c>
      <c r="G5124" t="inlineStr">
        <is>
          <t>HILFSKONTAKTBLOCK</t>
        </is>
      </c>
      <c r="H5124" t="inlineStr">
        <is>
          <t>2S 2OE Lastschuetz DIL M</t>
        </is>
      </c>
      <c r="I5124">
        <v>692</v>
      </c>
      <c r="J5124">
        <f>GS33/245.2</f>
        <v>0</v>
      </c>
      <c r="K5124" t="inlineStr">
        <is>
          <t>DIL2AM</t>
        </is>
      </c>
      <c r="M5124" t="inlineStr">
        <is>
          <t>-245K1</t>
        </is>
      </c>
    </row>
    <row r="5125">
      <c r="A5125">
        <v>5124</v>
      </c>
      <c r="B5125">
        <f>GS34</f>
        <v>0</v>
      </c>
      <c r="C5125" t="inlineStr">
        <is>
          <t>+LS5</t>
        </is>
      </c>
      <c r="D5125" t="inlineStr">
        <is>
          <t>-245K1</t>
        </is>
      </c>
      <c r="E5125" t="inlineStr">
        <is>
          <t>22_DIL-M</t>
        </is>
      </c>
      <c r="F5125" t="inlineStr">
        <is>
          <t>22_DIL-M</t>
        </is>
      </c>
      <c r="G5125" t="inlineStr">
        <is>
          <t>HILFSKONTAKTBLOCK</t>
        </is>
      </c>
      <c r="H5125" t="inlineStr">
        <is>
          <t>2S 2OE Lastschuetz DIL M</t>
        </is>
      </c>
      <c r="I5125">
        <v>369</v>
      </c>
      <c r="J5125">
        <f>GS34/245.2</f>
        <v>0</v>
      </c>
      <c r="K5125" t="inlineStr">
        <is>
          <t>DIL2AM</t>
        </is>
      </c>
      <c r="M5125" t="inlineStr">
        <is>
          <t>-245K1</t>
        </is>
      </c>
    </row>
    <row r="5126">
      <c r="A5126">
        <v>5125</v>
      </c>
      <c r="B5126">
        <f>GS34</f>
        <v>0</v>
      </c>
      <c r="C5126" t="inlineStr">
        <is>
          <t>+LS5</t>
        </is>
      </c>
      <c r="D5126" t="inlineStr">
        <is>
          <t>-245K1</t>
        </is>
      </c>
      <c r="E5126" t="inlineStr">
        <is>
          <t>DIL_2AM</t>
        </is>
      </c>
      <c r="F5126" t="inlineStr">
        <is>
          <t>22_DIL-M</t>
        </is>
      </c>
      <c r="G5126" t="inlineStr">
        <is>
          <t>LASTSCHUETZ</t>
        </is>
      </c>
      <c r="H5126" t="inlineStr">
        <is>
          <t>30 kW</t>
        </is>
      </c>
      <c r="I5126">
        <v>369</v>
      </c>
      <c r="J5126">
        <f>GS34/245.2</f>
        <v>0</v>
      </c>
      <c r="K5126" t="inlineStr">
        <is>
          <t>DIL2AM</t>
        </is>
      </c>
      <c r="M5126" t="inlineStr">
        <is>
          <t>-245K1</t>
        </is>
      </c>
    </row>
    <row r="5127">
      <c r="A5127">
        <v>5126</v>
      </c>
      <c r="B5127">
        <f>GS37</f>
        <v>0</v>
      </c>
      <c r="C5127" t="inlineStr">
        <is>
          <t>+LS05</t>
        </is>
      </c>
      <c r="D5127" t="inlineStr">
        <is>
          <t>-245K130.6</t>
        </is>
      </c>
      <c r="E5127" t="inlineStr">
        <is>
          <t>DILA-40</t>
        </is>
      </c>
      <c r="F5127" t="inlineStr">
        <is>
          <t>#KALK!</t>
        </is>
      </c>
      <c r="G5127" t="inlineStr">
        <is>
          <t>HILFSSCHUETZ</t>
        </is>
      </c>
      <c r="H5127" t="inlineStr">
        <is>
          <t>4S Federzugkl.</t>
        </is>
      </c>
      <c r="I5127">
        <v>294</v>
      </c>
      <c r="J5127">
        <f>GS37/245.7</f>
        <v>0</v>
      </c>
      <c r="M5127" t="inlineStr">
        <is>
          <t>-245K130.6</t>
        </is>
      </c>
    </row>
    <row r="5128">
      <c r="A5128">
        <v>5127</v>
      </c>
      <c r="B5128">
        <f>GS33</f>
        <v>0</v>
      </c>
      <c r="C5128" t="inlineStr">
        <is>
          <t>+LS5</t>
        </is>
      </c>
      <c r="D5128" t="inlineStr">
        <is>
          <t>-245K2</t>
        </is>
      </c>
      <c r="E5128" t="inlineStr">
        <is>
          <t>DIL_0AM</t>
        </is>
      </c>
      <c r="F5128" t="inlineStr">
        <is>
          <t>22_DIL-M</t>
        </is>
      </c>
      <c r="G5128" t="inlineStr">
        <is>
          <t>LASTSCHUETZ</t>
        </is>
      </c>
      <c r="H5128" t="inlineStr">
        <is>
          <t>11 kW</t>
        </is>
      </c>
      <c r="I5128">
        <v>692</v>
      </c>
      <c r="J5128">
        <f>GS33/245.3</f>
        <v>0</v>
      </c>
      <c r="K5128" t="inlineStr">
        <is>
          <t>DIL0AM</t>
        </is>
      </c>
      <c r="M5128" t="inlineStr">
        <is>
          <t>-245K2</t>
        </is>
      </c>
    </row>
    <row r="5129">
      <c r="A5129">
        <v>5128</v>
      </c>
      <c r="B5129">
        <f>GS33</f>
        <v>0</v>
      </c>
      <c r="C5129" t="inlineStr">
        <is>
          <t>+LS5</t>
        </is>
      </c>
      <c r="D5129" t="inlineStr">
        <is>
          <t>-245K2</t>
        </is>
      </c>
      <c r="E5129" t="inlineStr">
        <is>
          <t>22_DIL-M</t>
        </is>
      </c>
      <c r="F5129" t="inlineStr">
        <is>
          <t>22_DIL-M</t>
        </is>
      </c>
      <c r="G5129" t="inlineStr">
        <is>
          <t>HILFSKONTAKTBLOCK</t>
        </is>
      </c>
      <c r="H5129" t="inlineStr">
        <is>
          <t>2S 2OE Lastschuetz DIL M</t>
        </is>
      </c>
      <c r="I5129">
        <v>692</v>
      </c>
      <c r="J5129">
        <f>GS33/245.3</f>
        <v>0</v>
      </c>
      <c r="K5129" t="inlineStr">
        <is>
          <t>DIL0AM</t>
        </is>
      </c>
      <c r="M5129" t="inlineStr">
        <is>
          <t>-245K2</t>
        </is>
      </c>
    </row>
    <row r="5130">
      <c r="A5130">
        <v>5129</v>
      </c>
      <c r="B5130">
        <f>GS34</f>
        <v>0</v>
      </c>
      <c r="C5130" t="inlineStr">
        <is>
          <t>+LS5</t>
        </is>
      </c>
      <c r="D5130" t="inlineStr">
        <is>
          <t>-245K2</t>
        </is>
      </c>
      <c r="E5130" t="inlineStr">
        <is>
          <t>22_DIL-M</t>
        </is>
      </c>
      <c r="F5130" t="inlineStr">
        <is>
          <t>22_DIL-M</t>
        </is>
      </c>
      <c r="G5130" t="inlineStr">
        <is>
          <t>HILFSKONTAKTBLOCK</t>
        </is>
      </c>
      <c r="H5130" t="inlineStr">
        <is>
          <t>2S 2OE Lastschuetz DIL M</t>
        </is>
      </c>
      <c r="I5130">
        <v>369</v>
      </c>
      <c r="J5130">
        <f>GS34/245.3</f>
        <v>0</v>
      </c>
      <c r="K5130" t="inlineStr">
        <is>
          <t>DIL0AM</t>
        </is>
      </c>
      <c r="M5130" t="inlineStr">
        <is>
          <t>-245K2</t>
        </is>
      </c>
    </row>
    <row r="5131">
      <c r="A5131">
        <v>5130</v>
      </c>
      <c r="B5131">
        <f>GS34</f>
        <v>0</v>
      </c>
      <c r="C5131" t="inlineStr">
        <is>
          <t>+LS5</t>
        </is>
      </c>
      <c r="D5131" t="inlineStr">
        <is>
          <t>-245K2</t>
        </is>
      </c>
      <c r="E5131" t="inlineStr">
        <is>
          <t>DIL_0AM</t>
        </is>
      </c>
      <c r="F5131" t="inlineStr">
        <is>
          <t>22_DIL-M</t>
        </is>
      </c>
      <c r="G5131" t="inlineStr">
        <is>
          <t>LASTSCHUETZ</t>
        </is>
      </c>
      <c r="H5131" t="inlineStr">
        <is>
          <t>11 kW</t>
        </is>
      </c>
      <c r="I5131">
        <v>369</v>
      </c>
      <c r="J5131">
        <f>GS34/245.3</f>
        <v>0</v>
      </c>
      <c r="K5131" t="inlineStr">
        <is>
          <t>DIL0AM</t>
        </is>
      </c>
      <c r="M5131" t="inlineStr">
        <is>
          <t>-245K2</t>
        </is>
      </c>
    </row>
    <row r="5132">
      <c r="A5132">
        <v>5131</v>
      </c>
      <c r="B5132">
        <f>GS04</f>
        <v>0</v>
      </c>
      <c r="C5132" t="inlineStr">
        <is>
          <t>+LS5</t>
        </is>
      </c>
      <c r="D5132" t="inlineStr">
        <is>
          <t>-245K51.0</t>
        </is>
      </c>
      <c r="E5132" t="inlineStr">
        <is>
          <t>DIL_EM-10-G</t>
        </is>
      </c>
      <c r="F5132" t="inlineStr">
        <is>
          <t>#KALK!</t>
        </is>
      </c>
      <c r="G5132" t="inlineStr">
        <is>
          <t>LASTSCHUETZ</t>
        </is>
      </c>
      <c r="H5132" t="inlineStr">
        <is>
          <t>4kW 1S</t>
        </is>
      </c>
      <c r="I5132">
        <v>496</v>
      </c>
      <c r="J5132">
        <f>GS04/245.6</f>
        <v>0</v>
      </c>
      <c r="M5132" t="inlineStr">
        <is>
          <t>-245K51.0</t>
        </is>
      </c>
    </row>
    <row r="5133">
      <c r="A5133">
        <v>5132</v>
      </c>
      <c r="B5133">
        <f>GS04</f>
        <v>0</v>
      </c>
      <c r="C5133" t="inlineStr">
        <is>
          <t>+LS5</t>
        </is>
      </c>
      <c r="D5133" t="inlineStr">
        <is>
          <t>-245K51.1</t>
        </is>
      </c>
      <c r="E5133" t="inlineStr">
        <is>
          <t>DIL_EM-10-G</t>
        </is>
      </c>
      <c r="F5133" t="inlineStr">
        <is>
          <t>#KALK!</t>
        </is>
      </c>
      <c r="G5133" t="inlineStr">
        <is>
          <t>LASTSCHUETZ</t>
        </is>
      </c>
      <c r="H5133" t="inlineStr">
        <is>
          <t>4kW 1S</t>
        </is>
      </c>
      <c r="I5133">
        <v>496</v>
      </c>
      <c r="J5133">
        <f>GS04/245.6</f>
        <v>0</v>
      </c>
      <c r="M5133" t="inlineStr">
        <is>
          <t>-245K51.1</t>
        </is>
      </c>
    </row>
    <row r="5134">
      <c r="A5134">
        <v>5133</v>
      </c>
      <c r="B5134">
        <f>GS14</f>
        <v>0</v>
      </c>
      <c r="C5134" t="inlineStr">
        <is>
          <t>+LS5</t>
        </is>
      </c>
      <c r="D5134" t="inlineStr">
        <is>
          <t>-245K84.1</t>
        </is>
      </c>
      <c r="E5134" t="inlineStr">
        <is>
          <t>DIL_EM-10-G</t>
        </is>
      </c>
      <c r="F5134" t="inlineStr">
        <is>
          <t>#KALK!</t>
        </is>
      </c>
      <c r="G5134" t="inlineStr">
        <is>
          <t>LASTSCHUETZ</t>
        </is>
      </c>
      <c r="H5134" t="inlineStr">
        <is>
          <t>4kW 1S</t>
        </is>
      </c>
      <c r="I5134">
        <v>371</v>
      </c>
      <c r="J5134">
        <f>GS14/245.5</f>
        <v>0</v>
      </c>
      <c r="M5134" t="inlineStr">
        <is>
          <t>-245K84.1</t>
        </is>
      </c>
    </row>
    <row r="5135">
      <c r="A5135">
        <v>5134</v>
      </c>
      <c r="B5135">
        <f>GS14</f>
        <v>0</v>
      </c>
      <c r="C5135" t="inlineStr">
        <is>
          <t>+LS5</t>
        </is>
      </c>
      <c r="D5135" t="inlineStr">
        <is>
          <t>-245K84.2</t>
        </is>
      </c>
      <c r="E5135" t="inlineStr">
        <is>
          <t>DIL_EM-10-G</t>
        </is>
      </c>
      <c r="F5135" t="inlineStr">
        <is>
          <t>#KALK!</t>
        </is>
      </c>
      <c r="G5135" t="inlineStr">
        <is>
          <t>LASTSCHUETZ</t>
        </is>
      </c>
      <c r="H5135" t="inlineStr">
        <is>
          <t>4kW 1S</t>
        </is>
      </c>
      <c r="I5135">
        <v>371</v>
      </c>
      <c r="J5135">
        <f>GS14/245.6</f>
        <v>0</v>
      </c>
      <c r="M5135" t="inlineStr">
        <is>
          <t>-245K84.2</t>
        </is>
      </c>
    </row>
    <row r="5136">
      <c r="A5136">
        <v>5135</v>
      </c>
      <c r="B5136">
        <f>GS14</f>
        <v>0</v>
      </c>
      <c r="C5136" t="inlineStr">
        <is>
          <t>+LS5</t>
        </is>
      </c>
      <c r="D5136" t="inlineStr">
        <is>
          <t>-245K84.3</t>
        </is>
      </c>
      <c r="E5136" t="inlineStr">
        <is>
          <t>DIL_EM-01-G</t>
        </is>
      </c>
      <c r="F5136" t="inlineStr">
        <is>
          <t>#KALK!</t>
        </is>
      </c>
      <c r="G5136" t="inlineStr">
        <is>
          <t>LASTSCHUETZ</t>
        </is>
      </c>
      <c r="H5136" t="inlineStr">
        <is>
          <t>4kW 1OE</t>
        </is>
      </c>
      <c r="I5136">
        <v>371</v>
      </c>
      <c r="J5136">
        <f>GS14/245.7</f>
        <v>0</v>
      </c>
      <c r="M5136" t="inlineStr">
        <is>
          <t>-245K84.3</t>
        </is>
      </c>
    </row>
    <row r="5137">
      <c r="A5137">
        <v>5136</v>
      </c>
      <c r="B5137">
        <f>GS14</f>
        <v>0</v>
      </c>
      <c r="C5137" t="inlineStr">
        <is>
          <t>+LS5</t>
        </is>
      </c>
      <c r="D5137" t="inlineStr">
        <is>
          <t>-245K84.4</t>
        </is>
      </c>
      <c r="E5137" t="inlineStr">
        <is>
          <t>DIL_EM-01-G</t>
        </is>
      </c>
      <c r="F5137" t="inlineStr">
        <is>
          <t>#KALK!</t>
        </is>
      </c>
      <c r="G5137" t="inlineStr">
        <is>
          <t>LASTSCHUETZ</t>
        </is>
      </c>
      <c r="H5137" t="inlineStr">
        <is>
          <t>4kW 1OE</t>
        </is>
      </c>
      <c r="I5137">
        <v>371</v>
      </c>
      <c r="J5137">
        <f>GS14/245.8</f>
        <v>0</v>
      </c>
      <c r="M5137" t="inlineStr">
        <is>
          <t>-245K84.4</t>
        </is>
      </c>
    </row>
    <row r="5138">
      <c r="A5138">
        <v>5137</v>
      </c>
      <c r="B5138">
        <f>GS37</f>
        <v>0</v>
      </c>
      <c r="C5138" t="inlineStr">
        <is>
          <t>+LS05</t>
        </is>
      </c>
      <c r="D5138" t="inlineStr">
        <is>
          <t>-245Q1</t>
        </is>
      </c>
      <c r="E5138" t="inlineStr">
        <is>
          <t>DILMC40(RDC24)</t>
        </is>
      </c>
      <c r="F5138" t="inlineStr">
        <is>
          <t>DILM150-XHIC22</t>
        </is>
      </c>
      <c r="G5138" t="inlineStr">
        <is>
          <t>LASTSCHUETZ</t>
        </is>
      </c>
      <c r="H5138" t="inlineStr">
        <is>
          <t>18,5kW Federzugkl.</t>
        </is>
      </c>
      <c r="I5138">
        <v>294</v>
      </c>
      <c r="J5138">
        <f>GS37/245.4</f>
        <v>0</v>
      </c>
      <c r="K5138" t="inlineStr">
        <is>
          <t>DIL MC 40</t>
        </is>
      </c>
      <c r="M5138" t="inlineStr">
        <is>
          <t>-245Q1</t>
        </is>
      </c>
    </row>
    <row r="5139">
      <c r="A5139">
        <v>5138</v>
      </c>
      <c r="B5139">
        <f>GS37</f>
        <v>0</v>
      </c>
      <c r="C5139" t="inlineStr">
        <is>
          <t>+LS05</t>
        </is>
      </c>
      <c r="D5139" t="inlineStr">
        <is>
          <t>-245Q1</t>
        </is>
      </c>
      <c r="E5139" t="inlineStr">
        <is>
          <t>DILM150-XHIC22</t>
        </is>
      </c>
      <c r="F5139" t="inlineStr">
        <is>
          <t>DILM150-XHIC22</t>
        </is>
      </c>
      <c r="G5139" t="inlineStr">
        <is>
          <t>HILFSKONTAKTBLOCK</t>
        </is>
      </c>
      <c r="H5139" t="inlineStr">
        <is>
          <t>2S 2OE ab DILMC40</t>
        </is>
      </c>
      <c r="I5139">
        <v>294</v>
      </c>
      <c r="J5139">
        <f>GS37/245.4</f>
        <v>0</v>
      </c>
      <c r="K5139" t="inlineStr">
        <is>
          <t>DIL MC 40</t>
        </is>
      </c>
      <c r="M5139" t="inlineStr">
        <is>
          <t>-245Q1</t>
        </is>
      </c>
    </row>
    <row r="5140">
      <c r="A5140">
        <v>5139</v>
      </c>
      <c r="B5140">
        <f>GS90</f>
        <v>0</v>
      </c>
      <c r="C5140" t="inlineStr">
        <is>
          <t>+LS03</t>
        </is>
      </c>
      <c r="D5140" t="inlineStr">
        <is>
          <t>-245Q167.2</t>
        </is>
      </c>
      <c r="E5140" t="inlineStr">
        <is>
          <t>DILM-9-10</t>
        </is>
      </c>
      <c r="F5140" t="inlineStr">
        <is>
          <t>#KALK!</t>
        </is>
      </c>
      <c r="G5140" t="inlineStr">
        <is>
          <t>LASTSCHUETZ</t>
        </is>
      </c>
      <c r="H5140" t="inlineStr">
        <is>
          <t>4kW 1S Federzugkl.</t>
        </is>
      </c>
      <c r="I5140">
        <v>1005</v>
      </c>
      <c r="J5140">
        <f>GS90/245.5</f>
        <v>0</v>
      </c>
      <c r="M5140" t="inlineStr">
        <is>
          <t>-245Q167.2</t>
        </is>
      </c>
    </row>
    <row r="5141">
      <c r="A5141">
        <v>5140</v>
      </c>
      <c r="B5141">
        <f>GS35</f>
        <v>0</v>
      </c>
      <c r="C5141" t="inlineStr">
        <is>
          <t>+LS05</t>
        </is>
      </c>
      <c r="D5141" t="inlineStr">
        <is>
          <t>-245Q420.2</t>
        </is>
      </c>
      <c r="E5141" t="inlineStr">
        <is>
          <t>DILM-12-10</t>
        </is>
      </c>
      <c r="F5141" t="inlineStr">
        <is>
          <t>#KALK!</t>
        </is>
      </c>
      <c r="G5141" t="inlineStr">
        <is>
          <t>LASTSCHUETZ</t>
        </is>
      </c>
      <c r="H5141" t="inlineStr">
        <is>
          <t>5,5kW 1S Federzugkl.</t>
        </is>
      </c>
      <c r="I5141">
        <v>399</v>
      </c>
      <c r="J5141">
        <f>GS35/245.5</f>
        <v>0</v>
      </c>
      <c r="K5141" t="inlineStr">
        <is>
          <t>DIL MC12</t>
        </is>
      </c>
      <c r="M5141" t="inlineStr">
        <is>
          <t>-245Q420.2</t>
        </is>
      </c>
    </row>
    <row r="5142">
      <c r="A5142">
        <v>5141</v>
      </c>
      <c r="B5142">
        <f>GS94</f>
        <v>0</v>
      </c>
      <c r="C5142" t="inlineStr">
        <is>
          <t>+LS17</t>
        </is>
      </c>
      <c r="D5142" t="inlineStr">
        <is>
          <t>-245Q475.0</t>
        </is>
      </c>
      <c r="E5142" t="inlineStr">
        <is>
          <t>DILM-9-10</t>
        </is>
      </c>
      <c r="F5142" t="inlineStr">
        <is>
          <t>#KALK!</t>
        </is>
      </c>
      <c r="G5142" t="inlineStr">
        <is>
          <t>LASTSCHUETZ</t>
        </is>
      </c>
      <c r="H5142" t="inlineStr">
        <is>
          <t>4kW 1S Federzugkl.</t>
        </is>
      </c>
      <c r="I5142">
        <v>335</v>
      </c>
      <c r="J5142">
        <f>GS94/245.5</f>
        <v>0</v>
      </c>
      <c r="M5142" t="inlineStr">
        <is>
          <t>-245Q475.0</t>
        </is>
      </c>
    </row>
    <row r="5143">
      <c r="A5143">
        <v>5142</v>
      </c>
      <c r="B5143">
        <f>GS96</f>
        <v>0</v>
      </c>
      <c r="C5143" t="inlineStr">
        <is>
          <t>+LS17</t>
        </is>
      </c>
      <c r="D5143" t="inlineStr">
        <is>
          <t>-245Q475.0</t>
        </is>
      </c>
      <c r="E5143" t="inlineStr">
        <is>
          <t>DILM-9-10</t>
        </is>
      </c>
      <c r="F5143" t="inlineStr">
        <is>
          <t>#KALK!</t>
        </is>
      </c>
      <c r="G5143" t="inlineStr">
        <is>
          <t>LASTSCHUETZ</t>
        </is>
      </c>
      <c r="H5143" t="inlineStr">
        <is>
          <t>4kW 1S Federzugkl.</t>
        </is>
      </c>
      <c r="I5143">
        <v>335</v>
      </c>
      <c r="J5143">
        <f>GS96/245.5</f>
        <v>0</v>
      </c>
      <c r="M5143" t="inlineStr">
        <is>
          <t>-245Q475.0</t>
        </is>
      </c>
    </row>
    <row r="5144">
      <c r="A5144">
        <v>5143</v>
      </c>
      <c r="B5144">
        <f>GS06</f>
        <v>0</v>
      </c>
      <c r="C5144" t="inlineStr">
        <is>
          <t>+LS03</t>
        </is>
      </c>
      <c r="D5144" t="inlineStr">
        <is>
          <t>-246K1</t>
        </is>
      </c>
      <c r="E5144" t="inlineStr">
        <is>
          <t>DILM-9-01</t>
        </is>
      </c>
      <c r="F5144" t="inlineStr">
        <is>
          <t>#KALK!</t>
        </is>
      </c>
      <c r="G5144" t="inlineStr">
        <is>
          <t>LASTSCHUETZ</t>
        </is>
      </c>
      <c r="H5144" t="inlineStr">
        <is>
          <t>4kW 1Oe Federzugkl.</t>
        </is>
      </c>
      <c r="I5144">
        <v>2958</v>
      </c>
      <c r="J5144">
        <f>GS06/246.5</f>
        <v>0</v>
      </c>
      <c r="M5144" t="inlineStr">
        <is>
          <t>-246K1</t>
        </is>
      </c>
    </row>
    <row r="5145">
      <c r="A5145">
        <v>5144</v>
      </c>
      <c r="B5145">
        <f>GS08</f>
        <v>0</v>
      </c>
      <c r="C5145" t="inlineStr">
        <is>
          <t>+LS03</t>
        </is>
      </c>
      <c r="D5145" t="inlineStr">
        <is>
          <t>-246K1</t>
        </is>
      </c>
      <c r="E5145" t="inlineStr">
        <is>
          <t>DILM-9-01</t>
        </is>
      </c>
      <c r="F5145" t="inlineStr">
        <is>
          <t>#KALK!</t>
        </is>
      </c>
      <c r="G5145" t="inlineStr">
        <is>
          <t>LASTSCHUETZ</t>
        </is>
      </c>
      <c r="H5145" t="inlineStr">
        <is>
          <t>4kW 1Oe Federzugkl.</t>
        </is>
      </c>
      <c r="I5145">
        <v>2300</v>
      </c>
      <c r="J5145">
        <f>GS08/246.6</f>
        <v>0</v>
      </c>
      <c r="M5145" t="inlineStr">
        <is>
          <t>-246K1</t>
        </is>
      </c>
    </row>
    <row r="5146">
      <c r="A5146">
        <v>5145</v>
      </c>
      <c r="B5146">
        <f>GS26</f>
        <v>0</v>
      </c>
      <c r="C5146" t="inlineStr">
        <is>
          <t>+QVW2401</t>
        </is>
      </c>
      <c r="D5146" t="inlineStr">
        <is>
          <t>-246K1</t>
        </is>
      </c>
      <c r="E5146" t="inlineStr">
        <is>
          <t>DILM150-XHIC22</t>
        </is>
      </c>
      <c r="F5146" t="inlineStr">
        <is>
          <t>DILM150-XHIC22</t>
        </is>
      </c>
      <c r="G5146" t="inlineStr">
        <is>
          <t>HILFSKONTAKTBLOCK</t>
        </is>
      </c>
      <c r="H5146" t="inlineStr">
        <is>
          <t>2S 2OE ab DILMC40</t>
        </is>
      </c>
      <c r="I5146">
        <v>473</v>
      </c>
      <c r="J5146">
        <f>GS26/246.2</f>
        <v>0</v>
      </c>
      <c r="M5146" t="inlineStr">
        <is>
          <t>-246K1</t>
        </is>
      </c>
    </row>
    <row r="5147">
      <c r="A5147">
        <v>5146</v>
      </c>
      <c r="B5147">
        <f>GS26</f>
        <v>0</v>
      </c>
      <c r="C5147" t="inlineStr">
        <is>
          <t>+QVW2401</t>
        </is>
      </c>
      <c r="D5147" t="inlineStr">
        <is>
          <t>-246K1</t>
        </is>
      </c>
      <c r="E5147" t="inlineStr">
        <is>
          <t>DILMC40(RDC24)</t>
        </is>
      </c>
      <c r="F5147" t="inlineStr">
        <is>
          <t>DILM150-XHIC22</t>
        </is>
      </c>
      <c r="G5147" t="inlineStr">
        <is>
          <t>LASTSCHUETZ</t>
        </is>
      </c>
      <c r="H5147" t="inlineStr">
        <is>
          <t>18,5kW Federzugkl.</t>
        </is>
      </c>
      <c r="I5147">
        <v>473</v>
      </c>
      <c r="J5147">
        <f>GS26/246.2</f>
        <v>0</v>
      </c>
      <c r="M5147" t="inlineStr">
        <is>
          <t>-246K1</t>
        </is>
      </c>
    </row>
    <row r="5148">
      <c r="A5148">
        <v>5147</v>
      </c>
      <c r="B5148">
        <f>GS06</f>
        <v>0</v>
      </c>
      <c r="C5148" t="inlineStr">
        <is>
          <t>+LS03</t>
        </is>
      </c>
      <c r="D5148" t="inlineStr">
        <is>
          <t>-246K2</t>
        </is>
      </c>
      <c r="E5148" t="inlineStr">
        <is>
          <t>DILM-9-01</t>
        </is>
      </c>
      <c r="F5148" t="inlineStr">
        <is>
          <t>#KALK!</t>
        </is>
      </c>
      <c r="G5148" t="inlineStr">
        <is>
          <t>LASTSCHUETZ</t>
        </is>
      </c>
      <c r="H5148" t="inlineStr">
        <is>
          <t>4kW 1Oe Federzugkl.</t>
        </is>
      </c>
      <c r="I5148">
        <v>2958</v>
      </c>
      <c r="J5148">
        <f>GS06/246.6</f>
        <v>0</v>
      </c>
      <c r="M5148" t="inlineStr">
        <is>
          <t>-246K2</t>
        </is>
      </c>
    </row>
    <row r="5149">
      <c r="A5149">
        <v>5148</v>
      </c>
      <c r="B5149">
        <f>GS08</f>
        <v>0</v>
      </c>
      <c r="C5149" t="inlineStr">
        <is>
          <t>+LS03</t>
        </is>
      </c>
      <c r="D5149" t="inlineStr">
        <is>
          <t>-246K2</t>
        </is>
      </c>
      <c r="E5149" t="inlineStr">
        <is>
          <t>DILM-9-01</t>
        </is>
      </c>
      <c r="F5149" t="inlineStr">
        <is>
          <t>#KALK!</t>
        </is>
      </c>
      <c r="G5149" t="inlineStr">
        <is>
          <t>LASTSCHUETZ</t>
        </is>
      </c>
      <c r="H5149" t="inlineStr">
        <is>
          <t>4kW 1Oe Federzugkl.</t>
        </is>
      </c>
      <c r="I5149">
        <v>2300</v>
      </c>
      <c r="J5149">
        <f>GS08/246.7</f>
        <v>0</v>
      </c>
      <c r="M5149" t="inlineStr">
        <is>
          <t>-246K2</t>
        </is>
      </c>
    </row>
    <row r="5150">
      <c r="A5150">
        <v>5149</v>
      </c>
      <c r="B5150">
        <f>GS15</f>
        <v>0</v>
      </c>
      <c r="C5150" t="inlineStr">
        <is>
          <t>+LS5</t>
        </is>
      </c>
      <c r="D5150" t="inlineStr">
        <is>
          <t>-246K80.1</t>
        </is>
      </c>
      <c r="E5150" t="inlineStr">
        <is>
          <t>DIL_EM-10-G</t>
        </is>
      </c>
      <c r="F5150" t="inlineStr">
        <is>
          <t>#KALK!</t>
        </is>
      </c>
      <c r="G5150" t="inlineStr">
        <is>
          <t>LASTSCHUETZ</t>
        </is>
      </c>
      <c r="H5150" t="inlineStr">
        <is>
          <t>4kW 1S</t>
        </is>
      </c>
      <c r="I5150">
        <v>740</v>
      </c>
      <c r="J5150">
        <f>GS15/246.5</f>
        <v>0</v>
      </c>
      <c r="M5150" t="inlineStr">
        <is>
          <t>-246K80.1</t>
        </is>
      </c>
    </row>
    <row r="5151">
      <c r="A5151">
        <v>5150</v>
      </c>
      <c r="B5151">
        <f>GS15</f>
        <v>0</v>
      </c>
      <c r="C5151" t="inlineStr">
        <is>
          <t>+LS5</t>
        </is>
      </c>
      <c r="D5151" t="inlineStr">
        <is>
          <t>-246K80.2</t>
        </is>
      </c>
      <c r="E5151" t="inlineStr">
        <is>
          <t>DIL_EM-10-G</t>
        </is>
      </c>
      <c r="F5151" t="inlineStr">
        <is>
          <t>#KALK!</t>
        </is>
      </c>
      <c r="G5151" t="inlineStr">
        <is>
          <t>LASTSCHUETZ</t>
        </is>
      </c>
      <c r="H5151" t="inlineStr">
        <is>
          <t>4kW 1S</t>
        </is>
      </c>
      <c r="I5151">
        <v>740</v>
      </c>
      <c r="J5151">
        <f>GS15/246.6</f>
        <v>0</v>
      </c>
      <c r="M5151" t="inlineStr">
        <is>
          <t>-246K80.2</t>
        </is>
      </c>
    </row>
    <row r="5152">
      <c r="A5152">
        <v>5151</v>
      </c>
      <c r="B5152">
        <f>GS15</f>
        <v>0</v>
      </c>
      <c r="C5152" t="inlineStr">
        <is>
          <t>+LS5</t>
        </is>
      </c>
      <c r="D5152" t="inlineStr">
        <is>
          <t>-246K80.3</t>
        </is>
      </c>
      <c r="E5152" t="inlineStr">
        <is>
          <t>DIL_EM-01-G</t>
        </is>
      </c>
      <c r="F5152" t="inlineStr">
        <is>
          <t>#KALK!</t>
        </is>
      </c>
      <c r="G5152" t="inlineStr">
        <is>
          <t>LASTSCHUETZ</t>
        </is>
      </c>
      <c r="H5152" t="inlineStr">
        <is>
          <t>4kW 1OE</t>
        </is>
      </c>
      <c r="I5152">
        <v>740</v>
      </c>
      <c r="J5152">
        <f>GS15/246.7</f>
        <v>0</v>
      </c>
      <c r="M5152" t="inlineStr">
        <is>
          <t>-246K80.3</t>
        </is>
      </c>
    </row>
    <row r="5153">
      <c r="A5153">
        <v>5152</v>
      </c>
      <c r="B5153">
        <f>GS15</f>
        <v>0</v>
      </c>
      <c r="C5153" t="inlineStr">
        <is>
          <t>+LS5</t>
        </is>
      </c>
      <c r="D5153" t="inlineStr">
        <is>
          <t>-246K80.4</t>
        </is>
      </c>
      <c r="E5153" t="inlineStr">
        <is>
          <t>DIL_EM-01-G</t>
        </is>
      </c>
      <c r="F5153" t="inlineStr">
        <is>
          <t>#KALK!</t>
        </is>
      </c>
      <c r="G5153" t="inlineStr">
        <is>
          <t>LASTSCHUETZ</t>
        </is>
      </c>
      <c r="H5153" t="inlineStr">
        <is>
          <t>4kW 1OE</t>
        </is>
      </c>
      <c r="I5153">
        <v>740</v>
      </c>
      <c r="J5153">
        <f>GS15/246.8</f>
        <v>0</v>
      </c>
      <c r="M5153" t="inlineStr">
        <is>
          <t>-246K80.4</t>
        </is>
      </c>
    </row>
    <row r="5154">
      <c r="A5154">
        <v>5153</v>
      </c>
      <c r="B5154">
        <f>GS14</f>
        <v>0</v>
      </c>
      <c r="C5154" t="inlineStr">
        <is>
          <t>+LS5</t>
        </is>
      </c>
      <c r="D5154" t="inlineStr">
        <is>
          <t>-246K84.5</t>
        </is>
      </c>
      <c r="E5154" t="inlineStr">
        <is>
          <t>DIL_EM-10-G</t>
        </is>
      </c>
      <c r="F5154" t="inlineStr">
        <is>
          <t>#KALK!</t>
        </is>
      </c>
      <c r="G5154" t="inlineStr">
        <is>
          <t>LASTSCHUETZ</t>
        </is>
      </c>
      <c r="H5154" t="inlineStr">
        <is>
          <t>4kW 1S</t>
        </is>
      </c>
      <c r="I5154">
        <v>372</v>
      </c>
      <c r="J5154">
        <f>GS14/246.6</f>
        <v>0</v>
      </c>
      <c r="M5154" t="inlineStr">
        <is>
          <t>-246K84.5</t>
        </is>
      </c>
    </row>
    <row r="5155">
      <c r="A5155">
        <v>5154</v>
      </c>
      <c r="B5155">
        <f>GS14</f>
        <v>0</v>
      </c>
      <c r="C5155" t="inlineStr">
        <is>
          <t>+LS5</t>
        </is>
      </c>
      <c r="D5155" t="inlineStr">
        <is>
          <t>-246K84.6</t>
        </is>
      </c>
      <c r="E5155" t="inlineStr">
        <is>
          <t>DIL_EM-10-G</t>
        </is>
      </c>
      <c r="F5155" t="inlineStr">
        <is>
          <t>#KALK!</t>
        </is>
      </c>
      <c r="G5155" t="inlineStr">
        <is>
          <t>LASTSCHUETZ</t>
        </is>
      </c>
      <c r="H5155" t="inlineStr">
        <is>
          <t>4kW 1S</t>
        </is>
      </c>
      <c r="I5155">
        <v>372</v>
      </c>
      <c r="J5155">
        <f>GS14/246.6</f>
        <v>0</v>
      </c>
      <c r="M5155" t="inlineStr">
        <is>
          <t>-246K84.6</t>
        </is>
      </c>
    </row>
    <row r="5156">
      <c r="A5156">
        <v>5155</v>
      </c>
      <c r="B5156">
        <f>GS91</f>
        <v>0</v>
      </c>
      <c r="C5156" t="inlineStr">
        <is>
          <t>+LS03</t>
        </is>
      </c>
      <c r="D5156" t="inlineStr">
        <is>
          <t>-246Q162.4</t>
        </is>
      </c>
      <c r="E5156" t="inlineStr">
        <is>
          <t>DILM-9-10</t>
        </is>
      </c>
      <c r="F5156" t="inlineStr">
        <is>
          <t>#KALK!</t>
        </is>
      </c>
      <c r="G5156" t="inlineStr">
        <is>
          <t>LASTSCHUETZ</t>
        </is>
      </c>
      <c r="H5156" t="inlineStr">
        <is>
          <t>4kW 1S Federzugkl.</t>
        </is>
      </c>
      <c r="I5156">
        <v>394</v>
      </c>
      <c r="J5156">
        <f>GS91/246.5</f>
        <v>0</v>
      </c>
      <c r="M5156" t="inlineStr">
        <is>
          <t>-246Q162.4</t>
        </is>
      </c>
    </row>
    <row r="5157">
      <c r="A5157">
        <v>5156</v>
      </c>
      <c r="B5157">
        <f>GS95</f>
        <v>0</v>
      </c>
      <c r="C5157" t="inlineStr">
        <is>
          <t>+LS17</t>
        </is>
      </c>
      <c r="D5157" t="inlineStr">
        <is>
          <t>-246Q476.5</t>
        </is>
      </c>
      <c r="E5157" t="inlineStr">
        <is>
          <t>DILM-9-10</t>
        </is>
      </c>
      <c r="F5157" t="inlineStr">
        <is>
          <t>#KALK!</t>
        </is>
      </c>
      <c r="G5157" t="inlineStr">
        <is>
          <t>LASTSCHUETZ</t>
        </is>
      </c>
      <c r="H5157" t="inlineStr">
        <is>
          <t>4kW 1S Federzugkl.</t>
        </is>
      </c>
      <c r="I5157">
        <v>683</v>
      </c>
      <c r="J5157">
        <f>GS95/246.5</f>
        <v>0</v>
      </c>
      <c r="M5157" t="inlineStr">
        <is>
          <t>-246Q476.5</t>
        </is>
      </c>
    </row>
    <row r="5158">
      <c r="A5158">
        <v>5157</v>
      </c>
      <c r="B5158">
        <f>GS97</f>
        <v>0</v>
      </c>
      <c r="C5158" t="inlineStr">
        <is>
          <t>+LS17</t>
        </is>
      </c>
      <c r="D5158" t="inlineStr">
        <is>
          <t>-246Q476.5</t>
        </is>
      </c>
      <c r="E5158" t="inlineStr">
        <is>
          <t>DILM-9-10</t>
        </is>
      </c>
      <c r="F5158" t="inlineStr">
        <is>
          <t>#KALK!</t>
        </is>
      </c>
      <c r="G5158" t="inlineStr">
        <is>
          <t>LASTSCHUETZ</t>
        </is>
      </c>
      <c r="H5158" t="inlineStr">
        <is>
          <t>4kW 1S Federzugkl.</t>
        </is>
      </c>
      <c r="I5158">
        <v>683</v>
      </c>
      <c r="J5158">
        <f>GS97/246.5</f>
        <v>0</v>
      </c>
      <c r="M5158" t="inlineStr">
        <is>
          <t>-246Q476.5</t>
        </is>
      </c>
    </row>
    <row r="5159">
      <c r="A5159">
        <v>5158</v>
      </c>
      <c r="B5159">
        <f>GS06</f>
        <v>0</v>
      </c>
      <c r="C5159" t="inlineStr">
        <is>
          <t>+LS03</t>
        </is>
      </c>
      <c r="D5159" t="inlineStr">
        <is>
          <t>-247K1</t>
        </is>
      </c>
      <c r="E5159" t="inlineStr">
        <is>
          <t>DILM-9-01</t>
        </is>
      </c>
      <c r="F5159" t="inlineStr">
        <is>
          <t>#KALK!</t>
        </is>
      </c>
      <c r="G5159" t="inlineStr">
        <is>
          <t>LASTSCHUETZ</t>
        </is>
      </c>
      <c r="H5159" t="inlineStr">
        <is>
          <t>4kW 1Oe Federzugkl.</t>
        </is>
      </c>
      <c r="I5159">
        <v>2959</v>
      </c>
      <c r="J5159">
        <f>GS06/247.6</f>
        <v>0</v>
      </c>
      <c r="M5159" t="inlineStr">
        <is>
          <t>-247K1</t>
        </is>
      </c>
    </row>
    <row r="5160">
      <c r="A5160">
        <v>5159</v>
      </c>
      <c r="B5160">
        <f>GS08</f>
        <v>0</v>
      </c>
      <c r="C5160" t="inlineStr">
        <is>
          <t>+LS03</t>
        </is>
      </c>
      <c r="D5160" t="inlineStr">
        <is>
          <t>-247K1</t>
        </is>
      </c>
      <c r="E5160" t="inlineStr">
        <is>
          <t>DILM-9-01</t>
        </is>
      </c>
      <c r="F5160" t="inlineStr">
        <is>
          <t>#KALK!</t>
        </is>
      </c>
      <c r="G5160" t="inlineStr">
        <is>
          <t>LASTSCHUETZ</t>
        </is>
      </c>
      <c r="H5160" t="inlineStr">
        <is>
          <t>4kW 1Oe Federzugkl.</t>
        </is>
      </c>
      <c r="I5160">
        <v>2459</v>
      </c>
      <c r="J5160">
        <f>GS08/247.6</f>
        <v>0</v>
      </c>
      <c r="M5160" t="inlineStr">
        <is>
          <t>-247K1</t>
        </is>
      </c>
    </row>
    <row r="5161">
      <c r="A5161">
        <v>5160</v>
      </c>
      <c r="B5161">
        <f>GS06</f>
        <v>0</v>
      </c>
      <c r="C5161" t="inlineStr">
        <is>
          <t>+LS03</t>
        </is>
      </c>
      <c r="D5161" t="inlineStr">
        <is>
          <t>-247K2</t>
        </is>
      </c>
      <c r="E5161" t="inlineStr">
        <is>
          <t>DILM-9-01</t>
        </is>
      </c>
      <c r="F5161" t="inlineStr">
        <is>
          <t>#KALK!</t>
        </is>
      </c>
      <c r="G5161" t="inlineStr">
        <is>
          <t>LASTSCHUETZ</t>
        </is>
      </c>
      <c r="H5161" t="inlineStr">
        <is>
          <t>4kW 1Oe Federzugkl.</t>
        </is>
      </c>
      <c r="I5161">
        <v>2959</v>
      </c>
      <c r="J5161">
        <f>GS06/247.7</f>
        <v>0</v>
      </c>
      <c r="M5161" t="inlineStr">
        <is>
          <t>-247K2</t>
        </is>
      </c>
    </row>
    <row r="5162">
      <c r="A5162">
        <v>5161</v>
      </c>
      <c r="B5162">
        <f>GS08</f>
        <v>0</v>
      </c>
      <c r="C5162" t="inlineStr">
        <is>
          <t>+LS03</t>
        </is>
      </c>
      <c r="D5162" t="inlineStr">
        <is>
          <t>-247K2</t>
        </is>
      </c>
      <c r="E5162" t="inlineStr">
        <is>
          <t>DILM-9-01</t>
        </is>
      </c>
      <c r="F5162" t="inlineStr">
        <is>
          <t>#KALK!</t>
        </is>
      </c>
      <c r="G5162" t="inlineStr">
        <is>
          <t>LASTSCHUETZ</t>
        </is>
      </c>
      <c r="H5162" t="inlineStr">
        <is>
          <t>4kW 1Oe Federzugkl.</t>
        </is>
      </c>
      <c r="I5162">
        <v>2459</v>
      </c>
      <c r="J5162">
        <f>GS08/247.7</f>
        <v>0</v>
      </c>
      <c r="M5162" t="inlineStr">
        <is>
          <t>-247K2</t>
        </is>
      </c>
    </row>
    <row r="5163">
      <c r="A5163">
        <v>5162</v>
      </c>
      <c r="B5163">
        <f>GS15</f>
        <v>0</v>
      </c>
      <c r="C5163" t="inlineStr">
        <is>
          <t>+LS5</t>
        </is>
      </c>
      <c r="D5163" t="inlineStr">
        <is>
          <t>-247K80.5</t>
        </is>
      </c>
      <c r="E5163" t="inlineStr">
        <is>
          <t>DIL_EM-10-G</t>
        </is>
      </c>
      <c r="F5163" t="inlineStr">
        <is>
          <t>#KALK!</t>
        </is>
      </c>
      <c r="G5163" t="inlineStr">
        <is>
          <t>LASTSCHUETZ</t>
        </is>
      </c>
      <c r="H5163" t="inlineStr">
        <is>
          <t>4kW 1S</t>
        </is>
      </c>
      <c r="I5163">
        <v>741</v>
      </c>
      <c r="J5163">
        <f>GS15/247.6</f>
        <v>0</v>
      </c>
      <c r="M5163" t="inlineStr">
        <is>
          <t>-247K80.5</t>
        </is>
      </c>
    </row>
    <row r="5164">
      <c r="A5164">
        <v>5163</v>
      </c>
      <c r="B5164">
        <f>GS15</f>
        <v>0</v>
      </c>
      <c r="C5164" t="inlineStr">
        <is>
          <t>+LS5</t>
        </is>
      </c>
      <c r="D5164" t="inlineStr">
        <is>
          <t>-247K80.6</t>
        </is>
      </c>
      <c r="E5164" t="inlineStr">
        <is>
          <t>DIL_EM-10-G</t>
        </is>
      </c>
      <c r="F5164" t="inlineStr">
        <is>
          <t>#KALK!</t>
        </is>
      </c>
      <c r="G5164" t="inlineStr">
        <is>
          <t>LASTSCHUETZ</t>
        </is>
      </c>
      <c r="H5164" t="inlineStr">
        <is>
          <t>4kW 1S</t>
        </is>
      </c>
      <c r="I5164">
        <v>741</v>
      </c>
      <c r="J5164">
        <f>GS15/247.6</f>
        <v>0</v>
      </c>
      <c r="M5164" t="inlineStr">
        <is>
          <t>-247K80.6</t>
        </is>
      </c>
    </row>
    <row r="5165">
      <c r="A5165">
        <v>5164</v>
      </c>
      <c r="B5165">
        <f>GS91</f>
        <v>0</v>
      </c>
      <c r="C5165" t="inlineStr">
        <is>
          <t>+LS03</t>
        </is>
      </c>
      <c r="D5165" t="inlineStr">
        <is>
          <t>-247Q162.5</t>
        </is>
      </c>
      <c r="E5165" t="inlineStr">
        <is>
          <t>DILM-9-10</t>
        </is>
      </c>
      <c r="F5165" t="inlineStr">
        <is>
          <t>#KALK!</t>
        </is>
      </c>
      <c r="G5165" t="inlineStr">
        <is>
          <t>LASTSCHUETZ</t>
        </is>
      </c>
      <c r="H5165" t="inlineStr">
        <is>
          <t>4kW 1S Federzugkl.</t>
        </is>
      </c>
      <c r="I5165">
        <v>395</v>
      </c>
      <c r="J5165">
        <f>GS91/247.5</f>
        <v>0</v>
      </c>
      <c r="M5165" t="inlineStr">
        <is>
          <t>-247Q162.5</t>
        </is>
      </c>
    </row>
    <row r="5166">
      <c r="A5166">
        <v>5165</v>
      </c>
      <c r="B5166">
        <f>GS25</f>
        <v>0</v>
      </c>
      <c r="C5166" t="inlineStr">
        <is>
          <t>+LS5</t>
        </is>
      </c>
      <c r="D5166" t="inlineStr">
        <is>
          <t>-248K1</t>
        </is>
      </c>
      <c r="E5166" t="inlineStr">
        <is>
          <t>DIL_0AM</t>
        </is>
      </c>
      <c r="F5166" t="inlineStr">
        <is>
          <t>22_DIL-M</t>
        </is>
      </c>
      <c r="G5166" t="inlineStr">
        <is>
          <t>LASTSCHUETZ</t>
        </is>
      </c>
      <c r="H5166" t="inlineStr">
        <is>
          <t>11 kW</t>
        </is>
      </c>
      <c r="I5166">
        <v>369</v>
      </c>
      <c r="J5166">
        <f>GS25/248.2</f>
        <v>0</v>
      </c>
      <c r="K5166" t="inlineStr">
        <is>
          <t>DIL0AM</t>
        </is>
      </c>
      <c r="M5166" t="inlineStr">
        <is>
          <t>-248K1</t>
        </is>
      </c>
    </row>
    <row r="5167">
      <c r="A5167">
        <v>5166</v>
      </c>
      <c r="B5167">
        <f>GS25</f>
        <v>0</v>
      </c>
      <c r="C5167" t="inlineStr">
        <is>
          <t>+LS5</t>
        </is>
      </c>
      <c r="D5167" t="inlineStr">
        <is>
          <t>-248K1</t>
        </is>
      </c>
      <c r="E5167" t="inlineStr">
        <is>
          <t>22_DIL-M</t>
        </is>
      </c>
      <c r="F5167" t="inlineStr">
        <is>
          <t>22_DIL-M</t>
        </is>
      </c>
      <c r="G5167" t="inlineStr">
        <is>
          <t>HILFSKONTAKTBLOCK</t>
        </is>
      </c>
      <c r="H5167" t="inlineStr">
        <is>
          <t>2S 2OE Lastschuetz DIL M</t>
        </is>
      </c>
      <c r="I5167">
        <v>369</v>
      </c>
      <c r="J5167">
        <f>GS25/248.2</f>
        <v>0</v>
      </c>
      <c r="K5167" t="inlineStr">
        <is>
          <t>DIL0AM</t>
        </is>
      </c>
      <c r="M5167" t="inlineStr">
        <is>
          <t>-248K1</t>
        </is>
      </c>
    </row>
    <row r="5168">
      <c r="A5168">
        <v>5167</v>
      </c>
      <c r="B5168">
        <f>GS38</f>
        <v>0</v>
      </c>
      <c r="C5168" t="inlineStr">
        <is>
          <t>+LS04</t>
        </is>
      </c>
      <c r="D5168" t="inlineStr">
        <is>
          <t>-248K1</t>
        </is>
      </c>
      <c r="E5168" t="inlineStr">
        <is>
          <t>DILA-XHI22</t>
        </is>
      </c>
      <c r="F5168" t="inlineStr">
        <is>
          <t>DILA-XHI22</t>
        </is>
      </c>
      <c r="G5168" t="inlineStr">
        <is>
          <t>HILFSKONTAKTBLOCK</t>
        </is>
      </c>
      <c r="H5168" t="inlineStr">
        <is>
          <t>2S 2OE Last+Hilfssch. Cage</t>
        </is>
      </c>
      <c r="I5168">
        <v>418</v>
      </c>
      <c r="J5168">
        <f>GS38/248.5</f>
        <v>0</v>
      </c>
      <c r="M5168" t="inlineStr">
        <is>
          <t>-248K1</t>
        </is>
      </c>
    </row>
    <row r="5169">
      <c r="A5169">
        <v>5168</v>
      </c>
      <c r="B5169">
        <f>GS38</f>
        <v>0</v>
      </c>
      <c r="C5169" t="inlineStr">
        <is>
          <t>+LS04</t>
        </is>
      </c>
      <c r="D5169" t="inlineStr">
        <is>
          <t>-248K1</t>
        </is>
      </c>
      <c r="E5169" t="inlineStr">
        <is>
          <t>DILM-9-10</t>
        </is>
      </c>
      <c r="F5169" t="inlineStr">
        <is>
          <t>DILA-XHI22</t>
        </is>
      </c>
      <c r="G5169" t="inlineStr">
        <is>
          <t>LASTSCHUETZ</t>
        </is>
      </c>
      <c r="H5169" t="inlineStr">
        <is>
          <t>4kW 1S Federzugkl.</t>
        </is>
      </c>
      <c r="I5169">
        <v>418</v>
      </c>
      <c r="J5169">
        <f>GS38/248.5</f>
        <v>0</v>
      </c>
      <c r="M5169" t="inlineStr">
        <is>
          <t>-248K1</t>
        </is>
      </c>
    </row>
    <row r="5170">
      <c r="A5170">
        <v>5169</v>
      </c>
      <c r="B5170">
        <f>GS37</f>
        <v>0</v>
      </c>
      <c r="C5170" t="inlineStr">
        <is>
          <t>+LS05</t>
        </is>
      </c>
      <c r="D5170" t="inlineStr">
        <is>
          <t>-248K130.2</t>
        </is>
      </c>
      <c r="E5170" t="inlineStr">
        <is>
          <t>DILA-22</t>
        </is>
      </c>
      <c r="F5170" t="inlineStr">
        <is>
          <t>#KALK!</t>
        </is>
      </c>
      <c r="G5170" t="inlineStr">
        <is>
          <t>HILFSSCHUETZ</t>
        </is>
      </c>
      <c r="H5170" t="inlineStr">
        <is>
          <t>2S 2Oe Federzugkl.</t>
        </is>
      </c>
      <c r="I5170">
        <v>283</v>
      </c>
      <c r="J5170">
        <f>GS37/248.8</f>
        <v>0</v>
      </c>
      <c r="M5170" t="inlineStr">
        <is>
          <t>-248K130.2</t>
        </is>
      </c>
    </row>
    <row r="5171">
      <c r="A5171">
        <v>5170</v>
      </c>
      <c r="B5171">
        <f>GS38</f>
        <v>0</v>
      </c>
      <c r="C5171" t="inlineStr">
        <is>
          <t>+LS04</t>
        </is>
      </c>
      <c r="D5171" t="inlineStr">
        <is>
          <t>-248K2</t>
        </is>
      </c>
      <c r="E5171" t="inlineStr">
        <is>
          <t>DILA-XHI22</t>
        </is>
      </c>
      <c r="F5171" t="inlineStr">
        <is>
          <t>DILA-XHI22</t>
        </is>
      </c>
      <c r="G5171" t="inlineStr">
        <is>
          <t>HILFSKONTAKTBLOCK</t>
        </is>
      </c>
      <c r="H5171" t="inlineStr">
        <is>
          <t>2S 2OE Last+Hilfssch. Cage</t>
        </is>
      </c>
      <c r="I5171">
        <v>418</v>
      </c>
      <c r="J5171">
        <f>GS38/248.6</f>
        <v>0</v>
      </c>
      <c r="M5171" t="inlineStr">
        <is>
          <t>-248K2</t>
        </is>
      </c>
    </row>
    <row r="5172">
      <c r="A5172">
        <v>5171</v>
      </c>
      <c r="B5172">
        <f>GS38</f>
        <v>0</v>
      </c>
      <c r="C5172" t="inlineStr">
        <is>
          <t>+LS04</t>
        </is>
      </c>
      <c r="D5172" t="inlineStr">
        <is>
          <t>-248K2</t>
        </is>
      </c>
      <c r="E5172" t="inlineStr">
        <is>
          <t>DILM-9-10</t>
        </is>
      </c>
      <c r="F5172" t="inlineStr">
        <is>
          <t>DILA-XHI22</t>
        </is>
      </c>
      <c r="G5172" t="inlineStr">
        <is>
          <t>LASTSCHUETZ</t>
        </is>
      </c>
      <c r="H5172" t="inlineStr">
        <is>
          <t>4kW 1S Federzugkl.</t>
        </is>
      </c>
      <c r="I5172">
        <v>418</v>
      </c>
      <c r="J5172">
        <f>GS38/248.6</f>
        <v>0</v>
      </c>
      <c r="M5172" t="inlineStr">
        <is>
          <t>-248K2</t>
        </is>
      </c>
    </row>
    <row r="5173">
      <c r="A5173">
        <v>5172</v>
      </c>
      <c r="B5173">
        <f>GS08</f>
        <v>0</v>
      </c>
      <c r="C5173" t="inlineStr">
        <is>
          <t>+LS03</t>
        </is>
      </c>
      <c r="D5173" t="inlineStr">
        <is>
          <t>-248K217.1</t>
        </is>
      </c>
      <c r="E5173" t="inlineStr">
        <is>
          <t>DILA-XHI22</t>
        </is>
      </c>
      <c r="F5173" t="inlineStr">
        <is>
          <t>DILA-XHI22</t>
        </is>
      </c>
      <c r="G5173" t="inlineStr">
        <is>
          <t>HILFSKONTAKTBLOCK</t>
        </is>
      </c>
      <c r="H5173" t="inlineStr">
        <is>
          <t>2S 2OE Last+Hilfssch. Cage</t>
        </is>
      </c>
      <c r="I5173">
        <v>2457</v>
      </c>
      <c r="J5173">
        <f>GS08/248.6</f>
        <v>0</v>
      </c>
      <c r="M5173" t="inlineStr">
        <is>
          <t>-248K217.1</t>
        </is>
      </c>
    </row>
    <row r="5174">
      <c r="A5174">
        <v>5173</v>
      </c>
      <c r="B5174">
        <f>GS08</f>
        <v>0</v>
      </c>
      <c r="C5174" t="inlineStr">
        <is>
          <t>+LS03</t>
        </is>
      </c>
      <c r="D5174" t="inlineStr">
        <is>
          <t>-248K217.1</t>
        </is>
      </c>
      <c r="E5174" t="inlineStr">
        <is>
          <t>DIL_ER-40-G</t>
        </is>
      </c>
      <c r="F5174" t="inlineStr">
        <is>
          <t>DILA-XHI22</t>
        </is>
      </c>
      <c r="G5174" t="inlineStr">
        <is>
          <t>HILFSSCHUETZ</t>
        </is>
      </c>
      <c r="H5174" t="inlineStr">
        <is>
          <t>4S</t>
        </is>
      </c>
      <c r="I5174">
        <v>2457</v>
      </c>
      <c r="J5174">
        <f>GS08/248.6</f>
        <v>0</v>
      </c>
      <c r="M5174" t="inlineStr">
        <is>
          <t>-248K217.1</t>
        </is>
      </c>
    </row>
    <row r="5175">
      <c r="A5175">
        <v>5174</v>
      </c>
      <c r="B5175">
        <f>GS26</f>
        <v>0</v>
      </c>
      <c r="C5175" t="inlineStr">
        <is>
          <t>+QVW2401</t>
        </is>
      </c>
      <c r="D5175" t="inlineStr">
        <is>
          <t>-248K3560.2</t>
        </is>
      </c>
      <c r="E5175" t="inlineStr">
        <is>
          <t>DILA-22</t>
        </is>
      </c>
      <c r="F5175" t="inlineStr">
        <is>
          <t>#KALK!</t>
        </is>
      </c>
      <c r="G5175" t="inlineStr">
        <is>
          <t>HILFSSCHUETZ</t>
        </is>
      </c>
      <c r="H5175" t="inlineStr">
        <is>
          <t>2S 2Oe Federzugkl.</t>
        </is>
      </c>
      <c r="I5175">
        <v>471</v>
      </c>
      <c r="J5175">
        <f>GS26/248.2</f>
        <v>0</v>
      </c>
      <c r="M5175" t="inlineStr">
        <is>
          <t>-248K3560.2</t>
        </is>
      </c>
    </row>
    <row r="5176">
      <c r="A5176">
        <v>5175</v>
      </c>
      <c r="B5176">
        <f>GS26</f>
        <v>0</v>
      </c>
      <c r="C5176" t="inlineStr">
        <is>
          <t>+QVW2401</t>
        </is>
      </c>
      <c r="D5176" t="inlineStr">
        <is>
          <t>-248K3560.5</t>
        </is>
      </c>
      <c r="E5176" t="inlineStr">
        <is>
          <t>DILM-9-10</t>
        </is>
      </c>
      <c r="F5176" t="inlineStr">
        <is>
          <t>#KALK!</t>
        </is>
      </c>
      <c r="G5176" t="inlineStr">
        <is>
          <t>LASTSCHUETZ</t>
        </is>
      </c>
      <c r="H5176" t="inlineStr">
        <is>
          <t>4kW 1S Federzugkl.</t>
        </is>
      </c>
      <c r="I5176">
        <v>471</v>
      </c>
      <c r="J5176">
        <f>GS26/248.5</f>
        <v>0</v>
      </c>
      <c r="M5176" t="inlineStr">
        <is>
          <t>-248K3560.5</t>
        </is>
      </c>
    </row>
    <row r="5177">
      <c r="A5177">
        <v>5176</v>
      </c>
      <c r="B5177">
        <f>GS26</f>
        <v>0</v>
      </c>
      <c r="C5177" t="inlineStr">
        <is>
          <t>+QVW2401</t>
        </is>
      </c>
      <c r="D5177" t="inlineStr">
        <is>
          <t>-248K3564.4</t>
        </is>
      </c>
      <c r="E5177" t="inlineStr">
        <is>
          <t>DILA-22</t>
        </is>
      </c>
      <c r="F5177" t="inlineStr">
        <is>
          <t>#KALK!</t>
        </is>
      </c>
      <c r="G5177" t="inlineStr">
        <is>
          <t>HILFSSCHUETZ</t>
        </is>
      </c>
      <c r="H5177" t="inlineStr">
        <is>
          <t>2S 2Oe Federzugkl.</t>
        </is>
      </c>
      <c r="I5177">
        <v>471</v>
      </c>
      <c r="J5177">
        <f>GS26/248.3</f>
        <v>0</v>
      </c>
      <c r="M5177" t="inlineStr">
        <is>
          <t>-248K3564.4</t>
        </is>
      </c>
    </row>
    <row r="5178">
      <c r="A5178">
        <v>5177</v>
      </c>
      <c r="B5178">
        <f>GS26</f>
        <v>0</v>
      </c>
      <c r="C5178" t="inlineStr">
        <is>
          <t>+QVW2401</t>
        </is>
      </c>
      <c r="D5178" t="inlineStr">
        <is>
          <t>-248K3564.5</t>
        </is>
      </c>
      <c r="E5178" t="inlineStr">
        <is>
          <t>DILA-22</t>
        </is>
      </c>
      <c r="F5178" t="inlineStr">
        <is>
          <t>#KALK!</t>
        </is>
      </c>
      <c r="G5178" t="inlineStr">
        <is>
          <t>HILFSSCHUETZ</t>
        </is>
      </c>
      <c r="H5178" t="inlineStr">
        <is>
          <t>2S 2Oe Federzugkl.</t>
        </is>
      </c>
      <c r="I5178">
        <v>471</v>
      </c>
      <c r="J5178">
        <f>GS26/248.4</f>
        <v>0</v>
      </c>
      <c r="M5178" t="inlineStr">
        <is>
          <t>-248K3564.5</t>
        </is>
      </c>
    </row>
    <row r="5179">
      <c r="A5179">
        <v>5178</v>
      </c>
      <c r="B5179">
        <f>GS91</f>
        <v>0</v>
      </c>
      <c r="C5179" t="inlineStr">
        <is>
          <t>+LS03</t>
        </is>
      </c>
      <c r="D5179" t="inlineStr">
        <is>
          <t>-248Q162.6</t>
        </is>
      </c>
      <c r="E5179" t="inlineStr">
        <is>
          <t>DILM-9-10</t>
        </is>
      </c>
      <c r="F5179" t="inlineStr">
        <is>
          <t>#KALK!</t>
        </is>
      </c>
      <c r="G5179" t="inlineStr">
        <is>
          <t>LASTSCHUETZ</t>
        </is>
      </c>
      <c r="H5179" t="inlineStr">
        <is>
          <t>4kW 1S Federzugkl.</t>
        </is>
      </c>
      <c r="I5179">
        <v>398</v>
      </c>
      <c r="J5179">
        <f>GS91/248.5</f>
        <v>0</v>
      </c>
      <c r="M5179" t="inlineStr">
        <is>
          <t>-248Q162.6</t>
        </is>
      </c>
    </row>
    <row r="5180">
      <c r="A5180">
        <v>5179</v>
      </c>
      <c r="B5180">
        <f>GS94</f>
        <v>0</v>
      </c>
      <c r="C5180" t="inlineStr">
        <is>
          <t>+LS17</t>
        </is>
      </c>
      <c r="D5180" t="inlineStr">
        <is>
          <t>-248Q475.2</t>
        </is>
      </c>
      <c r="E5180" t="inlineStr">
        <is>
          <t>DILM-9-10</t>
        </is>
      </c>
      <c r="F5180" t="inlineStr">
        <is>
          <t>#KALK!</t>
        </is>
      </c>
      <c r="G5180" t="inlineStr">
        <is>
          <t>LASTSCHUETZ</t>
        </is>
      </c>
      <c r="H5180" t="inlineStr">
        <is>
          <t>4kW 1S Federzugkl.</t>
        </is>
      </c>
      <c r="I5180">
        <v>338</v>
      </c>
      <c r="J5180">
        <f>GS94/248.5</f>
        <v>0</v>
      </c>
      <c r="M5180" t="inlineStr">
        <is>
          <t>-248Q475.2</t>
        </is>
      </c>
    </row>
    <row r="5181">
      <c r="A5181">
        <v>5180</v>
      </c>
      <c r="B5181">
        <f>GS96</f>
        <v>0</v>
      </c>
      <c r="C5181" t="inlineStr">
        <is>
          <t>+LS17</t>
        </is>
      </c>
      <c r="D5181" t="inlineStr">
        <is>
          <t>-248Q475.2</t>
        </is>
      </c>
      <c r="E5181" t="inlineStr">
        <is>
          <t>DILM-9-10</t>
        </is>
      </c>
      <c r="F5181" t="inlineStr">
        <is>
          <t>#KALK!</t>
        </is>
      </c>
      <c r="G5181" t="inlineStr">
        <is>
          <t>LASTSCHUETZ</t>
        </is>
      </c>
      <c r="H5181" t="inlineStr">
        <is>
          <t>4kW 1S Federzugkl.</t>
        </is>
      </c>
      <c r="I5181">
        <v>338</v>
      </c>
      <c r="J5181">
        <f>GS96/248.5</f>
        <v>0</v>
      </c>
      <c r="M5181" t="inlineStr">
        <is>
          <t>-248Q475.2</t>
        </is>
      </c>
    </row>
    <row r="5182">
      <c r="A5182">
        <v>5181</v>
      </c>
      <c r="B5182">
        <f>GS01</f>
        <v>0</v>
      </c>
      <c r="C5182" t="inlineStr">
        <is>
          <t>+LS5</t>
        </is>
      </c>
      <c r="D5182" t="inlineStr">
        <is>
          <t>-249K1</t>
        </is>
      </c>
      <c r="E5182" t="inlineStr">
        <is>
          <t>DIL_2AM</t>
        </is>
      </c>
      <c r="F5182" t="inlineStr">
        <is>
          <t>22_DIL-M</t>
        </is>
      </c>
      <c r="G5182" t="inlineStr">
        <is>
          <t>LASTSCHUETZ</t>
        </is>
      </c>
      <c r="H5182" t="inlineStr">
        <is>
          <t>30 kW</t>
        </is>
      </c>
      <c r="I5182">
        <v>412</v>
      </c>
      <c r="J5182">
        <f>GS01/249.2</f>
        <v>0</v>
      </c>
      <c r="K5182" t="inlineStr">
        <is>
          <t>DIL2AM</t>
        </is>
      </c>
      <c r="M5182" t="inlineStr">
        <is>
          <t>-249K1</t>
        </is>
      </c>
    </row>
    <row r="5183">
      <c r="A5183">
        <v>5182</v>
      </c>
      <c r="B5183">
        <f>GS01</f>
        <v>0</v>
      </c>
      <c r="C5183" t="inlineStr">
        <is>
          <t>+LS5</t>
        </is>
      </c>
      <c r="D5183" t="inlineStr">
        <is>
          <t>-249K1</t>
        </is>
      </c>
      <c r="E5183" t="inlineStr">
        <is>
          <t>22_DIL-M</t>
        </is>
      </c>
      <c r="F5183" t="inlineStr">
        <is>
          <t>22_DIL-M</t>
        </is>
      </c>
      <c r="G5183" t="inlineStr">
        <is>
          <t>HILFSKONTAKTBLOCK</t>
        </is>
      </c>
      <c r="H5183" t="inlineStr">
        <is>
          <t>2S 2OE Lastschuetz DIL M</t>
        </is>
      </c>
      <c r="I5183">
        <v>412</v>
      </c>
      <c r="J5183">
        <f>GS01/249.2</f>
        <v>0</v>
      </c>
      <c r="K5183" t="inlineStr">
        <is>
          <t>DIL2AM</t>
        </is>
      </c>
      <c r="M5183" t="inlineStr">
        <is>
          <t>-249K1</t>
        </is>
      </c>
    </row>
    <row r="5184">
      <c r="A5184">
        <v>5183</v>
      </c>
      <c r="B5184">
        <f>GS34</f>
        <v>0</v>
      </c>
      <c r="C5184" t="inlineStr">
        <is>
          <t>+LS5</t>
        </is>
      </c>
      <c r="D5184" t="inlineStr">
        <is>
          <t>-249K3502.0</t>
        </is>
      </c>
      <c r="E5184" t="inlineStr">
        <is>
          <t>DIL_ER-22-G</t>
        </is>
      </c>
      <c r="F5184" t="inlineStr">
        <is>
          <t>#KALK!</t>
        </is>
      </c>
      <c r="G5184" t="inlineStr">
        <is>
          <t>HILFSSCHUETZ</t>
        </is>
      </c>
      <c r="H5184" t="inlineStr">
        <is>
          <t>2S 2OE</t>
        </is>
      </c>
      <c r="I5184">
        <v>373</v>
      </c>
      <c r="J5184">
        <f>GS34/249.5</f>
        <v>0</v>
      </c>
      <c r="M5184" t="inlineStr">
        <is>
          <t>-249K3502.0</t>
        </is>
      </c>
    </row>
    <row r="5185">
      <c r="A5185">
        <v>5184</v>
      </c>
      <c r="B5185">
        <f>GS34</f>
        <v>0</v>
      </c>
      <c r="C5185" t="inlineStr">
        <is>
          <t>+LS5</t>
        </is>
      </c>
      <c r="D5185" t="inlineStr">
        <is>
          <t>-249K3502.1</t>
        </is>
      </c>
      <c r="E5185" t="inlineStr">
        <is>
          <t>DIL_ER-22-G</t>
        </is>
      </c>
      <c r="F5185" t="inlineStr">
        <is>
          <t>#KALK!</t>
        </is>
      </c>
      <c r="G5185" t="inlineStr">
        <is>
          <t>HILFSSCHUETZ</t>
        </is>
      </c>
      <c r="H5185" t="inlineStr">
        <is>
          <t>2S 2OE</t>
        </is>
      </c>
      <c r="I5185">
        <v>373</v>
      </c>
      <c r="J5185">
        <f>GS34/249.6</f>
        <v>0</v>
      </c>
      <c r="M5185" t="inlineStr">
        <is>
          <t>-249K3502.1</t>
        </is>
      </c>
    </row>
    <row r="5186">
      <c r="A5186">
        <v>5185</v>
      </c>
      <c r="B5186">
        <f>GS34</f>
        <v>0</v>
      </c>
      <c r="C5186" t="inlineStr">
        <is>
          <t>+LS5</t>
        </is>
      </c>
      <c r="D5186" t="inlineStr">
        <is>
          <t>-249K3502.2</t>
        </is>
      </c>
      <c r="E5186" t="inlineStr">
        <is>
          <t>DIL_ER-22-G</t>
        </is>
      </c>
      <c r="F5186" t="inlineStr">
        <is>
          <t>#KALK!</t>
        </is>
      </c>
      <c r="G5186" t="inlineStr">
        <is>
          <t>HILFSSCHUETZ</t>
        </is>
      </c>
      <c r="H5186" t="inlineStr">
        <is>
          <t>2S 2OE</t>
        </is>
      </c>
      <c r="I5186">
        <v>373</v>
      </c>
      <c r="J5186">
        <f>GS34/249.7</f>
        <v>0</v>
      </c>
      <c r="M5186" t="inlineStr">
        <is>
          <t>-249K3502.2</t>
        </is>
      </c>
    </row>
    <row r="5187">
      <c r="A5187">
        <v>5186</v>
      </c>
      <c r="B5187">
        <f>GS34</f>
        <v>0</v>
      </c>
      <c r="C5187" t="inlineStr">
        <is>
          <t>+LS5</t>
        </is>
      </c>
      <c r="D5187" t="inlineStr">
        <is>
          <t>-249K3502.4</t>
        </is>
      </c>
      <c r="E5187" t="inlineStr">
        <is>
          <t>DIL_EM-10-G</t>
        </is>
      </c>
      <c r="F5187" t="inlineStr">
        <is>
          <t>#KALK!</t>
        </is>
      </c>
      <c r="G5187" t="inlineStr">
        <is>
          <t>LASTSCHUETZ</t>
        </is>
      </c>
      <c r="H5187" t="inlineStr">
        <is>
          <t>4kW 1S</t>
        </is>
      </c>
      <c r="I5187">
        <v>373</v>
      </c>
      <c r="J5187">
        <f>GS34/249.7</f>
        <v>0</v>
      </c>
      <c r="M5187" t="inlineStr">
        <is>
          <t>-249K3502.4</t>
        </is>
      </c>
    </row>
    <row r="5188">
      <c r="A5188">
        <v>5187</v>
      </c>
      <c r="B5188">
        <f>GS26</f>
        <v>0</v>
      </c>
      <c r="C5188" t="inlineStr">
        <is>
          <t>+QVW2401</t>
        </is>
      </c>
      <c r="D5188" t="inlineStr">
        <is>
          <t>-249K3560.1</t>
        </is>
      </c>
      <c r="E5188" t="inlineStr">
        <is>
          <t>DILM-9-10</t>
        </is>
      </c>
      <c r="F5188" t="inlineStr">
        <is>
          <t>#KALK!</t>
        </is>
      </c>
      <c r="G5188" t="inlineStr">
        <is>
          <t>LASTSCHUETZ</t>
        </is>
      </c>
      <c r="H5188" t="inlineStr">
        <is>
          <t>4kW 1S Federzugkl.</t>
        </is>
      </c>
      <c r="I5188">
        <v>470</v>
      </c>
      <c r="J5188">
        <f>GS26/249.7</f>
        <v>0</v>
      </c>
      <c r="M5188" t="inlineStr">
        <is>
          <t>-249K3560.1</t>
        </is>
      </c>
    </row>
    <row r="5189">
      <c r="A5189">
        <v>5188</v>
      </c>
      <c r="B5189">
        <f>GS33</f>
        <v>0</v>
      </c>
      <c r="C5189" t="inlineStr">
        <is>
          <t>+LS5</t>
        </is>
      </c>
      <c r="D5189" t="inlineStr">
        <is>
          <t>-249K36.0</t>
        </is>
      </c>
      <c r="E5189" t="inlineStr">
        <is>
          <t>DIL_ER-22-G</t>
        </is>
      </c>
      <c r="F5189" t="inlineStr">
        <is>
          <t>#KALK!</t>
        </is>
      </c>
      <c r="G5189" t="inlineStr">
        <is>
          <t>HILFSSCHUETZ</t>
        </is>
      </c>
      <c r="H5189" t="inlineStr">
        <is>
          <t>2S 2OE</t>
        </is>
      </c>
      <c r="I5189">
        <v>696</v>
      </c>
      <c r="J5189">
        <f>GS33/249.5</f>
        <v>0</v>
      </c>
      <c r="M5189" t="inlineStr">
        <is>
          <t>-249K36.0</t>
        </is>
      </c>
    </row>
    <row r="5190">
      <c r="A5190">
        <v>5189</v>
      </c>
      <c r="B5190">
        <f>GS33</f>
        <v>0</v>
      </c>
      <c r="C5190" t="inlineStr">
        <is>
          <t>+LS5</t>
        </is>
      </c>
      <c r="D5190" t="inlineStr">
        <is>
          <t>-249K36.1</t>
        </is>
      </c>
      <c r="E5190" t="inlineStr">
        <is>
          <t>DIL_ER-22-G</t>
        </is>
      </c>
      <c r="F5190" t="inlineStr">
        <is>
          <t>#KALK!</t>
        </is>
      </c>
      <c r="G5190" t="inlineStr">
        <is>
          <t>HILFSSCHUETZ</t>
        </is>
      </c>
      <c r="H5190" t="inlineStr">
        <is>
          <t>2S 2OE</t>
        </is>
      </c>
      <c r="I5190">
        <v>696</v>
      </c>
      <c r="J5190">
        <f>GS33/249.6</f>
        <v>0</v>
      </c>
      <c r="M5190" t="inlineStr">
        <is>
          <t>-249K36.1</t>
        </is>
      </c>
    </row>
    <row r="5191">
      <c r="A5191">
        <v>5190</v>
      </c>
      <c r="B5191">
        <f>GS33</f>
        <v>0</v>
      </c>
      <c r="C5191" t="inlineStr">
        <is>
          <t>+LS5</t>
        </is>
      </c>
      <c r="D5191" t="inlineStr">
        <is>
          <t>-249K36.2</t>
        </is>
      </c>
      <c r="E5191" t="inlineStr">
        <is>
          <t>DIL_ER-22-G</t>
        </is>
      </c>
      <c r="F5191" t="inlineStr">
        <is>
          <t>#KALK!</t>
        </is>
      </c>
      <c r="G5191" t="inlineStr">
        <is>
          <t>HILFSSCHUETZ</t>
        </is>
      </c>
      <c r="H5191" t="inlineStr">
        <is>
          <t>2S 2OE</t>
        </is>
      </c>
      <c r="I5191">
        <v>696</v>
      </c>
      <c r="J5191">
        <f>GS33/249.7</f>
        <v>0</v>
      </c>
      <c r="M5191" t="inlineStr">
        <is>
          <t>-249K36.2</t>
        </is>
      </c>
    </row>
    <row r="5192">
      <c r="A5192">
        <v>5191</v>
      </c>
      <c r="B5192">
        <f>GS33</f>
        <v>0</v>
      </c>
      <c r="C5192" t="inlineStr">
        <is>
          <t>+LS5</t>
        </is>
      </c>
      <c r="D5192" t="inlineStr">
        <is>
          <t>-249K36.4</t>
        </is>
      </c>
      <c r="E5192" t="inlineStr">
        <is>
          <t>DIL_EM-10-G</t>
        </is>
      </c>
      <c r="F5192" t="inlineStr">
        <is>
          <t>#KALK!</t>
        </is>
      </c>
      <c r="G5192" t="inlineStr">
        <is>
          <t>LASTSCHUETZ</t>
        </is>
      </c>
      <c r="H5192" t="inlineStr">
        <is>
          <t>4kW 1S</t>
        </is>
      </c>
      <c r="I5192">
        <v>696</v>
      </c>
      <c r="J5192">
        <f>GS33/249.7</f>
        <v>0</v>
      </c>
      <c r="M5192" t="inlineStr">
        <is>
          <t>-249K36.4</t>
        </is>
      </c>
    </row>
    <row r="5193">
      <c r="A5193">
        <v>5192</v>
      </c>
      <c r="B5193">
        <f>GS98</f>
        <v>0</v>
      </c>
      <c r="C5193" t="inlineStr">
        <is>
          <t>+LS07</t>
        </is>
      </c>
      <c r="D5193" t="inlineStr">
        <is>
          <t>-249K70.0</t>
        </is>
      </c>
      <c r="E5193" t="inlineStr">
        <is>
          <t>DILA-40</t>
        </is>
      </c>
      <c r="F5193" t="inlineStr">
        <is>
          <t>#KALK!</t>
        </is>
      </c>
      <c r="G5193" t="inlineStr">
        <is>
          <t>HILFSSCHUETZ</t>
        </is>
      </c>
      <c r="H5193" t="inlineStr">
        <is>
          <t>4S Federzugkl.</t>
        </is>
      </c>
      <c r="I5193">
        <v>441</v>
      </c>
      <c r="J5193">
        <f>GS98/249.5</f>
        <v>0</v>
      </c>
      <c r="M5193" t="inlineStr">
        <is>
          <t>-249K70.0</t>
        </is>
      </c>
    </row>
    <row r="5194">
      <c r="A5194">
        <v>5193</v>
      </c>
      <c r="B5194">
        <f>GS95</f>
        <v>0</v>
      </c>
      <c r="C5194" t="inlineStr">
        <is>
          <t>+LS17</t>
        </is>
      </c>
      <c r="D5194" t="inlineStr">
        <is>
          <t>-249Q476.2</t>
        </is>
      </c>
      <c r="E5194" t="inlineStr">
        <is>
          <t>DILM-9-10</t>
        </is>
      </c>
      <c r="F5194" t="inlineStr">
        <is>
          <t>#KALK!</t>
        </is>
      </c>
      <c r="G5194" t="inlineStr">
        <is>
          <t>LASTSCHUETZ</t>
        </is>
      </c>
      <c r="H5194" t="inlineStr">
        <is>
          <t>4kW 1S Federzugkl.</t>
        </is>
      </c>
      <c r="I5194">
        <v>143</v>
      </c>
      <c r="J5194">
        <f>GS95/249.5</f>
        <v>0</v>
      </c>
      <c r="M5194" t="inlineStr">
        <is>
          <t>-249Q476.2</t>
        </is>
      </c>
    </row>
    <row r="5195">
      <c r="A5195">
        <v>5194</v>
      </c>
      <c r="B5195">
        <f>GS97</f>
        <v>0</v>
      </c>
      <c r="C5195" t="inlineStr">
        <is>
          <t>+LS17</t>
        </is>
      </c>
      <c r="D5195" t="inlineStr">
        <is>
          <t>-249Q476.2</t>
        </is>
      </c>
      <c r="E5195" t="inlineStr">
        <is>
          <t>DILM-9-10</t>
        </is>
      </c>
      <c r="F5195" t="inlineStr">
        <is>
          <t>#KALK!</t>
        </is>
      </c>
      <c r="G5195" t="inlineStr">
        <is>
          <t>LASTSCHUETZ</t>
        </is>
      </c>
      <c r="H5195" t="inlineStr">
        <is>
          <t>4kW 1S Federzugkl.</t>
        </is>
      </c>
      <c r="I5195">
        <v>143</v>
      </c>
      <c r="J5195">
        <f>GS97/249.5</f>
        <v>0</v>
      </c>
      <c r="M5195" t="inlineStr">
        <is>
          <t>-249Q476.2</t>
        </is>
      </c>
    </row>
    <row r="5196">
      <c r="A5196">
        <v>5195</v>
      </c>
      <c r="B5196">
        <f>EPP</f>
        <v>0</v>
      </c>
      <c r="C5196" t="inlineStr">
        <is>
          <t>+LS</t>
        </is>
      </c>
      <c r="D5196" t="inlineStr">
        <is>
          <t>-24K1</t>
        </is>
      </c>
      <c r="E5196" t="inlineStr">
        <is>
          <t>DIL_EM-10-G</t>
        </is>
      </c>
      <c r="F5196" t="inlineStr">
        <is>
          <t>22_DIL-E</t>
        </is>
      </c>
      <c r="G5196" t="inlineStr">
        <is>
          <t>LASTSCHUETZ</t>
        </is>
      </c>
      <c r="H5196" t="inlineStr">
        <is>
          <t>4kW 1S</t>
        </is>
      </c>
      <c r="I5196">
        <v>122</v>
      </c>
      <c r="J5196">
        <f>EPP/24.6</f>
        <v>0</v>
      </c>
      <c r="M5196" t="inlineStr">
        <is>
          <t>-24K1</t>
        </is>
      </c>
    </row>
    <row r="5197">
      <c r="A5197">
        <v>5196</v>
      </c>
      <c r="B5197">
        <f>EPP</f>
        <v>0</v>
      </c>
      <c r="C5197" t="inlineStr">
        <is>
          <t>+LS</t>
        </is>
      </c>
      <c r="D5197" t="inlineStr">
        <is>
          <t>-24K1</t>
        </is>
      </c>
      <c r="E5197" t="inlineStr">
        <is>
          <t>22_DIL-E</t>
        </is>
      </c>
      <c r="F5197" t="inlineStr">
        <is>
          <t>22_DIL-E</t>
        </is>
      </c>
      <c r="G5197" t="inlineStr">
        <is>
          <t>HILFSKONTAKTBLOCK</t>
        </is>
      </c>
      <c r="H5197" t="inlineStr">
        <is>
          <t>2S 2OE Last+Hilfsschuetz</t>
        </is>
      </c>
      <c r="I5197">
        <v>122</v>
      </c>
      <c r="J5197">
        <f>EPP/24.6</f>
        <v>0</v>
      </c>
      <c r="M5197" t="inlineStr">
        <is>
          <t>-24K1</t>
        </is>
      </c>
    </row>
    <row r="5198">
      <c r="A5198">
        <v>5197</v>
      </c>
      <c r="B5198">
        <f>EPP</f>
        <v>0</v>
      </c>
      <c r="C5198" t="inlineStr">
        <is>
          <t>+LS</t>
        </is>
      </c>
      <c r="D5198" t="inlineStr">
        <is>
          <t>-24K2</t>
        </is>
      </c>
      <c r="E5198" t="inlineStr">
        <is>
          <t>DIL_EM-10-G</t>
        </is>
      </c>
      <c r="F5198" t="inlineStr">
        <is>
          <t>22_DIL-E</t>
        </is>
      </c>
      <c r="G5198" t="inlineStr">
        <is>
          <t>LASTSCHUETZ</t>
        </is>
      </c>
      <c r="H5198" t="inlineStr">
        <is>
          <t>4kW 1S</t>
        </is>
      </c>
      <c r="I5198">
        <v>122</v>
      </c>
      <c r="J5198">
        <f>EPP/24.7</f>
        <v>0</v>
      </c>
      <c r="M5198" t="inlineStr">
        <is>
          <t>-24K2</t>
        </is>
      </c>
    </row>
    <row r="5199">
      <c r="A5199">
        <v>5198</v>
      </c>
      <c r="B5199">
        <f>EPP</f>
        <v>0</v>
      </c>
      <c r="C5199" t="inlineStr">
        <is>
          <t>+LS</t>
        </is>
      </c>
      <c r="D5199" t="inlineStr">
        <is>
          <t>-24K2</t>
        </is>
      </c>
      <c r="E5199" t="inlineStr">
        <is>
          <t>22_DIL-E</t>
        </is>
      </c>
      <c r="F5199" t="inlineStr">
        <is>
          <t>22_DIL-E</t>
        </is>
      </c>
      <c r="G5199" t="inlineStr">
        <is>
          <t>HILFSKONTAKTBLOCK</t>
        </is>
      </c>
      <c r="H5199" t="inlineStr">
        <is>
          <t>2S 2OE Last+Hilfsschuetz</t>
        </is>
      </c>
      <c r="I5199">
        <v>122</v>
      </c>
      <c r="J5199">
        <f>EPP/24.7</f>
        <v>0</v>
      </c>
      <c r="M5199" t="inlineStr">
        <is>
          <t>-24K2</t>
        </is>
      </c>
    </row>
    <row r="5200">
      <c r="A5200">
        <v>5199</v>
      </c>
      <c r="B5200">
        <f>GS05</f>
        <v>0</v>
      </c>
      <c r="C5200" t="inlineStr">
        <is>
          <t>+ES02</t>
        </is>
      </c>
      <c r="D5200" t="inlineStr">
        <is>
          <t>-25.1K1</t>
        </is>
      </c>
      <c r="E5200" t="inlineStr">
        <is>
          <t>DILA-40</t>
        </is>
      </c>
      <c r="F5200" t="inlineStr">
        <is>
          <t>DILA-XHIC31</t>
        </is>
      </c>
      <c r="G5200" t="inlineStr">
        <is>
          <t>HILFSSCHUETZ</t>
        </is>
      </c>
      <c r="H5200" t="inlineStr">
        <is>
          <t>4S Federzugkl.</t>
        </is>
      </c>
      <c r="I5200">
        <v>429</v>
      </c>
      <c r="J5200">
        <f>GS05/25.1.4</f>
        <v>0</v>
      </c>
      <c r="M5200" t="inlineStr">
        <is>
          <t>-25.1K1</t>
        </is>
      </c>
    </row>
    <row r="5201">
      <c r="A5201">
        <v>5200</v>
      </c>
      <c r="B5201">
        <f>GS05</f>
        <v>0</v>
      </c>
      <c r="C5201" t="inlineStr">
        <is>
          <t>+ES02</t>
        </is>
      </c>
      <c r="D5201" t="inlineStr">
        <is>
          <t>-25.1K1</t>
        </is>
      </c>
      <c r="E5201" t="inlineStr">
        <is>
          <t>DILA-XHIC31</t>
        </is>
      </c>
      <c r="F5201" t="inlineStr">
        <is>
          <t>DILA-XHIC31</t>
        </is>
      </c>
      <c r="G5201" t="inlineStr">
        <is>
          <t>HILFSKONTAKTBLOCK</t>
        </is>
      </c>
      <c r="H5201" t="inlineStr">
        <is>
          <t>3S 1OE Last+Hilfssch. Cage</t>
        </is>
      </c>
      <c r="I5201">
        <v>429</v>
      </c>
      <c r="J5201">
        <f>GS05/25.1.4</f>
        <v>0</v>
      </c>
      <c r="M5201" t="inlineStr">
        <is>
          <t>-25.1K1</t>
        </is>
      </c>
    </row>
    <row r="5202">
      <c r="A5202">
        <v>5201</v>
      </c>
      <c r="B5202">
        <f>GS07</f>
        <v>0</v>
      </c>
      <c r="C5202" t="inlineStr">
        <is>
          <t>+ES02</t>
        </is>
      </c>
      <c r="D5202" t="inlineStr">
        <is>
          <t>-25.1K1</t>
        </is>
      </c>
      <c r="E5202" t="inlineStr">
        <is>
          <t>DILA-40</t>
        </is>
      </c>
      <c r="F5202" t="inlineStr">
        <is>
          <t>DILA-XHIC31</t>
        </is>
      </c>
      <c r="G5202" t="inlineStr">
        <is>
          <t>HILFSSCHUETZ</t>
        </is>
      </c>
      <c r="H5202" t="inlineStr">
        <is>
          <t>4S Federzugkl.</t>
        </is>
      </c>
      <c r="I5202">
        <v>205</v>
      </c>
      <c r="J5202">
        <f>GS07/25.1.4</f>
        <v>0</v>
      </c>
      <c r="M5202" t="inlineStr">
        <is>
          <t>-25.1K1</t>
        </is>
      </c>
    </row>
    <row r="5203">
      <c r="A5203">
        <v>5202</v>
      </c>
      <c r="B5203">
        <f>GS07</f>
        <v>0</v>
      </c>
      <c r="C5203" t="inlineStr">
        <is>
          <t>+ES02</t>
        </is>
      </c>
      <c r="D5203" t="inlineStr">
        <is>
          <t>-25.1K1</t>
        </is>
      </c>
      <c r="E5203" t="inlineStr">
        <is>
          <t>DILA-XHIC31</t>
        </is>
      </c>
      <c r="F5203" t="inlineStr">
        <is>
          <t>DILA-XHIC31</t>
        </is>
      </c>
      <c r="G5203" t="inlineStr">
        <is>
          <t>HILFSKONTAKTBLOCK</t>
        </is>
      </c>
      <c r="H5203" t="inlineStr">
        <is>
          <t>3S 1OE Last+Hilfssch. Cage</t>
        </is>
      </c>
      <c r="I5203">
        <v>205</v>
      </c>
      <c r="J5203">
        <f>GS07/25.1.4</f>
        <v>0</v>
      </c>
      <c r="M5203" t="inlineStr">
        <is>
          <t>-25.1K1</t>
        </is>
      </c>
    </row>
    <row r="5204">
      <c r="A5204">
        <v>5203</v>
      </c>
      <c r="B5204">
        <f>GS51</f>
        <v>0</v>
      </c>
      <c r="C5204" t="inlineStr">
        <is>
          <t>+ES02</t>
        </is>
      </c>
      <c r="D5204" t="inlineStr">
        <is>
          <t>-25.1K1</t>
        </is>
      </c>
      <c r="E5204" t="inlineStr">
        <is>
          <t>DILA-XHIC31</t>
        </is>
      </c>
      <c r="F5204" t="inlineStr">
        <is>
          <t>DILA-XHIC31</t>
        </is>
      </c>
      <c r="G5204" t="inlineStr">
        <is>
          <t>HILFSKONTAKTBLOCK</t>
        </is>
      </c>
      <c r="H5204" t="inlineStr">
        <is>
          <t>3S 1OE Last+Hilfssch. Cage</t>
        </is>
      </c>
      <c r="I5204">
        <v>231</v>
      </c>
      <c r="J5204">
        <f>GS51/25.1.4</f>
        <v>0</v>
      </c>
      <c r="M5204" t="inlineStr">
        <is>
          <t>-25.1K1</t>
        </is>
      </c>
    </row>
    <row r="5205">
      <c r="A5205">
        <v>5204</v>
      </c>
      <c r="B5205">
        <f>GS51</f>
        <v>0</v>
      </c>
      <c r="C5205" t="inlineStr">
        <is>
          <t>+ES02</t>
        </is>
      </c>
      <c r="D5205" t="inlineStr">
        <is>
          <t>-25.1K1</t>
        </is>
      </c>
      <c r="E5205" t="inlineStr">
        <is>
          <t>DILA-40</t>
        </is>
      </c>
      <c r="F5205" t="inlineStr">
        <is>
          <t>DILA-XHIC31</t>
        </is>
      </c>
      <c r="G5205" t="inlineStr">
        <is>
          <t>HILFSSCHUETZ</t>
        </is>
      </c>
      <c r="H5205" t="inlineStr">
        <is>
          <t>4S Federzugkl.</t>
        </is>
      </c>
      <c r="I5205">
        <v>231</v>
      </c>
      <c r="J5205">
        <f>GS51/25.1.4</f>
        <v>0</v>
      </c>
      <c r="M5205" t="inlineStr">
        <is>
          <t>-25.1K1</t>
        </is>
      </c>
    </row>
    <row r="5206">
      <c r="A5206">
        <v>5205</v>
      </c>
      <c r="B5206">
        <f>GS52</f>
        <v>0</v>
      </c>
      <c r="C5206" t="inlineStr">
        <is>
          <t>+ES02</t>
        </is>
      </c>
      <c r="D5206" t="inlineStr">
        <is>
          <t>-25.1K1</t>
        </is>
      </c>
      <c r="E5206" t="inlineStr">
        <is>
          <t>DILA-40</t>
        </is>
      </c>
      <c r="F5206" t="inlineStr">
        <is>
          <t>DILA-XHIC31</t>
        </is>
      </c>
      <c r="G5206" t="inlineStr">
        <is>
          <t>HILFSSCHUETZ</t>
        </is>
      </c>
      <c r="H5206" t="inlineStr">
        <is>
          <t>4S Federzugkl.</t>
        </is>
      </c>
      <c r="I5206">
        <v>142</v>
      </c>
      <c r="J5206">
        <f>GS52/25.1.4</f>
        <v>0</v>
      </c>
      <c r="M5206" t="inlineStr">
        <is>
          <t>-25.1K1</t>
        </is>
      </c>
    </row>
    <row r="5207">
      <c r="A5207">
        <v>5206</v>
      </c>
      <c r="B5207">
        <f>GS52</f>
        <v>0</v>
      </c>
      <c r="C5207" t="inlineStr">
        <is>
          <t>+ES02</t>
        </is>
      </c>
      <c r="D5207" t="inlineStr">
        <is>
          <t>-25.1K1</t>
        </is>
      </c>
      <c r="E5207" t="inlineStr">
        <is>
          <t>DILA-XHIC31</t>
        </is>
      </c>
      <c r="F5207" t="inlineStr">
        <is>
          <t>DILA-XHIC31</t>
        </is>
      </c>
      <c r="G5207" t="inlineStr">
        <is>
          <t>HILFSKONTAKTBLOCK</t>
        </is>
      </c>
      <c r="H5207" t="inlineStr">
        <is>
          <t>3S 1OE Last+Hilfssch. Cage</t>
        </is>
      </c>
      <c r="I5207">
        <v>142</v>
      </c>
      <c r="J5207">
        <f>GS52/25.1.4</f>
        <v>0</v>
      </c>
      <c r="M5207" t="inlineStr">
        <is>
          <t>-25.1K1</t>
        </is>
      </c>
    </row>
    <row r="5208">
      <c r="A5208">
        <v>5207</v>
      </c>
      <c r="B5208">
        <f>GS55</f>
        <v>0</v>
      </c>
      <c r="C5208" t="inlineStr">
        <is>
          <t>+ES02</t>
        </is>
      </c>
      <c r="D5208" t="inlineStr">
        <is>
          <t>-25.1K1</t>
        </is>
      </c>
      <c r="E5208" t="inlineStr">
        <is>
          <t>DILA-40</t>
        </is>
      </c>
      <c r="F5208" t="inlineStr">
        <is>
          <t>DILA-XHIC31</t>
        </is>
      </c>
      <c r="G5208" t="inlineStr">
        <is>
          <t>HILFSSCHUETZ</t>
        </is>
      </c>
      <c r="H5208" t="inlineStr">
        <is>
          <t>4S Federzugkl.</t>
        </is>
      </c>
      <c r="I5208">
        <v>258</v>
      </c>
      <c r="J5208">
        <f>GS55/25.1.4</f>
        <v>0</v>
      </c>
      <c r="M5208" t="inlineStr">
        <is>
          <t>-25.1K1</t>
        </is>
      </c>
    </row>
    <row r="5209">
      <c r="A5209">
        <v>5208</v>
      </c>
      <c r="B5209">
        <f>GS55</f>
        <v>0</v>
      </c>
      <c r="C5209" t="inlineStr">
        <is>
          <t>+ES02</t>
        </is>
      </c>
      <c r="D5209" t="inlineStr">
        <is>
          <t>-25.1K1</t>
        </is>
      </c>
      <c r="E5209" t="inlineStr">
        <is>
          <t>DILA-XHIC31</t>
        </is>
      </c>
      <c r="F5209" t="inlineStr">
        <is>
          <t>DILA-XHIC31</t>
        </is>
      </c>
      <c r="G5209" t="inlineStr">
        <is>
          <t>HILFSKONTAKTBLOCK</t>
        </is>
      </c>
      <c r="H5209" t="inlineStr">
        <is>
          <t>3S 1OE Last+Hilfssch. Cage</t>
        </is>
      </c>
      <c r="I5209">
        <v>258</v>
      </c>
      <c r="J5209">
        <f>GS55/25.1.4</f>
        <v>0</v>
      </c>
      <c r="M5209" t="inlineStr">
        <is>
          <t>-25.1K1</t>
        </is>
      </c>
    </row>
    <row r="5210">
      <c r="A5210">
        <v>5209</v>
      </c>
      <c r="B5210">
        <f>GS05</f>
        <v>0</v>
      </c>
      <c r="C5210" t="inlineStr">
        <is>
          <t>+ES02</t>
        </is>
      </c>
      <c r="D5210" t="inlineStr">
        <is>
          <t>-25.1K2</t>
        </is>
      </c>
      <c r="E5210" t="inlineStr">
        <is>
          <t>DILA-40</t>
        </is>
      </c>
      <c r="F5210" t="inlineStr">
        <is>
          <t>DILA-XHIC31</t>
        </is>
      </c>
      <c r="G5210" t="inlineStr">
        <is>
          <t>HILFSSCHUETZ</t>
        </is>
      </c>
      <c r="H5210" t="inlineStr">
        <is>
          <t>4S Federzugkl.</t>
        </is>
      </c>
      <c r="I5210">
        <v>429</v>
      </c>
      <c r="J5210">
        <f>GS05/25.1.5</f>
        <v>0</v>
      </c>
      <c r="M5210" t="inlineStr">
        <is>
          <t>-25.1K2</t>
        </is>
      </c>
    </row>
    <row r="5211">
      <c r="A5211">
        <v>5210</v>
      </c>
      <c r="B5211">
        <f>GS05</f>
        <v>0</v>
      </c>
      <c r="C5211" t="inlineStr">
        <is>
          <t>+ES02</t>
        </is>
      </c>
      <c r="D5211" t="inlineStr">
        <is>
          <t>-25.1K2</t>
        </is>
      </c>
      <c r="E5211" t="inlineStr">
        <is>
          <t>DILA-XHIC31</t>
        </is>
      </c>
      <c r="F5211" t="inlineStr">
        <is>
          <t>DILA-XHIC31</t>
        </is>
      </c>
      <c r="G5211" t="inlineStr">
        <is>
          <t>HILFSKONTAKTBLOCK</t>
        </is>
      </c>
      <c r="H5211" t="inlineStr">
        <is>
          <t>3S 1OE Last+Hilfssch. Cage</t>
        </is>
      </c>
      <c r="I5211">
        <v>429</v>
      </c>
      <c r="J5211">
        <f>GS05/25.1.5</f>
        <v>0</v>
      </c>
      <c r="M5211" t="inlineStr">
        <is>
          <t>-25.1K2</t>
        </is>
      </c>
    </row>
    <row r="5212">
      <c r="A5212">
        <v>5211</v>
      </c>
      <c r="B5212">
        <f>GS07</f>
        <v>0</v>
      </c>
      <c r="C5212" t="inlineStr">
        <is>
          <t>+ES02</t>
        </is>
      </c>
      <c r="D5212" t="inlineStr">
        <is>
          <t>-25.1K2</t>
        </is>
      </c>
      <c r="E5212" t="inlineStr">
        <is>
          <t>DILA-40</t>
        </is>
      </c>
      <c r="F5212" t="inlineStr">
        <is>
          <t>DILA-XHIC31</t>
        </is>
      </c>
      <c r="G5212" t="inlineStr">
        <is>
          <t>HILFSSCHUETZ</t>
        </is>
      </c>
      <c r="H5212" t="inlineStr">
        <is>
          <t>4S Federzugkl.</t>
        </is>
      </c>
      <c r="I5212">
        <v>205</v>
      </c>
      <c r="J5212">
        <f>GS07/25.1.5</f>
        <v>0</v>
      </c>
      <c r="M5212" t="inlineStr">
        <is>
          <t>-25.1K2</t>
        </is>
      </c>
    </row>
    <row r="5213">
      <c r="A5213">
        <v>5212</v>
      </c>
      <c r="B5213">
        <f>GS07</f>
        <v>0</v>
      </c>
      <c r="C5213" t="inlineStr">
        <is>
          <t>+ES02</t>
        </is>
      </c>
      <c r="D5213" t="inlineStr">
        <is>
          <t>-25.1K2</t>
        </is>
      </c>
      <c r="E5213" t="inlineStr">
        <is>
          <t>DILA-XHIC31</t>
        </is>
      </c>
      <c r="F5213" t="inlineStr">
        <is>
          <t>DILA-XHIC31</t>
        </is>
      </c>
      <c r="G5213" t="inlineStr">
        <is>
          <t>HILFSKONTAKTBLOCK</t>
        </is>
      </c>
      <c r="H5213" t="inlineStr">
        <is>
          <t>3S 1OE Last+Hilfssch. Cage</t>
        </is>
      </c>
      <c r="I5213">
        <v>205</v>
      </c>
      <c r="J5213">
        <f>GS07/25.1.5</f>
        <v>0</v>
      </c>
      <c r="M5213" t="inlineStr">
        <is>
          <t>-25.1K2</t>
        </is>
      </c>
    </row>
    <row r="5214">
      <c r="A5214">
        <v>5213</v>
      </c>
      <c r="B5214">
        <f>GS51</f>
        <v>0</v>
      </c>
      <c r="C5214" t="inlineStr">
        <is>
          <t>+ES02</t>
        </is>
      </c>
      <c r="D5214" t="inlineStr">
        <is>
          <t>-25.1K2</t>
        </is>
      </c>
      <c r="E5214" t="inlineStr">
        <is>
          <t>DILA-XHIC31</t>
        </is>
      </c>
      <c r="F5214" t="inlineStr">
        <is>
          <t>DILA-XHIC31</t>
        </is>
      </c>
      <c r="G5214" t="inlineStr">
        <is>
          <t>HILFSKONTAKTBLOCK</t>
        </is>
      </c>
      <c r="H5214" t="inlineStr">
        <is>
          <t>3S 1OE Last+Hilfssch. Cage</t>
        </is>
      </c>
      <c r="I5214">
        <v>231</v>
      </c>
      <c r="J5214">
        <f>GS51/25.1.5</f>
        <v>0</v>
      </c>
      <c r="M5214" t="inlineStr">
        <is>
          <t>-25.1K2</t>
        </is>
      </c>
    </row>
    <row r="5215">
      <c r="A5215">
        <v>5214</v>
      </c>
      <c r="B5215">
        <f>GS51</f>
        <v>0</v>
      </c>
      <c r="C5215" t="inlineStr">
        <is>
          <t>+ES02</t>
        </is>
      </c>
      <c r="D5215" t="inlineStr">
        <is>
          <t>-25.1K2</t>
        </is>
      </c>
      <c r="E5215" t="inlineStr">
        <is>
          <t>DILA-40</t>
        </is>
      </c>
      <c r="F5215" t="inlineStr">
        <is>
          <t>DILA-XHIC31</t>
        </is>
      </c>
      <c r="G5215" t="inlineStr">
        <is>
          <t>HILFSSCHUETZ</t>
        </is>
      </c>
      <c r="H5215" t="inlineStr">
        <is>
          <t>4S Federzugkl.</t>
        </is>
      </c>
      <c r="I5215">
        <v>231</v>
      </c>
      <c r="J5215">
        <f>GS51/25.1.5</f>
        <v>0</v>
      </c>
      <c r="M5215" t="inlineStr">
        <is>
          <t>-25.1K2</t>
        </is>
      </c>
    </row>
    <row r="5216">
      <c r="A5216">
        <v>5215</v>
      </c>
      <c r="B5216">
        <f>GS52</f>
        <v>0</v>
      </c>
      <c r="C5216" t="inlineStr">
        <is>
          <t>+ES02</t>
        </is>
      </c>
      <c r="D5216" t="inlineStr">
        <is>
          <t>-25.1K2</t>
        </is>
      </c>
      <c r="E5216" t="inlineStr">
        <is>
          <t>DILA-40</t>
        </is>
      </c>
      <c r="F5216" t="inlineStr">
        <is>
          <t>DILA-XHIC31</t>
        </is>
      </c>
      <c r="G5216" t="inlineStr">
        <is>
          <t>HILFSSCHUETZ</t>
        </is>
      </c>
      <c r="H5216" t="inlineStr">
        <is>
          <t>4S Federzugkl.</t>
        </is>
      </c>
      <c r="I5216">
        <v>142</v>
      </c>
      <c r="J5216">
        <f>GS52/25.1.5</f>
        <v>0</v>
      </c>
      <c r="M5216" t="inlineStr">
        <is>
          <t>-25.1K2</t>
        </is>
      </c>
    </row>
    <row r="5217">
      <c r="A5217">
        <v>5216</v>
      </c>
      <c r="B5217">
        <f>GS52</f>
        <v>0</v>
      </c>
      <c r="C5217" t="inlineStr">
        <is>
          <t>+ES02</t>
        </is>
      </c>
      <c r="D5217" t="inlineStr">
        <is>
          <t>-25.1K2</t>
        </is>
      </c>
      <c r="E5217" t="inlineStr">
        <is>
          <t>DILA-XHIC31</t>
        </is>
      </c>
      <c r="F5217" t="inlineStr">
        <is>
          <t>DILA-XHIC31</t>
        </is>
      </c>
      <c r="G5217" t="inlineStr">
        <is>
          <t>HILFSKONTAKTBLOCK</t>
        </is>
      </c>
      <c r="H5217" t="inlineStr">
        <is>
          <t>3S 1OE Last+Hilfssch. Cage</t>
        </is>
      </c>
      <c r="I5217">
        <v>142</v>
      </c>
      <c r="J5217">
        <f>GS52/25.1.5</f>
        <v>0</v>
      </c>
      <c r="M5217" t="inlineStr">
        <is>
          <t>-25.1K2</t>
        </is>
      </c>
    </row>
    <row r="5218">
      <c r="A5218">
        <v>5217</v>
      </c>
      <c r="B5218">
        <f>GS55</f>
        <v>0</v>
      </c>
      <c r="C5218" t="inlineStr">
        <is>
          <t>+ES02</t>
        </is>
      </c>
      <c r="D5218" t="inlineStr">
        <is>
          <t>-25.1K2</t>
        </is>
      </c>
      <c r="E5218" t="inlineStr">
        <is>
          <t>DILA-40</t>
        </is>
      </c>
      <c r="F5218" t="inlineStr">
        <is>
          <t>DILA-XHIC31</t>
        </is>
      </c>
      <c r="G5218" t="inlineStr">
        <is>
          <t>HILFSSCHUETZ</t>
        </is>
      </c>
      <c r="H5218" t="inlineStr">
        <is>
          <t>4S Federzugkl.</t>
        </is>
      </c>
      <c r="I5218">
        <v>258</v>
      </c>
      <c r="J5218">
        <f>GS55/25.1.5</f>
        <v>0</v>
      </c>
      <c r="M5218" t="inlineStr">
        <is>
          <t>-25.1K2</t>
        </is>
      </c>
    </row>
    <row r="5219">
      <c r="A5219">
        <v>5218</v>
      </c>
      <c r="B5219">
        <f>GS55</f>
        <v>0</v>
      </c>
      <c r="C5219" t="inlineStr">
        <is>
          <t>+ES02</t>
        </is>
      </c>
      <c r="D5219" t="inlineStr">
        <is>
          <t>-25.1K2</t>
        </is>
      </c>
      <c r="E5219" t="inlineStr">
        <is>
          <t>DILA-XHIC31</t>
        </is>
      </c>
      <c r="F5219" t="inlineStr">
        <is>
          <t>DILA-XHIC31</t>
        </is>
      </c>
      <c r="G5219" t="inlineStr">
        <is>
          <t>HILFSKONTAKTBLOCK</t>
        </is>
      </c>
      <c r="H5219" t="inlineStr">
        <is>
          <t>3S 1OE Last+Hilfssch. Cage</t>
        </is>
      </c>
      <c r="I5219">
        <v>258</v>
      </c>
      <c r="J5219">
        <f>GS55/25.1.5</f>
        <v>0</v>
      </c>
      <c r="M5219" t="inlineStr">
        <is>
          <t>-25.1K2</t>
        </is>
      </c>
    </row>
    <row r="5220">
      <c r="A5220">
        <v>5219</v>
      </c>
      <c r="B5220">
        <f>GS55</f>
        <v>0</v>
      </c>
      <c r="C5220" t="inlineStr">
        <is>
          <t>+ES02</t>
        </is>
      </c>
      <c r="D5220" t="inlineStr">
        <is>
          <t>-25.1K3</t>
        </is>
      </c>
      <c r="E5220" t="inlineStr">
        <is>
          <t>DILA-40</t>
        </is>
      </c>
      <c r="F5220" t="inlineStr">
        <is>
          <t>DILA-XHIC31</t>
        </is>
      </c>
      <c r="G5220" t="inlineStr">
        <is>
          <t>HILFSSCHUETZ</t>
        </is>
      </c>
      <c r="H5220" t="inlineStr">
        <is>
          <t>4S Federzugkl.</t>
        </is>
      </c>
      <c r="I5220">
        <v>258</v>
      </c>
      <c r="J5220">
        <f>GS55/25.1.6</f>
        <v>0</v>
      </c>
      <c r="M5220" t="inlineStr">
        <is>
          <t>-25.1K3</t>
        </is>
      </c>
    </row>
    <row r="5221">
      <c r="A5221">
        <v>5220</v>
      </c>
      <c r="B5221">
        <f>GS55</f>
        <v>0</v>
      </c>
      <c r="C5221" t="inlineStr">
        <is>
          <t>+ES02</t>
        </is>
      </c>
      <c r="D5221" t="inlineStr">
        <is>
          <t>-25.1K3</t>
        </is>
      </c>
      <c r="E5221" t="inlineStr">
        <is>
          <t>DILA-XHIC31</t>
        </is>
      </c>
      <c r="F5221" t="inlineStr">
        <is>
          <t>DILA-XHIC31</t>
        </is>
      </c>
      <c r="G5221" t="inlineStr">
        <is>
          <t>HILFSKONTAKTBLOCK</t>
        </is>
      </c>
      <c r="H5221" t="inlineStr">
        <is>
          <t>3S 1OE Last+Hilfssch. Cage</t>
        </is>
      </c>
      <c r="I5221">
        <v>258</v>
      </c>
      <c r="J5221">
        <f>GS55/25.1.6</f>
        <v>0</v>
      </c>
      <c r="M5221" t="inlineStr">
        <is>
          <t>-25.1K3</t>
        </is>
      </c>
    </row>
    <row r="5222">
      <c r="A5222">
        <v>5221</v>
      </c>
      <c r="B5222">
        <f>GS55</f>
        <v>0</v>
      </c>
      <c r="C5222" t="inlineStr">
        <is>
          <t>+ES02</t>
        </is>
      </c>
      <c r="D5222" t="inlineStr">
        <is>
          <t>-25.1K4</t>
        </is>
      </c>
      <c r="E5222" t="inlineStr">
        <is>
          <t>DILA-40</t>
        </is>
      </c>
      <c r="F5222" t="inlineStr">
        <is>
          <t>DILA-XHIC31</t>
        </is>
      </c>
      <c r="G5222" t="inlineStr">
        <is>
          <t>HILFSSCHUETZ</t>
        </is>
      </c>
      <c r="H5222" t="inlineStr">
        <is>
          <t>4S Federzugkl.</t>
        </is>
      </c>
      <c r="I5222">
        <v>258</v>
      </c>
      <c r="J5222">
        <f>GS55/25.1.6</f>
        <v>0</v>
      </c>
      <c r="M5222" t="inlineStr">
        <is>
          <t>-25.1K4</t>
        </is>
      </c>
    </row>
    <row r="5223">
      <c r="A5223">
        <v>5222</v>
      </c>
      <c r="B5223">
        <f>GS55</f>
        <v>0</v>
      </c>
      <c r="C5223" t="inlineStr">
        <is>
          <t>+ES02</t>
        </is>
      </c>
      <c r="D5223" t="inlineStr">
        <is>
          <t>-25.1K4</t>
        </is>
      </c>
      <c r="E5223" t="inlineStr">
        <is>
          <t>DILA-XHIC31</t>
        </is>
      </c>
      <c r="F5223" t="inlineStr">
        <is>
          <t>DILA-XHIC31</t>
        </is>
      </c>
      <c r="G5223" t="inlineStr">
        <is>
          <t>HILFSKONTAKTBLOCK</t>
        </is>
      </c>
      <c r="H5223" t="inlineStr">
        <is>
          <t>3S 1OE Last+Hilfssch. Cage</t>
        </is>
      </c>
      <c r="I5223">
        <v>258</v>
      </c>
      <c r="J5223">
        <f>GS55/25.1.6</f>
        <v>0</v>
      </c>
      <c r="M5223" t="inlineStr">
        <is>
          <t>-25.1K4</t>
        </is>
      </c>
    </row>
    <row r="5224">
      <c r="A5224">
        <v>5223</v>
      </c>
      <c r="B5224">
        <f>GC03</f>
        <v>0</v>
      </c>
      <c r="C5224" t="inlineStr">
        <is>
          <t>+LS6</t>
        </is>
      </c>
      <c r="D5224" t="inlineStr">
        <is>
          <t>-250K1</t>
        </is>
      </c>
      <c r="E5224" t="inlineStr">
        <is>
          <t>22_DIL-M</t>
        </is>
      </c>
      <c r="F5224" t="inlineStr">
        <is>
          <t>22_DIL-M</t>
        </is>
      </c>
      <c r="G5224" t="inlineStr">
        <is>
          <t>HILFSKONTAKTBLOCK</t>
        </is>
      </c>
      <c r="H5224" t="inlineStr">
        <is>
          <t>2S 2OE Lastschuetz DIL M</t>
        </is>
      </c>
      <c r="I5224">
        <v>3413</v>
      </c>
      <c r="J5224">
        <f>GC03/250.2</f>
        <v>0</v>
      </c>
      <c r="K5224" t="inlineStr">
        <is>
          <t>DIL0AM</t>
        </is>
      </c>
      <c r="M5224" t="inlineStr">
        <is>
          <t>-250K1</t>
        </is>
      </c>
    </row>
    <row r="5225">
      <c r="A5225">
        <v>5224</v>
      </c>
      <c r="B5225">
        <f>GC03</f>
        <v>0</v>
      </c>
      <c r="C5225" t="inlineStr">
        <is>
          <t>+LS6</t>
        </is>
      </c>
      <c r="D5225" t="inlineStr">
        <is>
          <t>-250K1</t>
        </is>
      </c>
      <c r="E5225" t="inlineStr">
        <is>
          <t>DIL_0AM</t>
        </is>
      </c>
      <c r="F5225" t="inlineStr">
        <is>
          <t>22_DIL-M</t>
        </is>
      </c>
      <c r="G5225" t="inlineStr">
        <is>
          <t>LASTSCHUETZ</t>
        </is>
      </c>
      <c r="H5225" t="inlineStr">
        <is>
          <t>11 kW</t>
        </is>
      </c>
      <c r="I5225">
        <v>3413</v>
      </c>
      <c r="J5225">
        <f>GC03/250.2</f>
        <v>0</v>
      </c>
      <c r="K5225" t="inlineStr">
        <is>
          <t>DIL0AM</t>
        </is>
      </c>
      <c r="M5225" t="inlineStr">
        <is>
          <t>-250K1</t>
        </is>
      </c>
    </row>
    <row r="5226">
      <c r="A5226">
        <v>5225</v>
      </c>
      <c r="B5226">
        <f>GS02</f>
        <v>0</v>
      </c>
      <c r="C5226" t="inlineStr">
        <is>
          <t>+LS4</t>
        </is>
      </c>
      <c r="D5226" t="inlineStr">
        <is>
          <t>-250K1</t>
        </is>
      </c>
      <c r="E5226" t="inlineStr">
        <is>
          <t>22_DIL-M</t>
        </is>
      </c>
      <c r="F5226" t="inlineStr">
        <is>
          <t>22_DIL-M</t>
        </is>
      </c>
      <c r="G5226" t="inlineStr">
        <is>
          <t>HILFSKONTAKTBLOCK</t>
        </is>
      </c>
      <c r="H5226" t="inlineStr">
        <is>
          <t>2S 2OE Lastschuetz DIL M</t>
        </is>
      </c>
      <c r="I5226">
        <v>655</v>
      </c>
      <c r="J5226">
        <f>GS02/250.2</f>
        <v>0</v>
      </c>
      <c r="K5226" t="inlineStr">
        <is>
          <t>DIL0AM</t>
        </is>
      </c>
      <c r="M5226" t="inlineStr">
        <is>
          <t>-250K1</t>
        </is>
      </c>
    </row>
    <row r="5227">
      <c r="A5227">
        <v>5226</v>
      </c>
      <c r="B5227">
        <f>GS02</f>
        <v>0</v>
      </c>
      <c r="C5227" t="inlineStr">
        <is>
          <t>+LS4</t>
        </is>
      </c>
      <c r="D5227" t="inlineStr">
        <is>
          <t>-250K1</t>
        </is>
      </c>
      <c r="E5227" t="inlineStr">
        <is>
          <t>DIL_0AM</t>
        </is>
      </c>
      <c r="F5227" t="inlineStr">
        <is>
          <t>22_DIL-M</t>
        </is>
      </c>
      <c r="G5227" t="inlineStr">
        <is>
          <t>LASTSCHUETZ</t>
        </is>
      </c>
      <c r="H5227" t="inlineStr">
        <is>
          <t>11 kW</t>
        </is>
      </c>
      <c r="I5227">
        <v>655</v>
      </c>
      <c r="J5227">
        <f>GS02/250.2</f>
        <v>0</v>
      </c>
      <c r="K5227" t="inlineStr">
        <is>
          <t>DIL0AM</t>
        </is>
      </c>
      <c r="M5227" t="inlineStr">
        <is>
          <t>-250K1</t>
        </is>
      </c>
    </row>
    <row r="5228">
      <c r="A5228">
        <v>5227</v>
      </c>
      <c r="B5228">
        <f>GS05</f>
        <v>0</v>
      </c>
      <c r="C5228" t="inlineStr">
        <is>
          <t>+LS03</t>
        </is>
      </c>
      <c r="D5228" t="inlineStr">
        <is>
          <t>-250K1</t>
        </is>
      </c>
      <c r="E5228" t="inlineStr">
        <is>
          <t>DILM-9-01</t>
        </is>
      </c>
      <c r="F5228" t="inlineStr">
        <is>
          <t>#KALK!</t>
        </is>
      </c>
      <c r="G5228" t="inlineStr">
        <is>
          <t>LASTSCHUETZ</t>
        </is>
      </c>
      <c r="H5228" t="inlineStr">
        <is>
          <t>4kW 1Oe Federzugkl.</t>
        </is>
      </c>
      <c r="I5228">
        <v>2125</v>
      </c>
      <c r="J5228">
        <f>GS05/250.5</f>
        <v>0</v>
      </c>
      <c r="M5228" t="inlineStr">
        <is>
          <t>-250K1</t>
        </is>
      </c>
    </row>
    <row r="5229">
      <c r="A5229">
        <v>5228</v>
      </c>
      <c r="B5229">
        <f>GS16</f>
        <v>0</v>
      </c>
      <c r="C5229" t="inlineStr">
        <is>
          <t>+LS5</t>
        </is>
      </c>
      <c r="D5229" t="inlineStr">
        <is>
          <t>-250K1</t>
        </is>
      </c>
      <c r="E5229" t="inlineStr">
        <is>
          <t>DIL_M-820-XHI11-SI</t>
        </is>
      </c>
      <c r="F5229" t="inlineStr">
        <is>
          <t>#ÜBERLAUF!</t>
        </is>
      </c>
      <c r="G5229" t="inlineStr">
        <is>
          <t>HILFSKONTAKTBLOCK</t>
        </is>
      </c>
      <c r="H5229" t="inlineStr">
        <is>
          <t>1S 1OE Lastschuetz DIL M</t>
        </is>
      </c>
      <c r="J5229">
        <f>GS16/250.2</f>
        <v>0</v>
      </c>
      <c r="K5229" t="inlineStr">
        <is>
          <t>DIL4M115</t>
        </is>
      </c>
      <c r="M5229" t="inlineStr">
        <is>
          <t>-250K1</t>
        </is>
      </c>
    </row>
    <row r="5230">
      <c r="A5230">
        <v>5229</v>
      </c>
      <c r="B5230">
        <f>GS16</f>
        <v>0</v>
      </c>
      <c r="C5230" t="inlineStr">
        <is>
          <t>+LS5</t>
        </is>
      </c>
      <c r="D5230" t="inlineStr">
        <is>
          <t>-250K1</t>
        </is>
      </c>
      <c r="E5230" t="inlineStr">
        <is>
          <t>DIL_4M115 (230V AC)</t>
        </is>
      </c>
      <c r="F5230" t="inlineStr">
        <is>
          <t>#ÜBERLAUF!</t>
        </is>
      </c>
      <c r="G5230" t="inlineStr">
        <is>
          <t>LASTSCHUETZ</t>
        </is>
      </c>
      <c r="H5230" t="inlineStr">
        <is>
          <t>55 kW</t>
        </is>
      </c>
      <c r="I5230">
        <v>478</v>
      </c>
      <c r="J5230">
        <f>GS16/250.2</f>
        <v>0</v>
      </c>
      <c r="K5230" t="inlineStr">
        <is>
          <t>DIL4M115</t>
        </is>
      </c>
      <c r="M5230" t="inlineStr">
        <is>
          <t>-250K1</t>
        </is>
      </c>
    </row>
    <row r="5231">
      <c r="A5231">
        <v>5230</v>
      </c>
      <c r="B5231">
        <f>GS16</f>
        <v>0</v>
      </c>
      <c r="C5231" t="inlineStr">
        <is>
          <t>+LS5</t>
        </is>
      </c>
      <c r="D5231" t="inlineStr">
        <is>
          <t>-250K1</t>
        </is>
      </c>
      <c r="E5231" t="inlineStr">
        <is>
          <t>22_DIL-M</t>
        </is>
      </c>
      <c r="F5231" t="inlineStr">
        <is>
          <t>#ÜBERLAUF!</t>
        </is>
      </c>
      <c r="G5231" t="inlineStr">
        <is>
          <t>HILFSKONTAKTBLOCK</t>
        </is>
      </c>
      <c r="H5231" t="inlineStr">
        <is>
          <t>2S 2OE Lastschuetz DIL M</t>
        </is>
      </c>
      <c r="I5231">
        <v>478</v>
      </c>
      <c r="J5231">
        <f>GS16/250.2</f>
        <v>0</v>
      </c>
      <c r="K5231" t="inlineStr">
        <is>
          <t>DIL4M115</t>
        </is>
      </c>
      <c r="M5231" t="inlineStr">
        <is>
          <t>-250K1</t>
        </is>
      </c>
    </row>
    <row r="5232">
      <c r="A5232">
        <v>5231</v>
      </c>
      <c r="B5232">
        <f>GS32</f>
        <v>0</v>
      </c>
      <c r="C5232" t="inlineStr">
        <is>
          <t>+LS6</t>
        </is>
      </c>
      <c r="D5232" t="inlineStr">
        <is>
          <t>-250K1</t>
        </is>
      </c>
      <c r="E5232" t="inlineStr">
        <is>
          <t>22_DIL-M</t>
        </is>
      </c>
      <c r="F5232" t="inlineStr">
        <is>
          <t>22_DIL-M</t>
        </is>
      </c>
      <c r="G5232" t="inlineStr">
        <is>
          <t>HILFSKONTAKTBLOCK</t>
        </is>
      </c>
      <c r="H5232" t="inlineStr">
        <is>
          <t>2S 2OE Lastschuetz DIL M</t>
        </is>
      </c>
      <c r="I5232">
        <v>1337</v>
      </c>
      <c r="J5232">
        <f>GS32/250.2</f>
        <v>0</v>
      </c>
      <c r="K5232" t="inlineStr">
        <is>
          <t>DIL0AM</t>
        </is>
      </c>
      <c r="M5232" t="inlineStr">
        <is>
          <t>-250K1</t>
        </is>
      </c>
    </row>
    <row r="5233">
      <c r="A5233">
        <v>5232</v>
      </c>
      <c r="B5233">
        <f>GS32</f>
        <v>0</v>
      </c>
      <c r="C5233" t="inlineStr">
        <is>
          <t>+LS6</t>
        </is>
      </c>
      <c r="D5233" t="inlineStr">
        <is>
          <t>-250K1</t>
        </is>
      </c>
      <c r="E5233" t="inlineStr">
        <is>
          <t>DIL_0AM</t>
        </is>
      </c>
      <c r="F5233" t="inlineStr">
        <is>
          <t>22_DIL-M</t>
        </is>
      </c>
      <c r="G5233" t="inlineStr">
        <is>
          <t>LASTSCHUETZ</t>
        </is>
      </c>
      <c r="H5233" t="inlineStr">
        <is>
          <t>11 kW</t>
        </is>
      </c>
      <c r="I5233">
        <v>1337</v>
      </c>
      <c r="J5233">
        <f>GS32/250.2</f>
        <v>0</v>
      </c>
      <c r="K5233" t="inlineStr">
        <is>
          <t>DIL0AM</t>
        </is>
      </c>
      <c r="M5233" t="inlineStr">
        <is>
          <t>-250K1</t>
        </is>
      </c>
    </row>
    <row r="5234">
      <c r="A5234">
        <v>5233</v>
      </c>
      <c r="B5234">
        <f>GS05</f>
        <v>0</v>
      </c>
      <c r="C5234" t="inlineStr">
        <is>
          <t>+LS03</t>
        </is>
      </c>
      <c r="D5234" t="inlineStr">
        <is>
          <t>-250K119.3</t>
        </is>
      </c>
      <c r="E5234" t="inlineStr">
        <is>
          <t>DILA-22</t>
        </is>
      </c>
      <c r="F5234" t="inlineStr">
        <is>
          <t>#KALK!</t>
        </is>
      </c>
      <c r="G5234" t="inlineStr">
        <is>
          <t>HILFSSCHUETZ</t>
        </is>
      </c>
      <c r="H5234" t="inlineStr">
        <is>
          <t>2S 2Oe Federzugkl.</t>
        </is>
      </c>
      <c r="I5234">
        <v>2125</v>
      </c>
      <c r="J5234">
        <f>GS05/250.8</f>
        <v>0</v>
      </c>
      <c r="M5234" t="inlineStr">
        <is>
          <t>-250K119.3</t>
        </is>
      </c>
    </row>
    <row r="5235">
      <c r="A5235">
        <v>5234</v>
      </c>
      <c r="B5235">
        <f>GS92</f>
        <v>0</v>
      </c>
      <c r="C5235" t="inlineStr">
        <is>
          <t>+LS03</t>
        </is>
      </c>
      <c r="D5235" t="inlineStr">
        <is>
          <t>-250K177.4</t>
        </is>
      </c>
      <c r="E5235" t="inlineStr">
        <is>
          <t>DILA-40</t>
        </is>
      </c>
      <c r="F5235" t="inlineStr">
        <is>
          <t>#KALK!</t>
        </is>
      </c>
      <c r="G5235" t="inlineStr">
        <is>
          <t>HILFSSCHUETZ</t>
        </is>
      </c>
      <c r="H5235" t="inlineStr">
        <is>
          <t>4S Federzugkl.</t>
        </is>
      </c>
      <c r="I5235">
        <v>396</v>
      </c>
      <c r="J5235">
        <f>GS92/250.7</f>
        <v>0</v>
      </c>
      <c r="M5235" t="inlineStr">
        <is>
          <t>-250K177.4</t>
        </is>
      </c>
    </row>
    <row r="5236">
      <c r="A5236">
        <v>5235</v>
      </c>
      <c r="B5236">
        <f>GS93</f>
        <v>0</v>
      </c>
      <c r="C5236" t="inlineStr">
        <is>
          <t>+LS03</t>
        </is>
      </c>
      <c r="D5236" t="inlineStr">
        <is>
          <t>-250K177.4</t>
        </is>
      </c>
      <c r="E5236" t="inlineStr">
        <is>
          <t>DILA-40</t>
        </is>
      </c>
      <c r="F5236" t="inlineStr">
        <is>
          <t>#KALK!</t>
        </is>
      </c>
      <c r="G5236" t="inlineStr">
        <is>
          <t>HILFSSCHUETZ</t>
        </is>
      </c>
      <c r="H5236" t="inlineStr">
        <is>
          <t>4S Federzugkl.</t>
        </is>
      </c>
      <c r="I5236">
        <v>804</v>
      </c>
      <c r="J5236">
        <f>GS93/250.7</f>
        <v>0</v>
      </c>
      <c r="M5236" t="inlineStr">
        <is>
          <t>-250K177.4</t>
        </is>
      </c>
    </row>
    <row r="5237">
      <c r="A5237">
        <v>5236</v>
      </c>
      <c r="B5237">
        <f>GS05</f>
        <v>0</v>
      </c>
      <c r="C5237" t="inlineStr">
        <is>
          <t>+LS03</t>
        </is>
      </c>
      <c r="D5237" t="inlineStr">
        <is>
          <t>-250K2</t>
        </is>
      </c>
      <c r="E5237" t="inlineStr">
        <is>
          <t>DILM-9-01</t>
        </is>
      </c>
      <c r="F5237" t="inlineStr">
        <is>
          <t>#KALK!</t>
        </is>
      </c>
      <c r="G5237" t="inlineStr">
        <is>
          <t>LASTSCHUETZ</t>
        </is>
      </c>
      <c r="H5237" t="inlineStr">
        <is>
          <t>4kW 1Oe Federzugkl.</t>
        </is>
      </c>
      <c r="I5237">
        <v>2125</v>
      </c>
      <c r="J5237">
        <f>GS05/250.5</f>
        <v>0</v>
      </c>
      <c r="M5237" t="inlineStr">
        <is>
          <t>-250K2</t>
        </is>
      </c>
    </row>
    <row r="5238">
      <c r="A5238">
        <v>5237</v>
      </c>
      <c r="B5238">
        <f>GS16</f>
        <v>0</v>
      </c>
      <c r="C5238" t="inlineStr">
        <is>
          <t>+LS5</t>
        </is>
      </c>
      <c r="D5238" t="inlineStr">
        <is>
          <t>-250K2</t>
        </is>
      </c>
      <c r="E5238" t="inlineStr">
        <is>
          <t>DIL_M-820-XHI11-SI</t>
        </is>
      </c>
      <c r="F5238" t="inlineStr">
        <is>
          <t>#ÜBERLAUF!</t>
        </is>
      </c>
      <c r="G5238" t="inlineStr">
        <is>
          <t>HILFSKONTAKTBLOCK</t>
        </is>
      </c>
      <c r="H5238" t="inlineStr">
        <is>
          <t>1S 1OE Lastschuetz DIL M</t>
        </is>
      </c>
      <c r="J5238">
        <f>GS16/250.3</f>
        <v>0</v>
      </c>
      <c r="K5238" t="inlineStr">
        <is>
          <t>DIL4M115</t>
        </is>
      </c>
      <c r="M5238" t="inlineStr">
        <is>
          <t>-250K2</t>
        </is>
      </c>
    </row>
    <row r="5239">
      <c r="A5239">
        <v>5238</v>
      </c>
      <c r="B5239">
        <f>GS16</f>
        <v>0</v>
      </c>
      <c r="C5239" t="inlineStr">
        <is>
          <t>+LS5</t>
        </is>
      </c>
      <c r="D5239" t="inlineStr">
        <is>
          <t>-250K2</t>
        </is>
      </c>
      <c r="E5239" t="inlineStr">
        <is>
          <t>DIL_4M115 (230V AC)</t>
        </is>
      </c>
      <c r="F5239" t="inlineStr">
        <is>
          <t>#ÜBERLAUF!</t>
        </is>
      </c>
      <c r="G5239" t="inlineStr">
        <is>
          <t>LASTSCHUETZ</t>
        </is>
      </c>
      <c r="H5239" t="inlineStr">
        <is>
          <t>55 kW</t>
        </is>
      </c>
      <c r="I5239">
        <v>478</v>
      </c>
      <c r="J5239">
        <f>GS16/250.3</f>
        <v>0</v>
      </c>
      <c r="K5239" t="inlineStr">
        <is>
          <t>DIL4M115</t>
        </is>
      </c>
      <c r="M5239" t="inlineStr">
        <is>
          <t>-250K2</t>
        </is>
      </c>
    </row>
    <row r="5240">
      <c r="A5240">
        <v>5239</v>
      </c>
      <c r="B5240">
        <f>GS16</f>
        <v>0</v>
      </c>
      <c r="C5240" t="inlineStr">
        <is>
          <t>+LS5</t>
        </is>
      </c>
      <c r="D5240" t="inlineStr">
        <is>
          <t>-250K2</t>
        </is>
      </c>
      <c r="E5240" t="inlineStr">
        <is>
          <t>22_DIL-M</t>
        </is>
      </c>
      <c r="F5240" t="inlineStr">
        <is>
          <t>#ÜBERLAUF!</t>
        </is>
      </c>
      <c r="G5240" t="inlineStr">
        <is>
          <t>HILFSKONTAKTBLOCK</t>
        </is>
      </c>
      <c r="H5240" t="inlineStr">
        <is>
          <t>2S 2OE Lastschuetz DIL M</t>
        </is>
      </c>
      <c r="I5240">
        <v>478</v>
      </c>
      <c r="J5240">
        <f>GS16/250.3</f>
        <v>0</v>
      </c>
      <c r="K5240" t="inlineStr">
        <is>
          <t>DIL4M115</t>
        </is>
      </c>
      <c r="M5240" t="inlineStr">
        <is>
          <t>-250K2</t>
        </is>
      </c>
    </row>
    <row r="5241">
      <c r="A5241">
        <v>5240</v>
      </c>
      <c r="B5241">
        <f>GS16</f>
        <v>0</v>
      </c>
      <c r="C5241" t="inlineStr">
        <is>
          <t>+LS5</t>
        </is>
      </c>
      <c r="D5241" t="inlineStr">
        <is>
          <t>-250K3</t>
        </is>
      </c>
      <c r="E5241" t="inlineStr">
        <is>
          <t>22_DIL-M</t>
        </is>
      </c>
      <c r="F5241" t="inlineStr">
        <is>
          <t>22_DIL-M</t>
        </is>
      </c>
      <c r="G5241" t="inlineStr">
        <is>
          <t>HILFSKONTAKTBLOCK</t>
        </is>
      </c>
      <c r="H5241" t="inlineStr">
        <is>
          <t>2S 2OE Lastschuetz DIL M</t>
        </is>
      </c>
      <c r="I5241">
        <v>478</v>
      </c>
      <c r="J5241">
        <f>GS16/250.4</f>
        <v>0</v>
      </c>
      <c r="K5241" t="inlineStr">
        <is>
          <t>DIL0AM</t>
        </is>
      </c>
      <c r="M5241" t="inlineStr">
        <is>
          <t>-250K3</t>
        </is>
      </c>
    </row>
    <row r="5242">
      <c r="A5242">
        <v>5241</v>
      </c>
      <c r="B5242">
        <f>GS16</f>
        <v>0</v>
      </c>
      <c r="C5242" t="inlineStr">
        <is>
          <t>+LS5</t>
        </is>
      </c>
      <c r="D5242" t="inlineStr">
        <is>
          <t>-250K3</t>
        </is>
      </c>
      <c r="E5242" t="inlineStr">
        <is>
          <t>DIL_0AM</t>
        </is>
      </c>
      <c r="F5242" t="inlineStr">
        <is>
          <t>22_DIL-M</t>
        </is>
      </c>
      <c r="G5242" t="inlineStr">
        <is>
          <t>LASTSCHUETZ</t>
        </is>
      </c>
      <c r="H5242" t="inlineStr">
        <is>
          <t>11 kW</t>
        </is>
      </c>
      <c r="I5242">
        <v>478</v>
      </c>
      <c r="J5242">
        <f>GS16/250.4</f>
        <v>0</v>
      </c>
      <c r="K5242" t="inlineStr">
        <is>
          <t>DIL0AM</t>
        </is>
      </c>
      <c r="M5242" t="inlineStr">
        <is>
          <t>-250K3</t>
        </is>
      </c>
    </row>
    <row r="5243">
      <c r="A5243">
        <v>5242</v>
      </c>
      <c r="B5243">
        <f>GS16</f>
        <v>0</v>
      </c>
      <c r="C5243" t="inlineStr">
        <is>
          <t>+LS5</t>
        </is>
      </c>
      <c r="D5243" t="inlineStr">
        <is>
          <t>-250K4</t>
        </is>
      </c>
      <c r="E5243" t="inlineStr">
        <is>
          <t>22_DIL-M</t>
        </is>
      </c>
      <c r="F5243" t="inlineStr">
        <is>
          <t>22_DIL-M</t>
        </is>
      </c>
      <c r="G5243" t="inlineStr">
        <is>
          <t>HILFSKONTAKTBLOCK</t>
        </is>
      </c>
      <c r="H5243" t="inlineStr">
        <is>
          <t>2S 2OE Lastschuetz DIL M</t>
        </is>
      </c>
      <c r="I5243">
        <v>478</v>
      </c>
      <c r="J5243">
        <f>GS16/250.5</f>
        <v>0</v>
      </c>
      <c r="K5243" t="inlineStr">
        <is>
          <t>DIL0AM</t>
        </is>
      </c>
      <c r="M5243" t="inlineStr">
        <is>
          <t>-250K4</t>
        </is>
      </c>
    </row>
    <row r="5244">
      <c r="A5244">
        <v>5243</v>
      </c>
      <c r="B5244">
        <f>GS16</f>
        <v>0</v>
      </c>
      <c r="C5244" t="inlineStr">
        <is>
          <t>+LS5</t>
        </is>
      </c>
      <c r="D5244" t="inlineStr">
        <is>
          <t>-250K4</t>
        </is>
      </c>
      <c r="E5244" t="inlineStr">
        <is>
          <t>DIL_0AM</t>
        </is>
      </c>
      <c r="F5244" t="inlineStr">
        <is>
          <t>22_DIL-M</t>
        </is>
      </c>
      <c r="G5244" t="inlineStr">
        <is>
          <t>LASTSCHUETZ</t>
        </is>
      </c>
      <c r="H5244" t="inlineStr">
        <is>
          <t>11 kW</t>
        </is>
      </c>
      <c r="I5244">
        <v>478</v>
      </c>
      <c r="J5244">
        <f>GS16/250.5</f>
        <v>0</v>
      </c>
      <c r="K5244" t="inlineStr">
        <is>
          <t>DIL0AM</t>
        </is>
      </c>
      <c r="M5244" t="inlineStr">
        <is>
          <t>-250K4</t>
        </is>
      </c>
    </row>
    <row r="5245">
      <c r="A5245">
        <v>5244</v>
      </c>
      <c r="B5245">
        <f>GS25</f>
        <v>0</v>
      </c>
      <c r="C5245" t="inlineStr">
        <is>
          <t>+LS5</t>
        </is>
      </c>
      <c r="D5245" t="inlineStr">
        <is>
          <t>-250K82.0</t>
        </is>
      </c>
      <c r="E5245" t="inlineStr">
        <is>
          <t>DIL_EM-10-G</t>
        </is>
      </c>
      <c r="F5245" t="inlineStr">
        <is>
          <t>#KALK!</t>
        </is>
      </c>
      <c r="G5245" t="inlineStr">
        <is>
          <t>LASTSCHUETZ</t>
        </is>
      </c>
      <c r="H5245" t="inlineStr">
        <is>
          <t>4kW 1S</t>
        </is>
      </c>
      <c r="I5245">
        <v>371</v>
      </c>
      <c r="J5245">
        <f>GS25/250.6</f>
        <v>0</v>
      </c>
      <c r="M5245" t="inlineStr">
        <is>
          <t>-250K82.0</t>
        </is>
      </c>
    </row>
    <row r="5246">
      <c r="A5246">
        <v>5245</v>
      </c>
      <c r="B5246">
        <f>GS25</f>
        <v>0</v>
      </c>
      <c r="C5246" t="inlineStr">
        <is>
          <t>+LS5</t>
        </is>
      </c>
      <c r="D5246" t="inlineStr">
        <is>
          <t>-250K82.1</t>
        </is>
      </c>
      <c r="E5246" t="inlineStr">
        <is>
          <t>DIL_EM-10-G</t>
        </is>
      </c>
      <c r="F5246" t="inlineStr">
        <is>
          <t>#KALK!</t>
        </is>
      </c>
      <c r="G5246" t="inlineStr">
        <is>
          <t>LASTSCHUETZ</t>
        </is>
      </c>
      <c r="H5246" t="inlineStr">
        <is>
          <t>4kW 1S</t>
        </is>
      </c>
      <c r="I5246">
        <v>371</v>
      </c>
      <c r="J5246">
        <f>GS25/250.6</f>
        <v>0</v>
      </c>
      <c r="M5246" t="inlineStr">
        <is>
          <t>-250K82.1</t>
        </is>
      </c>
    </row>
    <row r="5247">
      <c r="A5247">
        <v>5246</v>
      </c>
      <c r="B5247">
        <f>GS92</f>
        <v>0</v>
      </c>
      <c r="C5247" t="inlineStr">
        <is>
          <t>+LS03</t>
        </is>
      </c>
      <c r="D5247" t="inlineStr">
        <is>
          <t>-250Q1</t>
        </is>
      </c>
      <c r="E5247" t="inlineStr">
        <is>
          <t>DILMC25-10(RDC24)</t>
        </is>
      </c>
      <c r="F5247" t="inlineStr">
        <is>
          <t>DILA-XHIC31</t>
        </is>
      </c>
      <c r="G5247" t="inlineStr">
        <is>
          <t>LASTSCHUETZ</t>
        </is>
      </c>
      <c r="H5247" t="inlineStr">
        <is>
          <t>11kW 1S Federzugkl.</t>
        </is>
      </c>
      <c r="I5247">
        <v>396</v>
      </c>
      <c r="J5247">
        <f>GS92/250.4</f>
        <v>0</v>
      </c>
      <c r="K5247" t="inlineStr">
        <is>
          <t>DIL MC25</t>
        </is>
      </c>
      <c r="M5247" t="inlineStr">
        <is>
          <t>-250Q1</t>
        </is>
      </c>
    </row>
    <row r="5248">
      <c r="A5248">
        <v>5247</v>
      </c>
      <c r="B5248">
        <f>GS92</f>
        <v>0</v>
      </c>
      <c r="C5248" t="inlineStr">
        <is>
          <t>+LS03</t>
        </is>
      </c>
      <c r="D5248" t="inlineStr">
        <is>
          <t>-250Q1</t>
        </is>
      </c>
      <c r="E5248" t="inlineStr">
        <is>
          <t>DILA-XHIC31</t>
        </is>
      </c>
      <c r="F5248" t="inlineStr">
        <is>
          <t>DILA-XHIC31</t>
        </is>
      </c>
      <c r="G5248" t="inlineStr">
        <is>
          <t>HILFSKONTAKTBLOCK</t>
        </is>
      </c>
      <c r="H5248" t="inlineStr">
        <is>
          <t>3S 1OE Last+Hilfssch. Cage</t>
        </is>
      </c>
      <c r="I5248">
        <v>396</v>
      </c>
      <c r="J5248">
        <f>GS92/250.4</f>
        <v>0</v>
      </c>
      <c r="K5248" t="inlineStr">
        <is>
          <t>DIL MC25</t>
        </is>
      </c>
      <c r="M5248" t="inlineStr">
        <is>
          <t>-250Q1</t>
        </is>
      </c>
    </row>
    <row r="5249">
      <c r="A5249">
        <v>5248</v>
      </c>
      <c r="B5249">
        <f>GS93</f>
        <v>0</v>
      </c>
      <c r="C5249" t="inlineStr">
        <is>
          <t>+LS03</t>
        </is>
      </c>
      <c r="D5249" t="inlineStr">
        <is>
          <t>-250Q1</t>
        </is>
      </c>
      <c r="E5249" t="inlineStr">
        <is>
          <t>DILMC25-10(RDC24)</t>
        </is>
      </c>
      <c r="F5249" t="inlineStr">
        <is>
          <t>DILA-XHIC31</t>
        </is>
      </c>
      <c r="G5249" t="inlineStr">
        <is>
          <t>LASTSCHUETZ</t>
        </is>
      </c>
      <c r="H5249" t="inlineStr">
        <is>
          <t>11kW 1S Federzugkl.</t>
        </is>
      </c>
      <c r="I5249">
        <v>804</v>
      </c>
      <c r="J5249">
        <f>GS93/250.4</f>
        <v>0</v>
      </c>
      <c r="K5249" t="inlineStr">
        <is>
          <t>DIL MC25</t>
        </is>
      </c>
      <c r="M5249" t="inlineStr">
        <is>
          <t>-250Q1</t>
        </is>
      </c>
    </row>
    <row r="5250">
      <c r="A5250">
        <v>5249</v>
      </c>
      <c r="B5250">
        <f>GS93</f>
        <v>0</v>
      </c>
      <c r="C5250" t="inlineStr">
        <is>
          <t>+LS03</t>
        </is>
      </c>
      <c r="D5250" t="inlineStr">
        <is>
          <t>-250Q1</t>
        </is>
      </c>
      <c r="E5250" t="inlineStr">
        <is>
          <t>DILA-XHIC31</t>
        </is>
      </c>
      <c r="F5250" t="inlineStr">
        <is>
          <t>DILA-XHIC31</t>
        </is>
      </c>
      <c r="G5250" t="inlineStr">
        <is>
          <t>HILFSKONTAKTBLOCK</t>
        </is>
      </c>
      <c r="H5250" t="inlineStr">
        <is>
          <t>3S 1OE Last+Hilfssch. Cage</t>
        </is>
      </c>
      <c r="I5250">
        <v>804</v>
      </c>
      <c r="J5250">
        <f>GS93/250.4</f>
        <v>0</v>
      </c>
      <c r="K5250" t="inlineStr">
        <is>
          <t>DIL MC25</t>
        </is>
      </c>
      <c r="M5250" t="inlineStr">
        <is>
          <t>-250Q1</t>
        </is>
      </c>
    </row>
    <row r="5251">
      <c r="A5251">
        <v>5250</v>
      </c>
      <c r="B5251">
        <f>GS37</f>
        <v>0</v>
      </c>
      <c r="C5251" t="inlineStr">
        <is>
          <t>+LS05</t>
        </is>
      </c>
      <c r="D5251" t="inlineStr">
        <is>
          <t>-250Q131.0</t>
        </is>
      </c>
      <c r="E5251" t="inlineStr">
        <is>
          <t>DILM-9-01</t>
        </is>
      </c>
      <c r="F5251" t="inlineStr">
        <is>
          <t>DILA-XHI22</t>
        </is>
      </c>
      <c r="G5251" t="inlineStr">
        <is>
          <t>LASTSCHUETZ</t>
        </is>
      </c>
      <c r="H5251" t="inlineStr">
        <is>
          <t>4kW 1Oe Federzugkl.</t>
        </is>
      </c>
      <c r="I5251">
        <v>277</v>
      </c>
      <c r="J5251">
        <f>GS37/250.6</f>
        <v>0</v>
      </c>
      <c r="M5251" t="inlineStr">
        <is>
          <t>-250Q131.0</t>
        </is>
      </c>
    </row>
    <row r="5252">
      <c r="A5252">
        <v>5251</v>
      </c>
      <c r="B5252">
        <f>GS37</f>
        <v>0</v>
      </c>
      <c r="C5252" t="inlineStr">
        <is>
          <t>+LS05</t>
        </is>
      </c>
      <c r="D5252" t="inlineStr">
        <is>
          <t>-250Q131.0</t>
        </is>
      </c>
      <c r="E5252" t="inlineStr">
        <is>
          <t>DILA-XHI22</t>
        </is>
      </c>
      <c r="F5252" t="inlineStr">
        <is>
          <t>DILA-XHI22</t>
        </is>
      </c>
      <c r="G5252" t="inlineStr">
        <is>
          <t>HILFSKONTAKTBLOCK</t>
        </is>
      </c>
      <c r="H5252" t="inlineStr">
        <is>
          <t>2S 2OE Last+Hilfssch. Cage</t>
        </is>
      </c>
      <c r="I5252">
        <v>277</v>
      </c>
      <c r="J5252">
        <f>GS37/250.6</f>
        <v>0</v>
      </c>
      <c r="M5252" t="inlineStr">
        <is>
          <t>-250Q131.0</t>
        </is>
      </c>
    </row>
    <row r="5253">
      <c r="A5253">
        <v>5252</v>
      </c>
      <c r="B5253">
        <f>GS37</f>
        <v>0</v>
      </c>
      <c r="C5253" t="inlineStr">
        <is>
          <t>+LS05</t>
        </is>
      </c>
      <c r="D5253" t="inlineStr">
        <is>
          <t>-250Q131.1</t>
        </is>
      </c>
      <c r="E5253" t="inlineStr">
        <is>
          <t>DILM-9-01</t>
        </is>
      </c>
      <c r="F5253" t="inlineStr">
        <is>
          <t>DILA-XHI22</t>
        </is>
      </c>
      <c r="G5253" t="inlineStr">
        <is>
          <t>LASTSCHUETZ</t>
        </is>
      </c>
      <c r="H5253" t="inlineStr">
        <is>
          <t>4kW 1Oe Federzugkl.</t>
        </is>
      </c>
      <c r="I5253">
        <v>277</v>
      </c>
      <c r="J5253">
        <f>GS37/250.6</f>
        <v>0</v>
      </c>
      <c r="M5253" t="inlineStr">
        <is>
          <t>-250Q131.1</t>
        </is>
      </c>
    </row>
    <row r="5254">
      <c r="A5254">
        <v>5253</v>
      </c>
      <c r="B5254">
        <f>GS37</f>
        <v>0</v>
      </c>
      <c r="C5254" t="inlineStr">
        <is>
          <t>+LS05</t>
        </is>
      </c>
      <c r="D5254" t="inlineStr">
        <is>
          <t>-250Q131.1</t>
        </is>
      </c>
      <c r="E5254" t="inlineStr">
        <is>
          <t>DILA-XHI22</t>
        </is>
      </c>
      <c r="F5254" t="inlineStr">
        <is>
          <t>DILA-XHI22</t>
        </is>
      </c>
      <c r="G5254" t="inlineStr">
        <is>
          <t>HILFSKONTAKTBLOCK</t>
        </is>
      </c>
      <c r="H5254" t="inlineStr">
        <is>
          <t>2S 2OE Last+Hilfssch. Cage</t>
        </is>
      </c>
      <c r="I5254">
        <v>277</v>
      </c>
      <c r="J5254">
        <f>GS37/250.6</f>
        <v>0</v>
      </c>
      <c r="M5254" t="inlineStr">
        <is>
          <t>-250Q131.1</t>
        </is>
      </c>
    </row>
    <row r="5255">
      <c r="A5255">
        <v>5254</v>
      </c>
      <c r="B5255">
        <f>GS04</f>
        <v>0</v>
      </c>
      <c r="C5255" t="inlineStr">
        <is>
          <t>+LS5</t>
        </is>
      </c>
      <c r="D5255" t="inlineStr">
        <is>
          <t>-251K1</t>
        </is>
      </c>
      <c r="E5255" t="inlineStr">
        <is>
          <t>DIL_0AM</t>
        </is>
      </c>
      <c r="F5255" t="inlineStr">
        <is>
          <t>22_DIL-M</t>
        </is>
      </c>
      <c r="G5255" t="inlineStr">
        <is>
          <t>LASTSCHUETZ</t>
        </is>
      </c>
      <c r="H5255" t="inlineStr">
        <is>
          <t>11 kW</t>
        </is>
      </c>
      <c r="I5255">
        <v>502</v>
      </c>
      <c r="J5255">
        <f>GS04/251.2</f>
        <v>0</v>
      </c>
      <c r="K5255" t="inlineStr">
        <is>
          <t>DIL0AM</t>
        </is>
      </c>
      <c r="M5255" t="inlineStr">
        <is>
          <t>-251K1</t>
        </is>
      </c>
    </row>
    <row r="5256">
      <c r="A5256">
        <v>5255</v>
      </c>
      <c r="B5256">
        <f>GS04</f>
        <v>0</v>
      </c>
      <c r="C5256" t="inlineStr">
        <is>
          <t>+LS5</t>
        </is>
      </c>
      <c r="D5256" t="inlineStr">
        <is>
          <t>-251K1</t>
        </is>
      </c>
      <c r="E5256" t="inlineStr">
        <is>
          <t>22_DIL-M</t>
        </is>
      </c>
      <c r="F5256" t="inlineStr">
        <is>
          <t>22_DIL-M</t>
        </is>
      </c>
      <c r="G5256" t="inlineStr">
        <is>
          <t>HILFSKONTAKTBLOCK</t>
        </is>
      </c>
      <c r="H5256" t="inlineStr">
        <is>
          <t>2S 2OE Lastschuetz DIL M</t>
        </is>
      </c>
      <c r="I5256">
        <v>502</v>
      </c>
      <c r="J5256">
        <f>GS04/251.2</f>
        <v>0</v>
      </c>
      <c r="K5256" t="inlineStr">
        <is>
          <t>DIL0AM</t>
        </is>
      </c>
      <c r="M5256" t="inlineStr">
        <is>
          <t>-251K1</t>
        </is>
      </c>
    </row>
    <row r="5257">
      <c r="A5257">
        <v>5256</v>
      </c>
      <c r="B5257">
        <f>GS26</f>
        <v>0</v>
      </c>
      <c r="C5257" t="inlineStr">
        <is>
          <t>+QVW2401</t>
        </is>
      </c>
      <c r="D5257" t="inlineStr">
        <is>
          <t>-251K3561.1</t>
        </is>
      </c>
      <c r="E5257" t="inlineStr">
        <is>
          <t>DILM-9-10</t>
        </is>
      </c>
      <c r="F5257" t="inlineStr">
        <is>
          <t>#KALK!</t>
        </is>
      </c>
      <c r="G5257" t="inlineStr">
        <is>
          <t>LASTSCHUETZ</t>
        </is>
      </c>
      <c r="H5257" t="inlineStr">
        <is>
          <t>4kW 1S Federzugkl.</t>
        </is>
      </c>
      <c r="I5257">
        <v>468</v>
      </c>
      <c r="J5257">
        <f>GS26/251.2</f>
        <v>0</v>
      </c>
      <c r="M5257" t="inlineStr">
        <is>
          <t>-251K3561.1</t>
        </is>
      </c>
    </row>
    <row r="5258">
      <c r="A5258">
        <v>5257</v>
      </c>
      <c r="B5258">
        <f>GS26</f>
        <v>0</v>
      </c>
      <c r="C5258" t="inlineStr">
        <is>
          <t>+QVW2401</t>
        </is>
      </c>
      <c r="D5258" t="inlineStr">
        <is>
          <t>-251K3561.7</t>
        </is>
      </c>
      <c r="E5258" t="inlineStr">
        <is>
          <t>DILM-9-10</t>
        </is>
      </c>
      <c r="F5258" t="inlineStr">
        <is>
          <t>#KALK!</t>
        </is>
      </c>
      <c r="G5258" t="inlineStr">
        <is>
          <t>LASTSCHUETZ</t>
        </is>
      </c>
      <c r="H5258" t="inlineStr">
        <is>
          <t>4kW 1S Federzugkl.</t>
        </is>
      </c>
      <c r="I5258">
        <v>468</v>
      </c>
      <c r="J5258">
        <f>GS26/251.3</f>
        <v>0</v>
      </c>
      <c r="M5258" t="inlineStr">
        <is>
          <t>-251K3561.7</t>
        </is>
      </c>
    </row>
    <row r="5259">
      <c r="A5259">
        <v>5258</v>
      </c>
      <c r="B5259">
        <f>GS02</f>
        <v>0</v>
      </c>
      <c r="C5259" t="inlineStr">
        <is>
          <t>+LS4</t>
        </is>
      </c>
      <c r="D5259" t="inlineStr">
        <is>
          <t>-251K41.0</t>
        </is>
      </c>
      <c r="E5259" t="inlineStr">
        <is>
          <t>DIL_EM-10-G</t>
        </is>
      </c>
      <c r="F5259" t="inlineStr">
        <is>
          <t>#KALK!</t>
        </is>
      </c>
      <c r="G5259" t="inlineStr">
        <is>
          <t>LASTSCHUETZ</t>
        </is>
      </c>
      <c r="H5259" t="inlineStr">
        <is>
          <t>4kW 1S</t>
        </is>
      </c>
      <c r="I5259">
        <v>656</v>
      </c>
      <c r="J5259">
        <f>GS02/251.6</f>
        <v>0</v>
      </c>
      <c r="M5259" t="inlineStr">
        <is>
          <t>-251K41.0</t>
        </is>
      </c>
    </row>
    <row r="5260">
      <c r="A5260">
        <v>5259</v>
      </c>
      <c r="B5260">
        <f>GS02</f>
        <v>0</v>
      </c>
      <c r="C5260" t="inlineStr">
        <is>
          <t>+LS4</t>
        </is>
      </c>
      <c r="D5260" t="inlineStr">
        <is>
          <t>-251K41.1</t>
        </is>
      </c>
      <c r="E5260" t="inlineStr">
        <is>
          <t>DIL_EM-10-G</t>
        </is>
      </c>
      <c r="F5260" t="inlineStr">
        <is>
          <t>#KALK!</t>
        </is>
      </c>
      <c r="G5260" t="inlineStr">
        <is>
          <t>LASTSCHUETZ</t>
        </is>
      </c>
      <c r="H5260" t="inlineStr">
        <is>
          <t>4kW 1S</t>
        </is>
      </c>
      <c r="I5260">
        <v>656</v>
      </c>
      <c r="J5260">
        <f>GS02/251.6</f>
        <v>0</v>
      </c>
      <c r="M5260" t="inlineStr">
        <is>
          <t>-251K41.1</t>
        </is>
      </c>
    </row>
    <row r="5261">
      <c r="A5261">
        <v>5260</v>
      </c>
      <c r="B5261">
        <f>GS95</f>
        <v>0</v>
      </c>
      <c r="C5261" t="inlineStr">
        <is>
          <t>+LS17</t>
        </is>
      </c>
      <c r="D5261" t="inlineStr">
        <is>
          <t>-251Q476.3</t>
        </is>
      </c>
      <c r="E5261" t="inlineStr">
        <is>
          <t>DILM-9-10</t>
        </is>
      </c>
      <c r="F5261" t="inlineStr">
        <is>
          <t>#KALK!</t>
        </is>
      </c>
      <c r="G5261" t="inlineStr">
        <is>
          <t>LASTSCHUETZ</t>
        </is>
      </c>
      <c r="H5261" t="inlineStr">
        <is>
          <t>4kW 1S Federzugkl.</t>
        </is>
      </c>
      <c r="I5261">
        <v>684</v>
      </c>
      <c r="J5261">
        <f>GS95/251.5</f>
        <v>0</v>
      </c>
      <c r="M5261" t="inlineStr">
        <is>
          <t>-251Q476.3</t>
        </is>
      </c>
    </row>
    <row r="5262">
      <c r="A5262">
        <v>5261</v>
      </c>
      <c r="B5262">
        <f>GS97</f>
        <v>0</v>
      </c>
      <c r="C5262" t="inlineStr">
        <is>
          <t>+LS17</t>
        </is>
      </c>
      <c r="D5262" t="inlineStr">
        <is>
          <t>-251Q476.3</t>
        </is>
      </c>
      <c r="E5262" t="inlineStr">
        <is>
          <t>DILM-9-10</t>
        </is>
      </c>
      <c r="F5262" t="inlineStr">
        <is>
          <t>#KALK!</t>
        </is>
      </c>
      <c r="G5262" t="inlineStr">
        <is>
          <t>LASTSCHUETZ</t>
        </is>
      </c>
      <c r="H5262" t="inlineStr">
        <is>
          <t>4kW 1S Federzugkl.</t>
        </is>
      </c>
      <c r="I5262">
        <v>684</v>
      </c>
      <c r="J5262">
        <f>GS97/251.5</f>
        <v>0</v>
      </c>
      <c r="M5262" t="inlineStr">
        <is>
          <t>-251Q476.3</t>
        </is>
      </c>
    </row>
    <row r="5263">
      <c r="A5263">
        <v>5262</v>
      </c>
      <c r="B5263">
        <f>GS16</f>
        <v>0</v>
      </c>
      <c r="C5263" t="inlineStr">
        <is>
          <t>+LS5</t>
        </is>
      </c>
      <c r="D5263" t="inlineStr">
        <is>
          <t>-252K3750.4</t>
        </is>
      </c>
      <c r="E5263" t="inlineStr">
        <is>
          <t>DIL_EM-01-G</t>
        </is>
      </c>
      <c r="F5263" t="inlineStr">
        <is>
          <t>#KALK!</t>
        </is>
      </c>
      <c r="G5263" t="inlineStr">
        <is>
          <t>LASTSCHUETZ</t>
        </is>
      </c>
      <c r="H5263" t="inlineStr">
        <is>
          <t>4kW 1OE</t>
        </is>
      </c>
      <c r="I5263">
        <v>480</v>
      </c>
      <c r="J5263">
        <f>GS16/252.1</f>
        <v>0</v>
      </c>
      <c r="M5263" t="inlineStr">
        <is>
          <t>-252K3750.4</t>
        </is>
      </c>
    </row>
    <row r="5264">
      <c r="A5264">
        <v>5263</v>
      </c>
      <c r="B5264">
        <f>GS16</f>
        <v>0</v>
      </c>
      <c r="C5264" t="inlineStr">
        <is>
          <t>+LS5</t>
        </is>
      </c>
      <c r="D5264" t="inlineStr">
        <is>
          <t>-252K3750.4.1</t>
        </is>
      </c>
      <c r="E5264" t="inlineStr">
        <is>
          <t>22_DIL-M</t>
        </is>
      </c>
      <c r="F5264" t="inlineStr">
        <is>
          <t>22_DIL-M</t>
        </is>
      </c>
      <c r="G5264" t="inlineStr">
        <is>
          <t>HILFSKONTAKTBLOCK</t>
        </is>
      </c>
      <c r="H5264" t="inlineStr">
        <is>
          <t>2S 2OE Lastschuetz DIL M</t>
        </is>
      </c>
      <c r="I5264">
        <v>480</v>
      </c>
      <c r="J5264">
        <f>GS16/252.2</f>
        <v>0</v>
      </c>
      <c r="K5264" t="inlineStr">
        <is>
          <t>DIL00AM</t>
        </is>
      </c>
      <c r="M5264" t="inlineStr">
        <is>
          <t>-252K3750.4.1</t>
        </is>
      </c>
    </row>
    <row r="5265">
      <c r="A5265">
        <v>5264</v>
      </c>
      <c r="B5265">
        <f>GS16</f>
        <v>0</v>
      </c>
      <c r="C5265" t="inlineStr">
        <is>
          <t>+LS5</t>
        </is>
      </c>
      <c r="D5265" t="inlineStr">
        <is>
          <t>-252K3750.4.1</t>
        </is>
      </c>
      <c r="E5265" t="inlineStr">
        <is>
          <t>DIL_00AM-G</t>
        </is>
      </c>
      <c r="F5265" t="inlineStr">
        <is>
          <t>22_DIL-M</t>
        </is>
      </c>
      <c r="G5265" t="inlineStr">
        <is>
          <t>LASTSCHUETZ</t>
        </is>
      </c>
      <c r="H5265" t="inlineStr">
        <is>
          <t>5,5kW</t>
        </is>
      </c>
      <c r="I5265">
        <v>480</v>
      </c>
      <c r="J5265">
        <f>GS16/252.2</f>
        <v>0</v>
      </c>
      <c r="K5265" t="inlineStr">
        <is>
          <t>DIL00AM</t>
        </is>
      </c>
      <c r="M5265" t="inlineStr">
        <is>
          <t>-252K3750.4.1</t>
        </is>
      </c>
    </row>
    <row r="5266">
      <c r="A5266">
        <v>5265</v>
      </c>
      <c r="B5266">
        <f>GS16</f>
        <v>0</v>
      </c>
      <c r="C5266" t="inlineStr">
        <is>
          <t>+LS5</t>
        </is>
      </c>
      <c r="D5266" t="inlineStr">
        <is>
          <t>-252K3750.7</t>
        </is>
      </c>
      <c r="E5266" t="inlineStr">
        <is>
          <t>DIL_EM-10-G</t>
        </is>
      </c>
      <c r="F5266" t="inlineStr">
        <is>
          <t>#KALK!</t>
        </is>
      </c>
      <c r="G5266" t="inlineStr">
        <is>
          <t>LASTSCHUETZ</t>
        </is>
      </c>
      <c r="H5266" t="inlineStr">
        <is>
          <t>4kW 1S</t>
        </is>
      </c>
      <c r="I5266">
        <v>480</v>
      </c>
      <c r="J5266">
        <f>GS16/252.3</f>
        <v>0</v>
      </c>
      <c r="M5266" t="inlineStr">
        <is>
          <t>-252K3750.7</t>
        </is>
      </c>
    </row>
    <row r="5267">
      <c r="A5267">
        <v>5266</v>
      </c>
      <c r="B5267">
        <f>GS02</f>
        <v>0</v>
      </c>
      <c r="C5267" t="inlineStr">
        <is>
          <t>+LS4</t>
        </is>
      </c>
      <c r="D5267" t="inlineStr">
        <is>
          <t>-252K41.5</t>
        </is>
      </c>
      <c r="E5267" t="inlineStr">
        <is>
          <t>DIL_EM-10-G</t>
        </is>
      </c>
      <c r="F5267" t="inlineStr">
        <is>
          <t>#KALK!</t>
        </is>
      </c>
      <c r="G5267" t="inlineStr">
        <is>
          <t>LASTSCHUETZ</t>
        </is>
      </c>
      <c r="H5267" t="inlineStr">
        <is>
          <t>4kW 1S</t>
        </is>
      </c>
      <c r="I5267">
        <v>657</v>
      </c>
      <c r="J5267">
        <f>GS02/252.7</f>
        <v>0</v>
      </c>
      <c r="M5267" t="inlineStr">
        <is>
          <t>-252K41.5</t>
        </is>
      </c>
    </row>
    <row r="5268">
      <c r="A5268">
        <v>5267</v>
      </c>
      <c r="B5268">
        <f>GS01</f>
        <v>0</v>
      </c>
      <c r="C5268" t="inlineStr">
        <is>
          <t>+LS5</t>
        </is>
      </c>
      <c r="D5268" t="inlineStr">
        <is>
          <t>-252K50.0</t>
        </is>
      </c>
      <c r="E5268" t="inlineStr">
        <is>
          <t>DIL_EM-10-G</t>
        </is>
      </c>
      <c r="F5268" t="inlineStr">
        <is>
          <t>#KALK!</t>
        </is>
      </c>
      <c r="G5268" t="inlineStr">
        <is>
          <t>LASTSCHUETZ</t>
        </is>
      </c>
      <c r="H5268" t="inlineStr">
        <is>
          <t>4kW 1S</t>
        </is>
      </c>
      <c r="I5268">
        <v>415</v>
      </c>
      <c r="J5268">
        <f>GS01/252.6</f>
        <v>0</v>
      </c>
      <c r="M5268" t="inlineStr">
        <is>
          <t>-252K50.0</t>
        </is>
      </c>
    </row>
    <row r="5269">
      <c r="A5269">
        <v>5268</v>
      </c>
      <c r="B5269">
        <f>GS01</f>
        <v>0</v>
      </c>
      <c r="C5269" t="inlineStr">
        <is>
          <t>+LS5</t>
        </is>
      </c>
      <c r="D5269" t="inlineStr">
        <is>
          <t>-252K50.1</t>
        </is>
      </c>
      <c r="E5269" t="inlineStr">
        <is>
          <t>DIL_EM-10-G</t>
        </is>
      </c>
      <c r="F5269" t="inlineStr">
        <is>
          <t>#KALK!</t>
        </is>
      </c>
      <c r="G5269" t="inlineStr">
        <is>
          <t>LASTSCHUETZ</t>
        </is>
      </c>
      <c r="H5269" t="inlineStr">
        <is>
          <t>4kW 1S</t>
        </is>
      </c>
      <c r="I5269">
        <v>415</v>
      </c>
      <c r="J5269">
        <f>GS01/252.6</f>
        <v>0</v>
      </c>
      <c r="M5269" t="inlineStr">
        <is>
          <t>-252K50.1</t>
        </is>
      </c>
    </row>
    <row r="5270">
      <c r="A5270">
        <v>5269</v>
      </c>
      <c r="B5270">
        <f>GS32</f>
        <v>0</v>
      </c>
      <c r="C5270" t="inlineStr">
        <is>
          <t>+LS6</t>
        </is>
      </c>
      <c r="D5270" t="inlineStr">
        <is>
          <t>-252K54.3</t>
        </is>
      </c>
      <c r="E5270" t="inlineStr">
        <is>
          <t>DIL_EM-10-G</t>
        </is>
      </c>
      <c r="F5270" t="inlineStr">
        <is>
          <t>#KALK!</t>
        </is>
      </c>
      <c r="G5270" t="inlineStr">
        <is>
          <t>LASTSCHUETZ</t>
        </is>
      </c>
      <c r="H5270" t="inlineStr">
        <is>
          <t>4kW 1S</t>
        </is>
      </c>
      <c r="I5270">
        <v>1335</v>
      </c>
      <c r="J5270">
        <f>GS32/252.7</f>
        <v>0</v>
      </c>
      <c r="M5270" t="inlineStr">
        <is>
          <t>-252K54.3</t>
        </is>
      </c>
    </row>
    <row r="5271">
      <c r="A5271">
        <v>5270</v>
      </c>
      <c r="B5271">
        <f>GS25</f>
        <v>0</v>
      </c>
      <c r="C5271" t="inlineStr">
        <is>
          <t>+LS5</t>
        </is>
      </c>
      <c r="D5271" t="inlineStr">
        <is>
          <t>-252K82.7</t>
        </is>
      </c>
      <c r="E5271" t="inlineStr">
        <is>
          <t>DIL_EM-10-G</t>
        </is>
      </c>
      <c r="F5271" t="inlineStr">
        <is>
          <t>#KALK!</t>
        </is>
      </c>
      <c r="G5271" t="inlineStr">
        <is>
          <t>LASTSCHUETZ</t>
        </is>
      </c>
      <c r="H5271" t="inlineStr">
        <is>
          <t>4kW 1S</t>
        </is>
      </c>
      <c r="I5271">
        <v>373</v>
      </c>
      <c r="J5271">
        <f>GS25/252.5</f>
        <v>0</v>
      </c>
      <c r="M5271" t="inlineStr">
        <is>
          <t>-252K82.7</t>
        </is>
      </c>
    </row>
    <row r="5272">
      <c r="A5272">
        <v>5271</v>
      </c>
      <c r="B5272">
        <f>GS25</f>
        <v>0</v>
      </c>
      <c r="C5272" t="inlineStr">
        <is>
          <t>+LS5</t>
        </is>
      </c>
      <c r="D5272" t="inlineStr">
        <is>
          <t>-252K83.0</t>
        </is>
      </c>
      <c r="E5272" t="inlineStr">
        <is>
          <t>DIL_EM-10-G</t>
        </is>
      </c>
      <c r="F5272" t="inlineStr">
        <is>
          <t>#KALK!</t>
        </is>
      </c>
      <c r="G5272" t="inlineStr">
        <is>
          <t>LASTSCHUETZ</t>
        </is>
      </c>
      <c r="H5272" t="inlineStr">
        <is>
          <t>4kW 1S</t>
        </is>
      </c>
      <c r="I5272">
        <v>373</v>
      </c>
      <c r="J5272">
        <f>GS25/252.6</f>
        <v>0</v>
      </c>
      <c r="M5272" t="inlineStr">
        <is>
          <t>-252K83.0</t>
        </is>
      </c>
    </row>
    <row r="5273">
      <c r="A5273">
        <v>5272</v>
      </c>
      <c r="B5273">
        <f>GS25</f>
        <v>0</v>
      </c>
      <c r="C5273" t="inlineStr">
        <is>
          <t>+LS5</t>
        </is>
      </c>
      <c r="D5273" t="inlineStr">
        <is>
          <t>-252K83.1</t>
        </is>
      </c>
      <c r="E5273" t="inlineStr">
        <is>
          <t>DIL_EM-01-G</t>
        </is>
      </c>
      <c r="F5273" t="inlineStr">
        <is>
          <t>#KALK!</t>
        </is>
      </c>
      <c r="G5273" t="inlineStr">
        <is>
          <t>LASTSCHUETZ</t>
        </is>
      </c>
      <c r="H5273" t="inlineStr">
        <is>
          <t>4kW 1OE</t>
        </is>
      </c>
      <c r="I5273">
        <v>373</v>
      </c>
      <c r="J5273">
        <f>GS25/252.7</f>
        <v>0</v>
      </c>
      <c r="M5273" t="inlineStr">
        <is>
          <t>-252K83.1</t>
        </is>
      </c>
    </row>
    <row r="5274">
      <c r="A5274">
        <v>5273</v>
      </c>
      <c r="B5274">
        <f>GS25</f>
        <v>0</v>
      </c>
      <c r="C5274" t="inlineStr">
        <is>
          <t>+LS5</t>
        </is>
      </c>
      <c r="D5274" t="inlineStr">
        <is>
          <t>-252K83.2</t>
        </is>
      </c>
      <c r="E5274" t="inlineStr">
        <is>
          <t>DIL_EM-01-G</t>
        </is>
      </c>
      <c r="F5274" t="inlineStr">
        <is>
          <t>#KALK!</t>
        </is>
      </c>
      <c r="G5274" t="inlineStr">
        <is>
          <t>LASTSCHUETZ</t>
        </is>
      </c>
      <c r="H5274" t="inlineStr">
        <is>
          <t>4kW 1OE</t>
        </is>
      </c>
      <c r="I5274">
        <v>373</v>
      </c>
      <c r="J5274">
        <f>GS25/252.8</f>
        <v>0</v>
      </c>
      <c r="M5274" t="inlineStr">
        <is>
          <t>-252K83.2</t>
        </is>
      </c>
    </row>
    <row r="5275">
      <c r="A5275">
        <v>5274</v>
      </c>
      <c r="B5275">
        <f>GS16</f>
        <v>0</v>
      </c>
      <c r="C5275" t="inlineStr">
        <is>
          <t>+LS5</t>
        </is>
      </c>
      <c r="D5275" t="inlineStr">
        <is>
          <t>-253K2</t>
        </is>
      </c>
      <c r="E5275" t="inlineStr">
        <is>
          <t>DIL_ER-22-G</t>
        </is>
      </c>
      <c r="F5275" t="inlineStr">
        <is>
          <t>#KALK!</t>
        </is>
      </c>
      <c r="G5275" t="inlineStr">
        <is>
          <t>HILFSSCHUETZ</t>
        </is>
      </c>
      <c r="H5275" t="inlineStr">
        <is>
          <t>2S 2OE</t>
        </is>
      </c>
      <c r="I5275">
        <v>481</v>
      </c>
      <c r="J5275">
        <f>GS16/253.7</f>
        <v>0</v>
      </c>
      <c r="M5275" t="inlineStr">
        <is>
          <t>-253K2</t>
        </is>
      </c>
    </row>
    <row r="5276">
      <c r="A5276">
        <v>5275</v>
      </c>
      <c r="B5276">
        <f>GS34</f>
        <v>0</v>
      </c>
      <c r="C5276" t="inlineStr">
        <is>
          <t>+LS5</t>
        </is>
      </c>
      <c r="D5276" t="inlineStr">
        <is>
          <t>-253K3503.7</t>
        </is>
      </c>
      <c r="E5276" t="inlineStr">
        <is>
          <t>DIL_EM-10-G</t>
        </is>
      </c>
      <c r="F5276" t="inlineStr">
        <is>
          <t>#KALK!</t>
        </is>
      </c>
      <c r="G5276" t="inlineStr">
        <is>
          <t>LASTSCHUETZ</t>
        </is>
      </c>
      <c r="H5276" t="inlineStr">
        <is>
          <t>4kW 1S</t>
        </is>
      </c>
      <c r="I5276">
        <v>377</v>
      </c>
      <c r="J5276">
        <f>GS34/253.7</f>
        <v>0</v>
      </c>
      <c r="M5276" t="inlineStr">
        <is>
          <t>-253K3503.7</t>
        </is>
      </c>
    </row>
    <row r="5277">
      <c r="A5277">
        <v>5276</v>
      </c>
      <c r="B5277">
        <f>GS34</f>
        <v>0</v>
      </c>
      <c r="C5277" t="inlineStr">
        <is>
          <t>+LS5</t>
        </is>
      </c>
      <c r="D5277" t="inlineStr">
        <is>
          <t>-253K3505.7</t>
        </is>
      </c>
      <c r="E5277" t="inlineStr">
        <is>
          <t>DIL_EM-10-G</t>
        </is>
      </c>
      <c r="F5277" t="inlineStr">
        <is>
          <t>#KALK!</t>
        </is>
      </c>
      <c r="G5277" t="inlineStr">
        <is>
          <t>LASTSCHUETZ</t>
        </is>
      </c>
      <c r="H5277" t="inlineStr">
        <is>
          <t>4kW 1S</t>
        </is>
      </c>
      <c r="I5277">
        <v>377</v>
      </c>
      <c r="J5277">
        <f>GS34/253.8</f>
        <v>0</v>
      </c>
      <c r="M5277" t="inlineStr">
        <is>
          <t>-253K3505.7</t>
        </is>
      </c>
    </row>
    <row r="5278">
      <c r="A5278">
        <v>5277</v>
      </c>
      <c r="B5278">
        <f>GS26</f>
        <v>0</v>
      </c>
      <c r="C5278" t="inlineStr">
        <is>
          <t>+QVW2401</t>
        </is>
      </c>
      <c r="D5278" t="inlineStr">
        <is>
          <t>-253K3562.1</t>
        </is>
      </c>
      <c r="E5278" t="inlineStr">
        <is>
          <t>DILM-9-10</t>
        </is>
      </c>
      <c r="F5278" t="inlineStr">
        <is>
          <t>#KALK!</t>
        </is>
      </c>
      <c r="G5278" t="inlineStr">
        <is>
          <t>LASTSCHUETZ</t>
        </is>
      </c>
      <c r="H5278" t="inlineStr">
        <is>
          <t>4kW 1S Federzugkl.</t>
        </is>
      </c>
      <c r="I5278">
        <v>466</v>
      </c>
      <c r="J5278">
        <f>GS26/253.2</f>
        <v>0</v>
      </c>
      <c r="M5278" t="inlineStr">
        <is>
          <t>-253K3562.1</t>
        </is>
      </c>
    </row>
    <row r="5279">
      <c r="A5279">
        <v>5278</v>
      </c>
      <c r="B5279">
        <f>GS26</f>
        <v>0</v>
      </c>
      <c r="C5279" t="inlineStr">
        <is>
          <t>+QVW2401</t>
        </is>
      </c>
      <c r="D5279" t="inlineStr">
        <is>
          <t>-253K3562.7</t>
        </is>
      </c>
      <c r="E5279" t="inlineStr">
        <is>
          <t>DILM-9-10</t>
        </is>
      </c>
      <c r="F5279" t="inlineStr">
        <is>
          <t>#KALK!</t>
        </is>
      </c>
      <c r="G5279" t="inlineStr">
        <is>
          <t>LASTSCHUETZ</t>
        </is>
      </c>
      <c r="H5279" t="inlineStr">
        <is>
          <t>4kW 1S Federzugkl.</t>
        </is>
      </c>
      <c r="I5279">
        <v>466</v>
      </c>
      <c r="J5279">
        <f>GS26/253.3</f>
        <v>0</v>
      </c>
      <c r="M5279" t="inlineStr">
        <is>
          <t>-253K3562.7</t>
        </is>
      </c>
    </row>
    <row r="5280">
      <c r="A5280">
        <v>5279</v>
      </c>
      <c r="B5280">
        <f>GS01</f>
        <v>0</v>
      </c>
      <c r="C5280" t="inlineStr">
        <is>
          <t>+LS5</t>
        </is>
      </c>
      <c r="D5280" t="inlineStr">
        <is>
          <t>-253K50.2</t>
        </is>
      </c>
      <c r="E5280" t="inlineStr">
        <is>
          <t>DIL_EM-10-G</t>
        </is>
      </c>
      <c r="F5280" t="inlineStr">
        <is>
          <t>#KALK!</t>
        </is>
      </c>
      <c r="G5280" t="inlineStr">
        <is>
          <t>LASTSCHUETZ</t>
        </is>
      </c>
      <c r="H5280" t="inlineStr">
        <is>
          <t>4kW 1S</t>
        </is>
      </c>
      <c r="I5280">
        <v>416</v>
      </c>
      <c r="J5280">
        <f>GS01/253.6</f>
        <v>0</v>
      </c>
      <c r="M5280" t="inlineStr">
        <is>
          <t>-253K50.2</t>
        </is>
      </c>
    </row>
    <row r="5281">
      <c r="A5281">
        <v>5280</v>
      </c>
      <c r="B5281">
        <f>GS01</f>
        <v>0</v>
      </c>
      <c r="C5281" t="inlineStr">
        <is>
          <t>+LS5</t>
        </is>
      </c>
      <c r="D5281" t="inlineStr">
        <is>
          <t>-253K50.3</t>
        </is>
      </c>
      <c r="E5281" t="inlineStr">
        <is>
          <t>DIL_EM-10-G</t>
        </is>
      </c>
      <c r="F5281" t="inlineStr">
        <is>
          <t>#KALK!</t>
        </is>
      </c>
      <c r="G5281" t="inlineStr">
        <is>
          <t>LASTSCHUETZ</t>
        </is>
      </c>
      <c r="H5281" t="inlineStr">
        <is>
          <t>4kW 1S</t>
        </is>
      </c>
      <c r="I5281">
        <v>416</v>
      </c>
      <c r="J5281">
        <f>GS01/253.6</f>
        <v>0</v>
      </c>
      <c r="M5281" t="inlineStr">
        <is>
          <t>-253K50.3</t>
        </is>
      </c>
    </row>
    <row r="5282">
      <c r="A5282">
        <v>5281</v>
      </c>
      <c r="B5282">
        <f>GS32</f>
        <v>0</v>
      </c>
      <c r="C5282" t="inlineStr">
        <is>
          <t>+LS6</t>
        </is>
      </c>
      <c r="D5282" t="inlineStr">
        <is>
          <t>-253K54.4</t>
        </is>
      </c>
      <c r="E5282" t="inlineStr">
        <is>
          <t>DIL_EM-10-G</t>
        </is>
      </c>
      <c r="F5282" t="inlineStr">
        <is>
          <t>#KALK!</t>
        </is>
      </c>
      <c r="G5282" t="inlineStr">
        <is>
          <t>LASTSCHUETZ</t>
        </is>
      </c>
      <c r="H5282" t="inlineStr">
        <is>
          <t>4kW 1S</t>
        </is>
      </c>
      <c r="I5282">
        <v>1334</v>
      </c>
      <c r="J5282">
        <f>GS32/253.6</f>
        <v>0</v>
      </c>
      <c r="M5282" t="inlineStr">
        <is>
          <t>-253K54.4</t>
        </is>
      </c>
    </row>
    <row r="5283">
      <c r="A5283">
        <v>5282</v>
      </c>
      <c r="B5283">
        <f>GS04</f>
        <v>0</v>
      </c>
      <c r="C5283" t="inlineStr">
        <is>
          <t>+LS5</t>
        </is>
      </c>
      <c r="D5283" t="inlineStr">
        <is>
          <t>-253K60.0</t>
        </is>
      </c>
      <c r="E5283" t="inlineStr">
        <is>
          <t>DIL_EM-10-G</t>
        </is>
      </c>
      <c r="F5283" t="inlineStr">
        <is>
          <t>#KALK!</t>
        </is>
      </c>
      <c r="G5283" t="inlineStr">
        <is>
          <t>LASTSCHUETZ</t>
        </is>
      </c>
      <c r="H5283" t="inlineStr">
        <is>
          <t>4kW 1S</t>
        </is>
      </c>
      <c r="I5283">
        <v>504</v>
      </c>
      <c r="J5283">
        <f>GS04/253.6</f>
        <v>0</v>
      </c>
      <c r="M5283" t="inlineStr">
        <is>
          <t>-253K60.0</t>
        </is>
      </c>
    </row>
    <row r="5284">
      <c r="A5284">
        <v>5283</v>
      </c>
      <c r="B5284">
        <f>GS04</f>
        <v>0</v>
      </c>
      <c r="C5284" t="inlineStr">
        <is>
          <t>+LS5</t>
        </is>
      </c>
      <c r="D5284" t="inlineStr">
        <is>
          <t>-253K60.1</t>
        </is>
      </c>
      <c r="E5284" t="inlineStr">
        <is>
          <t>DIL_EM-10-G</t>
        </is>
      </c>
      <c r="F5284" t="inlineStr">
        <is>
          <t>#KALK!</t>
        </is>
      </c>
      <c r="G5284" t="inlineStr">
        <is>
          <t>LASTSCHUETZ</t>
        </is>
      </c>
      <c r="H5284" t="inlineStr">
        <is>
          <t>4kW 1S</t>
        </is>
      </c>
      <c r="I5284">
        <v>504</v>
      </c>
      <c r="J5284">
        <f>GS04/253.6</f>
        <v>0</v>
      </c>
      <c r="M5284" t="inlineStr">
        <is>
          <t>-253K60.1</t>
        </is>
      </c>
    </row>
    <row r="5285">
      <c r="A5285">
        <v>5284</v>
      </c>
      <c r="B5285">
        <f>GC03</f>
        <v>0</v>
      </c>
      <c r="C5285" t="inlineStr">
        <is>
          <t>+LS6</t>
        </is>
      </c>
      <c r="D5285" t="inlineStr">
        <is>
          <t>-253K98.0</t>
        </is>
      </c>
      <c r="E5285" t="inlineStr">
        <is>
          <t>DIL_EM-10-G</t>
        </is>
      </c>
      <c r="F5285" t="inlineStr">
        <is>
          <t>#KALK!</t>
        </is>
      </c>
      <c r="G5285" t="inlineStr">
        <is>
          <t>LASTSCHUETZ</t>
        </is>
      </c>
      <c r="H5285" t="inlineStr">
        <is>
          <t>4kW 1S</t>
        </is>
      </c>
      <c r="I5285">
        <v>3410</v>
      </c>
      <c r="J5285">
        <f>GC03/253.6</f>
        <v>0</v>
      </c>
      <c r="M5285" t="inlineStr">
        <is>
          <t>-253K98.0</t>
        </is>
      </c>
    </row>
    <row r="5286">
      <c r="A5286">
        <v>5285</v>
      </c>
      <c r="B5286">
        <f>GC03</f>
        <v>0</v>
      </c>
      <c r="C5286" t="inlineStr">
        <is>
          <t>+LS6</t>
        </is>
      </c>
      <c r="D5286" t="inlineStr">
        <is>
          <t>-253K98.1</t>
        </is>
      </c>
      <c r="E5286" t="inlineStr">
        <is>
          <t>DIL_EM-10-G</t>
        </is>
      </c>
      <c r="F5286" t="inlineStr">
        <is>
          <t>#KALK!</t>
        </is>
      </c>
      <c r="G5286" t="inlineStr">
        <is>
          <t>LASTSCHUETZ</t>
        </is>
      </c>
      <c r="H5286" t="inlineStr">
        <is>
          <t>4kW 1S</t>
        </is>
      </c>
      <c r="I5286">
        <v>3410</v>
      </c>
      <c r="J5286">
        <f>GC03/253.6</f>
        <v>0</v>
      </c>
      <c r="M5286" t="inlineStr">
        <is>
          <t>-253K98.1</t>
        </is>
      </c>
    </row>
    <row r="5287">
      <c r="A5287">
        <v>5286</v>
      </c>
      <c r="B5287">
        <f>GS15</f>
        <v>0</v>
      </c>
      <c r="C5287" t="inlineStr">
        <is>
          <t>+LS5</t>
        </is>
      </c>
      <c r="D5287" t="inlineStr">
        <is>
          <t>-254K1</t>
        </is>
      </c>
      <c r="E5287" t="inlineStr">
        <is>
          <t>22_DIL-M</t>
        </is>
      </c>
      <c r="F5287" t="inlineStr">
        <is>
          <t>22_DIL-M</t>
        </is>
      </c>
      <c r="G5287" t="inlineStr">
        <is>
          <t>HILFSKONTAKTBLOCK</t>
        </is>
      </c>
      <c r="H5287" t="inlineStr">
        <is>
          <t>2S 2OE Lastschuetz DIL M</t>
        </is>
      </c>
      <c r="I5287">
        <v>748</v>
      </c>
      <c r="J5287">
        <f>GS15/254.2</f>
        <v>0</v>
      </c>
      <c r="K5287" t="inlineStr">
        <is>
          <t>DIL0AM</t>
        </is>
      </c>
      <c r="M5287" t="inlineStr">
        <is>
          <t>-254K1</t>
        </is>
      </c>
    </row>
    <row r="5288">
      <c r="A5288">
        <v>5287</v>
      </c>
      <c r="B5288">
        <f>GS15</f>
        <v>0</v>
      </c>
      <c r="C5288" t="inlineStr">
        <is>
          <t>+LS5</t>
        </is>
      </c>
      <c r="D5288" t="inlineStr">
        <is>
          <t>-254K1</t>
        </is>
      </c>
      <c r="E5288" t="inlineStr">
        <is>
          <t>DIL_0AM</t>
        </is>
      </c>
      <c r="F5288" t="inlineStr">
        <is>
          <t>22_DIL-M</t>
        </is>
      </c>
      <c r="G5288" t="inlineStr">
        <is>
          <t>LASTSCHUETZ</t>
        </is>
      </c>
      <c r="H5288" t="inlineStr">
        <is>
          <t>11 kW</t>
        </is>
      </c>
      <c r="I5288">
        <v>748</v>
      </c>
      <c r="J5288">
        <f>GS15/254.2</f>
        <v>0</v>
      </c>
      <c r="K5288" t="inlineStr">
        <is>
          <t>DIL0AM</t>
        </is>
      </c>
      <c r="M5288" t="inlineStr">
        <is>
          <t>-254K1</t>
        </is>
      </c>
    </row>
    <row r="5289">
      <c r="A5289">
        <v>5288</v>
      </c>
      <c r="B5289">
        <f>GS34</f>
        <v>0</v>
      </c>
      <c r="C5289" t="inlineStr">
        <is>
          <t>+LS5</t>
        </is>
      </c>
      <c r="D5289" t="inlineStr">
        <is>
          <t>-254K3503.5</t>
        </is>
      </c>
      <c r="E5289" t="inlineStr">
        <is>
          <t>DIL_EM-10-G</t>
        </is>
      </c>
      <c r="F5289" t="inlineStr">
        <is>
          <t>#KALK!</t>
        </is>
      </c>
      <c r="G5289" t="inlineStr">
        <is>
          <t>LASTSCHUETZ</t>
        </is>
      </c>
      <c r="H5289" t="inlineStr">
        <is>
          <t>4kW 1S</t>
        </is>
      </c>
      <c r="I5289">
        <v>378</v>
      </c>
      <c r="J5289">
        <f>GS34/254.7</f>
        <v>0</v>
      </c>
      <c r="M5289" t="inlineStr">
        <is>
          <t>-254K3503.5</t>
        </is>
      </c>
    </row>
    <row r="5290">
      <c r="A5290">
        <v>5289</v>
      </c>
      <c r="B5290">
        <f>GS02</f>
        <v>0</v>
      </c>
      <c r="C5290" t="inlineStr">
        <is>
          <t>+LS4</t>
        </is>
      </c>
      <c r="D5290" t="inlineStr">
        <is>
          <t>-254K42.3</t>
        </is>
      </c>
      <c r="E5290" t="inlineStr">
        <is>
          <t>DIL_EM-10-G</t>
        </is>
      </c>
      <c r="F5290" t="inlineStr">
        <is>
          <t>#KALK!</t>
        </is>
      </c>
      <c r="G5290" t="inlineStr">
        <is>
          <t>LASTSCHUETZ</t>
        </is>
      </c>
      <c r="H5290" t="inlineStr">
        <is>
          <t>4kW 1S</t>
        </is>
      </c>
      <c r="I5290">
        <v>659</v>
      </c>
      <c r="J5290">
        <f>GS02/254.5</f>
        <v>0</v>
      </c>
      <c r="M5290" t="inlineStr">
        <is>
          <t>-254K42.3</t>
        </is>
      </c>
    </row>
    <row r="5291">
      <c r="A5291">
        <v>5290</v>
      </c>
      <c r="B5291">
        <f>GS02</f>
        <v>0</v>
      </c>
      <c r="C5291" t="inlineStr">
        <is>
          <t>+LS4</t>
        </is>
      </c>
      <c r="D5291" t="inlineStr">
        <is>
          <t>-254K42.4</t>
        </is>
      </c>
      <c r="E5291" t="inlineStr">
        <is>
          <t>DIL_EM-10-G</t>
        </is>
      </c>
      <c r="F5291" t="inlineStr">
        <is>
          <t>#KALK!</t>
        </is>
      </c>
      <c r="G5291" t="inlineStr">
        <is>
          <t>LASTSCHUETZ</t>
        </is>
      </c>
      <c r="H5291" t="inlineStr">
        <is>
          <t>4kW 1S</t>
        </is>
      </c>
      <c r="I5291">
        <v>659</v>
      </c>
      <c r="J5291">
        <f>GS02/254.6</f>
        <v>0</v>
      </c>
      <c r="M5291" t="inlineStr">
        <is>
          <t>-254K42.4</t>
        </is>
      </c>
    </row>
    <row r="5292">
      <c r="A5292">
        <v>5291</v>
      </c>
      <c r="B5292">
        <f>GS02</f>
        <v>0</v>
      </c>
      <c r="C5292" t="inlineStr">
        <is>
          <t>+LS4</t>
        </is>
      </c>
      <c r="D5292" t="inlineStr">
        <is>
          <t>-254K42.5</t>
        </is>
      </c>
      <c r="E5292" t="inlineStr">
        <is>
          <t>DIL_EM-01-G</t>
        </is>
      </c>
      <c r="F5292" t="inlineStr">
        <is>
          <t>#KALK!</t>
        </is>
      </c>
      <c r="G5292" t="inlineStr">
        <is>
          <t>LASTSCHUETZ</t>
        </is>
      </c>
      <c r="H5292" t="inlineStr">
        <is>
          <t>4kW 1OE</t>
        </is>
      </c>
      <c r="I5292">
        <v>659</v>
      </c>
      <c r="J5292">
        <f>GS02/254.7</f>
        <v>0</v>
      </c>
      <c r="M5292" t="inlineStr">
        <is>
          <t>-254K42.5</t>
        </is>
      </c>
    </row>
    <row r="5293">
      <c r="A5293">
        <v>5292</v>
      </c>
      <c r="B5293">
        <f>GS02</f>
        <v>0</v>
      </c>
      <c r="C5293" t="inlineStr">
        <is>
          <t>+LS4</t>
        </is>
      </c>
      <c r="D5293" t="inlineStr">
        <is>
          <t>-254K42.6</t>
        </is>
      </c>
      <c r="E5293" t="inlineStr">
        <is>
          <t>DIL_EM-01-G</t>
        </is>
      </c>
      <c r="F5293" t="inlineStr">
        <is>
          <t>#KALK!</t>
        </is>
      </c>
      <c r="G5293" t="inlineStr">
        <is>
          <t>LASTSCHUETZ</t>
        </is>
      </c>
      <c r="H5293" t="inlineStr">
        <is>
          <t>4kW 1OE</t>
        </is>
      </c>
      <c r="I5293">
        <v>659</v>
      </c>
      <c r="J5293">
        <f>GS02/254.8</f>
        <v>0</v>
      </c>
      <c r="M5293" t="inlineStr">
        <is>
          <t>-254K42.6</t>
        </is>
      </c>
    </row>
    <row r="5294">
      <c r="A5294">
        <v>5293</v>
      </c>
      <c r="B5294">
        <f>GS01</f>
        <v>0</v>
      </c>
      <c r="C5294" t="inlineStr">
        <is>
          <t>+LS5</t>
        </is>
      </c>
      <c r="D5294" t="inlineStr">
        <is>
          <t>-254K50.4</t>
        </is>
      </c>
      <c r="E5294" t="inlineStr">
        <is>
          <t>DIL_EM-10-G</t>
        </is>
      </c>
      <c r="F5294" t="inlineStr">
        <is>
          <t>#KALK!</t>
        </is>
      </c>
      <c r="G5294" t="inlineStr">
        <is>
          <t>LASTSCHUETZ</t>
        </is>
      </c>
      <c r="H5294" t="inlineStr">
        <is>
          <t>4kW 1S</t>
        </is>
      </c>
      <c r="I5294">
        <v>417</v>
      </c>
      <c r="J5294">
        <f>GS01/254.6</f>
        <v>0</v>
      </c>
      <c r="M5294" t="inlineStr">
        <is>
          <t>-254K50.4</t>
        </is>
      </c>
    </row>
    <row r="5295">
      <c r="A5295">
        <v>5294</v>
      </c>
      <c r="B5295">
        <f>GS01</f>
        <v>0</v>
      </c>
      <c r="C5295" t="inlineStr">
        <is>
          <t>+LS5</t>
        </is>
      </c>
      <c r="D5295" t="inlineStr">
        <is>
          <t>-254K50.5</t>
        </is>
      </c>
      <c r="E5295" t="inlineStr">
        <is>
          <t>DIL_EM-10-G</t>
        </is>
      </c>
      <c r="F5295" t="inlineStr">
        <is>
          <t>#KALK!</t>
        </is>
      </c>
      <c r="G5295" t="inlineStr">
        <is>
          <t>LASTSCHUETZ</t>
        </is>
      </c>
      <c r="H5295" t="inlineStr">
        <is>
          <t>4kW 1S</t>
        </is>
      </c>
      <c r="I5295">
        <v>417</v>
      </c>
      <c r="J5295">
        <f>GS01/254.6</f>
        <v>0</v>
      </c>
      <c r="M5295" t="inlineStr">
        <is>
          <t>-254K50.5</t>
        </is>
      </c>
    </row>
    <row r="5296">
      <c r="A5296">
        <v>5295</v>
      </c>
      <c r="B5296">
        <f>GS32</f>
        <v>0</v>
      </c>
      <c r="C5296" t="inlineStr">
        <is>
          <t>+LS6</t>
        </is>
      </c>
      <c r="D5296" t="inlineStr">
        <is>
          <t>-254K54.5</t>
        </is>
      </c>
      <c r="E5296" t="inlineStr">
        <is>
          <t>DIL_EM-10-G</t>
        </is>
      </c>
      <c r="F5296" t="inlineStr">
        <is>
          <t>#KALK!</t>
        </is>
      </c>
      <c r="G5296" t="inlineStr">
        <is>
          <t>LASTSCHUETZ</t>
        </is>
      </c>
      <c r="H5296" t="inlineStr">
        <is>
          <t>4kW 1S</t>
        </is>
      </c>
      <c r="I5296">
        <v>1333</v>
      </c>
      <c r="J5296">
        <f>GS32/254.6</f>
        <v>0</v>
      </c>
      <c r="M5296" t="inlineStr">
        <is>
          <t>-254K54.5</t>
        </is>
      </c>
    </row>
    <row r="5297">
      <c r="A5297">
        <v>5296</v>
      </c>
      <c r="B5297">
        <f>GS32</f>
        <v>0</v>
      </c>
      <c r="C5297" t="inlineStr">
        <is>
          <t>+LS6</t>
        </is>
      </c>
      <c r="D5297" t="inlineStr">
        <is>
          <t>-254K54.6</t>
        </is>
      </c>
      <c r="E5297" t="inlineStr">
        <is>
          <t>DIL_EM-10-G</t>
        </is>
      </c>
      <c r="F5297" t="inlineStr">
        <is>
          <t>#KALK!</t>
        </is>
      </c>
      <c r="G5297" t="inlineStr">
        <is>
          <t>LASTSCHUETZ</t>
        </is>
      </c>
      <c r="H5297" t="inlineStr">
        <is>
          <t>4kW 1S</t>
        </is>
      </c>
      <c r="I5297">
        <v>1333</v>
      </c>
      <c r="J5297">
        <f>GS32/254.6</f>
        <v>0</v>
      </c>
      <c r="M5297" t="inlineStr">
        <is>
          <t>-254K54.6</t>
        </is>
      </c>
    </row>
    <row r="5298">
      <c r="A5298">
        <v>5297</v>
      </c>
      <c r="B5298">
        <f>GS04</f>
        <v>0</v>
      </c>
      <c r="C5298" t="inlineStr">
        <is>
          <t>+LS5</t>
        </is>
      </c>
      <c r="D5298" t="inlineStr">
        <is>
          <t>-254K60.4</t>
        </is>
      </c>
      <c r="E5298" t="inlineStr">
        <is>
          <t>DIL_EM-10-G</t>
        </is>
      </c>
      <c r="F5298" t="inlineStr">
        <is>
          <t>#KALK!</t>
        </is>
      </c>
      <c r="G5298" t="inlineStr">
        <is>
          <t>LASTSCHUETZ</t>
        </is>
      </c>
      <c r="H5298" t="inlineStr">
        <is>
          <t>4kW 1S</t>
        </is>
      </c>
      <c r="I5298">
        <v>505</v>
      </c>
      <c r="J5298">
        <f>GS04/254.6</f>
        <v>0</v>
      </c>
      <c r="M5298" t="inlineStr">
        <is>
          <t>-254K60.4</t>
        </is>
      </c>
    </row>
    <row r="5299">
      <c r="A5299">
        <v>5298</v>
      </c>
      <c r="B5299">
        <f>GS04</f>
        <v>0</v>
      </c>
      <c r="C5299" t="inlineStr">
        <is>
          <t>+LS5</t>
        </is>
      </c>
      <c r="D5299" t="inlineStr">
        <is>
          <t>-254K60.5</t>
        </is>
      </c>
      <c r="E5299" t="inlineStr">
        <is>
          <t>DIL_EM-10-G</t>
        </is>
      </c>
      <c r="F5299" t="inlineStr">
        <is>
          <t>#KALK!</t>
        </is>
      </c>
      <c r="G5299" t="inlineStr">
        <is>
          <t>LASTSCHUETZ</t>
        </is>
      </c>
      <c r="H5299" t="inlineStr">
        <is>
          <t>4kW 1S</t>
        </is>
      </c>
      <c r="I5299">
        <v>505</v>
      </c>
      <c r="J5299">
        <f>GS04/254.6</f>
        <v>0</v>
      </c>
      <c r="M5299" t="inlineStr">
        <is>
          <t>-254K60.5</t>
        </is>
      </c>
    </row>
    <row r="5300">
      <c r="A5300">
        <v>5299</v>
      </c>
      <c r="B5300">
        <f>GS25</f>
        <v>0</v>
      </c>
      <c r="C5300" t="inlineStr">
        <is>
          <t>+LS5</t>
        </is>
      </c>
      <c r="D5300" t="inlineStr">
        <is>
          <t>-254K84.1</t>
        </is>
      </c>
      <c r="E5300" t="inlineStr">
        <is>
          <t>DIL_EM-10-G</t>
        </is>
      </c>
      <c r="F5300" t="inlineStr">
        <is>
          <t>#KALK!</t>
        </is>
      </c>
      <c r="G5300" t="inlineStr">
        <is>
          <t>LASTSCHUETZ</t>
        </is>
      </c>
      <c r="H5300" t="inlineStr">
        <is>
          <t>4kW 1S</t>
        </is>
      </c>
      <c r="I5300">
        <v>375</v>
      </c>
      <c r="J5300">
        <f>GS25/254.5</f>
        <v>0</v>
      </c>
      <c r="M5300" t="inlineStr">
        <is>
          <t>-254K84.1</t>
        </is>
      </c>
    </row>
    <row r="5301">
      <c r="A5301">
        <v>5300</v>
      </c>
      <c r="B5301">
        <f>GS25</f>
        <v>0</v>
      </c>
      <c r="C5301" t="inlineStr">
        <is>
          <t>+LS5</t>
        </is>
      </c>
      <c r="D5301" t="inlineStr">
        <is>
          <t>-254K84.2</t>
        </is>
      </c>
      <c r="E5301" t="inlineStr">
        <is>
          <t>DIL_EM-10-G</t>
        </is>
      </c>
      <c r="F5301" t="inlineStr">
        <is>
          <t>#KALK!</t>
        </is>
      </c>
      <c r="G5301" t="inlineStr">
        <is>
          <t>LASTSCHUETZ</t>
        </is>
      </c>
      <c r="H5301" t="inlineStr">
        <is>
          <t>4kW 1S</t>
        </is>
      </c>
      <c r="I5301">
        <v>375</v>
      </c>
      <c r="J5301">
        <f>GS25/254.6</f>
        <v>0</v>
      </c>
      <c r="M5301" t="inlineStr">
        <is>
          <t>-254K84.2</t>
        </is>
      </c>
    </row>
    <row r="5302">
      <c r="A5302">
        <v>5301</v>
      </c>
      <c r="B5302">
        <f>GS25</f>
        <v>0</v>
      </c>
      <c r="C5302" t="inlineStr">
        <is>
          <t>+LS5</t>
        </is>
      </c>
      <c r="D5302" t="inlineStr">
        <is>
          <t>-254K84.3</t>
        </is>
      </c>
      <c r="E5302" t="inlineStr">
        <is>
          <t>DIL_EM-01-G</t>
        </is>
      </c>
      <c r="F5302" t="inlineStr">
        <is>
          <t>#KALK!</t>
        </is>
      </c>
      <c r="G5302" t="inlineStr">
        <is>
          <t>LASTSCHUETZ</t>
        </is>
      </c>
      <c r="H5302" t="inlineStr">
        <is>
          <t>4kW 1OE</t>
        </is>
      </c>
      <c r="I5302">
        <v>375</v>
      </c>
      <c r="J5302">
        <f>GS25/254.7</f>
        <v>0</v>
      </c>
      <c r="M5302" t="inlineStr">
        <is>
          <t>-254K84.3</t>
        </is>
      </c>
    </row>
    <row r="5303">
      <c r="A5303">
        <v>5302</v>
      </c>
      <c r="B5303">
        <f>GS25</f>
        <v>0</v>
      </c>
      <c r="C5303" t="inlineStr">
        <is>
          <t>+LS5</t>
        </is>
      </c>
      <c r="D5303" t="inlineStr">
        <is>
          <t>-254K84.4</t>
        </is>
      </c>
      <c r="E5303" t="inlineStr">
        <is>
          <t>DIL_EM-01-G</t>
        </is>
      </c>
      <c r="F5303" t="inlineStr">
        <is>
          <t>#KALK!</t>
        </is>
      </c>
      <c r="G5303" t="inlineStr">
        <is>
          <t>LASTSCHUETZ</t>
        </is>
      </c>
      <c r="H5303" t="inlineStr">
        <is>
          <t>4kW 1OE</t>
        </is>
      </c>
      <c r="I5303">
        <v>375</v>
      </c>
      <c r="J5303">
        <f>GS25/254.8</f>
        <v>0</v>
      </c>
      <c r="M5303" t="inlineStr">
        <is>
          <t>-254K84.4</t>
        </is>
      </c>
    </row>
    <row r="5304">
      <c r="A5304">
        <v>5303</v>
      </c>
      <c r="B5304">
        <f>GC03</f>
        <v>0</v>
      </c>
      <c r="C5304" t="inlineStr">
        <is>
          <t>+LS6</t>
        </is>
      </c>
      <c r="D5304" t="inlineStr">
        <is>
          <t>-254K98.2</t>
        </is>
      </c>
      <c r="E5304" t="inlineStr">
        <is>
          <t>DIL_EM-10-G</t>
        </is>
      </c>
      <c r="F5304" t="inlineStr">
        <is>
          <t>#KALK!</t>
        </is>
      </c>
      <c r="G5304" t="inlineStr">
        <is>
          <t>LASTSCHUETZ</t>
        </is>
      </c>
      <c r="H5304" t="inlineStr">
        <is>
          <t>4kW 1S</t>
        </is>
      </c>
      <c r="I5304">
        <v>3407</v>
      </c>
      <c r="J5304">
        <f>GC03/254.6</f>
        <v>0</v>
      </c>
      <c r="M5304" t="inlineStr">
        <is>
          <t>-254K98.2</t>
        </is>
      </c>
    </row>
    <row r="5305">
      <c r="A5305">
        <v>5304</v>
      </c>
      <c r="B5305">
        <f>GC03</f>
        <v>0</v>
      </c>
      <c r="C5305" t="inlineStr">
        <is>
          <t>+LS6</t>
        </is>
      </c>
      <c r="D5305" t="inlineStr">
        <is>
          <t>-254K98.3</t>
        </is>
      </c>
      <c r="E5305" t="inlineStr">
        <is>
          <t>DIL_EM-10-G</t>
        </is>
      </c>
      <c r="F5305" t="inlineStr">
        <is>
          <t>#KALK!</t>
        </is>
      </c>
      <c r="G5305" t="inlineStr">
        <is>
          <t>LASTSCHUETZ</t>
        </is>
      </c>
      <c r="H5305" t="inlineStr">
        <is>
          <t>4kW 1S</t>
        </is>
      </c>
      <c r="I5305">
        <v>3407</v>
      </c>
      <c r="J5305">
        <f>GC03/254.6</f>
        <v>0</v>
      </c>
      <c r="M5305" t="inlineStr">
        <is>
          <t>-254K98.3</t>
        </is>
      </c>
    </row>
    <row r="5306">
      <c r="A5306">
        <v>5305</v>
      </c>
      <c r="B5306">
        <f>GS35</f>
        <v>0</v>
      </c>
      <c r="C5306" t="inlineStr">
        <is>
          <t>+LS05</t>
        </is>
      </c>
      <c r="D5306" t="inlineStr">
        <is>
          <t>-255K1</t>
        </is>
      </c>
      <c r="E5306" t="inlineStr">
        <is>
          <t>DILA-40</t>
        </is>
      </c>
      <c r="F5306" t="inlineStr">
        <is>
          <t>#KALK!</t>
        </is>
      </c>
      <c r="G5306" t="inlineStr">
        <is>
          <t>HILFSSCHUETZ</t>
        </is>
      </c>
      <c r="H5306" t="inlineStr">
        <is>
          <t>4S Federzugkl.</t>
        </is>
      </c>
      <c r="I5306">
        <v>409</v>
      </c>
      <c r="J5306">
        <f>GS35/255.6</f>
        <v>0</v>
      </c>
      <c r="M5306" t="inlineStr">
        <is>
          <t>-255K1</t>
        </is>
      </c>
    </row>
    <row r="5307">
      <c r="A5307">
        <v>5306</v>
      </c>
      <c r="B5307">
        <f>GS37</f>
        <v>0</v>
      </c>
      <c r="C5307" t="inlineStr">
        <is>
          <t>+LS05</t>
        </is>
      </c>
      <c r="D5307" t="inlineStr">
        <is>
          <t>-255K1</t>
        </is>
      </c>
      <c r="E5307" t="inlineStr">
        <is>
          <t>DILA-40</t>
        </is>
      </c>
      <c r="F5307" t="inlineStr">
        <is>
          <t>#KALK!</t>
        </is>
      </c>
      <c r="G5307" t="inlineStr">
        <is>
          <t>HILFSSCHUETZ</t>
        </is>
      </c>
      <c r="H5307" t="inlineStr">
        <is>
          <t>4S Federzugkl.</t>
        </is>
      </c>
      <c r="I5307">
        <v>418</v>
      </c>
      <c r="J5307">
        <f>GS37/255.5</f>
        <v>0</v>
      </c>
      <c r="M5307" t="inlineStr">
        <is>
          <t>-255K1</t>
        </is>
      </c>
    </row>
    <row r="5308">
      <c r="A5308">
        <v>5307</v>
      </c>
      <c r="B5308">
        <f>GS95</f>
        <v>0</v>
      </c>
      <c r="C5308" t="inlineStr">
        <is>
          <t>+LS17</t>
        </is>
      </c>
      <c r="D5308" t="inlineStr">
        <is>
          <t>-255K1</t>
        </is>
      </c>
      <c r="E5308" t="inlineStr">
        <is>
          <t>DILA-XHIC40</t>
        </is>
      </c>
      <c r="F5308" t="inlineStr">
        <is>
          <t>DILA-XHIC40</t>
        </is>
      </c>
      <c r="G5308" t="inlineStr">
        <is>
          <t>HILFSKONTAKTBLOCK</t>
        </is>
      </c>
      <c r="H5308" t="inlineStr">
        <is>
          <t>4S Last+Hilfssch. Cage</t>
        </is>
      </c>
      <c r="I5308">
        <v>688</v>
      </c>
      <c r="J5308">
        <f>GS95/255.3</f>
        <v>0</v>
      </c>
      <c r="M5308" t="inlineStr">
        <is>
          <t>-255K1</t>
        </is>
      </c>
    </row>
    <row r="5309">
      <c r="A5309">
        <v>5308</v>
      </c>
      <c r="B5309">
        <f>GS95</f>
        <v>0</v>
      </c>
      <c r="C5309" t="inlineStr">
        <is>
          <t>+LS17</t>
        </is>
      </c>
      <c r="D5309" t="inlineStr">
        <is>
          <t>-255K1</t>
        </is>
      </c>
      <c r="E5309" t="inlineStr">
        <is>
          <t>DILM-9-10</t>
        </is>
      </c>
      <c r="F5309" t="inlineStr">
        <is>
          <t>DILA-XHIC40</t>
        </is>
      </c>
      <c r="G5309" t="inlineStr">
        <is>
          <t>LASTSCHUETZ</t>
        </is>
      </c>
      <c r="H5309" t="inlineStr">
        <is>
          <t>4kW 1S Federzugkl.</t>
        </is>
      </c>
      <c r="I5309">
        <v>688</v>
      </c>
      <c r="J5309">
        <f>GS95/255.3</f>
        <v>0</v>
      </c>
      <c r="M5309" t="inlineStr">
        <is>
          <t>-255K1</t>
        </is>
      </c>
    </row>
    <row r="5310">
      <c r="A5310">
        <v>5309</v>
      </c>
      <c r="B5310">
        <f>GS97</f>
        <v>0</v>
      </c>
      <c r="C5310" t="inlineStr">
        <is>
          <t>+LS17</t>
        </is>
      </c>
      <c r="D5310" t="inlineStr">
        <is>
          <t>-255K1</t>
        </is>
      </c>
      <c r="E5310" t="inlineStr">
        <is>
          <t>DILM-9-10</t>
        </is>
      </c>
      <c r="F5310" t="inlineStr">
        <is>
          <t>DILA-XHIC40</t>
        </is>
      </c>
      <c r="G5310" t="inlineStr">
        <is>
          <t>LASTSCHUETZ</t>
        </is>
      </c>
      <c r="H5310" t="inlineStr">
        <is>
          <t>4kW 1S Federzugkl.</t>
        </is>
      </c>
      <c r="I5310">
        <v>688</v>
      </c>
      <c r="J5310">
        <f>GS97/255.3</f>
        <v>0</v>
      </c>
      <c r="M5310" t="inlineStr">
        <is>
          <t>-255K1</t>
        </is>
      </c>
    </row>
    <row r="5311">
      <c r="A5311">
        <v>5310</v>
      </c>
      <c r="B5311">
        <f>GS97</f>
        <v>0</v>
      </c>
      <c r="C5311" t="inlineStr">
        <is>
          <t>+LS17</t>
        </is>
      </c>
      <c r="D5311" t="inlineStr">
        <is>
          <t>-255K1</t>
        </is>
      </c>
      <c r="E5311" t="inlineStr">
        <is>
          <t>DILA-XHIC40</t>
        </is>
      </c>
      <c r="F5311" t="inlineStr">
        <is>
          <t>DILA-XHIC40</t>
        </is>
      </c>
      <c r="G5311" t="inlineStr">
        <is>
          <t>HILFSKONTAKTBLOCK</t>
        </is>
      </c>
      <c r="H5311" t="inlineStr">
        <is>
          <t>4S Last+Hilfssch. Cage</t>
        </is>
      </c>
      <c r="I5311">
        <v>688</v>
      </c>
      <c r="J5311">
        <f>GS97/255.3</f>
        <v>0</v>
      </c>
      <c r="M5311" t="inlineStr">
        <is>
          <t>-255K1</t>
        </is>
      </c>
    </row>
    <row r="5312">
      <c r="A5312">
        <v>5311</v>
      </c>
      <c r="B5312">
        <f>GS37</f>
        <v>0</v>
      </c>
      <c r="C5312" t="inlineStr">
        <is>
          <t>+LS05</t>
        </is>
      </c>
      <c r="D5312" t="inlineStr">
        <is>
          <t>-255K135.0</t>
        </is>
      </c>
      <c r="E5312" t="inlineStr">
        <is>
          <t>DILA-40</t>
        </is>
      </c>
      <c r="F5312" t="inlineStr">
        <is>
          <t>#KALK!</t>
        </is>
      </c>
      <c r="G5312" t="inlineStr">
        <is>
          <t>HILFSSCHUETZ</t>
        </is>
      </c>
      <c r="H5312" t="inlineStr">
        <is>
          <t>4S Federzugkl.</t>
        </is>
      </c>
      <c r="I5312">
        <v>418</v>
      </c>
      <c r="J5312">
        <f>GS37/255.6</f>
        <v>0</v>
      </c>
      <c r="M5312" t="inlineStr">
        <is>
          <t>-255K135.0</t>
        </is>
      </c>
    </row>
    <row r="5313">
      <c r="A5313">
        <v>5312</v>
      </c>
      <c r="B5313">
        <f>GS36</f>
        <v>0</v>
      </c>
      <c r="C5313" t="inlineStr">
        <is>
          <t>+LS05</t>
        </is>
      </c>
      <c r="D5313" t="inlineStr">
        <is>
          <t>-270K170.0</t>
        </is>
      </c>
      <c r="E5313" t="inlineStr">
        <is>
          <t>DILA-40</t>
        </is>
      </c>
      <c r="F5313" t="inlineStr">
        <is>
          <t>#KALK!</t>
        </is>
      </c>
      <c r="G5313" t="inlineStr">
        <is>
          <t>HILFSSCHUETZ</t>
        </is>
      </c>
      <c r="H5313" t="inlineStr">
        <is>
          <t>4S Federzugkl.</t>
        </is>
      </c>
      <c r="I5313">
        <v>443</v>
      </c>
      <c r="J5313">
        <f>GS36/270.7</f>
        <v>0</v>
      </c>
      <c r="M5313" t="inlineStr">
        <is>
          <t>-270K170.0</t>
        </is>
      </c>
    </row>
    <row r="5314">
      <c r="A5314">
        <v>5313</v>
      </c>
      <c r="B5314">
        <f>GS91</f>
        <v>0</v>
      </c>
      <c r="C5314" t="inlineStr">
        <is>
          <t>+LS03</t>
        </is>
      </c>
      <c r="D5314" t="inlineStr">
        <is>
          <t>-255K166.0</t>
        </is>
      </c>
      <c r="E5314" t="inlineStr">
        <is>
          <t>DILA-40</t>
        </is>
      </c>
      <c r="F5314" t="inlineStr">
        <is>
          <t>#KALK!</t>
        </is>
      </c>
      <c r="G5314" t="inlineStr">
        <is>
          <t>HILFSSCHUETZ</t>
        </is>
      </c>
      <c r="H5314" t="inlineStr">
        <is>
          <t>4S Federzugkl.</t>
        </is>
      </c>
      <c r="I5314">
        <v>403</v>
      </c>
      <c r="J5314">
        <f>GS91/255.7</f>
        <v>0</v>
      </c>
      <c r="M5314" t="inlineStr">
        <is>
          <t>-255K166.0</t>
        </is>
      </c>
    </row>
    <row r="5315">
      <c r="A5315">
        <v>5314</v>
      </c>
      <c r="B5315">
        <f>GS90</f>
        <v>0</v>
      </c>
      <c r="C5315" t="inlineStr">
        <is>
          <t>+LS04</t>
        </is>
      </c>
      <c r="D5315" t="inlineStr">
        <is>
          <t>-255K170.0</t>
        </is>
      </c>
      <c r="E5315" t="inlineStr">
        <is>
          <t>DILA-40</t>
        </is>
      </c>
      <c r="F5315" t="inlineStr">
        <is>
          <t>#KALK!</t>
        </is>
      </c>
      <c r="G5315" t="inlineStr">
        <is>
          <t>HILFSSCHUETZ</t>
        </is>
      </c>
      <c r="H5315" t="inlineStr">
        <is>
          <t>4S Federzugkl.</t>
        </is>
      </c>
      <c r="I5315">
        <v>985</v>
      </c>
      <c r="J5315">
        <f>GS90/255.7</f>
        <v>0</v>
      </c>
      <c r="M5315" t="inlineStr">
        <is>
          <t>-255K170.0</t>
        </is>
      </c>
    </row>
    <row r="5316">
      <c r="A5316">
        <v>5315</v>
      </c>
      <c r="B5316">
        <f>GS34</f>
        <v>0</v>
      </c>
      <c r="C5316" t="inlineStr">
        <is>
          <t>+LS5</t>
        </is>
      </c>
      <c r="D5316" t="inlineStr">
        <is>
          <t>-255K3504.3</t>
        </is>
      </c>
      <c r="E5316" t="inlineStr">
        <is>
          <t>DIL_EM-10-G</t>
        </is>
      </c>
      <c r="F5316" t="inlineStr">
        <is>
          <t>#KALK!</t>
        </is>
      </c>
      <c r="G5316" t="inlineStr">
        <is>
          <t>LASTSCHUETZ</t>
        </is>
      </c>
      <c r="H5316" t="inlineStr">
        <is>
          <t>4kW 1S</t>
        </is>
      </c>
      <c r="I5316">
        <v>379</v>
      </c>
      <c r="J5316">
        <f>GS34/255.7</f>
        <v>0</v>
      </c>
      <c r="M5316" t="inlineStr">
        <is>
          <t>-255K3504.3</t>
        </is>
      </c>
    </row>
    <row r="5317">
      <c r="A5317">
        <v>5316</v>
      </c>
      <c r="B5317">
        <f>GS33</f>
        <v>0</v>
      </c>
      <c r="C5317" t="inlineStr">
        <is>
          <t>+LS5</t>
        </is>
      </c>
      <c r="D5317" t="inlineStr">
        <is>
          <t>-255K37.0</t>
        </is>
      </c>
      <c r="E5317" t="inlineStr">
        <is>
          <t>22_DIL-E</t>
        </is>
      </c>
      <c r="F5317" t="inlineStr">
        <is>
          <t>22_DIL-E</t>
        </is>
      </c>
      <c r="G5317" t="inlineStr">
        <is>
          <t>HILFSKONTAKTBLOCK</t>
        </is>
      </c>
      <c r="H5317" t="inlineStr">
        <is>
          <t>2S 2OE Last+Hilfsschuetz</t>
        </is>
      </c>
      <c r="I5317">
        <v>702</v>
      </c>
      <c r="J5317">
        <f>GS33/255.2</f>
        <v>0</v>
      </c>
      <c r="M5317" t="inlineStr">
        <is>
          <t>-255K37.0</t>
        </is>
      </c>
    </row>
    <row r="5318">
      <c r="A5318">
        <v>5317</v>
      </c>
      <c r="B5318">
        <f>GS33</f>
        <v>0</v>
      </c>
      <c r="C5318" t="inlineStr">
        <is>
          <t>+LS5</t>
        </is>
      </c>
      <c r="D5318" t="inlineStr">
        <is>
          <t>-255K37.0</t>
        </is>
      </c>
      <c r="E5318" t="inlineStr">
        <is>
          <t>DIL_EM-10-G</t>
        </is>
      </c>
      <c r="F5318" t="inlineStr">
        <is>
          <t>22_DIL-E</t>
        </is>
      </c>
      <c r="G5318" t="inlineStr">
        <is>
          <t>LASTSCHUETZ</t>
        </is>
      </c>
      <c r="H5318" t="inlineStr">
        <is>
          <t>4kW 1S</t>
        </is>
      </c>
      <c r="I5318">
        <v>702</v>
      </c>
      <c r="J5318">
        <f>GS33/255.2</f>
        <v>0</v>
      </c>
      <c r="M5318" t="inlineStr">
        <is>
          <t>-255K37.0</t>
        </is>
      </c>
    </row>
    <row r="5319">
      <c r="A5319">
        <v>5318</v>
      </c>
      <c r="B5319">
        <f>GS33</f>
        <v>0</v>
      </c>
      <c r="C5319" t="inlineStr">
        <is>
          <t>+LS5</t>
        </is>
      </c>
      <c r="D5319" t="inlineStr">
        <is>
          <t>-255K37.1</t>
        </is>
      </c>
      <c r="E5319" t="inlineStr">
        <is>
          <t>22_DIL-E</t>
        </is>
      </c>
      <c r="F5319" t="inlineStr">
        <is>
          <t>22_DIL-E</t>
        </is>
      </c>
      <c r="G5319" t="inlineStr">
        <is>
          <t>HILFSKONTAKTBLOCK</t>
        </is>
      </c>
      <c r="H5319" t="inlineStr">
        <is>
          <t>2S 2OE Last+Hilfsschuetz</t>
        </is>
      </c>
      <c r="I5319">
        <v>702</v>
      </c>
      <c r="J5319">
        <f>GS33/255.2</f>
        <v>0</v>
      </c>
      <c r="M5319" t="inlineStr">
        <is>
          <t>-255K37.1</t>
        </is>
      </c>
    </row>
    <row r="5320">
      <c r="A5320">
        <v>5319</v>
      </c>
      <c r="B5320">
        <f>GS33</f>
        <v>0</v>
      </c>
      <c r="C5320" t="inlineStr">
        <is>
          <t>+LS5</t>
        </is>
      </c>
      <c r="D5320" t="inlineStr">
        <is>
          <t>-255K37.1</t>
        </is>
      </c>
      <c r="E5320" t="inlineStr">
        <is>
          <t>DIL_EM-10-G</t>
        </is>
      </c>
      <c r="F5320" t="inlineStr">
        <is>
          <t>22_DIL-E</t>
        </is>
      </c>
      <c r="G5320" t="inlineStr">
        <is>
          <t>LASTSCHUETZ</t>
        </is>
      </c>
      <c r="H5320" t="inlineStr">
        <is>
          <t>4kW 1S</t>
        </is>
      </c>
      <c r="I5320">
        <v>702</v>
      </c>
      <c r="J5320">
        <f>GS33/255.2</f>
        <v>0</v>
      </c>
      <c r="M5320" t="inlineStr">
        <is>
          <t>-255K37.1</t>
        </is>
      </c>
    </row>
    <row r="5321">
      <c r="A5321">
        <v>5320</v>
      </c>
      <c r="B5321">
        <f>GS30</f>
        <v>0</v>
      </c>
      <c r="C5321" t="inlineStr">
        <is>
          <t>+LS06</t>
        </is>
      </c>
      <c r="D5321" t="inlineStr">
        <is>
          <t>-255K410.4</t>
        </is>
      </c>
      <c r="E5321" t="inlineStr">
        <is>
          <t>DILA-40</t>
        </is>
      </c>
      <c r="F5321" t="inlineStr">
        <is>
          <t>#KALK!</t>
        </is>
      </c>
      <c r="G5321" t="inlineStr">
        <is>
          <t>HILFSSCHUETZ</t>
        </is>
      </c>
      <c r="H5321" t="inlineStr">
        <is>
          <t>4S Federzugkl.</t>
        </is>
      </c>
      <c r="I5321">
        <v>2369</v>
      </c>
      <c r="J5321">
        <f>GS30/255.7</f>
        <v>0</v>
      </c>
      <c r="M5321" t="inlineStr">
        <is>
          <t>-255K410.4</t>
        </is>
      </c>
    </row>
    <row r="5322">
      <c r="A5322">
        <v>5321</v>
      </c>
      <c r="B5322">
        <f>GS35</f>
        <v>0</v>
      </c>
      <c r="C5322" t="inlineStr">
        <is>
          <t>+LS05</t>
        </is>
      </c>
      <c r="D5322" t="inlineStr">
        <is>
          <t>-255K423.4</t>
        </is>
      </c>
      <c r="E5322" t="inlineStr">
        <is>
          <t>DILA-40</t>
        </is>
      </c>
      <c r="F5322" t="inlineStr">
        <is>
          <t>#KALK!</t>
        </is>
      </c>
      <c r="G5322" t="inlineStr">
        <is>
          <t>HILFSSCHUETZ</t>
        </is>
      </c>
      <c r="H5322" t="inlineStr">
        <is>
          <t>4S Federzugkl.</t>
        </is>
      </c>
      <c r="I5322">
        <v>409</v>
      </c>
      <c r="J5322">
        <f>GS35/255.7</f>
        <v>0</v>
      </c>
      <c r="M5322" t="inlineStr">
        <is>
          <t>-255K423.4</t>
        </is>
      </c>
    </row>
    <row r="5323">
      <c r="A5323">
        <v>5322</v>
      </c>
      <c r="B5323">
        <f>GS02</f>
        <v>0</v>
      </c>
      <c r="C5323" t="inlineStr">
        <is>
          <t>+LS4</t>
        </is>
      </c>
      <c r="D5323" t="inlineStr">
        <is>
          <t>-255K43.3</t>
        </is>
      </c>
      <c r="E5323" t="inlineStr">
        <is>
          <t>DIL_EM-10-G</t>
        </is>
      </c>
      <c r="F5323" t="inlineStr">
        <is>
          <t>#KALK!</t>
        </is>
      </c>
      <c r="G5323" t="inlineStr">
        <is>
          <t>LASTSCHUETZ</t>
        </is>
      </c>
      <c r="H5323" t="inlineStr">
        <is>
          <t>4kW 1S</t>
        </is>
      </c>
      <c r="I5323">
        <v>660</v>
      </c>
      <c r="J5323">
        <f>GS02/255.7</f>
        <v>0</v>
      </c>
      <c r="M5323" t="inlineStr">
        <is>
          <t>-255K43.3</t>
        </is>
      </c>
    </row>
    <row r="5324">
      <c r="A5324">
        <v>5323</v>
      </c>
      <c r="B5324">
        <f>GS01</f>
        <v>0</v>
      </c>
      <c r="C5324" t="inlineStr">
        <is>
          <t>+LS5</t>
        </is>
      </c>
      <c r="D5324" t="inlineStr">
        <is>
          <t>-255K50.6</t>
        </is>
      </c>
      <c r="E5324" t="inlineStr">
        <is>
          <t>DIL_EM-10-G</t>
        </is>
      </c>
      <c r="F5324" t="inlineStr">
        <is>
          <t>#KALK!</t>
        </is>
      </c>
      <c r="G5324" t="inlineStr">
        <is>
          <t>LASTSCHUETZ</t>
        </is>
      </c>
      <c r="H5324" t="inlineStr">
        <is>
          <t>4kW 1S</t>
        </is>
      </c>
      <c r="I5324">
        <v>418</v>
      </c>
      <c r="J5324">
        <f>GS01/255.6</f>
        <v>0</v>
      </c>
      <c r="M5324" t="inlineStr">
        <is>
          <t>-255K50.6</t>
        </is>
      </c>
    </row>
    <row r="5325">
      <c r="A5325">
        <v>5324</v>
      </c>
      <c r="B5325">
        <f>GS01</f>
        <v>0</v>
      </c>
      <c r="C5325" t="inlineStr">
        <is>
          <t>+LS5</t>
        </is>
      </c>
      <c r="D5325" t="inlineStr">
        <is>
          <t>-255K50.7</t>
        </is>
      </c>
      <c r="E5325" t="inlineStr">
        <is>
          <t>DIL_EM-10-G</t>
        </is>
      </c>
      <c r="F5325" t="inlineStr">
        <is>
          <t>#KALK!</t>
        </is>
      </c>
      <c r="G5325" t="inlineStr">
        <is>
          <t>LASTSCHUETZ</t>
        </is>
      </c>
      <c r="H5325" t="inlineStr">
        <is>
          <t>4kW 1S</t>
        </is>
      </c>
      <c r="I5325">
        <v>418</v>
      </c>
      <c r="J5325">
        <f>GS01/255.6</f>
        <v>0</v>
      </c>
      <c r="M5325" t="inlineStr">
        <is>
          <t>-255K50.7</t>
        </is>
      </c>
    </row>
    <row r="5326">
      <c r="A5326">
        <v>5325</v>
      </c>
      <c r="B5326">
        <f>GS32</f>
        <v>0</v>
      </c>
      <c r="C5326" t="inlineStr">
        <is>
          <t>+LS6</t>
        </is>
      </c>
      <c r="D5326" t="inlineStr">
        <is>
          <t>-255K55.2</t>
        </is>
      </c>
      <c r="E5326" t="inlineStr">
        <is>
          <t>DIL_EM-10-G</t>
        </is>
      </c>
      <c r="F5326" t="inlineStr">
        <is>
          <t>#KALK!</t>
        </is>
      </c>
      <c r="G5326" t="inlineStr">
        <is>
          <t>LASTSCHUETZ</t>
        </is>
      </c>
      <c r="H5326" t="inlineStr">
        <is>
          <t>4kW 1S</t>
        </is>
      </c>
      <c r="I5326">
        <v>1332</v>
      </c>
      <c r="J5326">
        <f>GS32/255.7</f>
        <v>0</v>
      </c>
      <c r="M5326" t="inlineStr">
        <is>
          <t>-255K55.2</t>
        </is>
      </c>
    </row>
    <row r="5327">
      <c r="A5327">
        <v>5326</v>
      </c>
      <c r="B5327">
        <f>GS04</f>
        <v>0</v>
      </c>
      <c r="C5327" t="inlineStr">
        <is>
          <t>+LS5</t>
        </is>
      </c>
      <c r="D5327" t="inlineStr">
        <is>
          <t>-255K60.6</t>
        </is>
      </c>
      <c r="E5327" t="inlineStr">
        <is>
          <t>DIL_EM-10-G</t>
        </is>
      </c>
      <c r="F5327" t="inlineStr">
        <is>
          <t>#KALK!</t>
        </is>
      </c>
      <c r="G5327" t="inlineStr">
        <is>
          <t>LASTSCHUETZ</t>
        </is>
      </c>
      <c r="H5327" t="inlineStr">
        <is>
          <t>4kW 1S</t>
        </is>
      </c>
      <c r="I5327">
        <v>506</v>
      </c>
      <c r="J5327">
        <f>GS04/255.6</f>
        <v>0</v>
      </c>
      <c r="M5327" t="inlineStr">
        <is>
          <t>-255K60.6</t>
        </is>
      </c>
    </row>
    <row r="5328">
      <c r="A5328">
        <v>5327</v>
      </c>
      <c r="B5328">
        <f>GS04</f>
        <v>0</v>
      </c>
      <c r="C5328" t="inlineStr">
        <is>
          <t>+LS5</t>
        </is>
      </c>
      <c r="D5328" t="inlineStr">
        <is>
          <t>-255K60.7</t>
        </is>
      </c>
      <c r="E5328" t="inlineStr">
        <is>
          <t>DIL_EM-10-G</t>
        </is>
      </c>
      <c r="F5328" t="inlineStr">
        <is>
          <t>#KALK!</t>
        </is>
      </c>
      <c r="G5328" t="inlineStr">
        <is>
          <t>LASTSCHUETZ</t>
        </is>
      </c>
      <c r="H5328" t="inlineStr">
        <is>
          <t>4kW 1S</t>
        </is>
      </c>
      <c r="I5328">
        <v>506</v>
      </c>
      <c r="J5328">
        <f>GS04/255.6</f>
        <v>0</v>
      </c>
      <c r="M5328" t="inlineStr">
        <is>
          <t>-255K60.7</t>
        </is>
      </c>
    </row>
    <row r="5329">
      <c r="A5329">
        <v>5328</v>
      </c>
      <c r="B5329">
        <f>GS25</f>
        <v>0</v>
      </c>
      <c r="C5329" t="inlineStr">
        <is>
          <t>+LS5</t>
        </is>
      </c>
      <c r="D5329" t="inlineStr">
        <is>
          <t>-255K84.5</t>
        </is>
      </c>
      <c r="E5329" t="inlineStr">
        <is>
          <t>DIL_EM-10-G</t>
        </is>
      </c>
      <c r="F5329" t="inlineStr">
        <is>
          <t>#KALK!</t>
        </is>
      </c>
      <c r="G5329" t="inlineStr">
        <is>
          <t>LASTSCHUETZ</t>
        </is>
      </c>
      <c r="H5329" t="inlineStr">
        <is>
          <t>4kW 1S</t>
        </is>
      </c>
      <c r="I5329">
        <v>376</v>
      </c>
      <c r="J5329">
        <f>GS25/255.6</f>
        <v>0</v>
      </c>
      <c r="M5329" t="inlineStr">
        <is>
          <t>-255K84.5</t>
        </is>
      </c>
    </row>
    <row r="5330">
      <c r="A5330">
        <v>5329</v>
      </c>
      <c r="B5330">
        <f>GS25</f>
        <v>0</v>
      </c>
      <c r="C5330" t="inlineStr">
        <is>
          <t>+LS5</t>
        </is>
      </c>
      <c r="D5330" t="inlineStr">
        <is>
          <t>-255K84.6</t>
        </is>
      </c>
      <c r="E5330" t="inlineStr">
        <is>
          <t>DIL_EM-10-G</t>
        </is>
      </c>
      <c r="F5330" t="inlineStr">
        <is>
          <t>#KALK!</t>
        </is>
      </c>
      <c r="G5330" t="inlineStr">
        <is>
          <t>LASTSCHUETZ</t>
        </is>
      </c>
      <c r="H5330" t="inlineStr">
        <is>
          <t>4kW 1S</t>
        </is>
      </c>
      <c r="I5330">
        <v>376</v>
      </c>
      <c r="J5330">
        <f>GS25/255.6</f>
        <v>0</v>
      </c>
      <c r="M5330" t="inlineStr">
        <is>
          <t>-255K84.6</t>
        </is>
      </c>
    </row>
    <row r="5331">
      <c r="A5331">
        <v>5330</v>
      </c>
      <c r="B5331">
        <f>GC03</f>
        <v>0</v>
      </c>
      <c r="C5331" t="inlineStr">
        <is>
          <t>+LS6</t>
        </is>
      </c>
      <c r="D5331" t="inlineStr">
        <is>
          <t>-255K98.4</t>
        </is>
      </c>
      <c r="E5331" t="inlineStr">
        <is>
          <t>DIL_EM-10-G</t>
        </is>
      </c>
      <c r="F5331" t="inlineStr">
        <is>
          <t>#KALK!</t>
        </is>
      </c>
      <c r="G5331" t="inlineStr">
        <is>
          <t>LASTSCHUETZ</t>
        </is>
      </c>
      <c r="H5331" t="inlineStr">
        <is>
          <t>4kW 1S</t>
        </is>
      </c>
      <c r="I5331">
        <v>3406</v>
      </c>
      <c r="J5331">
        <f>GC03/255.6</f>
        <v>0</v>
      </c>
      <c r="M5331" t="inlineStr">
        <is>
          <t>-255K98.4</t>
        </is>
      </c>
    </row>
    <row r="5332">
      <c r="A5332">
        <v>5331</v>
      </c>
      <c r="B5332">
        <f>GC03</f>
        <v>0</v>
      </c>
      <c r="C5332" t="inlineStr">
        <is>
          <t>+LS6</t>
        </is>
      </c>
      <c r="D5332" t="inlineStr">
        <is>
          <t>-255K98.5</t>
        </is>
      </c>
      <c r="E5332" t="inlineStr">
        <is>
          <t>DIL_EM-10-G</t>
        </is>
      </c>
      <c r="F5332" t="inlineStr">
        <is>
          <t>#KALK!</t>
        </is>
      </c>
      <c r="G5332" t="inlineStr">
        <is>
          <t>LASTSCHUETZ</t>
        </is>
      </c>
      <c r="H5332" t="inlineStr">
        <is>
          <t>4kW 1S</t>
        </is>
      </c>
      <c r="I5332">
        <v>3406</v>
      </c>
      <c r="J5332">
        <f>GC03/255.6</f>
        <v>0</v>
      </c>
      <c r="M5332" t="inlineStr">
        <is>
          <t>-255K98.5</t>
        </is>
      </c>
    </row>
    <row r="5333">
      <c r="A5333">
        <v>5332</v>
      </c>
      <c r="B5333">
        <f>GS33</f>
        <v>0</v>
      </c>
      <c r="C5333" t="inlineStr">
        <is>
          <t>+LS5</t>
        </is>
      </c>
      <c r="D5333" t="inlineStr">
        <is>
          <t>-255KA1</t>
        </is>
      </c>
      <c r="E5333" t="inlineStr">
        <is>
          <t>DIL_ER-31-G</t>
        </is>
      </c>
      <c r="F5333" t="inlineStr">
        <is>
          <t>31_DIL-E</t>
        </is>
      </c>
      <c r="G5333" t="inlineStr">
        <is>
          <t>HILFSSCHUETZ</t>
        </is>
      </c>
      <c r="H5333" t="inlineStr">
        <is>
          <t>3S 1OE</t>
        </is>
      </c>
      <c r="I5333">
        <v>702</v>
      </c>
      <c r="J5333">
        <f>GS33/255.4</f>
        <v>0</v>
      </c>
      <c r="M5333" t="inlineStr">
        <is>
          <t>-255KA1</t>
        </is>
      </c>
    </row>
    <row r="5334">
      <c r="A5334">
        <v>5333</v>
      </c>
      <c r="B5334">
        <f>GS33</f>
        <v>0</v>
      </c>
      <c r="C5334" t="inlineStr">
        <is>
          <t>+LS5</t>
        </is>
      </c>
      <c r="D5334" t="inlineStr">
        <is>
          <t>-255KA1</t>
        </is>
      </c>
      <c r="E5334" t="inlineStr">
        <is>
          <t>31_DIL-E</t>
        </is>
      </c>
      <c r="F5334" t="inlineStr">
        <is>
          <t>31_DIL-E</t>
        </is>
      </c>
      <c r="G5334" t="inlineStr">
        <is>
          <t>HILFSKONTAKTBLOCK</t>
        </is>
      </c>
      <c r="H5334" t="inlineStr">
        <is>
          <t>3S 1OE Last+Hilsschuetz</t>
        </is>
      </c>
      <c r="I5334">
        <v>702</v>
      </c>
      <c r="J5334">
        <f>GS33/255.4</f>
        <v>0</v>
      </c>
      <c r="M5334" t="inlineStr">
        <is>
          <t>-255KA1</t>
        </is>
      </c>
    </row>
    <row r="5335">
      <c r="A5335">
        <v>5334</v>
      </c>
      <c r="B5335">
        <f>GS33</f>
        <v>0</v>
      </c>
      <c r="C5335" t="inlineStr">
        <is>
          <t>+LS5</t>
        </is>
      </c>
      <c r="D5335" t="inlineStr">
        <is>
          <t>-255KA2</t>
        </is>
      </c>
      <c r="E5335" t="inlineStr">
        <is>
          <t>DIL_ER-22-G</t>
        </is>
      </c>
      <c r="F5335" t="inlineStr">
        <is>
          <t>#KALK!</t>
        </is>
      </c>
      <c r="G5335" t="inlineStr">
        <is>
          <t>HILFSSCHUETZ</t>
        </is>
      </c>
      <c r="H5335" t="inlineStr">
        <is>
          <t>2S 2OE</t>
        </is>
      </c>
      <c r="I5335">
        <v>702</v>
      </c>
      <c r="J5335">
        <f>GS33/255.5</f>
        <v>0</v>
      </c>
      <c r="M5335" t="inlineStr">
        <is>
          <t>-255KA2</t>
        </is>
      </c>
    </row>
    <row r="5336">
      <c r="A5336">
        <v>5335</v>
      </c>
      <c r="B5336">
        <f>GS33</f>
        <v>0</v>
      </c>
      <c r="C5336" t="inlineStr">
        <is>
          <t>+LS5</t>
        </is>
      </c>
      <c r="D5336" t="inlineStr">
        <is>
          <t>-255KA3</t>
        </is>
      </c>
      <c r="E5336" t="inlineStr">
        <is>
          <t>DIL_ER-40-G</t>
        </is>
      </c>
      <c r="F5336" t="inlineStr">
        <is>
          <t>#KALK!</t>
        </is>
      </c>
      <c r="G5336" t="inlineStr">
        <is>
          <t>HILFSSCHUETZ</t>
        </is>
      </c>
      <c r="H5336" t="inlineStr">
        <is>
          <t>4S</t>
        </is>
      </c>
      <c r="I5336">
        <v>702</v>
      </c>
      <c r="J5336">
        <f>GS33/255.6</f>
        <v>0</v>
      </c>
      <c r="M5336" t="inlineStr">
        <is>
          <t>-255KA3</t>
        </is>
      </c>
    </row>
    <row r="5337">
      <c r="A5337">
        <v>5336</v>
      </c>
      <c r="B5337">
        <f>GS30</f>
        <v>0</v>
      </c>
      <c r="C5337" t="inlineStr">
        <is>
          <t>+LS06</t>
        </is>
      </c>
      <c r="D5337" t="inlineStr">
        <is>
          <t>-255Q1</t>
        </is>
      </c>
      <c r="E5337" t="inlineStr">
        <is>
          <t>DILA-XHI22</t>
        </is>
      </c>
      <c r="F5337" t="inlineStr">
        <is>
          <t>DILA-XHI22</t>
        </is>
      </c>
      <c r="G5337" t="inlineStr">
        <is>
          <t>HILFSKONTAKTBLOCK</t>
        </is>
      </c>
      <c r="H5337" t="inlineStr">
        <is>
          <t>2S 2OE Last+Hilfssch. Cage</t>
        </is>
      </c>
      <c r="I5337">
        <v>2369</v>
      </c>
      <c r="J5337">
        <f>GS30/255.4</f>
        <v>0</v>
      </c>
      <c r="K5337" t="inlineStr">
        <is>
          <t>DIL MC25</t>
        </is>
      </c>
      <c r="M5337" t="inlineStr">
        <is>
          <t>-255Q1</t>
        </is>
      </c>
    </row>
    <row r="5338">
      <c r="A5338">
        <v>5337</v>
      </c>
      <c r="B5338">
        <f>GS30</f>
        <v>0</v>
      </c>
      <c r="C5338" t="inlineStr">
        <is>
          <t>+LS06</t>
        </is>
      </c>
      <c r="D5338" t="inlineStr">
        <is>
          <t>-255Q1</t>
        </is>
      </c>
      <c r="E5338" t="inlineStr">
        <is>
          <t>DILMC25-10(RDC24)</t>
        </is>
      </c>
      <c r="F5338" t="inlineStr">
        <is>
          <t>DILA-XHI22</t>
        </is>
      </c>
      <c r="G5338" t="inlineStr">
        <is>
          <t>LASTSCHUETZ</t>
        </is>
      </c>
      <c r="H5338" t="inlineStr">
        <is>
          <t>11kW 1S Federzugkl.</t>
        </is>
      </c>
      <c r="I5338">
        <v>2369</v>
      </c>
      <c r="J5338">
        <f>GS30/255.4</f>
        <v>0</v>
      </c>
      <c r="K5338" t="inlineStr">
        <is>
          <t>DIL MC25</t>
        </is>
      </c>
      <c r="M5338" t="inlineStr">
        <is>
          <t>-255Q1</t>
        </is>
      </c>
    </row>
    <row r="5339">
      <c r="A5339">
        <v>5338</v>
      </c>
      <c r="B5339">
        <f>GS35</f>
        <v>0</v>
      </c>
      <c r="C5339" t="inlineStr">
        <is>
          <t>+LS05</t>
        </is>
      </c>
      <c r="D5339" t="inlineStr">
        <is>
          <t>-255Q1</t>
        </is>
      </c>
      <c r="E5339" t="inlineStr">
        <is>
          <t>DILM-25-10</t>
        </is>
      </c>
      <c r="F5339" t="inlineStr">
        <is>
          <t>DILA-XHI22</t>
        </is>
      </c>
      <c r="G5339" t="inlineStr">
        <is>
          <t>LASTSCHUETZ</t>
        </is>
      </c>
      <c r="H5339" t="inlineStr">
        <is>
          <t>11kW 1S Federzugkl.</t>
        </is>
      </c>
      <c r="I5339">
        <v>409</v>
      </c>
      <c r="J5339">
        <f>GS35/255.4</f>
        <v>0</v>
      </c>
      <c r="K5339" t="inlineStr">
        <is>
          <t>DIL MC25</t>
        </is>
      </c>
      <c r="M5339" t="inlineStr">
        <is>
          <t>-255Q1</t>
        </is>
      </c>
    </row>
    <row r="5340">
      <c r="A5340">
        <v>5339</v>
      </c>
      <c r="B5340">
        <f>GS35</f>
        <v>0</v>
      </c>
      <c r="C5340" t="inlineStr">
        <is>
          <t>+LS05</t>
        </is>
      </c>
      <c r="D5340" t="inlineStr">
        <is>
          <t>-255Q1</t>
        </is>
      </c>
      <c r="E5340" t="inlineStr">
        <is>
          <t>DILA-XHI22</t>
        </is>
      </c>
      <c r="F5340" t="inlineStr">
        <is>
          <t>DILA-XHI22</t>
        </is>
      </c>
      <c r="G5340" t="inlineStr">
        <is>
          <t>HILFSKONTAKTBLOCK</t>
        </is>
      </c>
      <c r="H5340" t="inlineStr">
        <is>
          <t>2S 2OE Last+Hilfssch. Cage</t>
        </is>
      </c>
      <c r="I5340">
        <v>409</v>
      </c>
      <c r="J5340">
        <f>GS35/255.4</f>
        <v>0</v>
      </c>
      <c r="K5340" t="inlineStr">
        <is>
          <t>DIL MC25</t>
        </is>
      </c>
      <c r="M5340" t="inlineStr">
        <is>
          <t>-255Q1</t>
        </is>
      </c>
    </row>
    <row r="5341">
      <c r="A5341">
        <v>5340</v>
      </c>
      <c r="B5341">
        <f>GS36</f>
        <v>0</v>
      </c>
      <c r="C5341" t="inlineStr">
        <is>
          <t>+LS05</t>
        </is>
      </c>
      <c r="D5341" t="inlineStr">
        <is>
          <t>-255Q1</t>
        </is>
      </c>
      <c r="E5341" t="inlineStr">
        <is>
          <t>DILMC25-10(RDC24)</t>
        </is>
      </c>
      <c r="F5341" t="inlineStr">
        <is>
          <t>DILA-XHI22</t>
        </is>
      </c>
      <c r="G5341" t="inlineStr">
        <is>
          <t>LASTSCHUETZ</t>
        </is>
      </c>
      <c r="H5341" t="inlineStr">
        <is>
          <t>11kW 1S Federzugkl.</t>
        </is>
      </c>
      <c r="I5341">
        <v>428</v>
      </c>
      <c r="J5341">
        <f>GS36/255.4</f>
        <v>0</v>
      </c>
      <c r="K5341" t="inlineStr">
        <is>
          <t>DIL MC25</t>
        </is>
      </c>
      <c r="L5341" t="inlineStr">
        <is>
          <t>HVO 32</t>
        </is>
      </c>
      <c r="M5341" t="inlineStr">
        <is>
          <t>HVO 32
-255Q1</t>
        </is>
      </c>
      <c r="N5341" t="inlineStr">
        <is>
          <t>P</t>
        </is>
      </c>
    </row>
    <row r="5342">
      <c r="A5342">
        <v>5341</v>
      </c>
      <c r="B5342">
        <f>GS36</f>
        <v>0</v>
      </c>
      <c r="C5342" t="inlineStr">
        <is>
          <t>+LS05</t>
        </is>
      </c>
      <c r="D5342" t="inlineStr">
        <is>
          <t>-255Q1</t>
        </is>
      </c>
      <c r="E5342" t="inlineStr">
        <is>
          <t>DILA-XHI22</t>
        </is>
      </c>
      <c r="F5342" t="inlineStr">
        <is>
          <t>DILA-XHI22</t>
        </is>
      </c>
      <c r="G5342" t="inlineStr">
        <is>
          <t>HILFSKONTAKTBLOCK</t>
        </is>
      </c>
      <c r="H5342" t="inlineStr">
        <is>
          <t>2S 2OE Last+Hilfssch. Cage</t>
        </is>
      </c>
      <c r="I5342">
        <v>428</v>
      </c>
      <c r="J5342">
        <f>GS36/255.4</f>
        <v>0</v>
      </c>
      <c r="K5342" t="inlineStr">
        <is>
          <t>DIL MC25</t>
        </is>
      </c>
      <c r="L5342" t="inlineStr">
        <is>
          <t>HVO 32</t>
        </is>
      </c>
      <c r="M5342" t="inlineStr">
        <is>
          <t>HVO 32
-255Q1</t>
        </is>
      </c>
      <c r="N5342" t="inlineStr">
        <is>
          <t>P</t>
        </is>
      </c>
    </row>
    <row r="5343">
      <c r="A5343">
        <v>5342</v>
      </c>
      <c r="B5343">
        <f>GS37</f>
        <v>0</v>
      </c>
      <c r="C5343" t="inlineStr">
        <is>
          <t>+LS05</t>
        </is>
      </c>
      <c r="D5343" t="inlineStr">
        <is>
          <t>-255Q1</t>
        </is>
      </c>
      <c r="E5343" t="inlineStr">
        <is>
          <t>DILMC25-10(RDC24)</t>
        </is>
      </c>
      <c r="F5343" t="inlineStr">
        <is>
          <t>DILA-XHI22</t>
        </is>
      </c>
      <c r="G5343" t="inlineStr">
        <is>
          <t>LASTSCHUETZ</t>
        </is>
      </c>
      <c r="H5343" t="inlineStr">
        <is>
          <t>11kW 1S Federzugkl.</t>
        </is>
      </c>
      <c r="I5343">
        <v>418</v>
      </c>
      <c r="J5343">
        <f>GS37/255.4</f>
        <v>0</v>
      </c>
      <c r="K5343" t="inlineStr">
        <is>
          <t>DIL MC25</t>
        </is>
      </c>
      <c r="M5343" t="inlineStr">
        <is>
          <t>-255Q1</t>
        </is>
      </c>
    </row>
    <row r="5344">
      <c r="A5344">
        <v>5343</v>
      </c>
      <c r="B5344">
        <f>GS37</f>
        <v>0</v>
      </c>
      <c r="C5344" t="inlineStr">
        <is>
          <t>+LS05</t>
        </is>
      </c>
      <c r="D5344" t="inlineStr">
        <is>
          <t>-255Q1</t>
        </is>
      </c>
      <c r="E5344" t="inlineStr">
        <is>
          <t>DILA-XHI22</t>
        </is>
      </c>
      <c r="F5344" t="inlineStr">
        <is>
          <t>DILA-XHI22</t>
        </is>
      </c>
      <c r="G5344" t="inlineStr">
        <is>
          <t>HILFSKONTAKTBLOCK</t>
        </is>
      </c>
      <c r="H5344" t="inlineStr">
        <is>
          <t>2S 2OE Last+Hilfssch. Cage</t>
        </is>
      </c>
      <c r="I5344">
        <v>418</v>
      </c>
      <c r="J5344">
        <f>GS37/255.4</f>
        <v>0</v>
      </c>
      <c r="K5344" t="inlineStr">
        <is>
          <t>DIL MC25</t>
        </is>
      </c>
      <c r="M5344" t="inlineStr">
        <is>
          <t>-255Q1</t>
        </is>
      </c>
    </row>
    <row r="5345">
      <c r="A5345">
        <v>5344</v>
      </c>
      <c r="B5345">
        <f>GS51</f>
        <v>0</v>
      </c>
      <c r="C5345" t="inlineStr">
        <is>
          <t>+LS03</t>
        </is>
      </c>
      <c r="D5345" t="inlineStr">
        <is>
          <t>-255Q1</t>
        </is>
      </c>
      <c r="E5345" t="inlineStr">
        <is>
          <t>DILA-XHI22</t>
        </is>
      </c>
      <c r="F5345" t="inlineStr">
        <is>
          <t>DILA-XHI22</t>
        </is>
      </c>
      <c r="G5345" t="inlineStr">
        <is>
          <t>HILFSKONTAKTBLOCK</t>
        </is>
      </c>
      <c r="H5345" t="inlineStr">
        <is>
          <t>2S 2OE Last+Hilfssch. Cage</t>
        </is>
      </c>
      <c r="I5345">
        <v>440</v>
      </c>
      <c r="J5345">
        <f>GS51/255.6</f>
        <v>0</v>
      </c>
      <c r="K5345" t="inlineStr">
        <is>
          <t>DIL MC25</t>
        </is>
      </c>
      <c r="M5345" t="inlineStr">
        <is>
          <t>-255Q1</t>
        </is>
      </c>
    </row>
    <row r="5346">
      <c r="A5346">
        <v>5345</v>
      </c>
      <c r="B5346">
        <f>GS51</f>
        <v>0</v>
      </c>
      <c r="C5346" t="inlineStr">
        <is>
          <t>+LS03</t>
        </is>
      </c>
      <c r="D5346" t="inlineStr">
        <is>
          <t>-255Q1</t>
        </is>
      </c>
      <c r="E5346" t="inlineStr">
        <is>
          <t>DILMC25-10(RDC24)</t>
        </is>
      </c>
      <c r="F5346" t="inlineStr">
        <is>
          <t>DILA-XHI22</t>
        </is>
      </c>
      <c r="G5346" t="inlineStr">
        <is>
          <t>LASTSCHUETZ</t>
        </is>
      </c>
      <c r="H5346" t="inlineStr">
        <is>
          <t>11kW 1S Federzugkl.</t>
        </is>
      </c>
      <c r="I5346">
        <v>440</v>
      </c>
      <c r="J5346">
        <f>GS51/255.6</f>
        <v>0</v>
      </c>
      <c r="K5346" t="inlineStr">
        <is>
          <t>DIL MC25</t>
        </is>
      </c>
      <c r="M5346" t="inlineStr">
        <is>
          <t>-255Q1</t>
        </is>
      </c>
    </row>
    <row r="5347">
      <c r="A5347">
        <v>5346</v>
      </c>
      <c r="B5347">
        <f>GS53</f>
        <v>0</v>
      </c>
      <c r="C5347" t="inlineStr">
        <is>
          <t>+LS11</t>
        </is>
      </c>
      <c r="D5347" t="inlineStr">
        <is>
          <t>-255Q1</t>
        </is>
      </c>
      <c r="E5347" t="inlineStr">
        <is>
          <t>DILMC25-10(RDC24)</t>
        </is>
      </c>
      <c r="F5347" t="inlineStr">
        <is>
          <t>DILA-XHI22</t>
        </is>
      </c>
      <c r="G5347" t="inlineStr">
        <is>
          <t>LASTSCHUETZ</t>
        </is>
      </c>
      <c r="H5347" t="inlineStr">
        <is>
          <t>11kW 1S Federzugkl.</t>
        </is>
      </c>
      <c r="I5347">
        <v>376</v>
      </c>
      <c r="J5347">
        <f>GS53/255.6</f>
        <v>0</v>
      </c>
      <c r="K5347" t="inlineStr">
        <is>
          <t>DIL MC25</t>
        </is>
      </c>
      <c r="M5347" t="inlineStr">
        <is>
          <t>-255Q1</t>
        </is>
      </c>
    </row>
    <row r="5348">
      <c r="A5348">
        <v>5347</v>
      </c>
      <c r="B5348">
        <f>GS53</f>
        <v>0</v>
      </c>
      <c r="C5348" t="inlineStr">
        <is>
          <t>+LS11</t>
        </is>
      </c>
      <c r="D5348" t="inlineStr">
        <is>
          <t>-255Q1</t>
        </is>
      </c>
      <c r="E5348" t="inlineStr">
        <is>
          <t>DILA-XHI22</t>
        </is>
      </c>
      <c r="F5348" t="inlineStr">
        <is>
          <t>DILA-XHI22</t>
        </is>
      </c>
      <c r="G5348" t="inlineStr">
        <is>
          <t>HILFSKONTAKTBLOCK</t>
        </is>
      </c>
      <c r="H5348" t="inlineStr">
        <is>
          <t>2S 2OE Last+Hilfssch. Cage</t>
        </is>
      </c>
      <c r="I5348">
        <v>376</v>
      </c>
      <c r="J5348">
        <f>GS53/255.6</f>
        <v>0</v>
      </c>
      <c r="K5348" t="inlineStr">
        <is>
          <t>DIL MC25</t>
        </is>
      </c>
      <c r="M5348" t="inlineStr">
        <is>
          <t>-255Q1</t>
        </is>
      </c>
    </row>
    <row r="5349">
      <c r="A5349">
        <v>5348</v>
      </c>
      <c r="B5349">
        <f>GS55</f>
        <v>0</v>
      </c>
      <c r="C5349" t="inlineStr">
        <is>
          <t>+LS03</t>
        </is>
      </c>
      <c r="D5349" t="inlineStr">
        <is>
          <t>-255Q1</t>
        </is>
      </c>
      <c r="E5349" t="inlineStr">
        <is>
          <t>DILA-XHI22</t>
        </is>
      </c>
      <c r="F5349" t="inlineStr">
        <is>
          <t>DILA-XHI22</t>
        </is>
      </c>
      <c r="G5349" t="inlineStr">
        <is>
          <t>HILFSKONTAKTBLOCK</t>
        </is>
      </c>
      <c r="H5349" t="inlineStr">
        <is>
          <t>2S 2OE Last+Hilfssch. Cage</t>
        </is>
      </c>
      <c r="I5349">
        <v>530</v>
      </c>
      <c r="J5349">
        <f>GS55/255.6</f>
        <v>0</v>
      </c>
      <c r="K5349" t="inlineStr">
        <is>
          <t>DIL MC25</t>
        </is>
      </c>
      <c r="M5349" t="inlineStr">
        <is>
          <t>-255Q1</t>
        </is>
      </c>
    </row>
    <row r="5350">
      <c r="A5350">
        <v>5349</v>
      </c>
      <c r="B5350">
        <f>GS55</f>
        <v>0</v>
      </c>
      <c r="C5350" t="inlineStr">
        <is>
          <t>+LS03</t>
        </is>
      </c>
      <c r="D5350" t="inlineStr">
        <is>
          <t>-255Q1</t>
        </is>
      </c>
      <c r="E5350" t="inlineStr">
        <is>
          <t>DILMC25-10(RDC24)</t>
        </is>
      </c>
      <c r="F5350" t="inlineStr">
        <is>
          <t>DILA-XHI22</t>
        </is>
      </c>
      <c r="G5350" t="inlineStr">
        <is>
          <t>LASTSCHUETZ</t>
        </is>
      </c>
      <c r="H5350" t="inlineStr">
        <is>
          <t>11kW 1S Federzugkl.</t>
        </is>
      </c>
      <c r="I5350">
        <v>530</v>
      </c>
      <c r="J5350">
        <f>GS55/255.6</f>
        <v>0</v>
      </c>
      <c r="K5350" t="inlineStr">
        <is>
          <t>DIL MC25</t>
        </is>
      </c>
      <c r="M5350" t="inlineStr">
        <is>
          <t>-255Q1</t>
        </is>
      </c>
    </row>
    <row r="5351">
      <c r="A5351">
        <v>5350</v>
      </c>
      <c r="B5351">
        <f>GS69</f>
        <v>0</v>
      </c>
      <c r="C5351" t="inlineStr">
        <is>
          <t>+LS05</t>
        </is>
      </c>
      <c r="D5351" t="inlineStr">
        <is>
          <t>-255Q1</t>
        </is>
      </c>
      <c r="E5351" t="inlineStr">
        <is>
          <t>DILA-XHI22</t>
        </is>
      </c>
      <c r="F5351" t="inlineStr">
        <is>
          <t>DILA-XHI22</t>
        </is>
      </c>
      <c r="G5351" t="inlineStr">
        <is>
          <t>HILFSKONTAKTBLOCK</t>
        </is>
      </c>
      <c r="H5351" t="inlineStr">
        <is>
          <t>2S 2OE Last+Hilfssch. Cage</t>
        </is>
      </c>
      <c r="I5351">
        <v>406</v>
      </c>
      <c r="J5351">
        <f>GS69/255.6</f>
        <v>0</v>
      </c>
      <c r="K5351" t="inlineStr">
        <is>
          <t>DIL MC25</t>
        </is>
      </c>
      <c r="M5351" t="inlineStr">
        <is>
          <t>-255Q1</t>
        </is>
      </c>
    </row>
    <row r="5352">
      <c r="A5352">
        <v>5351</v>
      </c>
      <c r="B5352">
        <f>GS69</f>
        <v>0</v>
      </c>
      <c r="C5352" t="inlineStr">
        <is>
          <t>+LS05</t>
        </is>
      </c>
      <c r="D5352" t="inlineStr">
        <is>
          <t>-255Q1</t>
        </is>
      </c>
      <c r="E5352" t="inlineStr">
        <is>
          <t>DILMC25-10(RDC24)</t>
        </is>
      </c>
      <c r="F5352" t="inlineStr">
        <is>
          <t>DILA-XHI22</t>
        </is>
      </c>
      <c r="G5352" t="inlineStr">
        <is>
          <t>LASTSCHUETZ</t>
        </is>
      </c>
      <c r="H5352" t="inlineStr">
        <is>
          <t>11kW 1S Federzugkl.</t>
        </is>
      </c>
      <c r="I5352">
        <v>406</v>
      </c>
      <c r="J5352">
        <f>GS69/255.6</f>
        <v>0</v>
      </c>
      <c r="K5352" t="inlineStr">
        <is>
          <t>DIL MC25</t>
        </is>
      </c>
      <c r="M5352" t="inlineStr">
        <is>
          <t>-255Q1</t>
        </is>
      </c>
    </row>
    <row r="5353">
      <c r="A5353">
        <v>5352</v>
      </c>
      <c r="B5353">
        <f>GS90</f>
        <v>0</v>
      </c>
      <c r="C5353" t="inlineStr">
        <is>
          <t>+LS04</t>
        </is>
      </c>
      <c r="D5353" t="inlineStr">
        <is>
          <t>-255Q1</t>
        </is>
      </c>
      <c r="E5353" t="inlineStr">
        <is>
          <t>DILMC25-10(RDC24)</t>
        </is>
      </c>
      <c r="F5353" t="inlineStr">
        <is>
          <t>DILA-XHI22</t>
        </is>
      </c>
      <c r="G5353" t="inlineStr">
        <is>
          <t>LASTSCHUETZ</t>
        </is>
      </c>
      <c r="H5353" t="inlineStr">
        <is>
          <t>11kW 1S Federzugkl.</t>
        </is>
      </c>
      <c r="I5353">
        <v>985</v>
      </c>
      <c r="J5353">
        <f>GS90/255.4</f>
        <v>0</v>
      </c>
      <c r="K5353" t="inlineStr">
        <is>
          <t>DIL MC25</t>
        </is>
      </c>
      <c r="M5353" t="inlineStr">
        <is>
          <t>-255Q1</t>
        </is>
      </c>
    </row>
    <row r="5354">
      <c r="A5354">
        <v>5353</v>
      </c>
      <c r="B5354">
        <f>GS90</f>
        <v>0</v>
      </c>
      <c r="C5354" t="inlineStr">
        <is>
          <t>+LS04</t>
        </is>
      </c>
      <c r="D5354" t="inlineStr">
        <is>
          <t>-255Q1</t>
        </is>
      </c>
      <c r="E5354" t="inlineStr">
        <is>
          <t>DILA-XHI22</t>
        </is>
      </c>
      <c r="F5354" t="inlineStr">
        <is>
          <t>DILA-XHI22</t>
        </is>
      </c>
      <c r="G5354" t="inlineStr">
        <is>
          <t>HILFSKONTAKTBLOCK</t>
        </is>
      </c>
      <c r="H5354" t="inlineStr">
        <is>
          <t>2S 2OE Last+Hilfssch. Cage</t>
        </is>
      </c>
      <c r="I5354">
        <v>985</v>
      </c>
      <c r="J5354">
        <f>GS90/255.4</f>
        <v>0</v>
      </c>
      <c r="K5354" t="inlineStr">
        <is>
          <t>DIL MC25</t>
        </is>
      </c>
      <c r="M5354" t="inlineStr">
        <is>
          <t>-255Q1</t>
        </is>
      </c>
    </row>
    <row r="5355">
      <c r="A5355">
        <v>5354</v>
      </c>
      <c r="B5355">
        <f>GS91</f>
        <v>0</v>
      </c>
      <c r="C5355" t="inlineStr">
        <is>
          <t>+LS03</t>
        </is>
      </c>
      <c r="D5355" t="inlineStr">
        <is>
          <t>-255Q1</t>
        </is>
      </c>
      <c r="E5355" t="inlineStr">
        <is>
          <t>DILA-XHI22</t>
        </is>
      </c>
      <c r="F5355" t="inlineStr">
        <is>
          <t>DILA-XHI22</t>
        </is>
      </c>
      <c r="G5355" t="inlineStr">
        <is>
          <t>HILFSKONTAKTBLOCK</t>
        </is>
      </c>
      <c r="H5355" t="inlineStr">
        <is>
          <t>2S 2OE Last+Hilfssch. Cage</t>
        </is>
      </c>
      <c r="I5355">
        <v>403</v>
      </c>
      <c r="J5355">
        <f>GS91/255.4</f>
        <v>0</v>
      </c>
      <c r="K5355" t="inlineStr">
        <is>
          <t>DIL MC25</t>
        </is>
      </c>
      <c r="M5355" t="inlineStr">
        <is>
          <t>-255Q1</t>
        </is>
      </c>
    </row>
    <row r="5356">
      <c r="A5356">
        <v>5355</v>
      </c>
      <c r="B5356">
        <f>GS91</f>
        <v>0</v>
      </c>
      <c r="C5356" t="inlineStr">
        <is>
          <t>+LS03</t>
        </is>
      </c>
      <c r="D5356" t="inlineStr">
        <is>
          <t>-255Q1</t>
        </is>
      </c>
      <c r="E5356" t="inlineStr">
        <is>
          <t>DILMC25-10(RDC24)</t>
        </is>
      </c>
      <c r="F5356" t="inlineStr">
        <is>
          <t>DILA-XHI22</t>
        </is>
      </c>
      <c r="G5356" t="inlineStr">
        <is>
          <t>LASTSCHUETZ</t>
        </is>
      </c>
      <c r="H5356" t="inlineStr">
        <is>
          <t>11kW 1S Federzugkl.</t>
        </is>
      </c>
      <c r="I5356">
        <v>403</v>
      </c>
      <c r="J5356">
        <f>GS91/255.4</f>
        <v>0</v>
      </c>
      <c r="K5356" t="inlineStr">
        <is>
          <t>DIL MC25</t>
        </is>
      </c>
      <c r="M5356" t="inlineStr">
        <is>
          <t>-255Q1</t>
        </is>
      </c>
    </row>
    <row r="5357">
      <c r="A5357">
        <v>5356</v>
      </c>
      <c r="B5357">
        <f>GC22</f>
        <v>0</v>
      </c>
      <c r="C5357" t="inlineStr">
        <is>
          <t>+LS3</t>
        </is>
      </c>
      <c r="D5357" t="inlineStr">
        <is>
          <t>-256K1</t>
        </is>
      </c>
      <c r="E5357" t="inlineStr">
        <is>
          <t>DIL_0AM</t>
        </is>
      </c>
      <c r="F5357" t="inlineStr">
        <is>
          <t>22_DIL-M</t>
        </is>
      </c>
      <c r="G5357" t="inlineStr">
        <is>
          <t>LASTSCHUETZ</t>
        </is>
      </c>
      <c r="H5357" t="inlineStr">
        <is>
          <t>11 kW</t>
        </is>
      </c>
      <c r="I5357">
        <v>3385</v>
      </c>
      <c r="J5357">
        <f>GC22/256.2</f>
        <v>0</v>
      </c>
      <c r="K5357" t="inlineStr">
        <is>
          <t>DIL0AM</t>
        </is>
      </c>
      <c r="M5357" t="inlineStr">
        <is>
          <t>-256K1</t>
        </is>
      </c>
    </row>
    <row r="5358">
      <c r="A5358">
        <v>5357</v>
      </c>
      <c r="B5358">
        <f>GC22</f>
        <v>0</v>
      </c>
      <c r="C5358" t="inlineStr">
        <is>
          <t>+LS3</t>
        </is>
      </c>
      <c r="D5358" t="inlineStr">
        <is>
          <t>-256K1</t>
        </is>
      </c>
      <c r="E5358" t="inlineStr">
        <is>
          <t>22_DIL-M</t>
        </is>
      </c>
      <c r="F5358" t="inlineStr">
        <is>
          <t>22_DIL-M</t>
        </is>
      </c>
      <c r="G5358" t="inlineStr">
        <is>
          <t>HILFSKONTAKTBLOCK</t>
        </is>
      </c>
      <c r="H5358" t="inlineStr">
        <is>
          <t>2S 2OE Lastschuetz DIL M</t>
        </is>
      </c>
      <c r="I5358">
        <v>3385</v>
      </c>
      <c r="J5358">
        <f>GC22/256.2</f>
        <v>0</v>
      </c>
      <c r="K5358" t="inlineStr">
        <is>
          <t>DIL0AM</t>
        </is>
      </c>
      <c r="M5358" t="inlineStr">
        <is>
          <t>-256K1</t>
        </is>
      </c>
    </row>
    <row r="5359">
      <c r="A5359">
        <v>5358</v>
      </c>
      <c r="B5359">
        <f>GS12</f>
        <v>0</v>
      </c>
      <c r="C5359" t="inlineStr">
        <is>
          <t>+LS3</t>
        </is>
      </c>
      <c r="D5359" t="inlineStr">
        <is>
          <t>-256K1</t>
        </is>
      </c>
      <c r="E5359" t="inlineStr">
        <is>
          <t>22_DIL-M</t>
        </is>
      </c>
      <c r="F5359" t="inlineStr">
        <is>
          <t>22_DIL-M</t>
        </is>
      </c>
      <c r="G5359" t="inlineStr">
        <is>
          <t>HILFSKONTAKTBLOCK</t>
        </is>
      </c>
      <c r="H5359" t="inlineStr">
        <is>
          <t>2S 2OE Lastschuetz DIL M</t>
        </is>
      </c>
      <c r="I5359">
        <v>388</v>
      </c>
      <c r="J5359">
        <f>GS12/256.2</f>
        <v>0</v>
      </c>
      <c r="K5359" t="inlineStr">
        <is>
          <t>DIL0AM</t>
        </is>
      </c>
      <c r="M5359" t="inlineStr">
        <is>
          <t>-256K1</t>
        </is>
      </c>
    </row>
    <row r="5360">
      <c r="A5360">
        <v>5359</v>
      </c>
      <c r="B5360">
        <f>GS12</f>
        <v>0</v>
      </c>
      <c r="C5360" t="inlineStr">
        <is>
          <t>+LS3</t>
        </is>
      </c>
      <c r="D5360" t="inlineStr">
        <is>
          <t>-256K1</t>
        </is>
      </c>
      <c r="E5360" t="inlineStr">
        <is>
          <t>DIL_0AM</t>
        </is>
      </c>
      <c r="F5360" t="inlineStr">
        <is>
          <t>22_DIL-M</t>
        </is>
      </c>
      <c r="G5360" t="inlineStr">
        <is>
          <t>LASTSCHUETZ</t>
        </is>
      </c>
      <c r="H5360" t="inlineStr">
        <is>
          <t>11 kW</t>
        </is>
      </c>
      <c r="I5360">
        <v>388</v>
      </c>
      <c r="J5360">
        <f>GS12/256.2</f>
        <v>0</v>
      </c>
      <c r="K5360" t="inlineStr">
        <is>
          <t>DIL0AM</t>
        </is>
      </c>
      <c r="M5360" t="inlineStr">
        <is>
          <t>-256K1</t>
        </is>
      </c>
    </row>
    <row r="5361">
      <c r="A5361">
        <v>5360</v>
      </c>
      <c r="B5361">
        <f>GS13</f>
        <v>0</v>
      </c>
      <c r="C5361" t="inlineStr">
        <is>
          <t>+LS5</t>
        </is>
      </c>
      <c r="D5361" t="inlineStr">
        <is>
          <t>-256K1</t>
        </is>
      </c>
      <c r="E5361" t="inlineStr">
        <is>
          <t>DIL_0AM</t>
        </is>
      </c>
      <c r="F5361" t="inlineStr">
        <is>
          <t>22_DIL-M</t>
        </is>
      </c>
      <c r="G5361" t="inlineStr">
        <is>
          <t>LASTSCHUETZ</t>
        </is>
      </c>
      <c r="H5361" t="inlineStr">
        <is>
          <t>11 kW</t>
        </is>
      </c>
      <c r="I5361">
        <v>498</v>
      </c>
      <c r="J5361">
        <f>GS13/256.2</f>
        <v>0</v>
      </c>
      <c r="K5361" t="inlineStr">
        <is>
          <t>DIL0AM</t>
        </is>
      </c>
      <c r="M5361" t="inlineStr">
        <is>
          <t>-256K1</t>
        </is>
      </c>
    </row>
    <row r="5362">
      <c r="A5362">
        <v>5361</v>
      </c>
      <c r="B5362">
        <f>GS13</f>
        <v>0</v>
      </c>
      <c r="C5362" t="inlineStr">
        <is>
          <t>+LS5</t>
        </is>
      </c>
      <c r="D5362" t="inlineStr">
        <is>
          <t>-256K1</t>
        </is>
      </c>
      <c r="E5362" t="inlineStr">
        <is>
          <t>22_DIL-M</t>
        </is>
      </c>
      <c r="F5362" t="inlineStr">
        <is>
          <t>22_DIL-M</t>
        </is>
      </c>
      <c r="G5362" t="inlineStr">
        <is>
          <t>HILFSKONTAKTBLOCK</t>
        </is>
      </c>
      <c r="H5362" t="inlineStr">
        <is>
          <t>2S 2OE Lastschuetz DIL M</t>
        </is>
      </c>
      <c r="I5362">
        <v>498</v>
      </c>
      <c r="J5362">
        <f>GS13/256.2</f>
        <v>0</v>
      </c>
      <c r="K5362" t="inlineStr">
        <is>
          <t>DIL0AM</t>
        </is>
      </c>
      <c r="M5362" t="inlineStr">
        <is>
          <t>-256K1</t>
        </is>
      </c>
    </row>
    <row r="5363">
      <c r="A5363">
        <v>5362</v>
      </c>
      <c r="B5363">
        <f>GS23</f>
        <v>0</v>
      </c>
      <c r="C5363" t="inlineStr">
        <is>
          <t>+LS5</t>
        </is>
      </c>
      <c r="D5363" t="inlineStr">
        <is>
          <t>-256K1</t>
        </is>
      </c>
      <c r="E5363" t="inlineStr">
        <is>
          <t>22_DIL-M</t>
        </is>
      </c>
      <c r="F5363" t="inlineStr">
        <is>
          <t>22_DIL-M</t>
        </is>
      </c>
      <c r="G5363" t="inlineStr">
        <is>
          <t>HILFSKONTAKTBLOCK</t>
        </is>
      </c>
      <c r="H5363" t="inlineStr">
        <is>
          <t>2S 2OE Lastschuetz DIL M</t>
        </is>
      </c>
      <c r="I5363">
        <v>557</v>
      </c>
      <c r="J5363">
        <f>GS23/256.2</f>
        <v>0</v>
      </c>
      <c r="K5363" t="inlineStr">
        <is>
          <t>DIL0AM</t>
        </is>
      </c>
      <c r="M5363" t="inlineStr">
        <is>
          <t>-256K1</t>
        </is>
      </c>
    </row>
    <row r="5364">
      <c r="A5364">
        <v>5363</v>
      </c>
      <c r="B5364">
        <f>GS23</f>
        <v>0</v>
      </c>
      <c r="C5364" t="inlineStr">
        <is>
          <t>+LS5</t>
        </is>
      </c>
      <c r="D5364" t="inlineStr">
        <is>
          <t>-256K1</t>
        </is>
      </c>
      <c r="E5364" t="inlineStr">
        <is>
          <t>DIL_0AM</t>
        </is>
      </c>
      <c r="F5364" t="inlineStr">
        <is>
          <t>22_DIL-M</t>
        </is>
      </c>
      <c r="G5364" t="inlineStr">
        <is>
          <t>LASTSCHUETZ</t>
        </is>
      </c>
      <c r="H5364" t="inlineStr">
        <is>
          <t>11 kW</t>
        </is>
      </c>
      <c r="I5364">
        <v>557</v>
      </c>
      <c r="J5364">
        <f>GS23/256.2</f>
        <v>0</v>
      </c>
      <c r="K5364" t="inlineStr">
        <is>
          <t>DIL0AM</t>
        </is>
      </c>
      <c r="M5364" t="inlineStr">
        <is>
          <t>-256K1</t>
        </is>
      </c>
    </row>
    <row r="5365">
      <c r="A5365">
        <v>5364</v>
      </c>
      <c r="B5365">
        <f>GS34</f>
        <v>0</v>
      </c>
      <c r="C5365" t="inlineStr">
        <is>
          <t>+LS5</t>
        </is>
      </c>
      <c r="D5365" t="inlineStr">
        <is>
          <t>-256K3504.7</t>
        </is>
      </c>
      <c r="E5365" t="inlineStr">
        <is>
          <t>DIL_EM-10-G</t>
        </is>
      </c>
      <c r="F5365" t="inlineStr">
        <is>
          <t>#KALK!</t>
        </is>
      </c>
      <c r="G5365" t="inlineStr">
        <is>
          <t>LASTSCHUETZ</t>
        </is>
      </c>
      <c r="H5365" t="inlineStr">
        <is>
          <t>4kW 1S</t>
        </is>
      </c>
      <c r="I5365">
        <v>380</v>
      </c>
      <c r="J5365">
        <f>GS34/256.7</f>
        <v>0</v>
      </c>
      <c r="M5365" t="inlineStr">
        <is>
          <t>-256K3504.7</t>
        </is>
      </c>
    </row>
    <row r="5366">
      <c r="A5366">
        <v>5365</v>
      </c>
      <c r="B5366">
        <f>GS02</f>
        <v>0</v>
      </c>
      <c r="C5366" t="inlineStr">
        <is>
          <t>+LS4</t>
        </is>
      </c>
      <c r="D5366" t="inlineStr">
        <is>
          <t>-256K43.4</t>
        </is>
      </c>
      <c r="E5366" t="inlineStr">
        <is>
          <t>DIL_EM-10-G</t>
        </is>
      </c>
      <c r="F5366" t="inlineStr">
        <is>
          <t>#KALK!</t>
        </is>
      </c>
      <c r="G5366" t="inlineStr">
        <is>
          <t>LASTSCHUETZ</t>
        </is>
      </c>
      <c r="H5366" t="inlineStr">
        <is>
          <t>4kW 1S</t>
        </is>
      </c>
      <c r="I5366">
        <v>661</v>
      </c>
      <c r="J5366">
        <f>GS02/256.6</f>
        <v>0</v>
      </c>
      <c r="M5366" t="inlineStr">
        <is>
          <t>-256K43.4</t>
        </is>
      </c>
    </row>
    <row r="5367">
      <c r="A5367">
        <v>5366</v>
      </c>
      <c r="B5367">
        <f>GS02</f>
        <v>0</v>
      </c>
      <c r="C5367" t="inlineStr">
        <is>
          <t>+LS4</t>
        </is>
      </c>
      <c r="D5367" t="inlineStr">
        <is>
          <t>-256K43.5</t>
        </is>
      </c>
      <c r="E5367" t="inlineStr">
        <is>
          <t>DIL_EM-10-G</t>
        </is>
      </c>
      <c r="F5367" t="inlineStr">
        <is>
          <t>#KALK!</t>
        </is>
      </c>
      <c r="G5367" t="inlineStr">
        <is>
          <t>LASTSCHUETZ</t>
        </is>
      </c>
      <c r="H5367" t="inlineStr">
        <is>
          <t>4kW 1S</t>
        </is>
      </c>
      <c r="I5367">
        <v>661</v>
      </c>
      <c r="J5367">
        <f>GS02/256.6</f>
        <v>0</v>
      </c>
      <c r="M5367" t="inlineStr">
        <is>
          <t>-256K43.5</t>
        </is>
      </c>
    </row>
    <row r="5368">
      <c r="A5368">
        <v>5367</v>
      </c>
      <c r="B5368">
        <f>GS04</f>
        <v>0</v>
      </c>
      <c r="C5368" t="inlineStr">
        <is>
          <t>+LS5</t>
        </is>
      </c>
      <c r="D5368" t="inlineStr">
        <is>
          <t>-256K61.0</t>
        </is>
      </c>
      <c r="E5368" t="inlineStr">
        <is>
          <t>DIL_EM-10-G</t>
        </is>
      </c>
      <c r="F5368" t="inlineStr">
        <is>
          <t>#KALK!</t>
        </is>
      </c>
      <c r="G5368" t="inlineStr">
        <is>
          <t>LASTSCHUETZ</t>
        </is>
      </c>
      <c r="H5368" t="inlineStr">
        <is>
          <t>4kW 1S</t>
        </is>
      </c>
      <c r="I5368">
        <v>507</v>
      </c>
      <c r="J5368">
        <f>GS04/256.6</f>
        <v>0</v>
      </c>
      <c r="M5368" t="inlineStr">
        <is>
          <t>-256K61.0</t>
        </is>
      </c>
    </row>
    <row r="5369">
      <c r="A5369">
        <v>5368</v>
      </c>
      <c r="B5369">
        <f>GS04</f>
        <v>0</v>
      </c>
      <c r="C5369" t="inlineStr">
        <is>
          <t>+LS5</t>
        </is>
      </c>
      <c r="D5369" t="inlineStr">
        <is>
          <t>-256K61.1</t>
        </is>
      </c>
      <c r="E5369" t="inlineStr">
        <is>
          <t>DIL_EM-10-G</t>
        </is>
      </c>
      <c r="F5369" t="inlineStr">
        <is>
          <t>#KALK!</t>
        </is>
      </c>
      <c r="G5369" t="inlineStr">
        <is>
          <t>LASTSCHUETZ</t>
        </is>
      </c>
      <c r="H5369" t="inlineStr">
        <is>
          <t>4kW 1S</t>
        </is>
      </c>
      <c r="I5369">
        <v>507</v>
      </c>
      <c r="J5369">
        <f>GS04/256.6</f>
        <v>0</v>
      </c>
      <c r="M5369" t="inlineStr">
        <is>
          <t>-256K61.1</t>
        </is>
      </c>
    </row>
    <row r="5370">
      <c r="A5370">
        <v>5369</v>
      </c>
      <c r="B5370">
        <f>GS15</f>
        <v>0</v>
      </c>
      <c r="C5370" t="inlineStr">
        <is>
          <t>+LS5</t>
        </is>
      </c>
      <c r="D5370" t="inlineStr">
        <is>
          <t>-256K82.0</t>
        </is>
      </c>
      <c r="E5370" t="inlineStr">
        <is>
          <t>DIL_EM-10-G</t>
        </is>
      </c>
      <c r="F5370" t="inlineStr">
        <is>
          <t>#KALK!</t>
        </is>
      </c>
      <c r="G5370" t="inlineStr">
        <is>
          <t>LASTSCHUETZ</t>
        </is>
      </c>
      <c r="H5370" t="inlineStr">
        <is>
          <t>4kW 1S</t>
        </is>
      </c>
      <c r="I5370">
        <v>750</v>
      </c>
      <c r="J5370">
        <f>GS15/256.6</f>
        <v>0</v>
      </c>
      <c r="M5370" t="inlineStr">
        <is>
          <t>-256K82.0</t>
        </is>
      </c>
    </row>
    <row r="5371">
      <c r="A5371">
        <v>5370</v>
      </c>
      <c r="B5371">
        <f>GS15</f>
        <v>0</v>
      </c>
      <c r="C5371" t="inlineStr">
        <is>
          <t>+LS5</t>
        </is>
      </c>
      <c r="D5371" t="inlineStr">
        <is>
          <t>-256K82.1</t>
        </is>
      </c>
      <c r="E5371" t="inlineStr">
        <is>
          <t>DIL_EM-10-G</t>
        </is>
      </c>
      <c r="F5371" t="inlineStr">
        <is>
          <t>#KALK!</t>
        </is>
      </c>
      <c r="G5371" t="inlineStr">
        <is>
          <t>LASTSCHUETZ</t>
        </is>
      </c>
      <c r="H5371" t="inlineStr">
        <is>
          <t>4kW 1S</t>
        </is>
      </c>
      <c r="I5371">
        <v>750</v>
      </c>
      <c r="J5371">
        <f>GS15/256.6</f>
        <v>0</v>
      </c>
      <c r="M5371" t="inlineStr">
        <is>
          <t>-256K82.1</t>
        </is>
      </c>
    </row>
    <row r="5372">
      <c r="A5372">
        <v>5371</v>
      </c>
      <c r="B5372">
        <f>GC03</f>
        <v>0</v>
      </c>
      <c r="C5372" t="inlineStr">
        <is>
          <t>+LS6</t>
        </is>
      </c>
      <c r="D5372" t="inlineStr">
        <is>
          <t>-256K98.6</t>
        </is>
      </c>
      <c r="E5372" t="inlineStr">
        <is>
          <t>DIL_EM-10-G</t>
        </is>
      </c>
      <c r="F5372" t="inlineStr">
        <is>
          <t>#KALK!</t>
        </is>
      </c>
      <c r="G5372" t="inlineStr">
        <is>
          <t>LASTSCHUETZ</t>
        </is>
      </c>
      <c r="H5372" t="inlineStr">
        <is>
          <t>4kW 1S</t>
        </is>
      </c>
      <c r="I5372">
        <v>2663</v>
      </c>
      <c r="J5372">
        <f>GC03/256.6</f>
        <v>0</v>
      </c>
      <c r="M5372" t="inlineStr">
        <is>
          <t>-256K98.6</t>
        </is>
      </c>
    </row>
    <row r="5373">
      <c r="A5373">
        <v>5372</v>
      </c>
      <c r="B5373">
        <f>GC03</f>
        <v>0</v>
      </c>
      <c r="C5373" t="inlineStr">
        <is>
          <t>+LS6</t>
        </is>
      </c>
      <c r="D5373" t="inlineStr">
        <is>
          <t>-256K98.7</t>
        </is>
      </c>
      <c r="E5373" t="inlineStr">
        <is>
          <t>DIL_EM-10-G</t>
        </is>
      </c>
      <c r="F5373" t="inlineStr">
        <is>
          <t>#KALK!</t>
        </is>
      </c>
      <c r="G5373" t="inlineStr">
        <is>
          <t>LASTSCHUETZ</t>
        </is>
      </c>
      <c r="H5373" t="inlineStr">
        <is>
          <t>4kW 1S</t>
        </is>
      </c>
      <c r="I5373">
        <v>2663</v>
      </c>
      <c r="J5373">
        <f>GC03/256.6</f>
        <v>0</v>
      </c>
      <c r="M5373" t="inlineStr">
        <is>
          <t>-256K98.7</t>
        </is>
      </c>
    </row>
    <row r="5374">
      <c r="A5374">
        <v>5373</v>
      </c>
      <c r="B5374">
        <f>GS91</f>
        <v>0</v>
      </c>
      <c r="C5374" t="inlineStr">
        <is>
          <t>+LS03</t>
        </is>
      </c>
      <c r="D5374" t="inlineStr">
        <is>
          <t>-256Q166.1</t>
        </is>
      </c>
      <c r="E5374" t="inlineStr">
        <is>
          <t>DILA-XHI22</t>
        </is>
      </c>
      <c r="F5374" t="inlineStr">
        <is>
          <t>DILA-XHI22</t>
        </is>
      </c>
      <c r="G5374" t="inlineStr">
        <is>
          <t>HILFSKONTAKTBLOCK</t>
        </is>
      </c>
      <c r="H5374" t="inlineStr">
        <is>
          <t>2S 2OE Last+Hilfssch. Cage</t>
        </is>
      </c>
      <c r="I5374">
        <v>404</v>
      </c>
      <c r="J5374">
        <f>GS91/256.5</f>
        <v>0</v>
      </c>
      <c r="M5374" t="inlineStr">
        <is>
          <t>-256Q166.1</t>
        </is>
      </c>
    </row>
    <row r="5375">
      <c r="A5375">
        <v>5374</v>
      </c>
      <c r="B5375">
        <f>GS91</f>
        <v>0</v>
      </c>
      <c r="C5375" t="inlineStr">
        <is>
          <t>+LS03</t>
        </is>
      </c>
      <c r="D5375" t="inlineStr">
        <is>
          <t>-256Q166.1</t>
        </is>
      </c>
      <c r="E5375" t="inlineStr">
        <is>
          <t>DILM-9-10</t>
        </is>
      </c>
      <c r="F5375" t="inlineStr">
        <is>
          <t>DILA-XHI22</t>
        </is>
      </c>
      <c r="G5375" t="inlineStr">
        <is>
          <t>LASTSCHUETZ</t>
        </is>
      </c>
      <c r="H5375" t="inlineStr">
        <is>
          <t>4kW 1S Federzugkl.</t>
        </is>
      </c>
      <c r="I5375">
        <v>404</v>
      </c>
      <c r="J5375">
        <f>GS91/256.5</f>
        <v>0</v>
      </c>
      <c r="M5375" t="inlineStr">
        <is>
          <t>-256Q166.1</t>
        </is>
      </c>
    </row>
    <row r="5376">
      <c r="A5376">
        <v>5375</v>
      </c>
      <c r="B5376">
        <f>GS91</f>
        <v>0</v>
      </c>
      <c r="C5376" t="inlineStr">
        <is>
          <t>+LS03</t>
        </is>
      </c>
      <c r="D5376" t="inlineStr">
        <is>
          <t>-256Q166.2</t>
        </is>
      </c>
      <c r="E5376" t="inlineStr">
        <is>
          <t>DILA-XHI22</t>
        </is>
      </c>
      <c r="F5376" t="inlineStr">
        <is>
          <t>DILA-XHI22</t>
        </is>
      </c>
      <c r="G5376" t="inlineStr">
        <is>
          <t>HILFSKONTAKTBLOCK</t>
        </is>
      </c>
      <c r="H5376" t="inlineStr">
        <is>
          <t>2S 2OE Last+Hilfssch. Cage</t>
        </is>
      </c>
      <c r="I5376">
        <v>404</v>
      </c>
      <c r="J5376">
        <f>GS91/256.6</f>
        <v>0</v>
      </c>
      <c r="M5376" t="inlineStr">
        <is>
          <t>-256Q166.2</t>
        </is>
      </c>
    </row>
    <row r="5377">
      <c r="A5377">
        <v>5376</v>
      </c>
      <c r="B5377">
        <f>GS91</f>
        <v>0</v>
      </c>
      <c r="C5377" t="inlineStr">
        <is>
          <t>+LS03</t>
        </is>
      </c>
      <c r="D5377" t="inlineStr">
        <is>
          <t>-256Q166.2</t>
        </is>
      </c>
      <c r="E5377" t="inlineStr">
        <is>
          <t>DILM-9-10</t>
        </is>
      </c>
      <c r="F5377" t="inlineStr">
        <is>
          <t>DILA-XHI22</t>
        </is>
      </c>
      <c r="G5377" t="inlineStr">
        <is>
          <t>LASTSCHUETZ</t>
        </is>
      </c>
      <c r="H5377" t="inlineStr">
        <is>
          <t>4kW 1S Federzugkl.</t>
        </is>
      </c>
      <c r="I5377">
        <v>404</v>
      </c>
      <c r="J5377">
        <f>GS91/256.6</f>
        <v>0</v>
      </c>
      <c r="M5377" t="inlineStr">
        <is>
          <t>-256Q166.2</t>
        </is>
      </c>
    </row>
    <row r="5378">
      <c r="A5378">
        <v>5377</v>
      </c>
      <c r="B5378">
        <f>GS92</f>
        <v>0</v>
      </c>
      <c r="C5378" t="inlineStr">
        <is>
          <t>+LS03</t>
        </is>
      </c>
      <c r="D5378" t="inlineStr">
        <is>
          <t>-256Q178.2</t>
        </is>
      </c>
      <c r="E5378" t="inlineStr">
        <is>
          <t>DILM-9-10</t>
        </is>
      </c>
      <c r="F5378" t="inlineStr">
        <is>
          <t>#KALK!</t>
        </is>
      </c>
      <c r="G5378" t="inlineStr">
        <is>
          <t>LASTSCHUETZ</t>
        </is>
      </c>
      <c r="H5378" t="inlineStr">
        <is>
          <t>4kW 1S Federzugkl.</t>
        </is>
      </c>
      <c r="I5378">
        <v>402</v>
      </c>
      <c r="J5378">
        <f>GS92/256.5</f>
        <v>0</v>
      </c>
      <c r="M5378" t="inlineStr">
        <is>
          <t>-256Q178.2</t>
        </is>
      </c>
    </row>
    <row r="5379">
      <c r="A5379">
        <v>5378</v>
      </c>
      <c r="B5379">
        <f>GS93</f>
        <v>0</v>
      </c>
      <c r="C5379" t="inlineStr">
        <is>
          <t>+LS03</t>
        </is>
      </c>
      <c r="D5379" t="inlineStr">
        <is>
          <t>-256Q178.2</t>
        </is>
      </c>
      <c r="E5379" t="inlineStr">
        <is>
          <t>DILM-9-10</t>
        </is>
      </c>
      <c r="F5379" t="inlineStr">
        <is>
          <t>#KALK!</t>
        </is>
      </c>
      <c r="G5379" t="inlineStr">
        <is>
          <t>LASTSCHUETZ</t>
        </is>
      </c>
      <c r="H5379" t="inlineStr">
        <is>
          <t>4kW 1S Federzugkl.</t>
        </is>
      </c>
      <c r="I5379">
        <v>810</v>
      </c>
      <c r="J5379">
        <f>GS93/256.5</f>
        <v>0</v>
      </c>
      <c r="M5379" t="inlineStr">
        <is>
          <t>-256Q178.2</t>
        </is>
      </c>
    </row>
    <row r="5380">
      <c r="A5380">
        <v>5379</v>
      </c>
      <c r="B5380">
        <f>GS35</f>
        <v>0</v>
      </c>
      <c r="C5380" t="inlineStr">
        <is>
          <t>+LS05</t>
        </is>
      </c>
      <c r="D5380" t="inlineStr">
        <is>
          <t>-256Q423.6</t>
        </is>
      </c>
      <c r="E5380" t="inlineStr">
        <is>
          <t>DILM-9-10</t>
        </is>
      </c>
      <c r="F5380" t="inlineStr">
        <is>
          <t>#KALK!</t>
        </is>
      </c>
      <c r="G5380" t="inlineStr">
        <is>
          <t>LASTSCHUETZ</t>
        </is>
      </c>
      <c r="H5380" t="inlineStr">
        <is>
          <t>4kW 1S Federzugkl.</t>
        </is>
      </c>
      <c r="I5380">
        <v>410</v>
      </c>
      <c r="J5380">
        <f>GS35/256.6</f>
        <v>0</v>
      </c>
      <c r="M5380" t="inlineStr">
        <is>
          <t>-256Q423.6</t>
        </is>
      </c>
    </row>
    <row r="5381">
      <c r="A5381">
        <v>5380</v>
      </c>
      <c r="B5381">
        <f>GS34</f>
        <v>0</v>
      </c>
      <c r="C5381" t="inlineStr">
        <is>
          <t>+LS5</t>
        </is>
      </c>
      <c r="D5381" t="inlineStr">
        <is>
          <t>-257K3505.0</t>
        </is>
      </c>
      <c r="E5381" t="inlineStr">
        <is>
          <t>DIL_EM-10-G</t>
        </is>
      </c>
      <c r="F5381" t="inlineStr">
        <is>
          <t>#KALK!</t>
        </is>
      </c>
      <c r="G5381" t="inlineStr">
        <is>
          <t>LASTSCHUETZ</t>
        </is>
      </c>
      <c r="H5381" t="inlineStr">
        <is>
          <t>4kW 1S</t>
        </is>
      </c>
      <c r="I5381">
        <v>381</v>
      </c>
      <c r="J5381">
        <f>GS34/257.6</f>
        <v>0</v>
      </c>
      <c r="M5381" t="inlineStr">
        <is>
          <t>-257K3505.0</t>
        </is>
      </c>
    </row>
    <row r="5382">
      <c r="A5382">
        <v>5381</v>
      </c>
      <c r="B5382">
        <f>GS34</f>
        <v>0</v>
      </c>
      <c r="C5382" t="inlineStr">
        <is>
          <t>+LS5</t>
        </is>
      </c>
      <c r="D5382" t="inlineStr">
        <is>
          <t>-257K3505.5</t>
        </is>
      </c>
      <c r="E5382" t="inlineStr">
        <is>
          <t>DIL_EM-10-G</t>
        </is>
      </c>
      <c r="F5382" t="inlineStr">
        <is>
          <t>#KALK!</t>
        </is>
      </c>
      <c r="G5382" t="inlineStr">
        <is>
          <t>LASTSCHUETZ</t>
        </is>
      </c>
      <c r="H5382" t="inlineStr">
        <is>
          <t>4kW 1S</t>
        </is>
      </c>
      <c r="I5382">
        <v>381</v>
      </c>
      <c r="J5382">
        <f>GS34/257.6</f>
        <v>0</v>
      </c>
      <c r="M5382" t="inlineStr">
        <is>
          <t>-257K3505.5</t>
        </is>
      </c>
    </row>
    <row r="5383">
      <c r="A5383">
        <v>5382</v>
      </c>
      <c r="B5383">
        <f>GS33</f>
        <v>0</v>
      </c>
      <c r="C5383" t="inlineStr">
        <is>
          <t>+LS5</t>
        </is>
      </c>
      <c r="D5383" t="inlineStr">
        <is>
          <t>-257K37.7</t>
        </is>
      </c>
      <c r="E5383" t="inlineStr">
        <is>
          <t>DIL_EM-10-G</t>
        </is>
      </c>
      <c r="F5383" t="inlineStr">
        <is>
          <t>#KALK!</t>
        </is>
      </c>
      <c r="G5383" t="inlineStr">
        <is>
          <t>LASTSCHUETZ</t>
        </is>
      </c>
      <c r="H5383" t="inlineStr">
        <is>
          <t>4kW 1S</t>
        </is>
      </c>
      <c r="I5383">
        <v>704</v>
      </c>
      <c r="J5383">
        <f>GS33/257.7</f>
        <v>0</v>
      </c>
      <c r="M5383" t="inlineStr">
        <is>
          <t>-257K37.7</t>
        </is>
      </c>
    </row>
    <row r="5384">
      <c r="A5384">
        <v>5383</v>
      </c>
      <c r="B5384">
        <f>GS02</f>
        <v>0</v>
      </c>
      <c r="C5384" t="inlineStr">
        <is>
          <t>+LS4</t>
        </is>
      </c>
      <c r="D5384" t="inlineStr">
        <is>
          <t>-257K43.6</t>
        </is>
      </c>
      <c r="E5384" t="inlineStr">
        <is>
          <t>DIL_EM-10-G</t>
        </is>
      </c>
      <c r="F5384" t="inlineStr">
        <is>
          <t>#KALK!</t>
        </is>
      </c>
      <c r="G5384" t="inlineStr">
        <is>
          <t>LASTSCHUETZ</t>
        </is>
      </c>
      <c r="H5384" t="inlineStr">
        <is>
          <t>4kW 1S</t>
        </is>
      </c>
      <c r="I5384">
        <v>662</v>
      </c>
      <c r="J5384">
        <f>GS02/257.6</f>
        <v>0</v>
      </c>
      <c r="M5384" t="inlineStr">
        <is>
          <t>-257K43.6</t>
        </is>
      </c>
    </row>
    <row r="5385">
      <c r="A5385">
        <v>5384</v>
      </c>
      <c r="B5385">
        <f>GS02</f>
        <v>0</v>
      </c>
      <c r="C5385" t="inlineStr">
        <is>
          <t>+LS4</t>
        </is>
      </c>
      <c r="D5385" t="inlineStr">
        <is>
          <t>-257K43.7</t>
        </is>
      </c>
      <c r="E5385" t="inlineStr">
        <is>
          <t>DIL_EM-10-G</t>
        </is>
      </c>
      <c r="F5385" t="inlineStr">
        <is>
          <t>#KALK!</t>
        </is>
      </c>
      <c r="G5385" t="inlineStr">
        <is>
          <t>LASTSCHUETZ</t>
        </is>
      </c>
      <c r="H5385" t="inlineStr">
        <is>
          <t>4kW 1S</t>
        </is>
      </c>
      <c r="I5385">
        <v>662</v>
      </c>
      <c r="J5385">
        <f>GS02/257.6</f>
        <v>0</v>
      </c>
      <c r="M5385" t="inlineStr">
        <is>
          <t>-257K43.7</t>
        </is>
      </c>
    </row>
    <row r="5386">
      <c r="A5386">
        <v>5385</v>
      </c>
      <c r="B5386">
        <f>GS32</f>
        <v>0</v>
      </c>
      <c r="C5386" t="inlineStr">
        <is>
          <t>+LS6</t>
        </is>
      </c>
      <c r="D5386" t="inlineStr">
        <is>
          <t>-257K55.5</t>
        </is>
      </c>
      <c r="E5386" t="inlineStr">
        <is>
          <t>DIL_EM-10-G</t>
        </is>
      </c>
      <c r="F5386" t="inlineStr">
        <is>
          <t>#KALK!</t>
        </is>
      </c>
      <c r="G5386" t="inlineStr">
        <is>
          <t>LASTSCHUETZ</t>
        </is>
      </c>
      <c r="H5386" t="inlineStr">
        <is>
          <t>4kW 1S</t>
        </is>
      </c>
      <c r="I5386">
        <v>1330</v>
      </c>
      <c r="J5386">
        <f>GS32/257.6</f>
        <v>0</v>
      </c>
      <c r="M5386" t="inlineStr">
        <is>
          <t>-257K55.5</t>
        </is>
      </c>
    </row>
    <row r="5387">
      <c r="A5387">
        <v>5386</v>
      </c>
      <c r="B5387">
        <f>GC03</f>
        <v>0</v>
      </c>
      <c r="C5387" t="inlineStr">
        <is>
          <t>+LS6</t>
        </is>
      </c>
      <c r="D5387" t="inlineStr">
        <is>
          <t>-257K99.0</t>
        </is>
      </c>
      <c r="E5387" t="inlineStr">
        <is>
          <t>DIL_EM-10-G</t>
        </is>
      </c>
      <c r="F5387" t="inlineStr">
        <is>
          <t>#KALK!</t>
        </is>
      </c>
      <c r="G5387" t="inlineStr">
        <is>
          <t>LASTSCHUETZ</t>
        </is>
      </c>
      <c r="H5387" t="inlineStr">
        <is>
          <t>4kW 1S</t>
        </is>
      </c>
      <c r="I5387">
        <v>2681</v>
      </c>
      <c r="J5387">
        <f>GC03/257.6</f>
        <v>0</v>
      </c>
      <c r="M5387" t="inlineStr">
        <is>
          <t>-257K99.0</t>
        </is>
      </c>
    </row>
    <row r="5388">
      <c r="A5388">
        <v>5387</v>
      </c>
      <c r="B5388">
        <f>GC03</f>
        <v>0</v>
      </c>
      <c r="C5388" t="inlineStr">
        <is>
          <t>+LS6</t>
        </is>
      </c>
      <c r="D5388" t="inlineStr">
        <is>
          <t>-257K99.1</t>
        </is>
      </c>
      <c r="E5388" t="inlineStr">
        <is>
          <t>DIL_EM-10-G</t>
        </is>
      </c>
      <c r="F5388" t="inlineStr">
        <is>
          <t>#KALK!</t>
        </is>
      </c>
      <c r="G5388" t="inlineStr">
        <is>
          <t>LASTSCHUETZ</t>
        </is>
      </c>
      <c r="H5388" t="inlineStr">
        <is>
          <t>4kW 1S</t>
        </is>
      </c>
      <c r="I5388">
        <v>2681</v>
      </c>
      <c r="J5388">
        <f>GC03/257.6</f>
        <v>0</v>
      </c>
      <c r="M5388" t="inlineStr">
        <is>
          <t>-257K99.1</t>
        </is>
      </c>
    </row>
    <row r="5389">
      <c r="A5389">
        <v>5388</v>
      </c>
      <c r="B5389">
        <f>GS79</f>
        <v>0</v>
      </c>
      <c r="C5389" t="inlineStr">
        <is>
          <t>+LS[l1]</t>
        </is>
      </c>
      <c r="D5389" t="inlineStr">
        <is>
          <t>-257Q1</t>
        </is>
      </c>
      <c r="E5389" t="inlineStr">
        <is>
          <t>DILA-XHI22</t>
        </is>
      </c>
      <c r="F5389" t="inlineStr">
        <is>
          <t>#ÜBERLAUF!</t>
        </is>
      </c>
      <c r="G5389" t="inlineStr">
        <is>
          <t>HILFSKONTAKTBLOCK</t>
        </is>
      </c>
      <c r="H5389" t="inlineStr">
        <is>
          <t>2S 2OE Last+Hilfssch. Cage</t>
        </is>
      </c>
      <c r="I5389">
        <v>148</v>
      </c>
      <c r="J5389">
        <f>GS79/257.7</f>
        <v>0</v>
      </c>
      <c r="K5389" t="inlineStr">
        <is>
          <t>DIL MC25</t>
        </is>
      </c>
      <c r="M5389" t="inlineStr">
        <is>
          <t>-257Q1</t>
        </is>
      </c>
    </row>
    <row r="5390">
      <c r="A5390">
        <v>5389</v>
      </c>
      <c r="B5390">
        <f>GS79</f>
        <v>0</v>
      </c>
      <c r="C5390" t="inlineStr">
        <is>
          <t>+LS[l1]</t>
        </is>
      </c>
      <c r="D5390" t="inlineStr">
        <is>
          <t>-257Q1</t>
        </is>
      </c>
      <c r="E5390" t="inlineStr">
        <is>
          <t>DILA-XHI22</t>
        </is>
      </c>
      <c r="F5390" t="inlineStr">
        <is>
          <t>#ÜBERLAUF!</t>
        </is>
      </c>
      <c r="G5390" t="inlineStr">
        <is>
          <t>HILFSKONTAKTBLOCK</t>
        </is>
      </c>
      <c r="H5390" t="inlineStr">
        <is>
          <t>2S 2OE Last+Hilfssch. Cage</t>
        </is>
      </c>
      <c r="I5390">
        <v>229</v>
      </c>
      <c r="J5390">
        <f>GS79/257.7</f>
        <v>0</v>
      </c>
      <c r="K5390" t="inlineStr">
        <is>
          <t>DIL MC25</t>
        </is>
      </c>
      <c r="M5390" t="inlineStr">
        <is>
          <t>-257Q1</t>
        </is>
      </c>
    </row>
    <row r="5391">
      <c r="A5391">
        <v>5390</v>
      </c>
      <c r="B5391">
        <f>GS79</f>
        <v>0</v>
      </c>
      <c r="C5391" t="inlineStr">
        <is>
          <t>+LS[l1]</t>
        </is>
      </c>
      <c r="D5391" t="inlineStr">
        <is>
          <t>-257Q1</t>
        </is>
      </c>
      <c r="E5391" t="inlineStr">
        <is>
          <t>DILMC25-10(RDC24)</t>
        </is>
      </c>
      <c r="F5391" t="inlineStr">
        <is>
          <t>#ÜBERLAUF!</t>
        </is>
      </c>
      <c r="G5391" t="inlineStr">
        <is>
          <t>LASTSCHUETZ</t>
        </is>
      </c>
      <c r="H5391" t="inlineStr">
        <is>
          <t>11kW 1S Federzugkl.</t>
        </is>
      </c>
      <c r="I5391">
        <v>229</v>
      </c>
      <c r="J5391">
        <f>GS79/257.7</f>
        <v>0</v>
      </c>
      <c r="K5391" t="inlineStr">
        <is>
          <t>DIL MC25</t>
        </is>
      </c>
      <c r="M5391" t="inlineStr">
        <is>
          <t>-257Q1</t>
        </is>
      </c>
    </row>
    <row r="5392">
      <c r="A5392">
        <v>5391</v>
      </c>
      <c r="B5392">
        <f>GS79</f>
        <v>0</v>
      </c>
      <c r="C5392" t="inlineStr">
        <is>
          <t>+LS[l1]</t>
        </is>
      </c>
      <c r="D5392" t="inlineStr">
        <is>
          <t>-257Q1</t>
        </is>
      </c>
      <c r="E5392" t="inlineStr">
        <is>
          <t>DILMC25-10(RDC24)</t>
        </is>
      </c>
      <c r="F5392" t="inlineStr">
        <is>
          <t>#ÜBERLAUF!</t>
        </is>
      </c>
      <c r="G5392" t="inlineStr">
        <is>
          <t>LASTSCHUETZ</t>
        </is>
      </c>
      <c r="H5392" t="inlineStr">
        <is>
          <t>11kW 1S Federzugkl.</t>
        </is>
      </c>
      <c r="I5392">
        <v>148</v>
      </c>
      <c r="J5392">
        <f>GS79/257.7</f>
        <v>0</v>
      </c>
      <c r="K5392" t="inlineStr">
        <is>
          <t>DIL MC25</t>
        </is>
      </c>
      <c r="M5392" t="inlineStr">
        <is>
          <t>-257Q1</t>
        </is>
      </c>
    </row>
    <row r="5393">
      <c r="A5393">
        <v>5392</v>
      </c>
      <c r="B5393">
        <f>GS51</f>
        <v>0</v>
      </c>
      <c r="C5393" t="inlineStr">
        <is>
          <t>+LS03</t>
        </is>
      </c>
      <c r="D5393" t="inlineStr">
        <is>
          <t>-257Q128.2</t>
        </is>
      </c>
      <c r="E5393" t="inlineStr">
        <is>
          <t>DILM-9-10</t>
        </is>
      </c>
      <c r="F5393" t="inlineStr">
        <is>
          <t>#KALK!</t>
        </is>
      </c>
      <c r="G5393" t="inlineStr">
        <is>
          <t>LASTSCHUETZ</t>
        </is>
      </c>
      <c r="H5393" t="inlineStr">
        <is>
          <t>4kW 1S Federzugkl.</t>
        </is>
      </c>
      <c r="I5393">
        <v>442</v>
      </c>
      <c r="J5393">
        <f>GS51/257.6</f>
        <v>0</v>
      </c>
      <c r="K5393" t="inlineStr">
        <is>
          <t>DIL MC9</t>
        </is>
      </c>
      <c r="M5393" t="inlineStr">
        <is>
          <t>-257Q128.2</t>
        </is>
      </c>
    </row>
    <row r="5394">
      <c r="A5394">
        <v>5393</v>
      </c>
      <c r="B5394">
        <f>GS55</f>
        <v>0</v>
      </c>
      <c r="C5394" t="inlineStr">
        <is>
          <t>+LS03</t>
        </is>
      </c>
      <c r="D5394" t="inlineStr">
        <is>
          <t>-257Q130.2</t>
        </is>
      </c>
      <c r="E5394" t="inlineStr">
        <is>
          <t>DILM-9-10</t>
        </is>
      </c>
      <c r="F5394" t="inlineStr">
        <is>
          <t>#KALK!</t>
        </is>
      </c>
      <c r="G5394" t="inlineStr">
        <is>
          <t>LASTSCHUETZ</t>
        </is>
      </c>
      <c r="H5394" t="inlineStr">
        <is>
          <t>4kW 1S Federzugkl.</t>
        </is>
      </c>
      <c r="I5394">
        <v>529</v>
      </c>
      <c r="J5394">
        <f>GS55/257.6</f>
        <v>0</v>
      </c>
      <c r="K5394" t="inlineStr">
        <is>
          <t>DIL MC9</t>
        </is>
      </c>
      <c r="M5394" t="inlineStr">
        <is>
          <t>-257Q130.2</t>
        </is>
      </c>
    </row>
    <row r="5395">
      <c r="A5395">
        <v>5394</v>
      </c>
      <c r="B5395">
        <f>GS91</f>
        <v>0</v>
      </c>
      <c r="C5395" t="inlineStr">
        <is>
          <t>+LS03</t>
        </is>
      </c>
      <c r="D5395" t="inlineStr">
        <is>
          <t>-257Q166.3</t>
        </is>
      </c>
      <c r="E5395" t="inlineStr">
        <is>
          <t>DILM-9-10</t>
        </is>
      </c>
      <c r="F5395" t="inlineStr">
        <is>
          <t>#KALK!</t>
        </is>
      </c>
      <c r="G5395" t="inlineStr">
        <is>
          <t>LASTSCHUETZ</t>
        </is>
      </c>
      <c r="H5395" t="inlineStr">
        <is>
          <t>4kW 1S Federzugkl.</t>
        </is>
      </c>
      <c r="I5395">
        <v>405</v>
      </c>
      <c r="J5395">
        <f>GS91/257.5</f>
        <v>0</v>
      </c>
      <c r="M5395" t="inlineStr">
        <is>
          <t>-257Q166.3</t>
        </is>
      </c>
    </row>
    <row r="5396">
      <c r="A5396">
        <v>5395</v>
      </c>
      <c r="B5396">
        <f>GS90</f>
        <v>0</v>
      </c>
      <c r="C5396" t="inlineStr">
        <is>
          <t>+LS04</t>
        </is>
      </c>
      <c r="D5396" t="inlineStr">
        <is>
          <t>-257Q170.5</t>
        </is>
      </c>
      <c r="E5396" t="inlineStr">
        <is>
          <t>DILM-9-10</t>
        </is>
      </c>
      <c r="F5396" t="inlineStr">
        <is>
          <t>#KALK!</t>
        </is>
      </c>
      <c r="G5396" t="inlineStr">
        <is>
          <t>LASTSCHUETZ</t>
        </is>
      </c>
      <c r="H5396" t="inlineStr">
        <is>
          <t>4kW 1S Federzugkl.</t>
        </is>
      </c>
      <c r="I5396">
        <v>983</v>
      </c>
      <c r="J5396">
        <f>GS90/257.5</f>
        <v>0</v>
      </c>
      <c r="M5396" t="inlineStr">
        <is>
          <t>-257Q170.5</t>
        </is>
      </c>
    </row>
    <row r="5397">
      <c r="A5397">
        <v>5396</v>
      </c>
      <c r="B5397">
        <f>GS92</f>
        <v>0</v>
      </c>
      <c r="C5397" t="inlineStr">
        <is>
          <t>+LS03</t>
        </is>
      </c>
      <c r="D5397" t="inlineStr">
        <is>
          <t>-257Q178.3</t>
        </is>
      </c>
      <c r="E5397" t="inlineStr">
        <is>
          <t>DILM-9-10</t>
        </is>
      </c>
      <c r="F5397" t="inlineStr">
        <is>
          <t>#KALK!</t>
        </is>
      </c>
      <c r="G5397" t="inlineStr">
        <is>
          <t>LASTSCHUETZ</t>
        </is>
      </c>
      <c r="H5397" t="inlineStr">
        <is>
          <t>4kW 1S Federzugkl.</t>
        </is>
      </c>
      <c r="I5397">
        <v>403</v>
      </c>
      <c r="J5397">
        <f>GS92/257.5</f>
        <v>0</v>
      </c>
      <c r="M5397" t="inlineStr">
        <is>
          <t>-257Q178.3</t>
        </is>
      </c>
    </row>
    <row r="5398">
      <c r="A5398">
        <v>5397</v>
      </c>
      <c r="B5398">
        <f>GS93</f>
        <v>0</v>
      </c>
      <c r="C5398" t="inlineStr">
        <is>
          <t>+LS03</t>
        </is>
      </c>
      <c r="D5398" t="inlineStr">
        <is>
          <t>-257Q178.3</t>
        </is>
      </c>
      <c r="E5398" t="inlineStr">
        <is>
          <t>DILM-9-10</t>
        </is>
      </c>
      <c r="F5398" t="inlineStr">
        <is>
          <t>#KALK!</t>
        </is>
      </c>
      <c r="G5398" t="inlineStr">
        <is>
          <t>LASTSCHUETZ</t>
        </is>
      </c>
      <c r="H5398" t="inlineStr">
        <is>
          <t>4kW 1S Federzugkl.</t>
        </is>
      </c>
      <c r="I5398">
        <v>811</v>
      </c>
      <c r="J5398">
        <f>GS93/257.5</f>
        <v>0</v>
      </c>
      <c r="M5398" t="inlineStr">
        <is>
          <t>-257Q178.3</t>
        </is>
      </c>
    </row>
    <row r="5399">
      <c r="A5399">
        <v>5398</v>
      </c>
      <c r="B5399">
        <f>GS13</f>
        <v>0</v>
      </c>
      <c r="C5399" t="inlineStr">
        <is>
          <t>+LS5</t>
        </is>
      </c>
      <c r="D5399" t="inlineStr">
        <is>
          <t>-25878.3</t>
        </is>
      </c>
      <c r="E5399" t="inlineStr">
        <is>
          <t>DIL_EM-10-G</t>
        </is>
      </c>
      <c r="F5399" t="inlineStr">
        <is>
          <t>#KALK!</t>
        </is>
      </c>
      <c r="G5399" t="inlineStr">
        <is>
          <t>LASTSCHUETZ</t>
        </is>
      </c>
      <c r="H5399" t="inlineStr">
        <is>
          <t>4kW 1S</t>
        </is>
      </c>
      <c r="I5399">
        <v>500</v>
      </c>
      <c r="J5399">
        <f>GS13/258.7</f>
        <v>0</v>
      </c>
      <c r="M5399" t="inlineStr">
        <is>
          <t>-25878.3</t>
        </is>
      </c>
    </row>
    <row r="5400">
      <c r="A5400">
        <v>5399</v>
      </c>
      <c r="B5400">
        <f>GC22</f>
        <v>0</v>
      </c>
      <c r="C5400" t="inlineStr">
        <is>
          <t>+LS3</t>
        </is>
      </c>
      <c r="D5400" t="inlineStr">
        <is>
          <t>-258K28.3</t>
        </is>
      </c>
      <c r="E5400" t="inlineStr">
        <is>
          <t>DIL_EM-10-G</t>
        </is>
      </c>
      <c r="F5400" t="inlineStr">
        <is>
          <t>#KALK!</t>
        </is>
      </c>
      <c r="G5400" t="inlineStr">
        <is>
          <t>LASTSCHUETZ</t>
        </is>
      </c>
      <c r="H5400" t="inlineStr">
        <is>
          <t>4kW 1S</t>
        </is>
      </c>
      <c r="I5400">
        <v>3388</v>
      </c>
      <c r="J5400">
        <f>GC22/258.7</f>
        <v>0</v>
      </c>
      <c r="M5400" t="inlineStr">
        <is>
          <t>-258K28.3</t>
        </is>
      </c>
    </row>
    <row r="5401">
      <c r="A5401">
        <v>5400</v>
      </c>
      <c r="B5401">
        <f>GS12</f>
        <v>0</v>
      </c>
      <c r="C5401" t="inlineStr">
        <is>
          <t>+LS3</t>
        </is>
      </c>
      <c r="D5401" t="inlineStr">
        <is>
          <t>-258K28.3</t>
        </is>
      </c>
      <c r="E5401" t="inlineStr">
        <is>
          <t>DIL_EM-10-G</t>
        </is>
      </c>
      <c r="F5401" t="inlineStr">
        <is>
          <t>#KALK!</t>
        </is>
      </c>
      <c r="G5401" t="inlineStr">
        <is>
          <t>LASTSCHUETZ</t>
        </is>
      </c>
      <c r="H5401" t="inlineStr">
        <is>
          <t>4kW 1S</t>
        </is>
      </c>
      <c r="I5401">
        <v>390</v>
      </c>
      <c r="J5401">
        <f>GS12/258.7</f>
        <v>0</v>
      </c>
      <c r="M5401" t="inlineStr">
        <is>
          <t>-258K28.3</t>
        </is>
      </c>
    </row>
    <row r="5402">
      <c r="A5402">
        <v>5401</v>
      </c>
      <c r="B5402">
        <f>GS34</f>
        <v>0</v>
      </c>
      <c r="C5402" t="inlineStr">
        <is>
          <t>+LS5</t>
        </is>
      </c>
      <c r="D5402" t="inlineStr">
        <is>
          <t>-258K3505.4</t>
        </is>
      </c>
      <c r="E5402" t="inlineStr">
        <is>
          <t>DIL_EM-10-G</t>
        </is>
      </c>
      <c r="F5402" t="inlineStr">
        <is>
          <t>#KALK!</t>
        </is>
      </c>
      <c r="G5402" t="inlineStr">
        <is>
          <t>LASTSCHUETZ</t>
        </is>
      </c>
      <c r="H5402" t="inlineStr">
        <is>
          <t>4kW 1S</t>
        </is>
      </c>
      <c r="I5402">
        <v>382</v>
      </c>
      <c r="J5402">
        <f>GS34/258.7</f>
        <v>0</v>
      </c>
      <c r="M5402" t="inlineStr">
        <is>
          <t>-258K3505.4</t>
        </is>
      </c>
    </row>
    <row r="5403">
      <c r="A5403">
        <v>5402</v>
      </c>
      <c r="B5403">
        <f>GS33</f>
        <v>0</v>
      </c>
      <c r="C5403" t="inlineStr">
        <is>
          <t>+LS5</t>
        </is>
      </c>
      <c r="D5403" t="inlineStr">
        <is>
          <t>-258K38.3</t>
        </is>
      </c>
      <c r="E5403" t="inlineStr">
        <is>
          <t>DIL_EM-10-G</t>
        </is>
      </c>
      <c r="F5403" t="inlineStr">
        <is>
          <t>#KALK!</t>
        </is>
      </c>
      <c r="G5403" t="inlineStr">
        <is>
          <t>LASTSCHUETZ</t>
        </is>
      </c>
      <c r="H5403" t="inlineStr">
        <is>
          <t>4kW 1S</t>
        </is>
      </c>
      <c r="I5403">
        <v>705</v>
      </c>
      <c r="J5403">
        <f>GS33/258.7</f>
        <v>0</v>
      </c>
      <c r="M5403" t="inlineStr">
        <is>
          <t>-258K38.3</t>
        </is>
      </c>
    </row>
    <row r="5404">
      <c r="A5404">
        <v>5403</v>
      </c>
      <c r="B5404">
        <f>GS32</f>
        <v>0</v>
      </c>
      <c r="C5404" t="inlineStr">
        <is>
          <t>+LS6</t>
        </is>
      </c>
      <c r="D5404" t="inlineStr">
        <is>
          <t>-258K56.1</t>
        </is>
      </c>
      <c r="E5404" t="inlineStr">
        <is>
          <t>DIL_EM-10-G</t>
        </is>
      </c>
      <c r="F5404" t="inlineStr">
        <is>
          <t>#KALK!</t>
        </is>
      </c>
      <c r="G5404" t="inlineStr">
        <is>
          <t>LASTSCHUETZ</t>
        </is>
      </c>
      <c r="H5404" t="inlineStr">
        <is>
          <t>4kW 1S</t>
        </is>
      </c>
      <c r="I5404">
        <v>1381</v>
      </c>
      <c r="J5404">
        <f>GS32/258.7</f>
        <v>0</v>
      </c>
      <c r="M5404" t="inlineStr">
        <is>
          <t>-258K56.1</t>
        </is>
      </c>
    </row>
    <row r="5405">
      <c r="A5405">
        <v>5404</v>
      </c>
      <c r="B5405">
        <f>GS23</f>
        <v>0</v>
      </c>
      <c r="C5405" t="inlineStr">
        <is>
          <t>+LS5</t>
        </is>
      </c>
      <c r="D5405" t="inlineStr">
        <is>
          <t>-258K78.3</t>
        </is>
      </c>
      <c r="E5405" t="inlineStr">
        <is>
          <t>DIL_EM-10-G</t>
        </is>
      </c>
      <c r="F5405" t="inlineStr">
        <is>
          <t>#KALK!</t>
        </is>
      </c>
      <c r="G5405" t="inlineStr">
        <is>
          <t>LASTSCHUETZ</t>
        </is>
      </c>
      <c r="H5405" t="inlineStr">
        <is>
          <t>4kW 1S</t>
        </is>
      </c>
      <c r="I5405">
        <v>559</v>
      </c>
      <c r="J5405">
        <f>GS23/258.7</f>
        <v>0</v>
      </c>
      <c r="M5405" t="inlineStr">
        <is>
          <t>-258K78.3</t>
        </is>
      </c>
    </row>
    <row r="5406">
      <c r="A5406">
        <v>5405</v>
      </c>
      <c r="B5406">
        <f>GS15</f>
        <v>0</v>
      </c>
      <c r="C5406" t="inlineStr">
        <is>
          <t>+LS5</t>
        </is>
      </c>
      <c r="D5406" t="inlineStr">
        <is>
          <t>-258K82.7</t>
        </is>
      </c>
      <c r="E5406" t="inlineStr">
        <is>
          <t>DIL_EM-10-G</t>
        </is>
      </c>
      <c r="F5406" t="inlineStr">
        <is>
          <t>#KALK!</t>
        </is>
      </c>
      <c r="G5406" t="inlineStr">
        <is>
          <t>LASTSCHUETZ</t>
        </is>
      </c>
      <c r="H5406" t="inlineStr">
        <is>
          <t>4kW 1S</t>
        </is>
      </c>
      <c r="I5406">
        <v>752</v>
      </c>
      <c r="J5406">
        <f>GS15/258.5</f>
        <v>0</v>
      </c>
      <c r="M5406" t="inlineStr">
        <is>
          <t>-258K82.7</t>
        </is>
      </c>
    </row>
    <row r="5407">
      <c r="A5407">
        <v>5406</v>
      </c>
      <c r="B5407">
        <f>GS15</f>
        <v>0</v>
      </c>
      <c r="C5407" t="inlineStr">
        <is>
          <t>+LS5</t>
        </is>
      </c>
      <c r="D5407" t="inlineStr">
        <is>
          <t>-258K83.0</t>
        </is>
      </c>
      <c r="E5407" t="inlineStr">
        <is>
          <t>DIL_EM-10-G</t>
        </is>
      </c>
      <c r="F5407" t="inlineStr">
        <is>
          <t>#KALK!</t>
        </is>
      </c>
      <c r="G5407" t="inlineStr">
        <is>
          <t>LASTSCHUETZ</t>
        </is>
      </c>
      <c r="H5407" t="inlineStr">
        <is>
          <t>4kW 1S</t>
        </is>
      </c>
      <c r="I5407">
        <v>752</v>
      </c>
      <c r="J5407">
        <f>GS15/258.6</f>
        <v>0</v>
      </c>
      <c r="M5407" t="inlineStr">
        <is>
          <t>-258K83.0</t>
        </is>
      </c>
    </row>
    <row r="5408">
      <c r="A5408">
        <v>5407</v>
      </c>
      <c r="B5408">
        <f>GS15</f>
        <v>0</v>
      </c>
      <c r="C5408" t="inlineStr">
        <is>
          <t>+LS5</t>
        </is>
      </c>
      <c r="D5408" t="inlineStr">
        <is>
          <t>-258K83.1</t>
        </is>
      </c>
      <c r="E5408" t="inlineStr">
        <is>
          <t>DIL_EM-01-G</t>
        </is>
      </c>
      <c r="F5408" t="inlineStr">
        <is>
          <t>#KALK!</t>
        </is>
      </c>
      <c r="G5408" t="inlineStr">
        <is>
          <t>LASTSCHUETZ</t>
        </is>
      </c>
      <c r="H5408" t="inlineStr">
        <is>
          <t>4kW 1OE</t>
        </is>
      </c>
      <c r="I5408">
        <v>752</v>
      </c>
      <c r="J5408">
        <f>GS15/258.7</f>
        <v>0</v>
      </c>
      <c r="M5408" t="inlineStr">
        <is>
          <t>-258K83.1</t>
        </is>
      </c>
    </row>
    <row r="5409">
      <c r="A5409">
        <v>5408</v>
      </c>
      <c r="B5409">
        <f>GS15</f>
        <v>0</v>
      </c>
      <c r="C5409" t="inlineStr">
        <is>
          <t>+LS5</t>
        </is>
      </c>
      <c r="D5409" t="inlineStr">
        <is>
          <t>-258K83.2</t>
        </is>
      </c>
      <c r="E5409" t="inlineStr">
        <is>
          <t>DIL_EM-01-G</t>
        </is>
      </c>
      <c r="F5409" t="inlineStr">
        <is>
          <t>#KALK!</t>
        </is>
      </c>
      <c r="G5409" t="inlineStr">
        <is>
          <t>LASTSCHUETZ</t>
        </is>
      </c>
      <c r="H5409" t="inlineStr">
        <is>
          <t>4kW 1OE</t>
        </is>
      </c>
      <c r="I5409">
        <v>752</v>
      </c>
      <c r="J5409">
        <f>GS15/258.8</f>
        <v>0</v>
      </c>
      <c r="M5409" t="inlineStr">
        <is>
          <t>-258K83.2</t>
        </is>
      </c>
    </row>
    <row r="5410">
      <c r="A5410">
        <v>5409</v>
      </c>
      <c r="B5410">
        <f>GC03</f>
        <v>0</v>
      </c>
      <c r="C5410" t="inlineStr">
        <is>
          <t>+LS6</t>
        </is>
      </c>
      <c r="D5410" t="inlineStr">
        <is>
          <t>-258K99.5</t>
        </is>
      </c>
      <c r="E5410" t="inlineStr">
        <is>
          <t>DIL_EM-10-G</t>
        </is>
      </c>
      <c r="F5410" t="inlineStr">
        <is>
          <t>#KALK!</t>
        </is>
      </c>
      <c r="G5410" t="inlineStr">
        <is>
          <t>LASTSCHUETZ</t>
        </is>
      </c>
      <c r="H5410" t="inlineStr">
        <is>
          <t>4kW 1S</t>
        </is>
      </c>
      <c r="I5410">
        <v>2230</v>
      </c>
      <c r="J5410">
        <f>GC03/258.7</f>
        <v>0</v>
      </c>
      <c r="M5410" t="inlineStr">
        <is>
          <t>-258K99.5</t>
        </is>
      </c>
    </row>
    <row r="5411">
      <c r="A5411">
        <v>5410</v>
      </c>
      <c r="B5411">
        <f>GS36</f>
        <v>0</v>
      </c>
      <c r="C5411" t="inlineStr">
        <is>
          <t>+LS05</t>
        </is>
      </c>
      <c r="D5411" t="inlineStr">
        <is>
          <t>-272Q170.2</t>
        </is>
      </c>
      <c r="E5411" t="inlineStr">
        <is>
          <t>DILMC12-10(24VDC)</t>
        </is>
      </c>
      <c r="F5411" t="inlineStr">
        <is>
          <t>#KALK!</t>
        </is>
      </c>
      <c r="G5411" t="inlineStr">
        <is>
          <t>LASTSCHUETZ</t>
        </is>
      </c>
      <c r="H5411" t="inlineStr">
        <is>
          <t>5,5kW 1S Federzugkl.</t>
        </is>
      </c>
      <c r="I5411">
        <v>445</v>
      </c>
      <c r="J5411">
        <f>GS36/272.5</f>
        <v>0</v>
      </c>
      <c r="K5411" t="inlineStr">
        <is>
          <t>DIL MC12</t>
        </is>
      </c>
      <c r="L5411" t="inlineStr">
        <is>
          <t>HT_3301</t>
        </is>
      </c>
      <c r="M5411" t="inlineStr">
        <is>
          <t>HT_3301
-272Q170.2</t>
        </is>
      </c>
      <c r="N5411" t="inlineStr">
        <is>
          <t>P</t>
        </is>
      </c>
    </row>
    <row r="5412">
      <c r="A5412">
        <v>5411</v>
      </c>
      <c r="B5412">
        <f>GS91</f>
        <v>0</v>
      </c>
      <c r="C5412" t="inlineStr">
        <is>
          <t>+LS03</t>
        </is>
      </c>
      <c r="D5412" t="inlineStr">
        <is>
          <t>-258Q166.4</t>
        </is>
      </c>
      <c r="E5412" t="inlineStr">
        <is>
          <t>DILM-9-10</t>
        </is>
      </c>
      <c r="F5412" t="inlineStr">
        <is>
          <t>#KALK!</t>
        </is>
      </c>
      <c r="G5412" t="inlineStr">
        <is>
          <t>LASTSCHUETZ</t>
        </is>
      </c>
      <c r="H5412" t="inlineStr">
        <is>
          <t>4kW 1S Federzugkl.</t>
        </is>
      </c>
      <c r="I5412">
        <v>406</v>
      </c>
      <c r="J5412">
        <f>GS91/258.5</f>
        <v>0</v>
      </c>
      <c r="M5412" t="inlineStr">
        <is>
          <t>-258Q166.4</t>
        </is>
      </c>
    </row>
    <row r="5413">
      <c r="A5413">
        <v>5412</v>
      </c>
      <c r="B5413">
        <f>GS92</f>
        <v>0</v>
      </c>
      <c r="C5413" t="inlineStr">
        <is>
          <t>+LS03</t>
        </is>
      </c>
      <c r="D5413" t="inlineStr">
        <is>
          <t>-258Q178.4</t>
        </is>
      </c>
      <c r="E5413" t="inlineStr">
        <is>
          <t>DILM-9-10</t>
        </is>
      </c>
      <c r="F5413" t="inlineStr">
        <is>
          <t>#KALK!</t>
        </is>
      </c>
      <c r="G5413" t="inlineStr">
        <is>
          <t>LASTSCHUETZ</t>
        </is>
      </c>
      <c r="H5413" t="inlineStr">
        <is>
          <t>4kW 1S Federzugkl.</t>
        </is>
      </c>
      <c r="I5413">
        <v>404</v>
      </c>
      <c r="J5413">
        <f>GS92/258.5</f>
        <v>0</v>
      </c>
      <c r="M5413" t="inlineStr">
        <is>
          <t>-258Q178.4</t>
        </is>
      </c>
    </row>
    <row r="5414">
      <c r="A5414">
        <v>5413</v>
      </c>
      <c r="B5414">
        <f>GS93</f>
        <v>0</v>
      </c>
      <c r="C5414" t="inlineStr">
        <is>
          <t>+LS03</t>
        </is>
      </c>
      <c r="D5414" t="inlineStr">
        <is>
          <t>-258Q178.4</t>
        </is>
      </c>
      <c r="E5414" t="inlineStr">
        <is>
          <t>DILM-9-10</t>
        </is>
      </c>
      <c r="F5414" t="inlineStr">
        <is>
          <t>#KALK!</t>
        </is>
      </c>
      <c r="G5414" t="inlineStr">
        <is>
          <t>LASTSCHUETZ</t>
        </is>
      </c>
      <c r="H5414" t="inlineStr">
        <is>
          <t>4kW 1S Federzugkl.</t>
        </is>
      </c>
      <c r="I5414">
        <v>812</v>
      </c>
      <c r="J5414">
        <f>GS93/258.5</f>
        <v>0</v>
      </c>
      <c r="M5414" t="inlineStr">
        <is>
          <t>-258Q178.4</t>
        </is>
      </c>
    </row>
    <row r="5415">
      <c r="A5415">
        <v>5414</v>
      </c>
      <c r="B5415">
        <f>GS53</f>
        <v>0</v>
      </c>
      <c r="C5415" t="inlineStr">
        <is>
          <t>+LS11</t>
        </is>
      </c>
      <c r="D5415" t="inlineStr">
        <is>
          <t>-258Q403.2</t>
        </is>
      </c>
      <c r="E5415" t="inlineStr">
        <is>
          <t>DILM-9-10</t>
        </is>
      </c>
      <c r="F5415" t="inlineStr">
        <is>
          <t>#KALK!</t>
        </is>
      </c>
      <c r="G5415" t="inlineStr">
        <is>
          <t>LASTSCHUETZ</t>
        </is>
      </c>
      <c r="H5415" t="inlineStr">
        <is>
          <t>4kW 1S Federzugkl.</t>
        </is>
      </c>
      <c r="I5415">
        <v>379</v>
      </c>
      <c r="J5415">
        <f>GS53/258.6</f>
        <v>0</v>
      </c>
      <c r="K5415" t="inlineStr">
        <is>
          <t>DIL MC9</t>
        </is>
      </c>
      <c r="M5415" t="inlineStr">
        <is>
          <t>-258Q403.2</t>
        </is>
      </c>
    </row>
    <row r="5416">
      <c r="A5416">
        <v>5415</v>
      </c>
      <c r="B5416">
        <f>GS13</f>
        <v>0</v>
      </c>
      <c r="C5416" t="inlineStr">
        <is>
          <t>+LS5</t>
        </is>
      </c>
      <c r="D5416" t="inlineStr">
        <is>
          <t>-25978.4</t>
        </is>
      </c>
      <c r="E5416" t="inlineStr">
        <is>
          <t>DIL_EM-10-G</t>
        </is>
      </c>
      <c r="F5416" t="inlineStr">
        <is>
          <t>#KALK!</t>
        </is>
      </c>
      <c r="G5416" t="inlineStr">
        <is>
          <t>LASTSCHUETZ</t>
        </is>
      </c>
      <c r="H5416" t="inlineStr">
        <is>
          <t>4kW 1S</t>
        </is>
      </c>
      <c r="I5416">
        <v>501</v>
      </c>
      <c r="J5416">
        <f>GS13/259.6</f>
        <v>0</v>
      </c>
      <c r="M5416" t="inlineStr">
        <is>
          <t>-25978.4</t>
        </is>
      </c>
    </row>
    <row r="5417">
      <c r="A5417">
        <v>5416</v>
      </c>
      <c r="B5417">
        <f>GS13</f>
        <v>0</v>
      </c>
      <c r="C5417" t="inlineStr">
        <is>
          <t>+LS5</t>
        </is>
      </c>
      <c r="D5417" t="inlineStr">
        <is>
          <t>-25978.5</t>
        </is>
      </c>
      <c r="E5417" t="inlineStr">
        <is>
          <t>DIL_EM-10-G</t>
        </is>
      </c>
      <c r="F5417" t="inlineStr">
        <is>
          <t>#KALK!</t>
        </is>
      </c>
      <c r="G5417" t="inlineStr">
        <is>
          <t>LASTSCHUETZ</t>
        </is>
      </c>
      <c r="H5417" t="inlineStr">
        <is>
          <t>4kW 1S</t>
        </is>
      </c>
      <c r="I5417">
        <v>501</v>
      </c>
      <c r="J5417">
        <f>GS13/259.6</f>
        <v>0</v>
      </c>
      <c r="M5417" t="inlineStr">
        <is>
          <t>-25978.5</t>
        </is>
      </c>
    </row>
    <row r="5418">
      <c r="A5418">
        <v>5417</v>
      </c>
      <c r="B5418">
        <f>GC03</f>
        <v>0</v>
      </c>
      <c r="C5418" t="inlineStr">
        <is>
          <t>+LS6</t>
        </is>
      </c>
      <c r="D5418" t="inlineStr">
        <is>
          <t>-259K100.1</t>
        </is>
      </c>
      <c r="E5418" t="inlineStr">
        <is>
          <t>DIL_EM-10-G</t>
        </is>
      </c>
      <c r="F5418" t="inlineStr">
        <is>
          <t>#KALK!</t>
        </is>
      </c>
      <c r="G5418" t="inlineStr">
        <is>
          <t>LASTSCHUETZ</t>
        </is>
      </c>
      <c r="H5418" t="inlineStr">
        <is>
          <t>4kW 1S</t>
        </is>
      </c>
      <c r="I5418">
        <v>2231</v>
      </c>
      <c r="J5418">
        <f>GC03/259.7</f>
        <v>0</v>
      </c>
      <c r="M5418" t="inlineStr">
        <is>
          <t>-259K100.1</t>
        </is>
      </c>
    </row>
    <row r="5419">
      <c r="A5419">
        <v>5418</v>
      </c>
      <c r="B5419">
        <f>GC22</f>
        <v>0</v>
      </c>
      <c r="C5419" t="inlineStr">
        <is>
          <t>+LS3</t>
        </is>
      </c>
      <c r="D5419" t="inlineStr">
        <is>
          <t>-259K28.4</t>
        </is>
      </c>
      <c r="E5419" t="inlineStr">
        <is>
          <t>DILM-9-01</t>
        </is>
      </c>
      <c r="F5419" t="inlineStr">
        <is>
          <t>#KALK!</t>
        </is>
      </c>
      <c r="G5419" t="inlineStr">
        <is>
          <t>LASTSCHUETZ</t>
        </is>
      </c>
      <c r="H5419" t="inlineStr">
        <is>
          <t>4kW 1Oe Federzugkl.</t>
        </is>
      </c>
      <c r="I5419">
        <v>3389</v>
      </c>
      <c r="J5419">
        <f>GC22/259.6</f>
        <v>0</v>
      </c>
      <c r="M5419" t="inlineStr">
        <is>
          <t>-259K28.4</t>
        </is>
      </c>
    </row>
    <row r="5420">
      <c r="A5420">
        <v>5419</v>
      </c>
      <c r="B5420">
        <f>GS12</f>
        <v>0</v>
      </c>
      <c r="C5420" t="inlineStr">
        <is>
          <t>+LS3</t>
        </is>
      </c>
      <c r="D5420" t="inlineStr">
        <is>
          <t>-259K28.4</t>
        </is>
      </c>
      <c r="E5420" t="inlineStr">
        <is>
          <t>DILM-9-01</t>
        </is>
      </c>
      <c r="F5420" t="inlineStr">
        <is>
          <t>#KALK!</t>
        </is>
      </c>
      <c r="G5420" t="inlineStr">
        <is>
          <t>LASTSCHUETZ</t>
        </is>
      </c>
      <c r="H5420" t="inlineStr">
        <is>
          <t>4kW 1Oe Federzugkl.</t>
        </is>
      </c>
      <c r="I5420">
        <v>391</v>
      </c>
      <c r="J5420">
        <f>GS12/259.6</f>
        <v>0</v>
      </c>
      <c r="M5420" t="inlineStr">
        <is>
          <t>-259K28.4</t>
        </is>
      </c>
    </row>
    <row r="5421">
      <c r="A5421">
        <v>5420</v>
      </c>
      <c r="B5421">
        <f>GC22</f>
        <v>0</v>
      </c>
      <c r="C5421" t="inlineStr">
        <is>
          <t>+LS3</t>
        </is>
      </c>
      <c r="D5421" t="inlineStr">
        <is>
          <t>-259K28.5</t>
        </is>
      </c>
      <c r="E5421" t="inlineStr">
        <is>
          <t>DIL_EM-10-G</t>
        </is>
      </c>
      <c r="F5421" t="inlineStr">
        <is>
          <t>#KALK!</t>
        </is>
      </c>
      <c r="G5421" t="inlineStr">
        <is>
          <t>LASTSCHUETZ</t>
        </is>
      </c>
      <c r="H5421" t="inlineStr">
        <is>
          <t>4kW 1S</t>
        </is>
      </c>
      <c r="I5421">
        <v>3389</v>
      </c>
      <c r="J5421">
        <f>GC22/259.7</f>
        <v>0</v>
      </c>
      <c r="M5421" t="inlineStr">
        <is>
          <t>-259K28.5</t>
        </is>
      </c>
    </row>
    <row r="5422">
      <c r="A5422">
        <v>5421</v>
      </c>
      <c r="B5422">
        <f>GS12</f>
        <v>0</v>
      </c>
      <c r="C5422" t="inlineStr">
        <is>
          <t>+LS3</t>
        </is>
      </c>
      <c r="D5422" t="inlineStr">
        <is>
          <t>-259K28.5</t>
        </is>
      </c>
      <c r="E5422" t="inlineStr">
        <is>
          <t>DIL_EM-10-G</t>
        </is>
      </c>
      <c r="F5422" t="inlineStr">
        <is>
          <t>#KALK!</t>
        </is>
      </c>
      <c r="G5422" t="inlineStr">
        <is>
          <t>LASTSCHUETZ</t>
        </is>
      </c>
      <c r="H5422" t="inlineStr">
        <is>
          <t>4kW 1S</t>
        </is>
      </c>
      <c r="I5422">
        <v>391</v>
      </c>
      <c r="J5422">
        <f>GS12/259.7</f>
        <v>0</v>
      </c>
      <c r="M5422" t="inlineStr">
        <is>
          <t>-259K28.5</t>
        </is>
      </c>
    </row>
    <row r="5423">
      <c r="A5423">
        <v>5422</v>
      </c>
      <c r="B5423">
        <f>GC22</f>
        <v>0</v>
      </c>
      <c r="C5423" t="inlineStr">
        <is>
          <t>+LS3</t>
        </is>
      </c>
      <c r="D5423" t="inlineStr">
        <is>
          <t>-259K30.6</t>
        </is>
      </c>
      <c r="E5423" t="inlineStr">
        <is>
          <t>DILM-9-01</t>
        </is>
      </c>
      <c r="F5423" t="inlineStr">
        <is>
          <t>#KALK!</t>
        </is>
      </c>
      <c r="G5423" t="inlineStr">
        <is>
          <t>LASTSCHUETZ</t>
        </is>
      </c>
      <c r="H5423" t="inlineStr">
        <is>
          <t>4kW 1Oe Federzugkl.</t>
        </is>
      </c>
      <c r="I5423">
        <v>3389</v>
      </c>
      <c r="J5423">
        <f>GC22/259.6</f>
        <v>0</v>
      </c>
      <c r="M5423" t="inlineStr">
        <is>
          <t>-259K30.6</t>
        </is>
      </c>
    </row>
    <row r="5424">
      <c r="A5424">
        <v>5423</v>
      </c>
      <c r="B5424">
        <f>GS12</f>
        <v>0</v>
      </c>
      <c r="C5424" t="inlineStr">
        <is>
          <t>+LS3</t>
        </is>
      </c>
      <c r="D5424" t="inlineStr">
        <is>
          <t>-259K30.6</t>
        </is>
      </c>
      <c r="E5424" t="inlineStr">
        <is>
          <t>DILM-9-01</t>
        </is>
      </c>
      <c r="F5424" t="inlineStr">
        <is>
          <t>#KALK!</t>
        </is>
      </c>
      <c r="G5424" t="inlineStr">
        <is>
          <t>LASTSCHUETZ</t>
        </is>
      </c>
      <c r="H5424" t="inlineStr">
        <is>
          <t>4kW 1Oe Federzugkl.</t>
        </is>
      </c>
      <c r="I5424">
        <v>391</v>
      </c>
      <c r="J5424">
        <f>GS12/259.6</f>
        <v>0</v>
      </c>
      <c r="M5424" t="inlineStr">
        <is>
          <t>-259K30.6</t>
        </is>
      </c>
    </row>
    <row r="5425">
      <c r="A5425">
        <v>5424</v>
      </c>
      <c r="B5425">
        <f>GS33</f>
        <v>0</v>
      </c>
      <c r="C5425" t="inlineStr">
        <is>
          <t>+LS5</t>
        </is>
      </c>
      <c r="D5425" t="inlineStr">
        <is>
          <t>-259K38.7</t>
        </is>
      </c>
      <c r="E5425" t="inlineStr">
        <is>
          <t>DIL_EM-10-G</t>
        </is>
      </c>
      <c r="F5425" t="inlineStr">
        <is>
          <t>#KALK!</t>
        </is>
      </c>
      <c r="G5425" t="inlineStr">
        <is>
          <t>LASTSCHUETZ</t>
        </is>
      </c>
      <c r="H5425" t="inlineStr">
        <is>
          <t>4kW 1S</t>
        </is>
      </c>
      <c r="I5425">
        <v>706</v>
      </c>
      <c r="J5425">
        <f>GS33/259.7</f>
        <v>0</v>
      </c>
      <c r="M5425" t="inlineStr">
        <is>
          <t>-259K38.7</t>
        </is>
      </c>
    </row>
    <row r="5426">
      <c r="A5426">
        <v>5425</v>
      </c>
      <c r="B5426">
        <f>GS23</f>
        <v>0</v>
      </c>
      <c r="C5426" t="inlineStr">
        <is>
          <t>+LS5</t>
        </is>
      </c>
      <c r="D5426" t="inlineStr">
        <is>
          <t>-259K78.4</t>
        </is>
      </c>
      <c r="E5426" t="inlineStr">
        <is>
          <t>DIL_EM-10-G</t>
        </is>
      </c>
      <c r="F5426" t="inlineStr">
        <is>
          <t>#KALK!</t>
        </is>
      </c>
      <c r="G5426" t="inlineStr">
        <is>
          <t>LASTSCHUETZ</t>
        </is>
      </c>
      <c r="H5426" t="inlineStr">
        <is>
          <t>4kW 1S</t>
        </is>
      </c>
      <c r="I5426">
        <v>560</v>
      </c>
      <c r="J5426">
        <f>GS23/259.6</f>
        <v>0</v>
      </c>
      <c r="M5426" t="inlineStr">
        <is>
          <t>-259K78.4</t>
        </is>
      </c>
    </row>
    <row r="5427">
      <c r="A5427">
        <v>5426</v>
      </c>
      <c r="B5427">
        <f>GS23</f>
        <v>0</v>
      </c>
      <c r="C5427" t="inlineStr">
        <is>
          <t>+LS5</t>
        </is>
      </c>
      <c r="D5427" t="inlineStr">
        <is>
          <t>-259K78.5</t>
        </is>
      </c>
      <c r="E5427" t="inlineStr">
        <is>
          <t>DIL_EM-10-G</t>
        </is>
      </c>
      <c r="F5427" t="inlineStr">
        <is>
          <t>#KALK!</t>
        </is>
      </c>
      <c r="G5427" t="inlineStr">
        <is>
          <t>LASTSCHUETZ</t>
        </is>
      </c>
      <c r="H5427" t="inlineStr">
        <is>
          <t>4kW 1S</t>
        </is>
      </c>
      <c r="I5427">
        <v>560</v>
      </c>
      <c r="J5427">
        <f>GS23/259.6</f>
        <v>0</v>
      </c>
      <c r="M5427" t="inlineStr">
        <is>
          <t>-259K78.5</t>
        </is>
      </c>
    </row>
    <row r="5428">
      <c r="A5428">
        <v>5427</v>
      </c>
      <c r="B5428">
        <f>GS79</f>
        <v>0</v>
      </c>
      <c r="C5428" t="inlineStr">
        <is>
          <t>+LS[l1]</t>
        </is>
      </c>
      <c r="D5428" t="inlineStr">
        <is>
          <t>-259Q[a+200].6</t>
        </is>
      </c>
      <c r="E5428" t="inlineStr">
        <is>
          <t>DILM-9-10</t>
        </is>
      </c>
      <c r="F5428" t="inlineStr">
        <is>
          <t>#KALK!</t>
        </is>
      </c>
      <c r="G5428" t="inlineStr">
        <is>
          <t>LASTSCHUETZ</t>
        </is>
      </c>
      <c r="H5428" t="inlineStr">
        <is>
          <t>4kW 1S Federzugkl.</t>
        </is>
      </c>
      <c r="I5428">
        <v>150</v>
      </c>
      <c r="J5428">
        <f>GS79/259.6</f>
        <v>0</v>
      </c>
      <c r="M5428" t="inlineStr">
        <is>
          <t>-259Q[a+200].6</t>
        </is>
      </c>
    </row>
    <row r="5429">
      <c r="A5429">
        <v>5428</v>
      </c>
      <c r="B5429">
        <f>GS79</f>
        <v>0</v>
      </c>
      <c r="C5429" t="inlineStr">
        <is>
          <t>+LS[l1]</t>
        </is>
      </c>
      <c r="D5429" t="inlineStr">
        <is>
          <t>-259Q[a+200].6</t>
        </is>
      </c>
      <c r="E5429" t="inlineStr">
        <is>
          <t>DILM-9-10</t>
        </is>
      </c>
      <c r="F5429" t="inlineStr">
        <is>
          <t>#KALK!</t>
        </is>
      </c>
      <c r="G5429" t="inlineStr">
        <is>
          <t>LASTSCHUETZ</t>
        </is>
      </c>
      <c r="H5429" t="inlineStr">
        <is>
          <t>4kW 1S Federzugkl.</t>
        </is>
      </c>
      <c r="I5429">
        <v>227</v>
      </c>
      <c r="J5429">
        <f>GS79/259.6</f>
        <v>0</v>
      </c>
      <c r="M5429" t="inlineStr">
        <is>
          <t>-259Q[a+200].6</t>
        </is>
      </c>
    </row>
    <row r="5430">
      <c r="A5430">
        <v>5429</v>
      </c>
      <c r="B5430">
        <f>GS55</f>
        <v>0</v>
      </c>
      <c r="C5430" t="inlineStr">
        <is>
          <t>+LS03</t>
        </is>
      </c>
      <c r="D5430" t="inlineStr">
        <is>
          <t>-259Q130.4</t>
        </is>
      </c>
      <c r="E5430" t="inlineStr">
        <is>
          <t>DILM-9-10</t>
        </is>
      </c>
      <c r="F5430" t="inlineStr">
        <is>
          <t>#KALK!</t>
        </is>
      </c>
      <c r="G5430" t="inlineStr">
        <is>
          <t>LASTSCHUETZ</t>
        </is>
      </c>
      <c r="H5430" t="inlineStr">
        <is>
          <t>4kW 1S Federzugkl.</t>
        </is>
      </c>
      <c r="I5430">
        <v>551</v>
      </c>
      <c r="J5430">
        <f>GS55/259.6</f>
        <v>0</v>
      </c>
      <c r="K5430" t="inlineStr">
        <is>
          <t>DIL MC9</t>
        </is>
      </c>
      <c r="M5430" t="inlineStr">
        <is>
          <t>-259Q130.4</t>
        </is>
      </c>
    </row>
    <row r="5431">
      <c r="A5431">
        <v>5430</v>
      </c>
      <c r="B5431">
        <f>GS36</f>
        <v>0</v>
      </c>
      <c r="C5431" t="inlineStr">
        <is>
          <t>+LS05</t>
        </is>
      </c>
      <c r="D5431" t="inlineStr">
        <is>
          <t>-275Q170.6</t>
        </is>
      </c>
      <c r="E5431" t="inlineStr">
        <is>
          <t>DILM-9-10</t>
        </is>
      </c>
      <c r="F5431" t="inlineStr">
        <is>
          <t>DILA-XHI22</t>
        </is>
      </c>
      <c r="G5431" t="inlineStr">
        <is>
          <t>LASTSCHUETZ</t>
        </is>
      </c>
      <c r="H5431" t="inlineStr">
        <is>
          <t>4kW 1S Federzugkl.</t>
        </is>
      </c>
      <c r="I5431">
        <v>448</v>
      </c>
      <c r="J5431">
        <f>GS36/275.5</f>
        <v>0</v>
      </c>
      <c r="L5431" t="inlineStr">
        <is>
          <t>KL_3303</t>
        </is>
      </c>
      <c r="M5431" t="inlineStr">
        <is>
          <t>KL_3303
-275Q170.6</t>
        </is>
      </c>
      <c r="N5431" t="inlineStr">
        <is>
          <t>P</t>
        </is>
      </c>
    </row>
    <row r="5432">
      <c r="A5432">
        <v>5431</v>
      </c>
      <c r="B5432">
        <f>GS92</f>
        <v>0</v>
      </c>
      <c r="C5432" t="inlineStr">
        <is>
          <t>+LS03</t>
        </is>
      </c>
      <c r="D5432" t="inlineStr">
        <is>
          <t>-259Q178.5</t>
        </is>
      </c>
      <c r="E5432" t="inlineStr">
        <is>
          <t>DILM-9-10</t>
        </is>
      </c>
      <c r="F5432" t="inlineStr">
        <is>
          <t>#KALK!</t>
        </is>
      </c>
      <c r="G5432" t="inlineStr">
        <is>
          <t>LASTSCHUETZ</t>
        </is>
      </c>
      <c r="H5432" t="inlineStr">
        <is>
          <t>4kW 1S Federzugkl.</t>
        </is>
      </c>
      <c r="I5432">
        <v>405</v>
      </c>
      <c r="J5432">
        <f>GS92/259.5</f>
        <v>0</v>
      </c>
      <c r="M5432" t="inlineStr">
        <is>
          <t>-259Q178.5</t>
        </is>
      </c>
    </row>
    <row r="5433">
      <c r="A5433">
        <v>5432</v>
      </c>
      <c r="B5433">
        <f>GS93</f>
        <v>0</v>
      </c>
      <c r="C5433" t="inlineStr">
        <is>
          <t>+LS03</t>
        </is>
      </c>
      <c r="D5433" t="inlineStr">
        <is>
          <t>-259Q178.5</t>
        </is>
      </c>
      <c r="E5433" t="inlineStr">
        <is>
          <t>DILM-9-10</t>
        </is>
      </c>
      <c r="F5433" t="inlineStr">
        <is>
          <t>#KALK!</t>
        </is>
      </c>
      <c r="G5433" t="inlineStr">
        <is>
          <t>LASTSCHUETZ</t>
        </is>
      </c>
      <c r="H5433" t="inlineStr">
        <is>
          <t>4kW 1S Federzugkl.</t>
        </is>
      </c>
      <c r="I5433">
        <v>813</v>
      </c>
      <c r="J5433">
        <f>GS93/259.5</f>
        <v>0</v>
      </c>
      <c r="M5433" t="inlineStr">
        <is>
          <t>-259Q178.5</t>
        </is>
      </c>
    </row>
    <row r="5434">
      <c r="A5434">
        <v>5433</v>
      </c>
      <c r="B5434">
        <f>GS40</f>
        <v>0</v>
      </c>
      <c r="C5434" t="inlineStr">
        <is>
          <t>+LS[ll]</t>
        </is>
      </c>
      <c r="D5434" t="inlineStr">
        <is>
          <t>-25K1</t>
        </is>
      </c>
      <c r="E5434" t="inlineStr">
        <is>
          <t>DILA-22</t>
        </is>
      </c>
      <c r="F5434" t="inlineStr">
        <is>
          <t>#KALK!</t>
        </is>
      </c>
      <c r="G5434" t="inlineStr">
        <is>
          <t>HILFSSCHUETZ</t>
        </is>
      </c>
      <c r="H5434" t="inlineStr">
        <is>
          <t>2S 2Oe Federzugkl.</t>
        </is>
      </c>
      <c r="I5434">
        <v>200</v>
      </c>
      <c r="J5434">
        <f>GS40/25.2</f>
        <v>0</v>
      </c>
      <c r="M5434" t="inlineStr">
        <is>
          <t>-25K1</t>
        </is>
      </c>
    </row>
    <row r="5435">
      <c r="A5435">
        <v>5434</v>
      </c>
      <c r="B5435">
        <f>GS44</f>
        <v>0</v>
      </c>
      <c r="C5435" t="inlineStr">
        <is>
          <t>+LS[ll]</t>
        </is>
      </c>
      <c r="D5435" t="inlineStr">
        <is>
          <t>-25K1</t>
        </is>
      </c>
      <c r="E5435" t="inlineStr">
        <is>
          <t>DILA-22</t>
        </is>
      </c>
      <c r="F5435" t="inlineStr">
        <is>
          <t>#KALK!</t>
        </is>
      </c>
      <c r="G5435" t="inlineStr">
        <is>
          <t>HILFSSCHUETZ</t>
        </is>
      </c>
      <c r="H5435" t="inlineStr">
        <is>
          <t>2S 2Oe Federzugkl.</t>
        </is>
      </c>
      <c r="I5435">
        <v>212</v>
      </c>
      <c r="J5435">
        <f>GS44/25.2</f>
        <v>0</v>
      </c>
      <c r="M5435" t="inlineStr">
        <is>
          <t>-25K1</t>
        </is>
      </c>
    </row>
    <row r="5436">
      <c r="A5436">
        <v>5435</v>
      </c>
      <c r="B5436">
        <f>GS45</f>
        <v>0</v>
      </c>
      <c r="C5436" t="inlineStr">
        <is>
          <t>+LS</t>
        </is>
      </c>
      <c r="D5436" t="inlineStr">
        <is>
          <t>-25K1</t>
        </is>
      </c>
      <c r="E5436" t="inlineStr">
        <is>
          <t>DILA-22</t>
        </is>
      </c>
      <c r="F5436" t="inlineStr">
        <is>
          <t>#KALK!</t>
        </is>
      </c>
      <c r="G5436" t="inlineStr">
        <is>
          <t>HILFSSCHUETZ</t>
        </is>
      </c>
      <c r="H5436" t="inlineStr">
        <is>
          <t>2S 2Oe Federzugkl.</t>
        </is>
      </c>
      <c r="I5436">
        <v>172</v>
      </c>
      <c r="J5436">
        <f>GS45/25.2</f>
        <v>0</v>
      </c>
      <c r="M5436" t="inlineStr">
        <is>
          <t>-25K1</t>
        </is>
      </c>
    </row>
    <row r="5437">
      <c r="A5437">
        <v>5436</v>
      </c>
      <c r="B5437">
        <f>GS4x</f>
        <v>0</v>
      </c>
      <c r="C5437" t="inlineStr">
        <is>
          <t>+LS[ll]</t>
        </is>
      </c>
      <c r="D5437" t="inlineStr">
        <is>
          <t>-25K1</t>
        </is>
      </c>
      <c r="E5437" t="inlineStr">
        <is>
          <t>DILA-22</t>
        </is>
      </c>
      <c r="F5437" t="inlineStr">
        <is>
          <t>#KALK!</t>
        </is>
      </c>
      <c r="G5437" t="inlineStr">
        <is>
          <t>HILFSSCHUETZ</t>
        </is>
      </c>
      <c r="H5437" t="inlineStr">
        <is>
          <t>2S 2Oe Federzugkl.</t>
        </is>
      </c>
      <c r="I5437">
        <v>201</v>
      </c>
      <c r="J5437">
        <f>GS4x/25.2</f>
        <v>0</v>
      </c>
      <c r="M5437" t="inlineStr">
        <is>
          <t>-25K1</t>
        </is>
      </c>
    </row>
    <row r="5438">
      <c r="A5438">
        <v>5437</v>
      </c>
      <c r="B5438">
        <f>GS65</f>
        <v>0</v>
      </c>
      <c r="C5438" t="inlineStr">
        <is>
          <t>+LS[ll]</t>
        </is>
      </c>
      <c r="D5438" t="inlineStr">
        <is>
          <t>-25K1</t>
        </is>
      </c>
      <c r="E5438" t="inlineStr">
        <is>
          <t>DILA-40</t>
        </is>
      </c>
      <c r="F5438" t="inlineStr">
        <is>
          <t>#KALK!</t>
        </is>
      </c>
      <c r="G5438" t="inlineStr">
        <is>
          <t>HILFSSCHUETZ</t>
        </is>
      </c>
      <c r="H5438" t="inlineStr">
        <is>
          <t>4S Federzugkl.</t>
        </is>
      </c>
      <c r="I5438">
        <v>163</v>
      </c>
      <c r="J5438">
        <f>GS65/25.2</f>
        <v>0</v>
      </c>
      <c r="M5438" t="inlineStr">
        <is>
          <t>-25K1</t>
        </is>
      </c>
    </row>
    <row r="5439">
      <c r="A5439">
        <v>5438</v>
      </c>
      <c r="B5439">
        <f>GS67</f>
        <v>0</v>
      </c>
      <c r="C5439" t="inlineStr">
        <is>
          <t>+LS</t>
        </is>
      </c>
      <c r="D5439" t="inlineStr">
        <is>
          <t>-25K1</t>
        </is>
      </c>
      <c r="E5439" t="inlineStr">
        <is>
          <t>DILA-40</t>
        </is>
      </c>
      <c r="F5439" t="inlineStr">
        <is>
          <t>#KALK!</t>
        </is>
      </c>
      <c r="G5439" t="inlineStr">
        <is>
          <t>HILFSSCHUETZ</t>
        </is>
      </c>
      <c r="H5439" t="inlineStr">
        <is>
          <t>4S Federzugkl.</t>
        </is>
      </c>
      <c r="I5439">
        <v>169</v>
      </c>
      <c r="J5439">
        <f>GS67/25.2</f>
        <v>0</v>
      </c>
      <c r="M5439" t="inlineStr">
        <is>
          <t>-25K1</t>
        </is>
      </c>
    </row>
    <row r="5440">
      <c r="A5440">
        <v>5439</v>
      </c>
      <c r="B5440">
        <f>GS67</f>
        <v>0</v>
      </c>
      <c r="C5440" t="inlineStr">
        <is>
          <t>+LS[ll]</t>
        </is>
      </c>
      <c r="D5440" t="inlineStr">
        <is>
          <t>-25K1</t>
        </is>
      </c>
      <c r="E5440" t="inlineStr">
        <is>
          <t>DILA-40</t>
        </is>
      </c>
      <c r="F5440" t="inlineStr">
        <is>
          <t>#KALK!</t>
        </is>
      </c>
      <c r="G5440" t="inlineStr">
        <is>
          <t>HILFSSCHUETZ</t>
        </is>
      </c>
      <c r="H5440" t="inlineStr">
        <is>
          <t>4S Federzugkl.</t>
        </is>
      </c>
      <c r="I5440">
        <v>169</v>
      </c>
      <c r="J5440">
        <f>GS67/25.2</f>
        <v>0</v>
      </c>
      <c r="M5440" t="inlineStr">
        <is>
          <t>-25K1</t>
        </is>
      </c>
    </row>
    <row r="5441">
      <c r="A5441">
        <v>5440</v>
      </c>
      <c r="B5441">
        <f>GS67</f>
        <v>0</v>
      </c>
      <c r="C5441" t="inlineStr">
        <is>
          <t>+LS[ll]</t>
        </is>
      </c>
      <c r="D5441" t="inlineStr">
        <is>
          <t>-25K1</t>
        </is>
      </c>
      <c r="E5441" t="inlineStr">
        <is>
          <t>DILA-40</t>
        </is>
      </c>
      <c r="F5441" t="inlineStr">
        <is>
          <t>#KALK!</t>
        </is>
      </c>
      <c r="G5441" t="inlineStr">
        <is>
          <t>HILFSSCHUETZ</t>
        </is>
      </c>
      <c r="H5441" t="inlineStr">
        <is>
          <t>4S Federzugkl.</t>
        </is>
      </c>
      <c r="I5441">
        <v>163</v>
      </c>
      <c r="J5441">
        <f>GS67/25.2</f>
        <v>0</v>
      </c>
      <c r="M5441" t="inlineStr">
        <is>
          <t>-25K1</t>
        </is>
      </c>
    </row>
    <row r="5442">
      <c r="A5442">
        <v>5441</v>
      </c>
      <c r="B5442">
        <f>GS8x</f>
        <v>0</v>
      </c>
      <c r="C5442" t="inlineStr">
        <is>
          <t>+LS</t>
        </is>
      </c>
      <c r="D5442" t="inlineStr">
        <is>
          <t>-25K1</t>
        </is>
      </c>
      <c r="E5442" t="inlineStr">
        <is>
          <t>DILA-40</t>
        </is>
      </c>
      <c r="F5442" t="inlineStr">
        <is>
          <t>#KALK!</t>
        </is>
      </c>
      <c r="G5442" t="inlineStr">
        <is>
          <t>HILFSSCHUETZ</t>
        </is>
      </c>
      <c r="H5442" t="inlineStr">
        <is>
          <t>4S Federzugkl.</t>
        </is>
      </c>
      <c r="I5442">
        <v>170</v>
      </c>
      <c r="J5442">
        <f>GS8x/25.2</f>
        <v>0</v>
      </c>
      <c r="M5442" t="inlineStr">
        <is>
          <t>-25K1</t>
        </is>
      </c>
    </row>
    <row r="5443">
      <c r="A5443">
        <v>5442</v>
      </c>
      <c r="B5443">
        <f>GS40</f>
        <v>0</v>
      </c>
      <c r="C5443" t="inlineStr">
        <is>
          <t>+LS[ll]</t>
        </is>
      </c>
      <c r="D5443" t="inlineStr">
        <is>
          <t>-25K2</t>
        </is>
      </c>
      <c r="E5443" t="inlineStr">
        <is>
          <t>DILA-22</t>
        </is>
      </c>
      <c r="F5443" t="inlineStr">
        <is>
          <t>#KALK!</t>
        </is>
      </c>
      <c r="G5443" t="inlineStr">
        <is>
          <t>HILFSSCHUETZ</t>
        </is>
      </c>
      <c r="H5443" t="inlineStr">
        <is>
          <t>2S 2Oe Federzugkl.</t>
        </is>
      </c>
      <c r="I5443">
        <v>200</v>
      </c>
      <c r="J5443">
        <f>GS40/25.3</f>
        <v>0</v>
      </c>
      <c r="M5443" t="inlineStr">
        <is>
          <t>-25K2</t>
        </is>
      </c>
    </row>
    <row r="5444">
      <c r="A5444">
        <v>5443</v>
      </c>
      <c r="B5444">
        <f>GS44</f>
        <v>0</v>
      </c>
      <c r="C5444" t="inlineStr">
        <is>
          <t>+LS[ll]</t>
        </is>
      </c>
      <c r="D5444" t="inlineStr">
        <is>
          <t>-25K2</t>
        </is>
      </c>
      <c r="E5444" t="inlineStr">
        <is>
          <t>DILA-22</t>
        </is>
      </c>
      <c r="F5444" t="inlineStr">
        <is>
          <t>#KALK!</t>
        </is>
      </c>
      <c r="G5444" t="inlineStr">
        <is>
          <t>HILFSSCHUETZ</t>
        </is>
      </c>
      <c r="H5444" t="inlineStr">
        <is>
          <t>2S 2Oe Federzugkl.</t>
        </is>
      </c>
      <c r="I5444">
        <v>212</v>
      </c>
      <c r="J5444">
        <f>GS44/25.3</f>
        <v>0</v>
      </c>
      <c r="M5444" t="inlineStr">
        <is>
          <t>-25K2</t>
        </is>
      </c>
    </row>
    <row r="5445">
      <c r="A5445">
        <v>5444</v>
      </c>
      <c r="B5445">
        <f>GS45</f>
        <v>0</v>
      </c>
      <c r="C5445" t="inlineStr">
        <is>
          <t>+LS</t>
        </is>
      </c>
      <c r="D5445" t="inlineStr">
        <is>
          <t>-25K2</t>
        </is>
      </c>
      <c r="E5445" t="inlineStr">
        <is>
          <t>DILA-22</t>
        </is>
      </c>
      <c r="F5445" t="inlineStr">
        <is>
          <t>#KALK!</t>
        </is>
      </c>
      <c r="G5445" t="inlineStr">
        <is>
          <t>HILFSSCHUETZ</t>
        </is>
      </c>
      <c r="H5445" t="inlineStr">
        <is>
          <t>2S 2Oe Federzugkl.</t>
        </is>
      </c>
      <c r="I5445">
        <v>172</v>
      </c>
      <c r="J5445">
        <f>GS45/25.3</f>
        <v>0</v>
      </c>
      <c r="M5445" t="inlineStr">
        <is>
          <t>-25K2</t>
        </is>
      </c>
    </row>
    <row r="5446">
      <c r="A5446">
        <v>5445</v>
      </c>
      <c r="B5446">
        <f>GS4x</f>
        <v>0</v>
      </c>
      <c r="C5446" t="inlineStr">
        <is>
          <t>+LS[ll]</t>
        </is>
      </c>
      <c r="D5446" t="inlineStr">
        <is>
          <t>-25K2</t>
        </is>
      </c>
      <c r="E5446" t="inlineStr">
        <is>
          <t>DILA-22</t>
        </is>
      </c>
      <c r="F5446" t="inlineStr">
        <is>
          <t>#KALK!</t>
        </is>
      </c>
      <c r="G5446" t="inlineStr">
        <is>
          <t>HILFSSCHUETZ</t>
        </is>
      </c>
      <c r="H5446" t="inlineStr">
        <is>
          <t>2S 2Oe Federzugkl.</t>
        </is>
      </c>
      <c r="I5446">
        <v>201</v>
      </c>
      <c r="J5446">
        <f>GS4x/25.3</f>
        <v>0</v>
      </c>
      <c r="M5446" t="inlineStr">
        <is>
          <t>-25K2</t>
        </is>
      </c>
    </row>
    <row r="5447">
      <c r="A5447">
        <v>5446</v>
      </c>
      <c r="B5447">
        <f>GS65</f>
        <v>0</v>
      </c>
      <c r="C5447" t="inlineStr">
        <is>
          <t>+LS[ll]</t>
        </is>
      </c>
      <c r="D5447" t="inlineStr">
        <is>
          <t>-25K2</t>
        </is>
      </c>
      <c r="E5447" t="inlineStr">
        <is>
          <t>DILA-40</t>
        </is>
      </c>
      <c r="F5447" t="inlineStr">
        <is>
          <t>#KALK!</t>
        </is>
      </c>
      <c r="G5447" t="inlineStr">
        <is>
          <t>HILFSSCHUETZ</t>
        </is>
      </c>
      <c r="H5447" t="inlineStr">
        <is>
          <t>4S Federzugkl.</t>
        </is>
      </c>
      <c r="I5447">
        <v>163</v>
      </c>
      <c r="J5447">
        <f>GS65/25.3</f>
        <v>0</v>
      </c>
      <c r="M5447" t="inlineStr">
        <is>
          <t>-25K2</t>
        </is>
      </c>
    </row>
    <row r="5448">
      <c r="A5448">
        <v>5447</v>
      </c>
      <c r="B5448">
        <f>GS67</f>
        <v>0</v>
      </c>
      <c r="C5448" t="inlineStr">
        <is>
          <t>+LS</t>
        </is>
      </c>
      <c r="D5448" t="inlineStr">
        <is>
          <t>-25K2</t>
        </is>
      </c>
      <c r="E5448" t="inlineStr">
        <is>
          <t>DILA-40</t>
        </is>
      </c>
      <c r="F5448" t="inlineStr">
        <is>
          <t>#KALK!</t>
        </is>
      </c>
      <c r="G5448" t="inlineStr">
        <is>
          <t>HILFSSCHUETZ</t>
        </is>
      </c>
      <c r="H5448" t="inlineStr">
        <is>
          <t>4S Federzugkl.</t>
        </is>
      </c>
      <c r="I5448">
        <v>169</v>
      </c>
      <c r="J5448">
        <f>GS67/25.3</f>
        <v>0</v>
      </c>
      <c r="M5448" t="inlineStr">
        <is>
          <t>-25K2</t>
        </is>
      </c>
    </row>
    <row r="5449">
      <c r="A5449">
        <v>5448</v>
      </c>
      <c r="B5449">
        <f>GS67</f>
        <v>0</v>
      </c>
      <c r="C5449" t="inlineStr">
        <is>
          <t>+LS[ll]</t>
        </is>
      </c>
      <c r="D5449" t="inlineStr">
        <is>
          <t>-25K2</t>
        </is>
      </c>
      <c r="E5449" t="inlineStr">
        <is>
          <t>DILA-40</t>
        </is>
      </c>
      <c r="F5449" t="inlineStr">
        <is>
          <t>#KALK!</t>
        </is>
      </c>
      <c r="G5449" t="inlineStr">
        <is>
          <t>HILFSSCHUETZ</t>
        </is>
      </c>
      <c r="H5449" t="inlineStr">
        <is>
          <t>4S Federzugkl.</t>
        </is>
      </c>
      <c r="I5449">
        <v>163</v>
      </c>
      <c r="J5449">
        <f>GS67/25.3</f>
        <v>0</v>
      </c>
      <c r="M5449" t="inlineStr">
        <is>
          <t>-25K2</t>
        </is>
      </c>
    </row>
    <row r="5450">
      <c r="A5450">
        <v>5449</v>
      </c>
      <c r="B5450">
        <f>GS67</f>
        <v>0</v>
      </c>
      <c r="C5450" t="inlineStr">
        <is>
          <t>+LS[ll]</t>
        </is>
      </c>
      <c r="D5450" t="inlineStr">
        <is>
          <t>-25K2</t>
        </is>
      </c>
      <c r="E5450" t="inlineStr">
        <is>
          <t>DILA-40</t>
        </is>
      </c>
      <c r="F5450" t="inlineStr">
        <is>
          <t>#KALK!</t>
        </is>
      </c>
      <c r="G5450" t="inlineStr">
        <is>
          <t>HILFSSCHUETZ</t>
        </is>
      </c>
      <c r="H5450" t="inlineStr">
        <is>
          <t>4S Federzugkl.</t>
        </is>
      </c>
      <c r="I5450">
        <v>169</v>
      </c>
      <c r="J5450">
        <f>GS67/25.3</f>
        <v>0</v>
      </c>
      <c r="M5450" t="inlineStr">
        <is>
          <t>-25K2</t>
        </is>
      </c>
    </row>
    <row r="5451">
      <c r="A5451">
        <v>5450</v>
      </c>
      <c r="B5451">
        <f>GS40</f>
        <v>0</v>
      </c>
      <c r="C5451" t="inlineStr">
        <is>
          <t>+LS[ll]</t>
        </is>
      </c>
      <c r="D5451" t="inlineStr">
        <is>
          <t>-25K3</t>
        </is>
      </c>
      <c r="E5451" t="inlineStr">
        <is>
          <t>DILA-22</t>
        </is>
      </c>
      <c r="F5451" t="inlineStr">
        <is>
          <t>#KALK!</t>
        </is>
      </c>
      <c r="G5451" t="inlineStr">
        <is>
          <t>HILFSSCHUETZ</t>
        </is>
      </c>
      <c r="H5451" t="inlineStr">
        <is>
          <t>2S 2Oe Federzugkl.</t>
        </is>
      </c>
      <c r="I5451">
        <v>200</v>
      </c>
      <c r="J5451">
        <f>GS40/25.4</f>
        <v>0</v>
      </c>
      <c r="M5451" t="inlineStr">
        <is>
          <t>-25K3</t>
        </is>
      </c>
    </row>
    <row r="5452">
      <c r="A5452">
        <v>5451</v>
      </c>
      <c r="B5452">
        <f>GS44</f>
        <v>0</v>
      </c>
      <c r="C5452" t="inlineStr">
        <is>
          <t>+LS[ll]</t>
        </is>
      </c>
      <c r="D5452" t="inlineStr">
        <is>
          <t>-25K3</t>
        </is>
      </c>
      <c r="E5452" t="inlineStr">
        <is>
          <t>DILA-22</t>
        </is>
      </c>
      <c r="F5452" t="inlineStr">
        <is>
          <t>#KALK!</t>
        </is>
      </c>
      <c r="G5452" t="inlineStr">
        <is>
          <t>HILFSSCHUETZ</t>
        </is>
      </c>
      <c r="H5452" t="inlineStr">
        <is>
          <t>2S 2Oe Federzugkl.</t>
        </is>
      </c>
      <c r="I5452">
        <v>212</v>
      </c>
      <c r="J5452">
        <f>GS44/25.4</f>
        <v>0</v>
      </c>
      <c r="M5452" t="inlineStr">
        <is>
          <t>-25K3</t>
        </is>
      </c>
    </row>
    <row r="5453">
      <c r="A5453">
        <v>5452</v>
      </c>
      <c r="B5453">
        <f>GS45</f>
        <v>0</v>
      </c>
      <c r="C5453" t="inlineStr">
        <is>
          <t>+LS</t>
        </is>
      </c>
      <c r="D5453" t="inlineStr">
        <is>
          <t>-25K3</t>
        </is>
      </c>
      <c r="E5453" t="inlineStr">
        <is>
          <t>DILA-22</t>
        </is>
      </c>
      <c r="F5453" t="inlineStr">
        <is>
          <t>#KALK!</t>
        </is>
      </c>
      <c r="G5453" t="inlineStr">
        <is>
          <t>HILFSSCHUETZ</t>
        </is>
      </c>
      <c r="H5453" t="inlineStr">
        <is>
          <t>2S 2Oe Federzugkl.</t>
        </is>
      </c>
      <c r="I5453">
        <v>172</v>
      </c>
      <c r="J5453">
        <f>GS45/25.4</f>
        <v>0</v>
      </c>
      <c r="M5453" t="inlineStr">
        <is>
          <t>-25K3</t>
        </is>
      </c>
    </row>
    <row r="5454">
      <c r="A5454">
        <v>5453</v>
      </c>
      <c r="B5454">
        <f>GS4x</f>
        <v>0</v>
      </c>
      <c r="C5454" t="inlineStr">
        <is>
          <t>+LS[ll]</t>
        </is>
      </c>
      <c r="D5454" t="inlineStr">
        <is>
          <t>-25K3</t>
        </is>
      </c>
      <c r="E5454" t="inlineStr">
        <is>
          <t>DILA-22</t>
        </is>
      </c>
      <c r="F5454" t="inlineStr">
        <is>
          <t>#KALK!</t>
        </is>
      </c>
      <c r="G5454" t="inlineStr">
        <is>
          <t>HILFSSCHUETZ</t>
        </is>
      </c>
      <c r="H5454" t="inlineStr">
        <is>
          <t>2S 2Oe Federzugkl.</t>
        </is>
      </c>
      <c r="I5454">
        <v>201</v>
      </c>
      <c r="J5454">
        <f>GS4x/25.4</f>
        <v>0</v>
      </c>
      <c r="M5454" t="inlineStr">
        <is>
          <t>-25K3</t>
        </is>
      </c>
    </row>
    <row r="5455">
      <c r="A5455">
        <v>5454</v>
      </c>
      <c r="B5455">
        <f>GS65</f>
        <v>0</v>
      </c>
      <c r="C5455" t="inlineStr">
        <is>
          <t>+LS[ll]</t>
        </is>
      </c>
      <c r="D5455" t="inlineStr">
        <is>
          <t>-25K3</t>
        </is>
      </c>
      <c r="E5455" t="inlineStr">
        <is>
          <t>DILA-40</t>
        </is>
      </c>
      <c r="F5455" t="inlineStr">
        <is>
          <t>#KALK!</t>
        </is>
      </c>
      <c r="G5455" t="inlineStr">
        <is>
          <t>HILFSSCHUETZ</t>
        </is>
      </c>
      <c r="H5455" t="inlineStr">
        <is>
          <t>4S Federzugkl.</t>
        </is>
      </c>
      <c r="I5455">
        <v>163</v>
      </c>
      <c r="J5455">
        <f>GS65/25.4</f>
        <v>0</v>
      </c>
      <c r="M5455" t="inlineStr">
        <is>
          <t>-25K3</t>
        </is>
      </c>
    </row>
    <row r="5456">
      <c r="A5456">
        <v>5455</v>
      </c>
      <c r="B5456">
        <f>GS67</f>
        <v>0</v>
      </c>
      <c r="C5456" t="inlineStr">
        <is>
          <t>+LS</t>
        </is>
      </c>
      <c r="D5456" t="inlineStr">
        <is>
          <t>-25K3</t>
        </is>
      </c>
      <c r="E5456" t="inlineStr">
        <is>
          <t>DILA-40</t>
        </is>
      </c>
      <c r="F5456" t="inlineStr">
        <is>
          <t>#KALK!</t>
        </is>
      </c>
      <c r="G5456" t="inlineStr">
        <is>
          <t>HILFSSCHUETZ</t>
        </is>
      </c>
      <c r="H5456" t="inlineStr">
        <is>
          <t>4S Federzugkl.</t>
        </is>
      </c>
      <c r="I5456">
        <v>169</v>
      </c>
      <c r="J5456">
        <f>GS67/25.4</f>
        <v>0</v>
      </c>
      <c r="M5456" t="inlineStr">
        <is>
          <t>-25K3</t>
        </is>
      </c>
    </row>
    <row r="5457">
      <c r="A5457">
        <v>5456</v>
      </c>
      <c r="B5457">
        <f>GS67</f>
        <v>0</v>
      </c>
      <c r="C5457" t="inlineStr">
        <is>
          <t>+LS[ll]</t>
        </is>
      </c>
      <c r="D5457" t="inlineStr">
        <is>
          <t>-25K3</t>
        </is>
      </c>
      <c r="E5457" t="inlineStr">
        <is>
          <t>DILA-40</t>
        </is>
      </c>
      <c r="F5457" t="inlineStr">
        <is>
          <t>#KALK!</t>
        </is>
      </c>
      <c r="G5457" t="inlineStr">
        <is>
          <t>HILFSSCHUETZ</t>
        </is>
      </c>
      <c r="H5457" t="inlineStr">
        <is>
          <t>4S Federzugkl.</t>
        </is>
      </c>
      <c r="I5457">
        <v>163</v>
      </c>
      <c r="J5457">
        <f>GS67/25.4</f>
        <v>0</v>
      </c>
      <c r="M5457" t="inlineStr">
        <is>
          <t>-25K3</t>
        </is>
      </c>
    </row>
    <row r="5458">
      <c r="A5458">
        <v>5457</v>
      </c>
      <c r="B5458">
        <f>GS67</f>
        <v>0</v>
      </c>
      <c r="C5458" t="inlineStr">
        <is>
          <t>+LS[ll]</t>
        </is>
      </c>
      <c r="D5458" t="inlineStr">
        <is>
          <t>-25K3</t>
        </is>
      </c>
      <c r="E5458" t="inlineStr">
        <is>
          <t>DILA-40</t>
        </is>
      </c>
      <c r="F5458" t="inlineStr">
        <is>
          <t>#KALK!</t>
        </is>
      </c>
      <c r="G5458" t="inlineStr">
        <is>
          <t>HILFSSCHUETZ</t>
        </is>
      </c>
      <c r="H5458" t="inlineStr">
        <is>
          <t>4S Federzugkl.</t>
        </is>
      </c>
      <c r="I5458">
        <v>169</v>
      </c>
      <c r="J5458">
        <f>GS67/25.4</f>
        <v>0</v>
      </c>
      <c r="M5458" t="inlineStr">
        <is>
          <t>-25K3</t>
        </is>
      </c>
    </row>
    <row r="5459">
      <c r="A5459">
        <v>5458</v>
      </c>
      <c r="B5459">
        <f>GS65</f>
        <v>0</v>
      </c>
      <c r="C5459" t="inlineStr">
        <is>
          <t>+LS081</t>
        </is>
      </c>
      <c r="D5459" t="inlineStr">
        <is>
          <t>-25Q1</t>
        </is>
      </c>
      <c r="E5459" t="inlineStr">
        <is>
          <t>DILM-9-10</t>
        </is>
      </c>
      <c r="F5459" t="inlineStr">
        <is>
          <t>#KALK!</t>
        </is>
      </c>
      <c r="G5459" t="inlineStr">
        <is>
          <t>LASTSCHUETZ</t>
        </is>
      </c>
      <c r="H5459" t="inlineStr">
        <is>
          <t>4kW 1S Federzugkl.</t>
        </is>
      </c>
      <c r="I5459">
        <v>163</v>
      </c>
      <c r="J5459">
        <f>GS65/25.2</f>
        <v>0</v>
      </c>
      <c r="M5459" t="inlineStr">
        <is>
          <t>-25Q1</t>
        </is>
      </c>
    </row>
    <row r="5460">
      <c r="A5460">
        <v>5459</v>
      </c>
      <c r="B5460">
        <f>GS80</f>
        <v>0</v>
      </c>
      <c r="C5460" t="inlineStr">
        <is>
          <t>+LS05</t>
        </is>
      </c>
      <c r="D5460" t="inlineStr">
        <is>
          <t>-25Q1</t>
        </is>
      </c>
      <c r="E5460" t="inlineStr">
        <is>
          <t>DILM-9-10</t>
        </is>
      </c>
      <c r="F5460" t="inlineStr">
        <is>
          <t>#KALK!</t>
        </is>
      </c>
      <c r="G5460" t="inlineStr">
        <is>
          <t>LASTSCHUETZ</t>
        </is>
      </c>
      <c r="H5460" t="inlineStr">
        <is>
          <t>4kW 1S Federzugkl.</t>
        </is>
      </c>
      <c r="I5460">
        <v>163</v>
      </c>
      <c r="J5460">
        <f>GS80/25.2</f>
        <v>0</v>
      </c>
      <c r="M5460" t="inlineStr">
        <is>
          <t>-25Q1</t>
        </is>
      </c>
    </row>
    <row r="5461">
      <c r="A5461">
        <v>5460</v>
      </c>
      <c r="B5461">
        <f>GS80</f>
        <v>0</v>
      </c>
      <c r="C5461" t="inlineStr">
        <is>
          <t>+LS04</t>
        </is>
      </c>
      <c r="D5461" t="inlineStr">
        <is>
          <t>-25Q1</t>
        </is>
      </c>
      <c r="E5461" t="inlineStr">
        <is>
          <t>DILM-9-10</t>
        </is>
      </c>
      <c r="F5461" t="inlineStr">
        <is>
          <t>#KALK!</t>
        </is>
      </c>
      <c r="G5461" t="inlineStr">
        <is>
          <t>LASTSCHUETZ</t>
        </is>
      </c>
      <c r="H5461" t="inlineStr">
        <is>
          <t>4kW 1S Federzugkl.</t>
        </is>
      </c>
      <c r="I5461">
        <v>160</v>
      </c>
      <c r="J5461">
        <f>GS80/25.2</f>
        <v>0</v>
      </c>
      <c r="M5461" t="inlineStr">
        <is>
          <t>-25Q1</t>
        </is>
      </c>
    </row>
    <row r="5462">
      <c r="A5462">
        <v>5461</v>
      </c>
      <c r="B5462">
        <f>GS65</f>
        <v>0</v>
      </c>
      <c r="C5462" t="inlineStr">
        <is>
          <t>+LS081</t>
        </is>
      </c>
      <c r="D5462" t="inlineStr">
        <is>
          <t>-25Q2</t>
        </is>
      </c>
      <c r="E5462" t="inlineStr">
        <is>
          <t>DILM-9-10</t>
        </is>
      </c>
      <c r="F5462" t="inlineStr">
        <is>
          <t>#KALK!</t>
        </is>
      </c>
      <c r="G5462" t="inlineStr">
        <is>
          <t>LASTSCHUETZ</t>
        </is>
      </c>
      <c r="H5462" t="inlineStr">
        <is>
          <t>4kW 1S Federzugkl.</t>
        </is>
      </c>
      <c r="I5462">
        <v>163</v>
      </c>
      <c r="J5462">
        <f>GS65/25.3</f>
        <v>0</v>
      </c>
      <c r="M5462" t="inlineStr">
        <is>
          <t>-25Q2</t>
        </is>
      </c>
    </row>
    <row r="5463">
      <c r="A5463">
        <v>5462</v>
      </c>
      <c r="B5463">
        <f>GS80</f>
        <v>0</v>
      </c>
      <c r="C5463" t="inlineStr">
        <is>
          <t>+LS05</t>
        </is>
      </c>
      <c r="D5463" t="inlineStr">
        <is>
          <t>-25Q2</t>
        </is>
      </c>
      <c r="E5463" t="inlineStr">
        <is>
          <t>DILM-9-10</t>
        </is>
      </c>
      <c r="F5463" t="inlineStr">
        <is>
          <t>#KALK!</t>
        </is>
      </c>
      <c r="G5463" t="inlineStr">
        <is>
          <t>LASTSCHUETZ</t>
        </is>
      </c>
      <c r="H5463" t="inlineStr">
        <is>
          <t>4kW 1S Federzugkl.</t>
        </is>
      </c>
      <c r="I5463">
        <v>163</v>
      </c>
      <c r="J5463">
        <f>GS80/25.3</f>
        <v>0</v>
      </c>
      <c r="M5463" t="inlineStr">
        <is>
          <t>-25Q2</t>
        </is>
      </c>
    </row>
    <row r="5464">
      <c r="A5464">
        <v>5463</v>
      </c>
      <c r="B5464">
        <f>GS80</f>
        <v>0</v>
      </c>
      <c r="C5464" t="inlineStr">
        <is>
          <t>+LS04</t>
        </is>
      </c>
      <c r="D5464" t="inlineStr">
        <is>
          <t>-25Q2</t>
        </is>
      </c>
      <c r="E5464" t="inlineStr">
        <is>
          <t>DILM-9-10</t>
        </is>
      </c>
      <c r="F5464" t="inlineStr">
        <is>
          <t>#KALK!</t>
        </is>
      </c>
      <c r="G5464" t="inlineStr">
        <is>
          <t>LASTSCHUETZ</t>
        </is>
      </c>
      <c r="H5464" t="inlineStr">
        <is>
          <t>4kW 1S Federzugkl.</t>
        </is>
      </c>
      <c r="I5464">
        <v>160</v>
      </c>
      <c r="J5464">
        <f>GS80/25.3</f>
        <v>0</v>
      </c>
      <c r="M5464" t="inlineStr">
        <is>
          <t>-25Q2</t>
        </is>
      </c>
    </row>
    <row r="5465">
      <c r="A5465">
        <v>5464</v>
      </c>
      <c r="B5465">
        <f>GS8x</f>
        <v>0</v>
      </c>
      <c r="C5465" t="inlineStr">
        <is>
          <t>+LS</t>
        </is>
      </c>
      <c r="D5465" t="inlineStr">
        <is>
          <t>-25Q3</t>
        </is>
      </c>
      <c r="E5465" t="inlineStr">
        <is>
          <t>DILM-9-10</t>
        </is>
      </c>
      <c r="F5465" t="inlineStr">
        <is>
          <t>#KALK!</t>
        </is>
      </c>
      <c r="G5465" t="inlineStr">
        <is>
          <t>LASTSCHUETZ</t>
        </is>
      </c>
      <c r="H5465" t="inlineStr">
        <is>
          <t>4kW 1S Federzugkl.</t>
        </is>
      </c>
      <c r="I5465">
        <v>170</v>
      </c>
      <c r="J5465">
        <f>GS8x/25.5</f>
        <v>0</v>
      </c>
      <c r="M5465" t="inlineStr">
        <is>
          <t>-25Q3</t>
        </is>
      </c>
    </row>
    <row r="5466">
      <c r="A5466">
        <v>5465</v>
      </c>
      <c r="B5466">
        <f>GS40</f>
        <v>0</v>
      </c>
      <c r="C5466" t="inlineStr">
        <is>
          <t>+LS[ll]</t>
        </is>
      </c>
      <c r="D5466" t="inlineStr">
        <is>
          <t>-25Q4</t>
        </is>
      </c>
      <c r="E5466" t="inlineStr">
        <is>
          <t>DILM-9-10</t>
        </is>
      </c>
      <c r="F5466" t="inlineStr">
        <is>
          <t>#KALK!</t>
        </is>
      </c>
      <c r="G5466" t="inlineStr">
        <is>
          <t>LASTSCHUETZ</t>
        </is>
      </c>
      <c r="H5466" t="inlineStr">
        <is>
          <t>4kW 1S Federzugkl.</t>
        </is>
      </c>
      <c r="I5466">
        <v>200</v>
      </c>
      <c r="J5466">
        <f>GS40/25.5</f>
        <v>0</v>
      </c>
      <c r="M5466" t="inlineStr">
        <is>
          <t>-25Q4</t>
        </is>
      </c>
    </row>
    <row r="5467">
      <c r="A5467">
        <v>5466</v>
      </c>
      <c r="B5467">
        <f>GS44</f>
        <v>0</v>
      </c>
      <c r="C5467" t="inlineStr">
        <is>
          <t>+LS[ll]</t>
        </is>
      </c>
      <c r="D5467" t="inlineStr">
        <is>
          <t>-25Q4</t>
        </is>
      </c>
      <c r="E5467" t="inlineStr">
        <is>
          <t>DILM-9-10</t>
        </is>
      </c>
      <c r="F5467" t="inlineStr">
        <is>
          <t>#KALK!</t>
        </is>
      </c>
      <c r="G5467" t="inlineStr">
        <is>
          <t>LASTSCHUETZ</t>
        </is>
      </c>
      <c r="H5467" t="inlineStr">
        <is>
          <t>4kW 1S Federzugkl.</t>
        </is>
      </c>
      <c r="I5467">
        <v>212</v>
      </c>
      <c r="J5467">
        <f>GS44/25.5</f>
        <v>0</v>
      </c>
      <c r="M5467" t="inlineStr">
        <is>
          <t>-25Q4</t>
        </is>
      </c>
    </row>
    <row r="5468">
      <c r="A5468">
        <v>5467</v>
      </c>
      <c r="B5468">
        <f>GS45</f>
        <v>0</v>
      </c>
      <c r="C5468" t="inlineStr">
        <is>
          <t>+LS</t>
        </is>
      </c>
      <c r="D5468" t="inlineStr">
        <is>
          <t>-25Q4</t>
        </is>
      </c>
      <c r="E5468" t="inlineStr">
        <is>
          <t>DILM-9-10</t>
        </is>
      </c>
      <c r="F5468" t="inlineStr">
        <is>
          <t>#KALK!</t>
        </is>
      </c>
      <c r="G5468" t="inlineStr">
        <is>
          <t>LASTSCHUETZ</t>
        </is>
      </c>
      <c r="H5468" t="inlineStr">
        <is>
          <t>4kW 1S Federzugkl.</t>
        </is>
      </c>
      <c r="I5468">
        <v>172</v>
      </c>
      <c r="J5468">
        <f>GS45/25.5</f>
        <v>0</v>
      </c>
      <c r="M5468" t="inlineStr">
        <is>
          <t>-25Q4</t>
        </is>
      </c>
    </row>
    <row r="5469">
      <c r="A5469">
        <v>5468</v>
      </c>
      <c r="B5469">
        <f>GS05</f>
        <v>0</v>
      </c>
      <c r="C5469" t="inlineStr">
        <is>
          <t>+ES02</t>
        </is>
      </c>
      <c r="D5469" t="inlineStr">
        <is>
          <t>-26.1K1</t>
        </is>
      </c>
      <c r="E5469" t="inlineStr">
        <is>
          <t>DILA-40</t>
        </is>
      </c>
      <c r="F5469" t="inlineStr">
        <is>
          <t>DILA-XHIC31</t>
        </is>
      </c>
      <c r="G5469" t="inlineStr">
        <is>
          <t>HILFSSCHUETZ</t>
        </is>
      </c>
      <c r="H5469" t="inlineStr">
        <is>
          <t>4S Federzugkl.</t>
        </is>
      </c>
      <c r="I5469">
        <v>427</v>
      </c>
      <c r="J5469">
        <f>GS05/26.1.4</f>
        <v>0</v>
      </c>
      <c r="M5469" t="inlineStr">
        <is>
          <t>-26.1K1</t>
        </is>
      </c>
    </row>
    <row r="5470">
      <c r="A5470">
        <v>5469</v>
      </c>
      <c r="B5470">
        <f>GS05</f>
        <v>0</v>
      </c>
      <c r="C5470" t="inlineStr">
        <is>
          <t>+ES02</t>
        </is>
      </c>
      <c r="D5470" t="inlineStr">
        <is>
          <t>-26.1K1</t>
        </is>
      </c>
      <c r="E5470" t="inlineStr">
        <is>
          <t>DILA-XHIC31</t>
        </is>
      </c>
      <c r="F5470" t="inlineStr">
        <is>
          <t>DILA-XHIC31</t>
        </is>
      </c>
      <c r="G5470" t="inlineStr">
        <is>
          <t>HILFSKONTAKTBLOCK</t>
        </is>
      </c>
      <c r="H5470" t="inlineStr">
        <is>
          <t>3S 1OE Last+Hilfssch. Cage</t>
        </is>
      </c>
      <c r="I5470">
        <v>427</v>
      </c>
      <c r="J5470">
        <f>GS05/26.1.4</f>
        <v>0</v>
      </c>
      <c r="M5470" t="inlineStr">
        <is>
          <t>-26.1K1</t>
        </is>
      </c>
    </row>
    <row r="5471">
      <c r="A5471">
        <v>5470</v>
      </c>
      <c r="B5471">
        <f>GS06</f>
        <v>0</v>
      </c>
      <c r="C5471" t="inlineStr">
        <is>
          <t>+ES02</t>
        </is>
      </c>
      <c r="D5471" t="inlineStr">
        <is>
          <t>-26.1K1</t>
        </is>
      </c>
      <c r="E5471" t="inlineStr">
        <is>
          <t>DILA-40</t>
        </is>
      </c>
      <c r="F5471" t="inlineStr">
        <is>
          <t>DILA-XHIC31</t>
        </is>
      </c>
      <c r="G5471" t="inlineStr">
        <is>
          <t>HILFSSCHUETZ</t>
        </is>
      </c>
      <c r="H5471" t="inlineStr">
        <is>
          <t>4S Federzugkl.</t>
        </is>
      </c>
      <c r="I5471">
        <v>427</v>
      </c>
      <c r="J5471">
        <f>GS06/26.1.4</f>
        <v>0</v>
      </c>
      <c r="M5471" t="inlineStr">
        <is>
          <t>-26.1K1</t>
        </is>
      </c>
    </row>
    <row r="5472">
      <c r="A5472">
        <v>5471</v>
      </c>
      <c r="B5472">
        <f>GS06</f>
        <v>0</v>
      </c>
      <c r="C5472" t="inlineStr">
        <is>
          <t>+ES02</t>
        </is>
      </c>
      <c r="D5472" t="inlineStr">
        <is>
          <t>-26.1K1</t>
        </is>
      </c>
      <c r="E5472" t="inlineStr">
        <is>
          <t>DILA-XHIC31</t>
        </is>
      </c>
      <c r="F5472" t="inlineStr">
        <is>
          <t>DILA-XHIC31</t>
        </is>
      </c>
      <c r="G5472" t="inlineStr">
        <is>
          <t>HILFSKONTAKTBLOCK</t>
        </is>
      </c>
      <c r="H5472" t="inlineStr">
        <is>
          <t>3S 1OE Last+Hilfssch. Cage</t>
        </is>
      </c>
      <c r="I5472">
        <v>427</v>
      </c>
      <c r="J5472">
        <f>GS06/26.1.4</f>
        <v>0</v>
      </c>
      <c r="M5472" t="inlineStr">
        <is>
          <t>-26.1K1</t>
        </is>
      </c>
    </row>
    <row r="5473">
      <c r="A5473">
        <v>5472</v>
      </c>
      <c r="B5473">
        <f>GS08</f>
        <v>0</v>
      </c>
      <c r="C5473" t="inlineStr">
        <is>
          <t>+ES02</t>
        </is>
      </c>
      <c r="D5473" t="inlineStr">
        <is>
          <t>-26.1K1</t>
        </is>
      </c>
      <c r="E5473" t="inlineStr">
        <is>
          <t>DILA-XHIC31</t>
        </is>
      </c>
      <c r="F5473" t="inlineStr">
        <is>
          <t>DILA-XHIC31</t>
        </is>
      </c>
      <c r="G5473" t="inlineStr">
        <is>
          <t>HILFSKONTAKTBLOCK</t>
        </is>
      </c>
      <c r="H5473" t="inlineStr">
        <is>
          <t>3S 1OE Last+Hilfssch. Cage</t>
        </is>
      </c>
      <c r="I5473">
        <v>419</v>
      </c>
      <c r="J5473">
        <f>GS08/26.1.4</f>
        <v>0</v>
      </c>
      <c r="M5473" t="inlineStr">
        <is>
          <t>-26.1K1</t>
        </is>
      </c>
    </row>
    <row r="5474">
      <c r="A5474">
        <v>5473</v>
      </c>
      <c r="B5474">
        <f>GS08</f>
        <v>0</v>
      </c>
      <c r="C5474" t="inlineStr">
        <is>
          <t>+ES02</t>
        </is>
      </c>
      <c r="D5474" t="inlineStr">
        <is>
          <t>-26.1K1</t>
        </is>
      </c>
      <c r="E5474" t="inlineStr">
        <is>
          <t>DILA-40</t>
        </is>
      </c>
      <c r="F5474" t="inlineStr">
        <is>
          <t>DILA-XHIC31</t>
        </is>
      </c>
      <c r="G5474" t="inlineStr">
        <is>
          <t>HILFSSCHUETZ</t>
        </is>
      </c>
      <c r="H5474" t="inlineStr">
        <is>
          <t>4S Federzugkl.</t>
        </is>
      </c>
      <c r="I5474">
        <v>419</v>
      </c>
      <c r="J5474">
        <f>GS08/26.1.4</f>
        <v>0</v>
      </c>
      <c r="M5474" t="inlineStr">
        <is>
          <t>-26.1K1</t>
        </is>
      </c>
    </row>
    <row r="5475">
      <c r="A5475">
        <v>5474</v>
      </c>
      <c r="B5475">
        <f>GS51</f>
        <v>0</v>
      </c>
      <c r="C5475" t="inlineStr">
        <is>
          <t>+ES02</t>
        </is>
      </c>
      <c r="D5475" t="inlineStr">
        <is>
          <t>-26.1K1</t>
        </is>
      </c>
      <c r="E5475" t="inlineStr">
        <is>
          <t>DILA-XHIC31</t>
        </is>
      </c>
      <c r="F5475" t="inlineStr">
        <is>
          <t>DILA-XHIC31</t>
        </is>
      </c>
      <c r="G5475" t="inlineStr">
        <is>
          <t>HILFSKONTAKTBLOCK</t>
        </is>
      </c>
      <c r="H5475" t="inlineStr">
        <is>
          <t>3S 1OE Last+Hilfssch. Cage</t>
        </is>
      </c>
      <c r="I5475">
        <v>229</v>
      </c>
      <c r="J5475">
        <f>GS51/26.1.4</f>
        <v>0</v>
      </c>
      <c r="M5475" t="inlineStr">
        <is>
          <t>-26.1K1</t>
        </is>
      </c>
    </row>
    <row r="5476">
      <c r="A5476">
        <v>5475</v>
      </c>
      <c r="B5476">
        <f>GS51</f>
        <v>0</v>
      </c>
      <c r="C5476" t="inlineStr">
        <is>
          <t>+ES02</t>
        </is>
      </c>
      <c r="D5476" t="inlineStr">
        <is>
          <t>-26.1K1</t>
        </is>
      </c>
      <c r="E5476" t="inlineStr">
        <is>
          <t>DILA-40</t>
        </is>
      </c>
      <c r="F5476" t="inlineStr">
        <is>
          <t>DILA-XHIC31</t>
        </is>
      </c>
      <c r="G5476" t="inlineStr">
        <is>
          <t>HILFSSCHUETZ</t>
        </is>
      </c>
      <c r="H5476" t="inlineStr">
        <is>
          <t>4S Federzugkl.</t>
        </is>
      </c>
      <c r="I5476">
        <v>229</v>
      </c>
      <c r="J5476">
        <f>GS51/26.1.4</f>
        <v>0</v>
      </c>
      <c r="M5476" t="inlineStr">
        <is>
          <t>-26.1K1</t>
        </is>
      </c>
    </row>
    <row r="5477">
      <c r="A5477">
        <v>5476</v>
      </c>
      <c r="B5477">
        <f>GS55</f>
        <v>0</v>
      </c>
      <c r="C5477" t="inlineStr">
        <is>
          <t>+ES02</t>
        </is>
      </c>
      <c r="D5477" t="inlineStr">
        <is>
          <t>-26.1K1</t>
        </is>
      </c>
      <c r="E5477" t="inlineStr">
        <is>
          <t>DILA-40</t>
        </is>
      </c>
      <c r="F5477" t="inlineStr">
        <is>
          <t>DILA-XHIC31</t>
        </is>
      </c>
      <c r="G5477" t="inlineStr">
        <is>
          <t>HILFSSCHUETZ</t>
        </is>
      </c>
      <c r="H5477" t="inlineStr">
        <is>
          <t>4S Federzugkl.</t>
        </is>
      </c>
      <c r="I5477">
        <v>260</v>
      </c>
      <c r="J5477">
        <f>GS55/26.1.4</f>
        <v>0</v>
      </c>
      <c r="M5477" t="inlineStr">
        <is>
          <t>-26.1K1</t>
        </is>
      </c>
    </row>
    <row r="5478">
      <c r="A5478">
        <v>5477</v>
      </c>
      <c r="B5478">
        <f>GS55</f>
        <v>0</v>
      </c>
      <c r="C5478" t="inlineStr">
        <is>
          <t>+ES02</t>
        </is>
      </c>
      <c r="D5478" t="inlineStr">
        <is>
          <t>-26.1K1</t>
        </is>
      </c>
      <c r="E5478" t="inlineStr">
        <is>
          <t>DILA-XHIC31</t>
        </is>
      </c>
      <c r="F5478" t="inlineStr">
        <is>
          <t>DILA-XHIC31</t>
        </is>
      </c>
      <c r="G5478" t="inlineStr">
        <is>
          <t>HILFSKONTAKTBLOCK</t>
        </is>
      </c>
      <c r="H5478" t="inlineStr">
        <is>
          <t>3S 1OE Last+Hilfssch. Cage</t>
        </is>
      </c>
      <c r="I5478">
        <v>260</v>
      </c>
      <c r="J5478">
        <f>GS55/26.1.4</f>
        <v>0</v>
      </c>
      <c r="M5478" t="inlineStr">
        <is>
          <t>-26.1K1</t>
        </is>
      </c>
    </row>
    <row r="5479">
      <c r="A5479">
        <v>5478</v>
      </c>
      <c r="B5479">
        <f>GS91</f>
        <v>0</v>
      </c>
      <c r="C5479" t="inlineStr">
        <is>
          <t>+ES02</t>
        </is>
      </c>
      <c r="D5479" t="inlineStr">
        <is>
          <t>-26.1K1</t>
        </is>
      </c>
      <c r="E5479" t="inlineStr">
        <is>
          <t>DILA-40</t>
        </is>
      </c>
      <c r="F5479" t="inlineStr">
        <is>
          <t>DILA-XHIC31</t>
        </is>
      </c>
      <c r="G5479" t="inlineStr">
        <is>
          <t>HILFSSCHUETZ</t>
        </is>
      </c>
      <c r="H5479" t="inlineStr">
        <is>
          <t>4S Federzugkl.</t>
        </is>
      </c>
      <c r="I5479">
        <v>170</v>
      </c>
      <c r="J5479">
        <f>GS91/26.1.2</f>
        <v>0</v>
      </c>
      <c r="M5479" t="inlineStr">
        <is>
          <t>-26.1K1</t>
        </is>
      </c>
    </row>
    <row r="5480">
      <c r="A5480">
        <v>5479</v>
      </c>
      <c r="B5480">
        <f>GS91</f>
        <v>0</v>
      </c>
      <c r="C5480" t="inlineStr">
        <is>
          <t>+ES02</t>
        </is>
      </c>
      <c r="D5480" t="inlineStr">
        <is>
          <t>-26.1K1</t>
        </is>
      </c>
      <c r="E5480" t="inlineStr">
        <is>
          <t>DILA-XHIC31</t>
        </is>
      </c>
      <c r="F5480" t="inlineStr">
        <is>
          <t>DILA-XHIC31</t>
        </is>
      </c>
      <c r="G5480" t="inlineStr">
        <is>
          <t>HILFSKONTAKTBLOCK</t>
        </is>
      </c>
      <c r="H5480" t="inlineStr">
        <is>
          <t>3S 1OE Last+Hilfssch. Cage</t>
        </is>
      </c>
      <c r="I5480">
        <v>170</v>
      </c>
      <c r="J5480">
        <f>GS91/26.1.2</f>
        <v>0</v>
      </c>
      <c r="M5480" t="inlineStr">
        <is>
          <t>-26.1K1</t>
        </is>
      </c>
    </row>
    <row r="5481">
      <c r="A5481">
        <v>5480</v>
      </c>
      <c r="B5481">
        <f>GS05</f>
        <v>0</v>
      </c>
      <c r="C5481" t="inlineStr">
        <is>
          <t>+ES02</t>
        </is>
      </c>
      <c r="D5481" t="inlineStr">
        <is>
          <t>-26.1K2</t>
        </is>
      </c>
      <c r="E5481" t="inlineStr">
        <is>
          <t>DILA-40</t>
        </is>
      </c>
      <c r="F5481" t="inlineStr">
        <is>
          <t>DILA-XHIC31</t>
        </is>
      </c>
      <c r="G5481" t="inlineStr">
        <is>
          <t>HILFSSCHUETZ</t>
        </is>
      </c>
      <c r="H5481" t="inlineStr">
        <is>
          <t>4S Federzugkl.</t>
        </is>
      </c>
      <c r="I5481">
        <v>427</v>
      </c>
      <c r="J5481">
        <f>GS05/26.1.5</f>
        <v>0</v>
      </c>
      <c r="M5481" t="inlineStr">
        <is>
          <t>-26.1K2</t>
        </is>
      </c>
    </row>
    <row r="5482">
      <c r="A5482">
        <v>5481</v>
      </c>
      <c r="B5482">
        <f>GS05</f>
        <v>0</v>
      </c>
      <c r="C5482" t="inlineStr">
        <is>
          <t>+ES02</t>
        </is>
      </c>
      <c r="D5482" t="inlineStr">
        <is>
          <t>-26.1K2</t>
        </is>
      </c>
      <c r="E5482" t="inlineStr">
        <is>
          <t>DILA-XHIC31</t>
        </is>
      </c>
      <c r="F5482" t="inlineStr">
        <is>
          <t>DILA-XHIC31</t>
        </is>
      </c>
      <c r="G5482" t="inlineStr">
        <is>
          <t>HILFSKONTAKTBLOCK</t>
        </is>
      </c>
      <c r="H5482" t="inlineStr">
        <is>
          <t>3S 1OE Last+Hilfssch. Cage</t>
        </is>
      </c>
      <c r="I5482">
        <v>427</v>
      </c>
      <c r="J5482">
        <f>GS05/26.1.5</f>
        <v>0</v>
      </c>
      <c r="M5482" t="inlineStr">
        <is>
          <t>-26.1K2</t>
        </is>
      </c>
    </row>
    <row r="5483">
      <c r="A5483">
        <v>5482</v>
      </c>
      <c r="B5483">
        <f>GS06</f>
        <v>0</v>
      </c>
      <c r="C5483" t="inlineStr">
        <is>
          <t>+ES02</t>
        </is>
      </c>
      <c r="D5483" t="inlineStr">
        <is>
          <t>-26.1K2</t>
        </is>
      </c>
      <c r="E5483" t="inlineStr">
        <is>
          <t>DILA-40</t>
        </is>
      </c>
      <c r="F5483" t="inlineStr">
        <is>
          <t>DILA-XHIC31</t>
        </is>
      </c>
      <c r="G5483" t="inlineStr">
        <is>
          <t>HILFSSCHUETZ</t>
        </is>
      </c>
      <c r="H5483" t="inlineStr">
        <is>
          <t>4S Federzugkl.</t>
        </is>
      </c>
      <c r="I5483">
        <v>427</v>
      </c>
      <c r="J5483">
        <f>GS06/26.1.5</f>
        <v>0</v>
      </c>
      <c r="M5483" t="inlineStr">
        <is>
          <t>-26.1K2</t>
        </is>
      </c>
    </row>
    <row r="5484">
      <c r="A5484">
        <v>5483</v>
      </c>
      <c r="B5484">
        <f>GS06</f>
        <v>0</v>
      </c>
      <c r="C5484" t="inlineStr">
        <is>
          <t>+ES02</t>
        </is>
      </c>
      <c r="D5484" t="inlineStr">
        <is>
          <t>-26.1K2</t>
        </is>
      </c>
      <c r="E5484" t="inlineStr">
        <is>
          <t>DILA-XHIC31</t>
        </is>
      </c>
      <c r="F5484" t="inlineStr">
        <is>
          <t>DILA-XHIC31</t>
        </is>
      </c>
      <c r="G5484" t="inlineStr">
        <is>
          <t>HILFSKONTAKTBLOCK</t>
        </is>
      </c>
      <c r="H5484" t="inlineStr">
        <is>
          <t>3S 1OE Last+Hilfssch. Cage</t>
        </is>
      </c>
      <c r="I5484">
        <v>427</v>
      </c>
      <c r="J5484">
        <f>GS06/26.1.5</f>
        <v>0</v>
      </c>
      <c r="M5484" t="inlineStr">
        <is>
          <t>-26.1K2</t>
        </is>
      </c>
    </row>
    <row r="5485">
      <c r="A5485">
        <v>5484</v>
      </c>
      <c r="B5485">
        <f>GS08</f>
        <v>0</v>
      </c>
      <c r="C5485" t="inlineStr">
        <is>
          <t>+ES02</t>
        </is>
      </c>
      <c r="D5485" t="inlineStr">
        <is>
          <t>-26.1K2</t>
        </is>
      </c>
      <c r="E5485" t="inlineStr">
        <is>
          <t>DILA-XHIC31</t>
        </is>
      </c>
      <c r="F5485" t="inlineStr">
        <is>
          <t>DILA-XHIC31</t>
        </is>
      </c>
      <c r="G5485" t="inlineStr">
        <is>
          <t>HILFSKONTAKTBLOCK</t>
        </is>
      </c>
      <c r="H5485" t="inlineStr">
        <is>
          <t>3S 1OE Last+Hilfssch. Cage</t>
        </is>
      </c>
      <c r="I5485">
        <v>419</v>
      </c>
      <c r="J5485">
        <f>GS08/26.1.5</f>
        <v>0</v>
      </c>
      <c r="M5485" t="inlineStr">
        <is>
          <t>-26.1K2</t>
        </is>
      </c>
    </row>
    <row r="5486">
      <c r="A5486">
        <v>5485</v>
      </c>
      <c r="B5486">
        <f>GS08</f>
        <v>0</v>
      </c>
      <c r="C5486" t="inlineStr">
        <is>
          <t>+ES02</t>
        </is>
      </c>
      <c r="D5486" t="inlineStr">
        <is>
          <t>-26.1K2</t>
        </is>
      </c>
      <c r="E5486" t="inlineStr">
        <is>
          <t>DILA-40</t>
        </is>
      </c>
      <c r="F5486" t="inlineStr">
        <is>
          <t>DILA-XHIC31</t>
        </is>
      </c>
      <c r="G5486" t="inlineStr">
        <is>
          <t>HILFSSCHUETZ</t>
        </is>
      </c>
      <c r="H5486" t="inlineStr">
        <is>
          <t>4S Federzugkl.</t>
        </is>
      </c>
      <c r="I5486">
        <v>419</v>
      </c>
      <c r="J5486">
        <f>GS08/26.1.5</f>
        <v>0</v>
      </c>
      <c r="M5486" t="inlineStr">
        <is>
          <t>-26.1K2</t>
        </is>
      </c>
    </row>
    <row r="5487">
      <c r="A5487">
        <v>5486</v>
      </c>
      <c r="B5487">
        <f>GS51</f>
        <v>0</v>
      </c>
      <c r="C5487" t="inlineStr">
        <is>
          <t>+ES02</t>
        </is>
      </c>
      <c r="D5487" t="inlineStr">
        <is>
          <t>-26.1K2</t>
        </is>
      </c>
      <c r="E5487" t="inlineStr">
        <is>
          <t>DILA-XHIC31</t>
        </is>
      </c>
      <c r="F5487" t="inlineStr">
        <is>
          <t>DILA-XHIC31</t>
        </is>
      </c>
      <c r="G5487" t="inlineStr">
        <is>
          <t>HILFSKONTAKTBLOCK</t>
        </is>
      </c>
      <c r="H5487" t="inlineStr">
        <is>
          <t>3S 1OE Last+Hilfssch. Cage</t>
        </is>
      </c>
      <c r="I5487">
        <v>229</v>
      </c>
      <c r="J5487">
        <f>GS51/26.1.5</f>
        <v>0</v>
      </c>
      <c r="M5487" t="inlineStr">
        <is>
          <t>-26.1K2</t>
        </is>
      </c>
    </row>
    <row r="5488">
      <c r="A5488">
        <v>5487</v>
      </c>
      <c r="B5488">
        <f>GS51</f>
        <v>0</v>
      </c>
      <c r="C5488" t="inlineStr">
        <is>
          <t>+ES02</t>
        </is>
      </c>
      <c r="D5488" t="inlineStr">
        <is>
          <t>-26.1K2</t>
        </is>
      </c>
      <c r="E5488" t="inlineStr">
        <is>
          <t>DILA-40</t>
        </is>
      </c>
      <c r="F5488" t="inlineStr">
        <is>
          <t>DILA-XHIC31</t>
        </is>
      </c>
      <c r="G5488" t="inlineStr">
        <is>
          <t>HILFSSCHUETZ</t>
        </is>
      </c>
      <c r="H5488" t="inlineStr">
        <is>
          <t>4S Federzugkl.</t>
        </is>
      </c>
      <c r="I5488">
        <v>229</v>
      </c>
      <c r="J5488">
        <f>GS51/26.1.5</f>
        <v>0</v>
      </c>
      <c r="M5488" t="inlineStr">
        <is>
          <t>-26.1K2</t>
        </is>
      </c>
    </row>
    <row r="5489">
      <c r="A5489">
        <v>5488</v>
      </c>
      <c r="B5489">
        <f>GS55</f>
        <v>0</v>
      </c>
      <c r="C5489" t="inlineStr">
        <is>
          <t>+ES02</t>
        </is>
      </c>
      <c r="D5489" t="inlineStr">
        <is>
          <t>-26.1K2</t>
        </is>
      </c>
      <c r="E5489" t="inlineStr">
        <is>
          <t>DILA-40</t>
        </is>
      </c>
      <c r="F5489" t="inlineStr">
        <is>
          <t>DILA-XHIC31</t>
        </is>
      </c>
      <c r="G5489" t="inlineStr">
        <is>
          <t>HILFSSCHUETZ</t>
        </is>
      </c>
      <c r="H5489" t="inlineStr">
        <is>
          <t>4S Federzugkl.</t>
        </is>
      </c>
      <c r="I5489">
        <v>260</v>
      </c>
      <c r="J5489">
        <f>GS55/26.1.5</f>
        <v>0</v>
      </c>
      <c r="M5489" t="inlineStr">
        <is>
          <t>-26.1K2</t>
        </is>
      </c>
    </row>
    <row r="5490">
      <c r="A5490">
        <v>5489</v>
      </c>
      <c r="B5490">
        <f>GS55</f>
        <v>0</v>
      </c>
      <c r="C5490" t="inlineStr">
        <is>
          <t>+ES02</t>
        </is>
      </c>
      <c r="D5490" t="inlineStr">
        <is>
          <t>-26.1K2</t>
        </is>
      </c>
      <c r="E5490" t="inlineStr">
        <is>
          <t>DILA-XHIC31</t>
        </is>
      </c>
      <c r="F5490" t="inlineStr">
        <is>
          <t>DILA-XHIC31</t>
        </is>
      </c>
      <c r="G5490" t="inlineStr">
        <is>
          <t>HILFSKONTAKTBLOCK</t>
        </is>
      </c>
      <c r="H5490" t="inlineStr">
        <is>
          <t>3S 1OE Last+Hilfssch. Cage</t>
        </is>
      </c>
      <c r="I5490">
        <v>260</v>
      </c>
      <c r="J5490">
        <f>GS55/26.1.5</f>
        <v>0</v>
      </c>
      <c r="M5490" t="inlineStr">
        <is>
          <t>-26.1K2</t>
        </is>
      </c>
    </row>
    <row r="5491">
      <c r="A5491">
        <v>5490</v>
      </c>
      <c r="B5491">
        <f>GS91</f>
        <v>0</v>
      </c>
      <c r="C5491" t="inlineStr">
        <is>
          <t>+ES02</t>
        </is>
      </c>
      <c r="D5491" t="inlineStr">
        <is>
          <t>-26.1K2</t>
        </is>
      </c>
      <c r="E5491" t="inlineStr">
        <is>
          <t>DILA-40</t>
        </is>
      </c>
      <c r="F5491" t="inlineStr">
        <is>
          <t>DILA-XHIC31</t>
        </is>
      </c>
      <c r="G5491" t="inlineStr">
        <is>
          <t>HILFSSCHUETZ</t>
        </is>
      </c>
      <c r="H5491" t="inlineStr">
        <is>
          <t>4S Federzugkl.</t>
        </is>
      </c>
      <c r="I5491">
        <v>170</v>
      </c>
      <c r="J5491">
        <f>GS91/26.1.3</f>
        <v>0</v>
      </c>
      <c r="M5491" t="inlineStr">
        <is>
          <t>-26.1K2</t>
        </is>
      </c>
    </row>
    <row r="5492">
      <c r="A5492">
        <v>5491</v>
      </c>
      <c r="B5492">
        <f>GS91</f>
        <v>0</v>
      </c>
      <c r="C5492" t="inlineStr">
        <is>
          <t>+ES02</t>
        </is>
      </c>
      <c r="D5492" t="inlineStr">
        <is>
          <t>-26.1K2</t>
        </is>
      </c>
      <c r="E5492" t="inlineStr">
        <is>
          <t>DILA-XHIC31</t>
        </is>
      </c>
      <c r="F5492" t="inlineStr">
        <is>
          <t>DILA-XHIC31</t>
        </is>
      </c>
      <c r="G5492" t="inlineStr">
        <is>
          <t>HILFSKONTAKTBLOCK</t>
        </is>
      </c>
      <c r="H5492" t="inlineStr">
        <is>
          <t>3S 1OE Last+Hilfssch. Cage</t>
        </is>
      </c>
      <c r="I5492">
        <v>170</v>
      </c>
      <c r="J5492">
        <f>GS91/26.1.3</f>
        <v>0</v>
      </c>
      <c r="M5492" t="inlineStr">
        <is>
          <t>-26.1K2</t>
        </is>
      </c>
    </row>
    <row r="5493">
      <c r="A5493">
        <v>5492</v>
      </c>
      <c r="B5493">
        <f>GS05</f>
        <v>0</v>
      </c>
      <c r="C5493" t="inlineStr">
        <is>
          <t>+ES02</t>
        </is>
      </c>
      <c r="D5493" t="inlineStr">
        <is>
          <t>-26.1K3</t>
        </is>
      </c>
      <c r="E5493" t="inlineStr">
        <is>
          <t>DILA-40</t>
        </is>
      </c>
      <c r="F5493" t="inlineStr">
        <is>
          <t>DILA-XHIC31</t>
        </is>
      </c>
      <c r="G5493" t="inlineStr">
        <is>
          <t>HILFSSCHUETZ</t>
        </is>
      </c>
      <c r="H5493" t="inlineStr">
        <is>
          <t>4S Federzugkl.</t>
        </is>
      </c>
      <c r="I5493">
        <v>427</v>
      </c>
      <c r="J5493">
        <f>GS05/26.1.5</f>
        <v>0</v>
      </c>
      <c r="M5493" t="inlineStr">
        <is>
          <t>-26.1K3</t>
        </is>
      </c>
    </row>
    <row r="5494">
      <c r="A5494">
        <v>5493</v>
      </c>
      <c r="B5494">
        <f>GS05</f>
        <v>0</v>
      </c>
      <c r="C5494" t="inlineStr">
        <is>
          <t>+ES02</t>
        </is>
      </c>
      <c r="D5494" t="inlineStr">
        <is>
          <t>-26.1K3</t>
        </is>
      </c>
      <c r="E5494" t="inlineStr">
        <is>
          <t>DILA-XHIC31</t>
        </is>
      </c>
      <c r="F5494" t="inlineStr">
        <is>
          <t>DILA-XHIC31</t>
        </is>
      </c>
      <c r="G5494" t="inlineStr">
        <is>
          <t>HILFSKONTAKTBLOCK</t>
        </is>
      </c>
      <c r="H5494" t="inlineStr">
        <is>
          <t>3S 1OE Last+Hilfssch. Cage</t>
        </is>
      </c>
      <c r="I5494">
        <v>427</v>
      </c>
      <c r="J5494">
        <f>GS05/26.1.5</f>
        <v>0</v>
      </c>
      <c r="M5494" t="inlineStr">
        <is>
          <t>-26.1K3</t>
        </is>
      </c>
    </row>
    <row r="5495">
      <c r="A5495">
        <v>5494</v>
      </c>
      <c r="B5495">
        <f>GS55</f>
        <v>0</v>
      </c>
      <c r="C5495" t="inlineStr">
        <is>
          <t>+ES02</t>
        </is>
      </c>
      <c r="D5495" t="inlineStr">
        <is>
          <t>-26.1K3</t>
        </is>
      </c>
      <c r="E5495" t="inlineStr">
        <is>
          <t>DILA-40</t>
        </is>
      </c>
      <c r="F5495" t="inlineStr">
        <is>
          <t>DILA-XHIC31</t>
        </is>
      </c>
      <c r="G5495" t="inlineStr">
        <is>
          <t>HILFSSCHUETZ</t>
        </is>
      </c>
      <c r="H5495" t="inlineStr">
        <is>
          <t>4S Federzugkl.</t>
        </is>
      </c>
      <c r="I5495">
        <v>260</v>
      </c>
      <c r="J5495">
        <f>GS55/26.1.6</f>
        <v>0</v>
      </c>
      <c r="M5495" t="inlineStr">
        <is>
          <t>-26.1K3</t>
        </is>
      </c>
    </row>
    <row r="5496">
      <c r="A5496">
        <v>5495</v>
      </c>
      <c r="B5496">
        <f>GS55</f>
        <v>0</v>
      </c>
      <c r="C5496" t="inlineStr">
        <is>
          <t>+ES02</t>
        </is>
      </c>
      <c r="D5496" t="inlineStr">
        <is>
          <t>-26.1K3</t>
        </is>
      </c>
      <c r="E5496" t="inlineStr">
        <is>
          <t>DILA-XHIC31</t>
        </is>
      </c>
      <c r="F5496" t="inlineStr">
        <is>
          <t>DILA-XHIC31</t>
        </is>
      </c>
      <c r="G5496" t="inlineStr">
        <is>
          <t>HILFSKONTAKTBLOCK</t>
        </is>
      </c>
      <c r="H5496" t="inlineStr">
        <is>
          <t>3S 1OE Last+Hilfssch. Cage</t>
        </is>
      </c>
      <c r="I5496">
        <v>260</v>
      </c>
      <c r="J5496">
        <f>GS55/26.1.6</f>
        <v>0</v>
      </c>
      <c r="M5496" t="inlineStr">
        <is>
          <t>-26.1K3</t>
        </is>
      </c>
    </row>
    <row r="5497">
      <c r="A5497">
        <v>5496</v>
      </c>
      <c r="B5497">
        <f>GS05</f>
        <v>0</v>
      </c>
      <c r="C5497" t="inlineStr">
        <is>
          <t>+ES02</t>
        </is>
      </c>
      <c r="D5497" t="inlineStr">
        <is>
          <t>-26.1K4</t>
        </is>
      </c>
      <c r="E5497" t="inlineStr">
        <is>
          <t>DILA-40</t>
        </is>
      </c>
      <c r="F5497" t="inlineStr">
        <is>
          <t>DILA-XHIC31</t>
        </is>
      </c>
      <c r="G5497" t="inlineStr">
        <is>
          <t>HILFSSCHUETZ</t>
        </is>
      </c>
      <c r="H5497" t="inlineStr">
        <is>
          <t>4S Federzugkl.</t>
        </is>
      </c>
      <c r="I5497">
        <v>427</v>
      </c>
      <c r="J5497">
        <f>GS05/26.1.6</f>
        <v>0</v>
      </c>
      <c r="M5497" t="inlineStr">
        <is>
          <t>-26.1K4</t>
        </is>
      </c>
    </row>
    <row r="5498">
      <c r="A5498">
        <v>5497</v>
      </c>
      <c r="B5498">
        <f>GS05</f>
        <v>0</v>
      </c>
      <c r="C5498" t="inlineStr">
        <is>
          <t>+ES02</t>
        </is>
      </c>
      <c r="D5498" t="inlineStr">
        <is>
          <t>-26.1K4</t>
        </is>
      </c>
      <c r="E5498" t="inlineStr">
        <is>
          <t>DILA-XHIC31</t>
        </is>
      </c>
      <c r="F5498" t="inlineStr">
        <is>
          <t>DILA-XHIC31</t>
        </is>
      </c>
      <c r="G5498" t="inlineStr">
        <is>
          <t>HILFSKONTAKTBLOCK</t>
        </is>
      </c>
      <c r="H5498" t="inlineStr">
        <is>
          <t>3S 1OE Last+Hilfssch. Cage</t>
        </is>
      </c>
      <c r="I5498">
        <v>427</v>
      </c>
      <c r="J5498">
        <f>GS05/26.1.6</f>
        <v>0</v>
      </c>
      <c r="M5498" t="inlineStr">
        <is>
          <t>-26.1K4</t>
        </is>
      </c>
    </row>
    <row r="5499">
      <c r="A5499">
        <v>5498</v>
      </c>
      <c r="B5499">
        <f>GS55</f>
        <v>0</v>
      </c>
      <c r="C5499" t="inlineStr">
        <is>
          <t>+ES02</t>
        </is>
      </c>
      <c r="D5499" t="inlineStr">
        <is>
          <t>-26.1K4</t>
        </is>
      </c>
      <c r="E5499" t="inlineStr">
        <is>
          <t>DILA-40</t>
        </is>
      </c>
      <c r="F5499" t="inlineStr">
        <is>
          <t>DILA-XHIC31</t>
        </is>
      </c>
      <c r="G5499" t="inlineStr">
        <is>
          <t>HILFSSCHUETZ</t>
        </is>
      </c>
      <c r="H5499" t="inlineStr">
        <is>
          <t>4S Federzugkl.</t>
        </is>
      </c>
      <c r="I5499">
        <v>260</v>
      </c>
      <c r="J5499">
        <f>GS55/26.1.6</f>
        <v>0</v>
      </c>
      <c r="M5499" t="inlineStr">
        <is>
          <t>-26.1K4</t>
        </is>
      </c>
    </row>
    <row r="5500">
      <c r="A5500">
        <v>5499</v>
      </c>
      <c r="B5500">
        <f>GS55</f>
        <v>0</v>
      </c>
      <c r="C5500" t="inlineStr">
        <is>
          <t>+ES02</t>
        </is>
      </c>
      <c r="D5500" t="inlineStr">
        <is>
          <t>-26.1K4</t>
        </is>
      </c>
      <c r="E5500" t="inlineStr">
        <is>
          <t>DILA-XHIC31</t>
        </is>
      </c>
      <c r="F5500" t="inlineStr">
        <is>
          <t>DILA-XHIC31</t>
        </is>
      </c>
      <c r="G5500" t="inlineStr">
        <is>
          <t>HILFSKONTAKTBLOCK</t>
        </is>
      </c>
      <c r="H5500" t="inlineStr">
        <is>
          <t>3S 1OE Last+Hilfssch. Cage</t>
        </is>
      </c>
      <c r="I5500">
        <v>260</v>
      </c>
      <c r="J5500">
        <f>GS55/26.1.6</f>
        <v>0</v>
      </c>
      <c r="M5500" t="inlineStr">
        <is>
          <t>-26.1K4</t>
        </is>
      </c>
    </row>
    <row r="5501">
      <c r="A5501">
        <v>5500</v>
      </c>
      <c r="B5501">
        <f>GS13</f>
        <v>0</v>
      </c>
      <c r="C5501" t="inlineStr">
        <is>
          <t>+LS5</t>
        </is>
      </c>
      <c r="D5501" t="inlineStr">
        <is>
          <t>-26078.6</t>
        </is>
      </c>
      <c r="E5501" t="inlineStr">
        <is>
          <t>DIL_EM-10-G</t>
        </is>
      </c>
      <c r="F5501" t="inlineStr">
        <is>
          <t>#KALK!</t>
        </is>
      </c>
      <c r="G5501" t="inlineStr">
        <is>
          <t>LASTSCHUETZ</t>
        </is>
      </c>
      <c r="H5501" t="inlineStr">
        <is>
          <t>4kW 1S</t>
        </is>
      </c>
      <c r="I5501">
        <v>502</v>
      </c>
      <c r="J5501">
        <f>GS13/260.6</f>
        <v>0</v>
      </c>
      <c r="M5501" t="inlineStr">
        <is>
          <t>-26078.6</t>
        </is>
      </c>
    </row>
    <row r="5502">
      <c r="A5502">
        <v>5501</v>
      </c>
      <c r="B5502">
        <f>GS13</f>
        <v>0</v>
      </c>
      <c r="C5502" t="inlineStr">
        <is>
          <t>+LS5</t>
        </is>
      </c>
      <c r="D5502" t="inlineStr">
        <is>
          <t>-26078.7</t>
        </is>
      </c>
      <c r="E5502" t="inlineStr">
        <is>
          <t>DIL_EM-10-G</t>
        </is>
      </c>
      <c r="F5502" t="inlineStr">
        <is>
          <t>#KALK!</t>
        </is>
      </c>
      <c r="G5502" t="inlineStr">
        <is>
          <t>LASTSCHUETZ</t>
        </is>
      </c>
      <c r="H5502" t="inlineStr">
        <is>
          <t>4kW 1S</t>
        </is>
      </c>
      <c r="I5502">
        <v>502</v>
      </c>
      <c r="J5502">
        <f>GS13/260.6</f>
        <v>0</v>
      </c>
      <c r="M5502" t="inlineStr">
        <is>
          <t>-26078.7</t>
        </is>
      </c>
    </row>
    <row r="5503">
      <c r="A5503">
        <v>5502</v>
      </c>
      <c r="B5503">
        <f>GS34</f>
        <v>0</v>
      </c>
      <c r="C5503" t="inlineStr">
        <is>
          <t>+LS5</t>
        </is>
      </c>
      <c r="D5503" t="inlineStr">
        <is>
          <t>-260K1</t>
        </is>
      </c>
      <c r="E5503" t="inlineStr">
        <is>
          <t>DIL_EM-10-G</t>
        </is>
      </c>
      <c r="F5503" t="inlineStr">
        <is>
          <t>#KALK!</t>
        </is>
      </c>
      <c r="G5503" t="inlineStr">
        <is>
          <t>LASTSCHUETZ</t>
        </is>
      </c>
      <c r="H5503" t="inlineStr">
        <is>
          <t>4kW 1S</t>
        </is>
      </c>
      <c r="I5503">
        <v>384</v>
      </c>
      <c r="J5503">
        <f>GS34/260.5</f>
        <v>0</v>
      </c>
      <c r="M5503" t="inlineStr">
        <is>
          <t>-260K1</t>
        </is>
      </c>
    </row>
    <row r="5504">
      <c r="A5504">
        <v>5503</v>
      </c>
      <c r="B5504">
        <f>GC03</f>
        <v>0</v>
      </c>
      <c r="C5504" t="inlineStr">
        <is>
          <t>+LS6</t>
        </is>
      </c>
      <c r="D5504" t="inlineStr">
        <is>
          <t>-260K100.2</t>
        </is>
      </c>
      <c r="E5504" t="inlineStr">
        <is>
          <t>DIL_EM-10-G</t>
        </is>
      </c>
      <c r="F5504" t="inlineStr">
        <is>
          <t>#KALK!</t>
        </is>
      </c>
      <c r="G5504" t="inlineStr">
        <is>
          <t>LASTSCHUETZ</t>
        </is>
      </c>
      <c r="H5504" t="inlineStr">
        <is>
          <t>4kW 1S</t>
        </is>
      </c>
      <c r="I5504">
        <v>3018</v>
      </c>
      <c r="J5504">
        <f>GC03/260.6</f>
        <v>0</v>
      </c>
      <c r="M5504" t="inlineStr">
        <is>
          <t>-260K100.2</t>
        </is>
      </c>
    </row>
    <row r="5505">
      <c r="A5505">
        <v>5504</v>
      </c>
      <c r="B5505">
        <f>GC22</f>
        <v>0</v>
      </c>
      <c r="C5505" t="inlineStr">
        <is>
          <t>+LS3</t>
        </is>
      </c>
      <c r="D5505" t="inlineStr">
        <is>
          <t>-260K29.3</t>
        </is>
      </c>
      <c r="E5505" t="inlineStr">
        <is>
          <t>DIL_EM-10-G</t>
        </is>
      </c>
      <c r="F5505" t="inlineStr">
        <is>
          <t>#KALK!</t>
        </is>
      </c>
      <c r="G5505" t="inlineStr">
        <is>
          <t>LASTSCHUETZ</t>
        </is>
      </c>
      <c r="H5505" t="inlineStr">
        <is>
          <t>4kW 1S</t>
        </is>
      </c>
      <c r="I5505">
        <v>3390</v>
      </c>
      <c r="J5505">
        <f>GC22/260.7</f>
        <v>0</v>
      </c>
      <c r="M5505" t="inlineStr">
        <is>
          <t>-260K29.3</t>
        </is>
      </c>
    </row>
    <row r="5506">
      <c r="A5506">
        <v>5505</v>
      </c>
      <c r="B5506">
        <f>GS12</f>
        <v>0</v>
      </c>
      <c r="C5506" t="inlineStr">
        <is>
          <t>+LS3</t>
        </is>
      </c>
      <c r="D5506" t="inlineStr">
        <is>
          <t>-260K29.3</t>
        </is>
      </c>
      <c r="E5506" t="inlineStr">
        <is>
          <t>DIL_EM-10-G</t>
        </is>
      </c>
      <c r="F5506" t="inlineStr">
        <is>
          <t>#KALK!</t>
        </is>
      </c>
      <c r="G5506" t="inlineStr">
        <is>
          <t>LASTSCHUETZ</t>
        </is>
      </c>
      <c r="H5506" t="inlineStr">
        <is>
          <t>4kW 1S</t>
        </is>
      </c>
      <c r="I5506">
        <v>392</v>
      </c>
      <c r="J5506">
        <f>GS12/260.7</f>
        <v>0</v>
      </c>
      <c r="M5506" t="inlineStr">
        <is>
          <t>-260K29.3</t>
        </is>
      </c>
    </row>
    <row r="5507">
      <c r="A5507">
        <v>5506</v>
      </c>
      <c r="B5507">
        <f>GS33</f>
        <v>0</v>
      </c>
      <c r="C5507" t="inlineStr">
        <is>
          <t>+LS5</t>
        </is>
      </c>
      <c r="D5507" t="inlineStr">
        <is>
          <t>-260K39.3</t>
        </is>
      </c>
      <c r="E5507" t="inlineStr">
        <is>
          <t>DIL_EM-10-G</t>
        </is>
      </c>
      <c r="F5507" t="inlineStr">
        <is>
          <t>#KALK!</t>
        </is>
      </c>
      <c r="G5507" t="inlineStr">
        <is>
          <t>LASTSCHUETZ</t>
        </is>
      </c>
      <c r="H5507" t="inlineStr">
        <is>
          <t>4kW 1S</t>
        </is>
      </c>
      <c r="I5507">
        <v>707</v>
      </c>
      <c r="J5507">
        <f>GS33/260.7</f>
        <v>0</v>
      </c>
      <c r="M5507" t="inlineStr">
        <is>
          <t>-260K39.3</t>
        </is>
      </c>
    </row>
    <row r="5508">
      <c r="A5508">
        <v>5507</v>
      </c>
      <c r="B5508">
        <f>GS23</f>
        <v>0</v>
      </c>
      <c r="C5508" t="inlineStr">
        <is>
          <t>+LS5</t>
        </is>
      </c>
      <c r="D5508" t="inlineStr">
        <is>
          <t>-260K78.6</t>
        </is>
      </c>
      <c r="E5508" t="inlineStr">
        <is>
          <t>DIL_EM-10-G</t>
        </is>
      </c>
      <c r="F5508" t="inlineStr">
        <is>
          <t>#KALK!</t>
        </is>
      </c>
      <c r="G5508" t="inlineStr">
        <is>
          <t>LASTSCHUETZ</t>
        </is>
      </c>
      <c r="H5508" t="inlineStr">
        <is>
          <t>4kW 1S</t>
        </is>
      </c>
      <c r="I5508">
        <v>561</v>
      </c>
      <c r="J5508">
        <f>GS23/260.6</f>
        <v>0</v>
      </c>
      <c r="M5508" t="inlineStr">
        <is>
          <t>-260K78.6</t>
        </is>
      </c>
    </row>
    <row r="5509">
      <c r="A5509">
        <v>5508</v>
      </c>
      <c r="B5509">
        <f>GS23</f>
        <v>0</v>
      </c>
      <c r="C5509" t="inlineStr">
        <is>
          <t>+LS5</t>
        </is>
      </c>
      <c r="D5509" t="inlineStr">
        <is>
          <t>-260K78.7</t>
        </is>
      </c>
      <c r="E5509" t="inlineStr">
        <is>
          <t>DIL_EM-10-G</t>
        </is>
      </c>
      <c r="F5509" t="inlineStr">
        <is>
          <t>#KALK!</t>
        </is>
      </c>
      <c r="G5509" t="inlineStr">
        <is>
          <t>LASTSCHUETZ</t>
        </is>
      </c>
      <c r="H5509" t="inlineStr">
        <is>
          <t>4kW 1S</t>
        </is>
      </c>
      <c r="I5509">
        <v>561</v>
      </c>
      <c r="J5509">
        <f>GS23/260.6</f>
        <v>0</v>
      </c>
      <c r="M5509" t="inlineStr">
        <is>
          <t>-260K78.7</t>
        </is>
      </c>
    </row>
    <row r="5510">
      <c r="A5510">
        <v>5509</v>
      </c>
      <c r="B5510">
        <f>GS15</f>
        <v>0</v>
      </c>
      <c r="C5510" t="inlineStr">
        <is>
          <t>+LS5</t>
        </is>
      </c>
      <c r="D5510" t="inlineStr">
        <is>
          <t>-260K84.1</t>
        </is>
      </c>
      <c r="E5510" t="inlineStr">
        <is>
          <t>DIL_EM-10-G</t>
        </is>
      </c>
      <c r="F5510" t="inlineStr">
        <is>
          <t>#KALK!</t>
        </is>
      </c>
      <c r="G5510" t="inlineStr">
        <is>
          <t>LASTSCHUETZ</t>
        </is>
      </c>
      <c r="H5510" t="inlineStr">
        <is>
          <t>4kW 1S</t>
        </is>
      </c>
      <c r="I5510">
        <v>754</v>
      </c>
      <c r="J5510">
        <f>GS15/260.5</f>
        <v>0</v>
      </c>
      <c r="M5510" t="inlineStr">
        <is>
          <t>-260K84.1</t>
        </is>
      </c>
    </row>
    <row r="5511">
      <c r="A5511">
        <v>5510</v>
      </c>
      <c r="B5511">
        <f>GS15</f>
        <v>0</v>
      </c>
      <c r="C5511" t="inlineStr">
        <is>
          <t>+LS5</t>
        </is>
      </c>
      <c r="D5511" t="inlineStr">
        <is>
          <t>-260K84.2</t>
        </is>
      </c>
      <c r="E5511" t="inlineStr">
        <is>
          <t>DIL_EM-10-G</t>
        </is>
      </c>
      <c r="F5511" t="inlineStr">
        <is>
          <t>#KALK!</t>
        </is>
      </c>
      <c r="G5511" t="inlineStr">
        <is>
          <t>LASTSCHUETZ</t>
        </is>
      </c>
      <c r="H5511" t="inlineStr">
        <is>
          <t>4kW 1S</t>
        </is>
      </c>
      <c r="I5511">
        <v>754</v>
      </c>
      <c r="J5511">
        <f>GS15/260.6</f>
        <v>0</v>
      </c>
      <c r="M5511" t="inlineStr">
        <is>
          <t>-260K84.2</t>
        </is>
      </c>
    </row>
    <row r="5512">
      <c r="A5512">
        <v>5511</v>
      </c>
      <c r="B5512">
        <f>GS15</f>
        <v>0</v>
      </c>
      <c r="C5512" t="inlineStr">
        <is>
          <t>+LS5</t>
        </is>
      </c>
      <c r="D5512" t="inlineStr">
        <is>
          <t>-260K84.3</t>
        </is>
      </c>
      <c r="E5512" t="inlineStr">
        <is>
          <t>DIL_EM-01-G</t>
        </is>
      </c>
      <c r="F5512" t="inlineStr">
        <is>
          <t>#KALK!</t>
        </is>
      </c>
      <c r="G5512" t="inlineStr">
        <is>
          <t>LASTSCHUETZ</t>
        </is>
      </c>
      <c r="H5512" t="inlineStr">
        <is>
          <t>4kW 1OE</t>
        </is>
      </c>
      <c r="I5512">
        <v>754</v>
      </c>
      <c r="J5512">
        <f>GS15/260.7</f>
        <v>0</v>
      </c>
      <c r="M5512" t="inlineStr">
        <is>
          <t>-260K84.3</t>
        </is>
      </c>
    </row>
    <row r="5513">
      <c r="A5513">
        <v>5512</v>
      </c>
      <c r="B5513">
        <f>GS15</f>
        <v>0</v>
      </c>
      <c r="C5513" t="inlineStr">
        <is>
          <t>+LS5</t>
        </is>
      </c>
      <c r="D5513" t="inlineStr">
        <is>
          <t>-260K84.4</t>
        </is>
      </c>
      <c r="E5513" t="inlineStr">
        <is>
          <t>DIL_EM-01-G</t>
        </is>
      </c>
      <c r="F5513" t="inlineStr">
        <is>
          <t>#KALK!</t>
        </is>
      </c>
      <c r="G5513" t="inlineStr">
        <is>
          <t>LASTSCHUETZ</t>
        </is>
      </c>
      <c r="H5513" t="inlineStr">
        <is>
          <t>4kW 1OE</t>
        </is>
      </c>
      <c r="I5513">
        <v>754</v>
      </c>
      <c r="J5513">
        <f>GS15/260.8</f>
        <v>0</v>
      </c>
      <c r="M5513" t="inlineStr">
        <is>
          <t>-260K84.4</t>
        </is>
      </c>
    </row>
    <row r="5514">
      <c r="A5514">
        <v>5513</v>
      </c>
      <c r="B5514">
        <f>GS92</f>
        <v>0</v>
      </c>
      <c r="C5514" t="inlineStr">
        <is>
          <t>+LS03</t>
        </is>
      </c>
      <c r="D5514" t="inlineStr">
        <is>
          <t>-260Q178.6</t>
        </is>
      </c>
      <c r="E5514" t="inlineStr">
        <is>
          <t>DILM-9-10</t>
        </is>
      </c>
      <c r="F5514" t="inlineStr">
        <is>
          <t>#KALK!</t>
        </is>
      </c>
      <c r="G5514" t="inlineStr">
        <is>
          <t>LASTSCHUETZ</t>
        </is>
      </c>
      <c r="H5514" t="inlineStr">
        <is>
          <t>4kW 1S Federzugkl.</t>
        </is>
      </c>
      <c r="I5514">
        <v>406</v>
      </c>
      <c r="J5514">
        <f>GS92/260.5</f>
        <v>0</v>
      </c>
      <c r="M5514" t="inlineStr">
        <is>
          <t>-260Q178.6</t>
        </is>
      </c>
    </row>
    <row r="5515">
      <c r="A5515">
        <v>5514</v>
      </c>
      <c r="B5515">
        <f>GS93</f>
        <v>0</v>
      </c>
      <c r="C5515" t="inlineStr">
        <is>
          <t>+LS03</t>
        </is>
      </c>
      <c r="D5515" t="inlineStr">
        <is>
          <t>-260Q178.6</t>
        </is>
      </c>
      <c r="E5515" t="inlineStr">
        <is>
          <t>DILM-9-10</t>
        </is>
      </c>
      <c r="F5515" t="inlineStr">
        <is>
          <t>#KALK!</t>
        </is>
      </c>
      <c r="G5515" t="inlineStr">
        <is>
          <t>LASTSCHUETZ</t>
        </is>
      </c>
      <c r="H5515" t="inlineStr">
        <is>
          <t>4kW 1S Federzugkl.</t>
        </is>
      </c>
      <c r="I5515">
        <v>814</v>
      </c>
      <c r="J5515">
        <f>GS93/260.5</f>
        <v>0</v>
      </c>
      <c r="M5515" t="inlineStr">
        <is>
          <t>-260Q178.6</t>
        </is>
      </c>
    </row>
    <row r="5516">
      <c r="A5516">
        <v>5515</v>
      </c>
      <c r="B5516">
        <f>GS13</f>
        <v>0</v>
      </c>
      <c r="C5516" t="inlineStr">
        <is>
          <t>+LS5</t>
        </is>
      </c>
      <c r="D5516" t="inlineStr">
        <is>
          <t>-26179.0</t>
        </is>
      </c>
      <c r="E5516" t="inlineStr">
        <is>
          <t>DIL_EM-10-G</t>
        </is>
      </c>
      <c r="F5516" t="inlineStr">
        <is>
          <t>#KALK!</t>
        </is>
      </c>
      <c r="G5516" t="inlineStr">
        <is>
          <t>LASTSCHUETZ</t>
        </is>
      </c>
      <c r="H5516" t="inlineStr">
        <is>
          <t>4kW 1S</t>
        </is>
      </c>
      <c r="I5516">
        <v>503</v>
      </c>
      <c r="J5516">
        <f>GS13/261.6</f>
        <v>0</v>
      </c>
      <c r="M5516" t="inlineStr">
        <is>
          <t>-26179.0</t>
        </is>
      </c>
    </row>
    <row r="5517">
      <c r="A5517">
        <v>5516</v>
      </c>
      <c r="B5517">
        <f>GS13</f>
        <v>0</v>
      </c>
      <c r="C5517" t="inlineStr">
        <is>
          <t>+LS5</t>
        </is>
      </c>
      <c r="D5517" t="inlineStr">
        <is>
          <t>-26179.1</t>
        </is>
      </c>
      <c r="E5517" t="inlineStr">
        <is>
          <t>DIL_EM-10-G</t>
        </is>
      </c>
      <c r="F5517" t="inlineStr">
        <is>
          <t>#KALK!</t>
        </is>
      </c>
      <c r="G5517" t="inlineStr">
        <is>
          <t>LASTSCHUETZ</t>
        </is>
      </c>
      <c r="H5517" t="inlineStr">
        <is>
          <t>4kW 1S</t>
        </is>
      </c>
      <c r="I5517">
        <v>503</v>
      </c>
      <c r="J5517">
        <f>GS13/261.6</f>
        <v>0</v>
      </c>
      <c r="M5517" t="inlineStr">
        <is>
          <t>-26179.1</t>
        </is>
      </c>
    </row>
    <row r="5518">
      <c r="A5518">
        <v>5517</v>
      </c>
      <c r="B5518">
        <f>GC03</f>
        <v>0</v>
      </c>
      <c r="C5518" t="inlineStr">
        <is>
          <t>+LS6</t>
        </is>
      </c>
      <c r="D5518" t="inlineStr">
        <is>
          <t>-261K100.6</t>
        </is>
      </c>
      <c r="E5518" t="inlineStr">
        <is>
          <t>DIL_EM-10-G</t>
        </is>
      </c>
      <c r="F5518" t="inlineStr">
        <is>
          <t>#KALK!</t>
        </is>
      </c>
      <c r="G5518" t="inlineStr">
        <is>
          <t>LASTSCHUETZ</t>
        </is>
      </c>
      <c r="H5518" t="inlineStr">
        <is>
          <t>4kW 1S</t>
        </is>
      </c>
      <c r="I5518">
        <v>2662</v>
      </c>
      <c r="J5518">
        <f>GC03/261.7</f>
        <v>0</v>
      </c>
      <c r="M5518" t="inlineStr">
        <is>
          <t>-261K100.6</t>
        </is>
      </c>
    </row>
    <row r="5519">
      <c r="A5519">
        <v>5518</v>
      </c>
      <c r="B5519">
        <f>GC22</f>
        <v>0</v>
      </c>
      <c r="C5519" t="inlineStr">
        <is>
          <t>+LS3</t>
        </is>
      </c>
      <c r="D5519" t="inlineStr">
        <is>
          <t>-261K29.4</t>
        </is>
      </c>
      <c r="E5519" t="inlineStr">
        <is>
          <t>DILM-9-01</t>
        </is>
      </c>
      <c r="F5519" t="inlineStr">
        <is>
          <t>#KALK!</t>
        </is>
      </c>
      <c r="G5519" t="inlineStr">
        <is>
          <t>LASTSCHUETZ</t>
        </is>
      </c>
      <c r="H5519" t="inlineStr">
        <is>
          <t>4kW 1Oe Federzugkl.</t>
        </is>
      </c>
      <c r="I5519">
        <v>3370</v>
      </c>
      <c r="J5519">
        <f>GC22/261.6</f>
        <v>0</v>
      </c>
      <c r="M5519" t="inlineStr">
        <is>
          <t>-261K29.4</t>
        </is>
      </c>
    </row>
    <row r="5520">
      <c r="A5520">
        <v>5519</v>
      </c>
      <c r="B5520">
        <f>GS12</f>
        <v>0</v>
      </c>
      <c r="C5520" t="inlineStr">
        <is>
          <t>+LS3</t>
        </is>
      </c>
      <c r="D5520" t="inlineStr">
        <is>
          <t>-261K29.4</t>
        </is>
      </c>
      <c r="E5520" t="inlineStr">
        <is>
          <t>DILM-9-01</t>
        </is>
      </c>
      <c r="F5520" t="inlineStr">
        <is>
          <t>#KALK!</t>
        </is>
      </c>
      <c r="G5520" t="inlineStr">
        <is>
          <t>LASTSCHUETZ</t>
        </is>
      </c>
      <c r="H5520" t="inlineStr">
        <is>
          <t>4kW 1Oe Federzugkl.</t>
        </is>
      </c>
      <c r="I5520">
        <v>393</v>
      </c>
      <c r="J5520">
        <f>GS12/261.6</f>
        <v>0</v>
      </c>
      <c r="M5520" t="inlineStr">
        <is>
          <t>-261K29.4</t>
        </is>
      </c>
    </row>
    <row r="5521">
      <c r="A5521">
        <v>5520</v>
      </c>
      <c r="B5521">
        <f>GC22</f>
        <v>0</v>
      </c>
      <c r="C5521" t="inlineStr">
        <is>
          <t>+LS3</t>
        </is>
      </c>
      <c r="D5521" t="inlineStr">
        <is>
          <t>-261K29.5</t>
        </is>
      </c>
      <c r="E5521" t="inlineStr">
        <is>
          <t>DIL_EM-10-G</t>
        </is>
      </c>
      <c r="F5521" t="inlineStr">
        <is>
          <t>#KALK!</t>
        </is>
      </c>
      <c r="G5521" t="inlineStr">
        <is>
          <t>LASTSCHUETZ</t>
        </is>
      </c>
      <c r="H5521" t="inlineStr">
        <is>
          <t>4kW 1S</t>
        </is>
      </c>
      <c r="I5521">
        <v>3370</v>
      </c>
      <c r="J5521">
        <f>GC22/261.7</f>
        <v>0</v>
      </c>
      <c r="M5521" t="inlineStr">
        <is>
          <t>-261K29.5</t>
        </is>
      </c>
    </row>
    <row r="5522">
      <c r="A5522">
        <v>5521</v>
      </c>
      <c r="B5522">
        <f>GS12</f>
        <v>0</v>
      </c>
      <c r="C5522" t="inlineStr">
        <is>
          <t>+LS3</t>
        </is>
      </c>
      <c r="D5522" t="inlineStr">
        <is>
          <t>-261K29.5</t>
        </is>
      </c>
      <c r="E5522" t="inlineStr">
        <is>
          <t>DIL_EM-10-G</t>
        </is>
      </c>
      <c r="F5522" t="inlineStr">
        <is>
          <t>#KALK!</t>
        </is>
      </c>
      <c r="G5522" t="inlineStr">
        <is>
          <t>LASTSCHUETZ</t>
        </is>
      </c>
      <c r="H5522" t="inlineStr">
        <is>
          <t>4kW 1S</t>
        </is>
      </c>
      <c r="I5522">
        <v>393</v>
      </c>
      <c r="J5522">
        <f>GS12/261.7</f>
        <v>0</v>
      </c>
      <c r="M5522" t="inlineStr">
        <is>
          <t>-261K29.5</t>
        </is>
      </c>
    </row>
    <row r="5523">
      <c r="A5523">
        <v>5522</v>
      </c>
      <c r="B5523">
        <f>GC22</f>
        <v>0</v>
      </c>
      <c r="C5523" t="inlineStr">
        <is>
          <t>+LS3</t>
        </is>
      </c>
      <c r="D5523" t="inlineStr">
        <is>
          <t>-261K30.7</t>
        </is>
      </c>
      <c r="E5523" t="inlineStr">
        <is>
          <t>DILM-9-01</t>
        </is>
      </c>
      <c r="F5523" t="inlineStr">
        <is>
          <t>#KALK!</t>
        </is>
      </c>
      <c r="G5523" t="inlineStr">
        <is>
          <t>LASTSCHUETZ</t>
        </is>
      </c>
      <c r="H5523" t="inlineStr">
        <is>
          <t>4kW 1Oe Federzugkl.</t>
        </is>
      </c>
      <c r="I5523">
        <v>3370</v>
      </c>
      <c r="J5523">
        <f>GC22/261.6</f>
        <v>0</v>
      </c>
      <c r="M5523" t="inlineStr">
        <is>
          <t>-261K30.7</t>
        </is>
      </c>
    </row>
    <row r="5524">
      <c r="A5524">
        <v>5523</v>
      </c>
      <c r="B5524">
        <f>GS12</f>
        <v>0</v>
      </c>
      <c r="C5524" t="inlineStr">
        <is>
          <t>+LS3</t>
        </is>
      </c>
      <c r="D5524" t="inlineStr">
        <is>
          <t>-261K30.7</t>
        </is>
      </c>
      <c r="E5524" t="inlineStr">
        <is>
          <t>DILM-9-01</t>
        </is>
      </c>
      <c r="F5524" t="inlineStr">
        <is>
          <t>#KALK!</t>
        </is>
      </c>
      <c r="G5524" t="inlineStr">
        <is>
          <t>LASTSCHUETZ</t>
        </is>
      </c>
      <c r="H5524" t="inlineStr">
        <is>
          <t>4kW 1Oe Federzugkl.</t>
        </is>
      </c>
      <c r="I5524">
        <v>393</v>
      </c>
      <c r="J5524">
        <f>GS12/261.6</f>
        <v>0</v>
      </c>
      <c r="M5524" t="inlineStr">
        <is>
          <t>-261K30.7</t>
        </is>
      </c>
    </row>
    <row r="5525">
      <c r="A5525">
        <v>5524</v>
      </c>
      <c r="B5525">
        <f>GS33</f>
        <v>0</v>
      </c>
      <c r="C5525" t="inlineStr">
        <is>
          <t>+LS5</t>
        </is>
      </c>
      <c r="D5525" t="inlineStr">
        <is>
          <t>-261K39.7</t>
        </is>
      </c>
      <c r="E5525" t="inlineStr">
        <is>
          <t>DIL_EM-10-G</t>
        </is>
      </c>
      <c r="F5525" t="inlineStr">
        <is>
          <t>#KALK!</t>
        </is>
      </c>
      <c r="G5525" t="inlineStr">
        <is>
          <t>LASTSCHUETZ</t>
        </is>
      </c>
      <c r="H5525" t="inlineStr">
        <is>
          <t>4kW 1S</t>
        </is>
      </c>
      <c r="I5525">
        <v>708</v>
      </c>
      <c r="J5525">
        <f>GS33/261.7</f>
        <v>0</v>
      </c>
      <c r="M5525" t="inlineStr">
        <is>
          <t>-261K39.7</t>
        </is>
      </c>
    </row>
    <row r="5526">
      <c r="A5526">
        <v>5525</v>
      </c>
      <c r="B5526">
        <f>GS23</f>
        <v>0</v>
      </c>
      <c r="C5526" t="inlineStr">
        <is>
          <t>+LS5</t>
        </is>
      </c>
      <c r="D5526" t="inlineStr">
        <is>
          <t>-261K79.0</t>
        </is>
      </c>
      <c r="E5526" t="inlineStr">
        <is>
          <t>DIL_EM-10-G</t>
        </is>
      </c>
      <c r="F5526" t="inlineStr">
        <is>
          <t>#KALK!</t>
        </is>
      </c>
      <c r="G5526" t="inlineStr">
        <is>
          <t>LASTSCHUETZ</t>
        </is>
      </c>
      <c r="H5526" t="inlineStr">
        <is>
          <t>4kW 1S</t>
        </is>
      </c>
      <c r="I5526">
        <v>562</v>
      </c>
      <c r="J5526">
        <f>GS23/261.6</f>
        <v>0</v>
      </c>
      <c r="M5526" t="inlineStr">
        <is>
          <t>-261K79.0</t>
        </is>
      </c>
    </row>
    <row r="5527">
      <c r="A5527">
        <v>5526</v>
      </c>
      <c r="B5527">
        <f>GS23</f>
        <v>0</v>
      </c>
      <c r="C5527" t="inlineStr">
        <is>
          <t>+LS5</t>
        </is>
      </c>
      <c r="D5527" t="inlineStr">
        <is>
          <t>-261K79.1</t>
        </is>
      </c>
      <c r="E5527" t="inlineStr">
        <is>
          <t>DIL_EM-10-G</t>
        </is>
      </c>
      <c r="F5527" t="inlineStr">
        <is>
          <t>#KALK!</t>
        </is>
      </c>
      <c r="G5527" t="inlineStr">
        <is>
          <t>LASTSCHUETZ</t>
        </is>
      </c>
      <c r="H5527" t="inlineStr">
        <is>
          <t>4kW 1S</t>
        </is>
      </c>
      <c r="I5527">
        <v>562</v>
      </c>
      <c r="J5527">
        <f>GS23/261.6</f>
        <v>0</v>
      </c>
      <c r="M5527" t="inlineStr">
        <is>
          <t>-261K79.1</t>
        </is>
      </c>
    </row>
    <row r="5528">
      <c r="A5528">
        <v>5527</v>
      </c>
      <c r="B5528">
        <f>GS15</f>
        <v>0</v>
      </c>
      <c r="C5528" t="inlineStr">
        <is>
          <t>+LS5</t>
        </is>
      </c>
      <c r="D5528" t="inlineStr">
        <is>
          <t>-261K84.5</t>
        </is>
      </c>
      <c r="E5528" t="inlineStr">
        <is>
          <t>DIL_EM-10-G</t>
        </is>
      </c>
      <c r="F5528" t="inlineStr">
        <is>
          <t>#KALK!</t>
        </is>
      </c>
      <c r="G5528" t="inlineStr">
        <is>
          <t>LASTSCHUETZ</t>
        </is>
      </c>
      <c r="H5528" t="inlineStr">
        <is>
          <t>4kW 1S</t>
        </is>
      </c>
      <c r="I5528">
        <v>755</v>
      </c>
      <c r="J5528">
        <f>GS15/261.6</f>
        <v>0</v>
      </c>
      <c r="M5528" t="inlineStr">
        <is>
          <t>-261K84.5</t>
        </is>
      </c>
    </row>
    <row r="5529">
      <c r="A5529">
        <v>5528</v>
      </c>
      <c r="B5529">
        <f>GS15</f>
        <v>0</v>
      </c>
      <c r="C5529" t="inlineStr">
        <is>
          <t>+LS5</t>
        </is>
      </c>
      <c r="D5529" t="inlineStr">
        <is>
          <t>-261K84.6</t>
        </is>
      </c>
      <c r="E5529" t="inlineStr">
        <is>
          <t>DIL_EM-10-G</t>
        </is>
      </c>
      <c r="F5529" t="inlineStr">
        <is>
          <t>#KALK!</t>
        </is>
      </c>
      <c r="G5529" t="inlineStr">
        <is>
          <t>LASTSCHUETZ</t>
        </is>
      </c>
      <c r="H5529" t="inlineStr">
        <is>
          <t>4kW 1S</t>
        </is>
      </c>
      <c r="I5529">
        <v>755</v>
      </c>
      <c r="J5529">
        <f>GS15/261.6</f>
        <v>0</v>
      </c>
      <c r="M5529" t="inlineStr">
        <is>
          <t>-261K84.6</t>
        </is>
      </c>
    </row>
    <row r="5530">
      <c r="A5530">
        <v>5529</v>
      </c>
      <c r="B5530">
        <f>GS51</f>
        <v>0</v>
      </c>
      <c r="C5530" t="inlineStr">
        <is>
          <t>+LS03</t>
        </is>
      </c>
      <c r="D5530" t="inlineStr">
        <is>
          <t>-261Q128.4</t>
        </is>
      </c>
      <c r="E5530" t="inlineStr">
        <is>
          <t>DILM-9-10</t>
        </is>
      </c>
      <c r="F5530" t="inlineStr">
        <is>
          <t>#KALK!</t>
        </is>
      </c>
      <c r="G5530" t="inlineStr">
        <is>
          <t>LASTSCHUETZ</t>
        </is>
      </c>
      <c r="H5530" t="inlineStr">
        <is>
          <t>4kW 1S Federzugkl.</t>
        </is>
      </c>
      <c r="I5530">
        <v>447</v>
      </c>
      <c r="J5530">
        <f>GS51/261.6</f>
        <v>0</v>
      </c>
      <c r="K5530" t="inlineStr">
        <is>
          <t>DIL MC9</t>
        </is>
      </c>
      <c r="M5530" t="inlineStr">
        <is>
          <t>-261Q128.4</t>
        </is>
      </c>
    </row>
    <row r="5531">
      <c r="A5531">
        <v>5530</v>
      </c>
      <c r="B5531">
        <f>GS13</f>
        <v>0</v>
      </c>
      <c r="C5531" t="inlineStr">
        <is>
          <t>+LS5</t>
        </is>
      </c>
      <c r="D5531" t="inlineStr">
        <is>
          <t>-26279.5</t>
        </is>
      </c>
      <c r="E5531" t="inlineStr">
        <is>
          <t>DIL_EM-10-G</t>
        </is>
      </c>
      <c r="F5531" t="inlineStr">
        <is>
          <t>#KALK!</t>
        </is>
      </c>
      <c r="G5531" t="inlineStr">
        <is>
          <t>LASTSCHUETZ</t>
        </is>
      </c>
      <c r="H5531" t="inlineStr">
        <is>
          <t>4kW 1S</t>
        </is>
      </c>
      <c r="I5531">
        <v>504</v>
      </c>
      <c r="J5531">
        <f>GS13/262.7</f>
        <v>0</v>
      </c>
      <c r="M5531" t="inlineStr">
        <is>
          <t>-26279.5</t>
        </is>
      </c>
    </row>
    <row r="5532">
      <c r="A5532">
        <v>5531</v>
      </c>
      <c r="B5532">
        <f>GC03</f>
        <v>0</v>
      </c>
      <c r="C5532" t="inlineStr">
        <is>
          <t>+LS6</t>
        </is>
      </c>
      <c r="D5532" t="inlineStr">
        <is>
          <t>-262K101.4</t>
        </is>
      </c>
      <c r="E5532" t="inlineStr">
        <is>
          <t>DIL_EM-10-G</t>
        </is>
      </c>
      <c r="F5532" t="inlineStr">
        <is>
          <t>#KALK!</t>
        </is>
      </c>
      <c r="G5532" t="inlineStr">
        <is>
          <t>LASTSCHUETZ</t>
        </is>
      </c>
      <c r="H5532" t="inlineStr">
        <is>
          <t>4kW 1S</t>
        </is>
      </c>
      <c r="I5532">
        <v>3441</v>
      </c>
      <c r="J5532">
        <f>GC03/262.7</f>
        <v>0</v>
      </c>
      <c r="M5532" t="inlineStr">
        <is>
          <t>-262K101.4</t>
        </is>
      </c>
    </row>
    <row r="5533">
      <c r="A5533">
        <v>5532</v>
      </c>
      <c r="B5533">
        <f>GS92</f>
        <v>0</v>
      </c>
      <c r="C5533" t="inlineStr">
        <is>
          <t>+LS03</t>
        </is>
      </c>
      <c r="D5533" t="inlineStr">
        <is>
          <t>-262K177.5</t>
        </is>
      </c>
      <c r="E5533" t="inlineStr">
        <is>
          <t>DILA-22</t>
        </is>
      </c>
      <c r="F5533" t="inlineStr">
        <is>
          <t>#KALK!</t>
        </is>
      </c>
      <c r="G5533" t="inlineStr">
        <is>
          <t>HILFSSCHUETZ</t>
        </is>
      </c>
      <c r="H5533" t="inlineStr">
        <is>
          <t>2S 2Oe Federzugkl.</t>
        </is>
      </c>
      <c r="I5533">
        <v>408</v>
      </c>
      <c r="J5533">
        <f>GS92/262.6</f>
        <v>0</v>
      </c>
      <c r="M5533" t="inlineStr">
        <is>
          <t>-262K177.5</t>
        </is>
      </c>
    </row>
    <row r="5534">
      <c r="A5534">
        <v>5533</v>
      </c>
      <c r="B5534">
        <f>GS93</f>
        <v>0</v>
      </c>
      <c r="C5534" t="inlineStr">
        <is>
          <t>+LS03</t>
        </is>
      </c>
      <c r="D5534" t="inlineStr">
        <is>
          <t>-262K177.5</t>
        </is>
      </c>
      <c r="E5534" t="inlineStr">
        <is>
          <t>DILA-22</t>
        </is>
      </c>
      <c r="F5534" t="inlineStr">
        <is>
          <t>#KALK!</t>
        </is>
      </c>
      <c r="G5534" t="inlineStr">
        <is>
          <t>HILFSSCHUETZ</t>
        </is>
      </c>
      <c r="H5534" t="inlineStr">
        <is>
          <t>2S 2Oe Federzugkl.</t>
        </is>
      </c>
      <c r="I5534">
        <v>816</v>
      </c>
      <c r="J5534">
        <f>GS93/262.6</f>
        <v>0</v>
      </c>
      <c r="M5534" t="inlineStr">
        <is>
          <t>-262K177.5</t>
        </is>
      </c>
    </row>
    <row r="5535">
      <c r="A5535">
        <v>5534</v>
      </c>
      <c r="B5535">
        <f>GC22</f>
        <v>0</v>
      </c>
      <c r="C5535" t="inlineStr">
        <is>
          <t>+LS3</t>
        </is>
      </c>
      <c r="D5535" t="inlineStr">
        <is>
          <t>-262K30.1</t>
        </is>
      </c>
      <c r="E5535" t="inlineStr">
        <is>
          <t>DIL_EM-10-G</t>
        </is>
      </c>
      <c r="F5535" t="inlineStr">
        <is>
          <t>#KALK!</t>
        </is>
      </c>
      <c r="G5535" t="inlineStr">
        <is>
          <t>LASTSCHUETZ</t>
        </is>
      </c>
      <c r="H5535" t="inlineStr">
        <is>
          <t>4kW 1S</t>
        </is>
      </c>
      <c r="I5535">
        <v>3368</v>
      </c>
      <c r="J5535">
        <f>GC22/262.7</f>
        <v>0</v>
      </c>
      <c r="M5535" t="inlineStr">
        <is>
          <t>-262K30.1</t>
        </is>
      </c>
    </row>
    <row r="5536">
      <c r="A5536">
        <v>5535</v>
      </c>
      <c r="B5536">
        <f>GS12</f>
        <v>0</v>
      </c>
      <c r="C5536" t="inlineStr">
        <is>
          <t>+LS3</t>
        </is>
      </c>
      <c r="D5536" t="inlineStr">
        <is>
          <t>-262K30.1</t>
        </is>
      </c>
      <c r="E5536" t="inlineStr">
        <is>
          <t>DIL_EM-10-G</t>
        </is>
      </c>
      <c r="F5536" t="inlineStr">
        <is>
          <t>#KALK!</t>
        </is>
      </c>
      <c r="G5536" t="inlineStr">
        <is>
          <t>LASTSCHUETZ</t>
        </is>
      </c>
      <c r="H5536" t="inlineStr">
        <is>
          <t>4kW 1S</t>
        </is>
      </c>
      <c r="I5536">
        <v>394</v>
      </c>
      <c r="J5536">
        <f>GS12/262.7</f>
        <v>0</v>
      </c>
      <c r="M5536" t="inlineStr">
        <is>
          <t>-262K30.1</t>
        </is>
      </c>
    </row>
    <row r="5537">
      <c r="A5537">
        <v>5536</v>
      </c>
      <c r="B5537">
        <f>GS33</f>
        <v>0</v>
      </c>
      <c r="C5537" t="inlineStr">
        <is>
          <t>+LS5</t>
        </is>
      </c>
      <c r="D5537" t="inlineStr">
        <is>
          <t>-262K40.3</t>
        </is>
      </c>
      <c r="E5537" t="inlineStr">
        <is>
          <t>DIL_EM-10-G</t>
        </is>
      </c>
      <c r="F5537" t="inlineStr">
        <is>
          <t>#KALK!</t>
        </is>
      </c>
      <c r="G5537" t="inlineStr">
        <is>
          <t>LASTSCHUETZ</t>
        </is>
      </c>
      <c r="H5537" t="inlineStr">
        <is>
          <t>4kW 1S</t>
        </is>
      </c>
      <c r="I5537">
        <v>709</v>
      </c>
      <c r="J5537">
        <f>GS33/262.7</f>
        <v>0</v>
      </c>
      <c r="M5537" t="inlineStr">
        <is>
          <t>-262K40.3</t>
        </is>
      </c>
    </row>
    <row r="5538">
      <c r="A5538">
        <v>5537</v>
      </c>
      <c r="B5538">
        <f>GS23</f>
        <v>0</v>
      </c>
      <c r="C5538" t="inlineStr">
        <is>
          <t>+LS5</t>
        </is>
      </c>
      <c r="D5538" t="inlineStr">
        <is>
          <t>-262K79.5</t>
        </is>
      </c>
      <c r="E5538" t="inlineStr">
        <is>
          <t>DIL_EM-10-G</t>
        </is>
      </c>
      <c r="F5538" t="inlineStr">
        <is>
          <t>#KALK!</t>
        </is>
      </c>
      <c r="G5538" t="inlineStr">
        <is>
          <t>LASTSCHUETZ</t>
        </is>
      </c>
      <c r="H5538" t="inlineStr">
        <is>
          <t>4kW 1S</t>
        </is>
      </c>
      <c r="I5538">
        <v>563</v>
      </c>
      <c r="J5538">
        <f>GS23/262.7</f>
        <v>0</v>
      </c>
      <c r="M5538" t="inlineStr">
        <is>
          <t>-262K79.5</t>
        </is>
      </c>
    </row>
    <row r="5539">
      <c r="A5539">
        <v>5538</v>
      </c>
      <c r="B5539">
        <f>GS92</f>
        <v>0</v>
      </c>
      <c r="C5539" t="inlineStr">
        <is>
          <t>+LS03</t>
        </is>
      </c>
      <c r="D5539" t="inlineStr">
        <is>
          <t>-262Q1</t>
        </is>
      </c>
      <c r="E5539" t="inlineStr">
        <is>
          <t>DILMC25-10(RDC24)</t>
        </is>
      </c>
      <c r="F5539" t="inlineStr">
        <is>
          <t>DILA-XHIC31</t>
        </is>
      </c>
      <c r="G5539" t="inlineStr">
        <is>
          <t>LASTSCHUETZ</t>
        </is>
      </c>
      <c r="H5539" t="inlineStr">
        <is>
          <t>11kW 1S Federzugkl.</t>
        </is>
      </c>
      <c r="I5539">
        <v>408</v>
      </c>
      <c r="J5539">
        <f>GS92/262.2</f>
        <v>0</v>
      </c>
      <c r="M5539" t="inlineStr">
        <is>
          <t>-262Q1</t>
        </is>
      </c>
    </row>
    <row r="5540">
      <c r="A5540">
        <v>5539</v>
      </c>
      <c r="B5540">
        <f>GS92</f>
        <v>0</v>
      </c>
      <c r="C5540" t="inlineStr">
        <is>
          <t>+LS03</t>
        </is>
      </c>
      <c r="D5540" t="inlineStr">
        <is>
          <t>-262Q1</t>
        </is>
      </c>
      <c r="E5540" t="inlineStr">
        <is>
          <t>DILA-XHIC31</t>
        </is>
      </c>
      <c r="F5540" t="inlineStr">
        <is>
          <t>DILA-XHIC31</t>
        </is>
      </c>
      <c r="G5540" t="inlineStr">
        <is>
          <t>HILFSKONTAKTBLOCK</t>
        </is>
      </c>
      <c r="H5540" t="inlineStr">
        <is>
          <t>3S 1OE Last+Hilfssch. Cage</t>
        </is>
      </c>
      <c r="I5540">
        <v>408</v>
      </c>
      <c r="J5540">
        <f>GS92/262.2</f>
        <v>0</v>
      </c>
      <c r="M5540" t="inlineStr">
        <is>
          <t>-262Q1</t>
        </is>
      </c>
    </row>
    <row r="5541">
      <c r="A5541">
        <v>5540</v>
      </c>
      <c r="B5541">
        <f>GS93</f>
        <v>0</v>
      </c>
      <c r="C5541" t="inlineStr">
        <is>
          <t>+LS03</t>
        </is>
      </c>
      <c r="D5541" t="inlineStr">
        <is>
          <t>-262Q1</t>
        </is>
      </c>
      <c r="E5541" t="inlineStr">
        <is>
          <t>DILMC25-10(RDC24)</t>
        </is>
      </c>
      <c r="F5541" t="inlineStr">
        <is>
          <t>DILA-XHIC31</t>
        </is>
      </c>
      <c r="G5541" t="inlineStr">
        <is>
          <t>LASTSCHUETZ</t>
        </is>
      </c>
      <c r="H5541" t="inlineStr">
        <is>
          <t>11kW 1S Federzugkl.</t>
        </is>
      </c>
      <c r="I5541">
        <v>816</v>
      </c>
      <c r="J5541">
        <f>GS93/262.2</f>
        <v>0</v>
      </c>
      <c r="M5541" t="inlineStr">
        <is>
          <t>-262Q1</t>
        </is>
      </c>
    </row>
    <row r="5542">
      <c r="A5542">
        <v>5541</v>
      </c>
      <c r="B5542">
        <f>GS93</f>
        <v>0</v>
      </c>
      <c r="C5542" t="inlineStr">
        <is>
          <t>+LS03</t>
        </is>
      </c>
      <c r="D5542" t="inlineStr">
        <is>
          <t>-262Q1</t>
        </is>
      </c>
      <c r="E5542" t="inlineStr">
        <is>
          <t>DILA-XHIC31</t>
        </is>
      </c>
      <c r="F5542" t="inlineStr">
        <is>
          <t>DILA-XHIC31</t>
        </is>
      </c>
      <c r="G5542" t="inlineStr">
        <is>
          <t>HILFSKONTAKTBLOCK</t>
        </is>
      </c>
      <c r="H5542" t="inlineStr">
        <is>
          <t>3S 1OE Last+Hilfssch. Cage</t>
        </is>
      </c>
      <c r="I5542">
        <v>816</v>
      </c>
      <c r="J5542">
        <f>GS93/262.2</f>
        <v>0</v>
      </c>
      <c r="M5542" t="inlineStr">
        <is>
          <t>-262Q1</t>
        </is>
      </c>
    </row>
    <row r="5543">
      <c r="A5543">
        <v>5542</v>
      </c>
      <c r="B5543">
        <f>GS13</f>
        <v>0</v>
      </c>
      <c r="C5543" t="inlineStr">
        <is>
          <t>+LS5</t>
        </is>
      </c>
      <c r="D5543" t="inlineStr">
        <is>
          <t>-26379.6</t>
        </is>
      </c>
      <c r="E5543" t="inlineStr">
        <is>
          <t>DIL_EM-10-G</t>
        </is>
      </c>
      <c r="F5543" t="inlineStr">
        <is>
          <t>#KALK!</t>
        </is>
      </c>
      <c r="G5543" t="inlineStr">
        <is>
          <t>LASTSCHUETZ</t>
        </is>
      </c>
      <c r="H5543" t="inlineStr">
        <is>
          <t>4kW 1S</t>
        </is>
      </c>
      <c r="I5543">
        <v>505</v>
      </c>
      <c r="J5543">
        <f>GS13/263.6</f>
        <v>0</v>
      </c>
      <c r="M5543" t="inlineStr">
        <is>
          <t>-26379.6</t>
        </is>
      </c>
    </row>
    <row r="5544">
      <c r="A5544">
        <v>5543</v>
      </c>
      <c r="B5544">
        <f>GS13</f>
        <v>0</v>
      </c>
      <c r="C5544" t="inlineStr">
        <is>
          <t>+LS5</t>
        </is>
      </c>
      <c r="D5544" t="inlineStr">
        <is>
          <t>-26379.7</t>
        </is>
      </c>
      <c r="E5544" t="inlineStr">
        <is>
          <t>DIL_EM-10-G</t>
        </is>
      </c>
      <c r="F5544" t="inlineStr">
        <is>
          <t>#KALK!</t>
        </is>
      </c>
      <c r="G5544" t="inlineStr">
        <is>
          <t>LASTSCHUETZ</t>
        </is>
      </c>
      <c r="H5544" t="inlineStr">
        <is>
          <t>4kW 1S</t>
        </is>
      </c>
      <c r="I5544">
        <v>505</v>
      </c>
      <c r="J5544">
        <f>GS13/263.6</f>
        <v>0</v>
      </c>
      <c r="M5544" t="inlineStr">
        <is>
          <t>-26379.7</t>
        </is>
      </c>
    </row>
    <row r="5545">
      <c r="A5545">
        <v>5544</v>
      </c>
      <c r="B5545">
        <f>GS16</f>
        <v>0</v>
      </c>
      <c r="C5545" t="inlineStr">
        <is>
          <t>+LS5</t>
        </is>
      </c>
      <c r="D5545" t="inlineStr">
        <is>
          <t>-263K1</t>
        </is>
      </c>
      <c r="E5545" t="inlineStr">
        <is>
          <t>04_DIL-E</t>
        </is>
      </c>
      <c r="F5545" t="inlineStr">
        <is>
          <t>04_DIL-E</t>
        </is>
      </c>
      <c r="G5545" t="inlineStr">
        <is>
          <t>HILFSKONTAKTBLOCK</t>
        </is>
      </c>
      <c r="H5545" t="inlineStr">
        <is>
          <t>4Oe Last+Hilfsschuetz</t>
        </is>
      </c>
      <c r="I5545">
        <v>491</v>
      </c>
      <c r="J5545">
        <f>GS16/263.6</f>
        <v>0</v>
      </c>
      <c r="M5545" t="inlineStr">
        <is>
          <t>-263K1</t>
        </is>
      </c>
    </row>
    <row r="5546">
      <c r="A5546">
        <v>5545</v>
      </c>
      <c r="B5546">
        <f>GS16</f>
        <v>0</v>
      </c>
      <c r="C5546" t="inlineStr">
        <is>
          <t>+LS5</t>
        </is>
      </c>
      <c r="D5546" t="inlineStr">
        <is>
          <t>-263K1</t>
        </is>
      </c>
      <c r="E5546" t="inlineStr">
        <is>
          <t>DIL_ER-40-G</t>
        </is>
      </c>
      <c r="F5546" t="inlineStr">
        <is>
          <t>04_DIL-E</t>
        </is>
      </c>
      <c r="G5546" t="inlineStr">
        <is>
          <t>HILFSSCHUETZ</t>
        </is>
      </c>
      <c r="H5546" t="inlineStr">
        <is>
          <t>4S</t>
        </is>
      </c>
      <c r="I5546">
        <v>491</v>
      </c>
      <c r="J5546">
        <f>GS16/263.6</f>
        <v>0</v>
      </c>
      <c r="M5546" t="inlineStr">
        <is>
          <t>-263K1</t>
        </is>
      </c>
    </row>
    <row r="5547">
      <c r="A5547">
        <v>5546</v>
      </c>
      <c r="B5547">
        <f>GS33</f>
        <v>0</v>
      </c>
      <c r="C5547" t="inlineStr">
        <is>
          <t>+LS5</t>
        </is>
      </c>
      <c r="D5547" t="inlineStr">
        <is>
          <t>-263K40.7</t>
        </is>
      </c>
      <c r="E5547" t="inlineStr">
        <is>
          <t>DIL_EM-10-G</t>
        </is>
      </c>
      <c r="F5547" t="inlineStr">
        <is>
          <t>#KALK!</t>
        </is>
      </c>
      <c r="G5547" t="inlineStr">
        <is>
          <t>LASTSCHUETZ</t>
        </is>
      </c>
      <c r="H5547" t="inlineStr">
        <is>
          <t>4kW 1S</t>
        </is>
      </c>
      <c r="I5547">
        <v>710</v>
      </c>
      <c r="J5547">
        <f>GS33/263.7</f>
        <v>0</v>
      </c>
      <c r="M5547" t="inlineStr">
        <is>
          <t>-263K40.7</t>
        </is>
      </c>
    </row>
    <row r="5548">
      <c r="A5548">
        <v>5547</v>
      </c>
      <c r="B5548">
        <f>GS23</f>
        <v>0</v>
      </c>
      <c r="C5548" t="inlineStr">
        <is>
          <t>+LS5</t>
        </is>
      </c>
      <c r="D5548" t="inlineStr">
        <is>
          <t>-263K79.6</t>
        </is>
      </c>
      <c r="E5548" t="inlineStr">
        <is>
          <t>DIL_EM-10-G</t>
        </is>
      </c>
      <c r="F5548" t="inlineStr">
        <is>
          <t>#KALK!</t>
        </is>
      </c>
      <c r="G5548" t="inlineStr">
        <is>
          <t>LASTSCHUETZ</t>
        </is>
      </c>
      <c r="H5548" t="inlineStr">
        <is>
          <t>4kW 1S</t>
        </is>
      </c>
      <c r="I5548">
        <v>564</v>
      </c>
      <c r="J5548">
        <f>GS23/263.6</f>
        <v>0</v>
      </c>
      <c r="M5548" t="inlineStr">
        <is>
          <t>-263K79.6</t>
        </is>
      </c>
    </row>
    <row r="5549">
      <c r="A5549">
        <v>5548</v>
      </c>
      <c r="B5549">
        <f>GS23</f>
        <v>0</v>
      </c>
      <c r="C5549" t="inlineStr">
        <is>
          <t>+LS5</t>
        </is>
      </c>
      <c r="D5549" t="inlineStr">
        <is>
          <t>-263K79.7</t>
        </is>
      </c>
      <c r="E5549" t="inlineStr">
        <is>
          <t>DIL_EM-10-G</t>
        </is>
      </c>
      <c r="F5549" t="inlineStr">
        <is>
          <t>#KALK!</t>
        </is>
      </c>
      <c r="G5549" t="inlineStr">
        <is>
          <t>LASTSCHUETZ</t>
        </is>
      </c>
      <c r="H5549" t="inlineStr">
        <is>
          <t>4kW 1S</t>
        </is>
      </c>
      <c r="I5549">
        <v>564</v>
      </c>
      <c r="J5549">
        <f>GS23/263.6</f>
        <v>0</v>
      </c>
      <c r="M5549" t="inlineStr">
        <is>
          <t>-263K79.7</t>
        </is>
      </c>
    </row>
    <row r="5550">
      <c r="A5550">
        <v>5549</v>
      </c>
      <c r="B5550">
        <f>GS91</f>
        <v>0</v>
      </c>
      <c r="C5550" t="inlineStr">
        <is>
          <t>+LS03</t>
        </is>
      </c>
      <c r="D5550" t="inlineStr">
        <is>
          <t>-263Q167.0</t>
        </is>
      </c>
      <c r="E5550" t="inlineStr">
        <is>
          <t>DILM-9-10</t>
        </is>
      </c>
      <c r="F5550" t="inlineStr">
        <is>
          <t>#KALK!</t>
        </is>
      </c>
      <c r="G5550" t="inlineStr">
        <is>
          <t>LASTSCHUETZ</t>
        </is>
      </c>
      <c r="H5550" t="inlineStr">
        <is>
          <t>4kW 1S Federzugkl.</t>
        </is>
      </c>
      <c r="I5550">
        <v>411</v>
      </c>
      <c r="J5550">
        <f>GS91/263.5</f>
        <v>0</v>
      </c>
      <c r="M5550" t="inlineStr">
        <is>
          <t>-263Q167.0</t>
        </is>
      </c>
    </row>
    <row r="5551">
      <c r="A5551">
        <v>5550</v>
      </c>
      <c r="B5551">
        <f>GS13</f>
        <v>0</v>
      </c>
      <c r="C5551" t="inlineStr">
        <is>
          <t>+LS5</t>
        </is>
      </c>
      <c r="D5551" t="inlineStr">
        <is>
          <t>-26480.0</t>
        </is>
      </c>
      <c r="E5551" t="inlineStr">
        <is>
          <t>DIL_EM-10-G</t>
        </is>
      </c>
      <c r="F5551" t="inlineStr">
        <is>
          <t>#KALK!</t>
        </is>
      </c>
      <c r="G5551" t="inlineStr">
        <is>
          <t>LASTSCHUETZ</t>
        </is>
      </c>
      <c r="H5551" t="inlineStr">
        <is>
          <t>4kW 1S</t>
        </is>
      </c>
      <c r="I5551">
        <v>506</v>
      </c>
      <c r="J5551">
        <f>GS13/264.6</f>
        <v>0</v>
      </c>
      <c r="M5551" t="inlineStr">
        <is>
          <t>-26480.0</t>
        </is>
      </c>
    </row>
    <row r="5552">
      <c r="A5552">
        <v>5551</v>
      </c>
      <c r="B5552">
        <f>GS13</f>
        <v>0</v>
      </c>
      <c r="C5552" t="inlineStr">
        <is>
          <t>+LS5</t>
        </is>
      </c>
      <c r="D5552" t="inlineStr">
        <is>
          <t>-26480.1</t>
        </is>
      </c>
      <c r="E5552" t="inlineStr">
        <is>
          <t>DIL_EM-10-G</t>
        </is>
      </c>
      <c r="F5552" t="inlineStr">
        <is>
          <t>#KALK!</t>
        </is>
      </c>
      <c r="G5552" t="inlineStr">
        <is>
          <t>LASTSCHUETZ</t>
        </is>
      </c>
      <c r="H5552" t="inlineStr">
        <is>
          <t>4kW 1S</t>
        </is>
      </c>
      <c r="I5552">
        <v>506</v>
      </c>
      <c r="J5552">
        <f>GS13/264.6</f>
        <v>0</v>
      </c>
      <c r="M5552" t="inlineStr">
        <is>
          <t>-26480.1</t>
        </is>
      </c>
    </row>
    <row r="5553">
      <c r="A5553">
        <v>5552</v>
      </c>
      <c r="B5553">
        <f>GS14</f>
        <v>0</v>
      </c>
      <c r="C5553" t="inlineStr">
        <is>
          <t>+ES2</t>
        </is>
      </c>
      <c r="D5553" t="inlineStr">
        <is>
          <t>-264K120.0</t>
        </is>
      </c>
      <c r="E5553" t="inlineStr">
        <is>
          <t>40_DIL-E</t>
        </is>
      </c>
      <c r="F5553" t="inlineStr">
        <is>
          <t>40_DIL-E</t>
        </is>
      </c>
      <c r="G5553" t="inlineStr">
        <is>
          <t>HILFSKONTAKTBLOCK</t>
        </is>
      </c>
      <c r="H5553" t="inlineStr">
        <is>
          <t>4S Last+Hilfsschuetz</t>
        </is>
      </c>
      <c r="I5553">
        <v>392</v>
      </c>
      <c r="J5553">
        <f>GS14/264.6</f>
        <v>0</v>
      </c>
      <c r="M5553" t="inlineStr">
        <is>
          <t>-264K120.0</t>
        </is>
      </c>
    </row>
    <row r="5554">
      <c r="A5554">
        <v>5553</v>
      </c>
      <c r="B5554">
        <f>GS14</f>
        <v>0</v>
      </c>
      <c r="C5554" t="inlineStr">
        <is>
          <t>+ES2</t>
        </is>
      </c>
      <c r="D5554" t="inlineStr">
        <is>
          <t>-264K120.0</t>
        </is>
      </c>
      <c r="E5554" t="inlineStr">
        <is>
          <t>DIL_ER-40-G</t>
        </is>
      </c>
      <c r="F5554" t="inlineStr">
        <is>
          <t>40_DIL-E</t>
        </is>
      </c>
      <c r="G5554" t="inlineStr">
        <is>
          <t>HILFSSCHUETZ</t>
        </is>
      </c>
      <c r="H5554" t="inlineStr">
        <is>
          <t>4S</t>
        </is>
      </c>
      <c r="I5554">
        <v>392</v>
      </c>
      <c r="J5554">
        <f>GS14/264.6</f>
        <v>0</v>
      </c>
      <c r="M5554" t="inlineStr">
        <is>
          <t>-264K120.0</t>
        </is>
      </c>
    </row>
    <row r="5555">
      <c r="A5555">
        <v>5554</v>
      </c>
      <c r="B5555">
        <f>GS14</f>
        <v>0</v>
      </c>
      <c r="C5555" t="inlineStr">
        <is>
          <t>+ES2</t>
        </is>
      </c>
      <c r="D5555" t="inlineStr">
        <is>
          <t>-264K120.1</t>
        </is>
      </c>
      <c r="E5555" t="inlineStr">
        <is>
          <t>40_DIL-E</t>
        </is>
      </c>
      <c r="F5555" t="inlineStr">
        <is>
          <t>40_DIL-E</t>
        </is>
      </c>
      <c r="G5555" t="inlineStr">
        <is>
          <t>HILFSKONTAKTBLOCK</t>
        </is>
      </c>
      <c r="H5555" t="inlineStr">
        <is>
          <t>4S Last+Hilfsschuetz</t>
        </is>
      </c>
      <c r="I5555">
        <v>392</v>
      </c>
      <c r="J5555">
        <f>GS14/264.6</f>
        <v>0</v>
      </c>
      <c r="M5555" t="inlineStr">
        <is>
          <t>-264K120.1</t>
        </is>
      </c>
    </row>
    <row r="5556">
      <c r="A5556">
        <v>5555</v>
      </c>
      <c r="B5556">
        <f>GS14</f>
        <v>0</v>
      </c>
      <c r="C5556" t="inlineStr">
        <is>
          <t>+ES2</t>
        </is>
      </c>
      <c r="D5556" t="inlineStr">
        <is>
          <t>-264K120.1</t>
        </is>
      </c>
      <c r="E5556" t="inlineStr">
        <is>
          <t>DIL_ER-40-G</t>
        </is>
      </c>
      <c r="F5556" t="inlineStr">
        <is>
          <t>40_DIL-E</t>
        </is>
      </c>
      <c r="G5556" t="inlineStr">
        <is>
          <t>HILFSSCHUETZ</t>
        </is>
      </c>
      <c r="H5556" t="inlineStr">
        <is>
          <t>4S</t>
        </is>
      </c>
      <c r="I5556">
        <v>392</v>
      </c>
      <c r="J5556">
        <f>GS14/264.6</f>
        <v>0</v>
      </c>
      <c r="M5556" t="inlineStr">
        <is>
          <t>-264K120.1</t>
        </is>
      </c>
    </row>
    <row r="5557">
      <c r="A5557">
        <v>5556</v>
      </c>
      <c r="B5557">
        <f>GS33</f>
        <v>0</v>
      </c>
      <c r="C5557" t="inlineStr">
        <is>
          <t>+LS5</t>
        </is>
      </c>
      <c r="D5557" t="inlineStr">
        <is>
          <t>-264K41.5</t>
        </is>
      </c>
      <c r="E5557" t="inlineStr">
        <is>
          <t>DIL_EM-10-G</t>
        </is>
      </c>
      <c r="F5557" t="inlineStr">
        <is>
          <t>#KALK!</t>
        </is>
      </c>
      <c r="G5557" t="inlineStr">
        <is>
          <t>LASTSCHUETZ</t>
        </is>
      </c>
      <c r="H5557" t="inlineStr">
        <is>
          <t>4kW 1S</t>
        </is>
      </c>
      <c r="I5557">
        <v>711</v>
      </c>
      <c r="J5557">
        <f>GS33/264.7</f>
        <v>0</v>
      </c>
      <c r="M5557" t="inlineStr">
        <is>
          <t>-264K41.5</t>
        </is>
      </c>
    </row>
    <row r="5558">
      <c r="A5558">
        <v>5557</v>
      </c>
      <c r="B5558">
        <f>GS23</f>
        <v>0</v>
      </c>
      <c r="C5558" t="inlineStr">
        <is>
          <t>+LS5</t>
        </is>
      </c>
      <c r="D5558" t="inlineStr">
        <is>
          <t>-264K80.0</t>
        </is>
      </c>
      <c r="E5558" t="inlineStr">
        <is>
          <t>DIL_EM-10-G</t>
        </is>
      </c>
      <c r="F5558" t="inlineStr">
        <is>
          <t>#KALK!</t>
        </is>
      </c>
      <c r="G5558" t="inlineStr">
        <is>
          <t>LASTSCHUETZ</t>
        </is>
      </c>
      <c r="H5558" t="inlineStr">
        <is>
          <t>4kW 1S</t>
        </is>
      </c>
      <c r="I5558">
        <v>565</v>
      </c>
      <c r="J5558">
        <f>GS23/264.6</f>
        <v>0</v>
      </c>
      <c r="M5558" t="inlineStr">
        <is>
          <t>-264K80.0</t>
        </is>
      </c>
    </row>
    <row r="5559">
      <c r="A5559">
        <v>5558</v>
      </c>
      <c r="B5559">
        <f>GS23</f>
        <v>0</v>
      </c>
      <c r="C5559" t="inlineStr">
        <is>
          <t>+LS5</t>
        </is>
      </c>
      <c r="D5559" t="inlineStr">
        <is>
          <t>-264K80.1</t>
        </is>
      </c>
      <c r="E5559" t="inlineStr">
        <is>
          <t>DIL_EM-10-G</t>
        </is>
      </c>
      <c r="F5559" t="inlineStr">
        <is>
          <t>#KALK!</t>
        </is>
      </c>
      <c r="G5559" t="inlineStr">
        <is>
          <t>LASTSCHUETZ</t>
        </is>
      </c>
      <c r="H5559" t="inlineStr">
        <is>
          <t>4kW 1S</t>
        </is>
      </c>
      <c r="I5559">
        <v>565</v>
      </c>
      <c r="J5559">
        <f>GS23/264.6</f>
        <v>0</v>
      </c>
      <c r="M5559" t="inlineStr">
        <is>
          <t>-264K80.1</t>
        </is>
      </c>
    </row>
    <row r="5560">
      <c r="A5560">
        <v>5559</v>
      </c>
      <c r="B5560">
        <f>GS91</f>
        <v>0</v>
      </c>
      <c r="C5560" t="inlineStr">
        <is>
          <t>+LS03</t>
        </is>
      </c>
      <c r="D5560" t="inlineStr">
        <is>
          <t>-264Q167.1</t>
        </is>
      </c>
      <c r="E5560" t="inlineStr">
        <is>
          <t>DILM-9-10</t>
        </is>
      </c>
      <c r="F5560" t="inlineStr">
        <is>
          <t>#KALK!</t>
        </is>
      </c>
      <c r="G5560" t="inlineStr">
        <is>
          <t>LASTSCHUETZ</t>
        </is>
      </c>
      <c r="H5560" t="inlineStr">
        <is>
          <t>4kW 1S Federzugkl.</t>
        </is>
      </c>
      <c r="I5560">
        <v>412</v>
      </c>
      <c r="J5560">
        <f>GS91/264.5</f>
        <v>0</v>
      </c>
      <c r="M5560" t="inlineStr">
        <is>
          <t>-264Q167.1</t>
        </is>
      </c>
    </row>
    <row r="5561">
      <c r="A5561">
        <v>5560</v>
      </c>
      <c r="B5561">
        <f>GS13</f>
        <v>0</v>
      </c>
      <c r="C5561" t="inlineStr">
        <is>
          <t>+LS5</t>
        </is>
      </c>
      <c r="D5561" t="inlineStr">
        <is>
          <t>-26580.2</t>
        </is>
      </c>
      <c r="E5561" t="inlineStr">
        <is>
          <t>DIL_EM-10-G</t>
        </is>
      </c>
      <c r="F5561" t="inlineStr">
        <is>
          <t>#KALK!</t>
        </is>
      </c>
      <c r="G5561" t="inlineStr">
        <is>
          <t>LASTSCHUETZ</t>
        </is>
      </c>
      <c r="H5561" t="inlineStr">
        <is>
          <t>4kW 1S</t>
        </is>
      </c>
      <c r="I5561">
        <v>507</v>
      </c>
      <c r="J5561">
        <f>GS13/265.6</f>
        <v>0</v>
      </c>
      <c r="M5561" t="inlineStr">
        <is>
          <t>-26580.2</t>
        </is>
      </c>
    </row>
    <row r="5562">
      <c r="A5562">
        <v>5561</v>
      </c>
      <c r="B5562">
        <f>GS13</f>
        <v>0</v>
      </c>
      <c r="C5562" t="inlineStr">
        <is>
          <t>+LS5</t>
        </is>
      </c>
      <c r="D5562" t="inlineStr">
        <is>
          <t>-26580.3</t>
        </is>
      </c>
      <c r="E5562" t="inlineStr">
        <is>
          <t>DIL_EM-10-G</t>
        </is>
      </c>
      <c r="F5562" t="inlineStr">
        <is>
          <t>#KALK!</t>
        </is>
      </c>
      <c r="G5562" t="inlineStr">
        <is>
          <t>LASTSCHUETZ</t>
        </is>
      </c>
      <c r="H5562" t="inlineStr">
        <is>
          <t>4kW 1S</t>
        </is>
      </c>
      <c r="I5562">
        <v>507</v>
      </c>
      <c r="J5562">
        <f>GS13/265.6</f>
        <v>0</v>
      </c>
      <c r="M5562" t="inlineStr">
        <is>
          <t>-26580.3</t>
        </is>
      </c>
    </row>
    <row r="5563">
      <c r="A5563">
        <v>5562</v>
      </c>
      <c r="B5563">
        <f>GS16</f>
        <v>0</v>
      </c>
      <c r="C5563" t="inlineStr">
        <is>
          <t>+LS5</t>
        </is>
      </c>
      <c r="D5563" t="inlineStr">
        <is>
          <t>-265K1</t>
        </is>
      </c>
      <c r="E5563" t="inlineStr">
        <is>
          <t>DIL_ER-31-G</t>
        </is>
      </c>
      <c r="F5563" t="inlineStr">
        <is>
          <t>#KALK!</t>
        </is>
      </c>
      <c r="G5563" t="inlineStr">
        <is>
          <t>HILFSSCHUETZ</t>
        </is>
      </c>
      <c r="H5563" t="inlineStr">
        <is>
          <t>3S 1OE</t>
        </is>
      </c>
      <c r="I5563">
        <v>493</v>
      </c>
      <c r="J5563">
        <f>GS16/265.7</f>
        <v>0</v>
      </c>
      <c r="M5563" t="inlineStr">
        <is>
          <t>-265K1</t>
        </is>
      </c>
    </row>
    <row r="5564">
      <c r="A5564">
        <v>5563</v>
      </c>
      <c r="B5564">
        <f>GS31</f>
        <v>0</v>
      </c>
      <c r="C5564" t="inlineStr">
        <is>
          <t>+LS4</t>
        </is>
      </c>
      <c r="D5564" t="inlineStr">
        <is>
          <t>-265K1</t>
        </is>
      </c>
      <c r="E5564" t="inlineStr">
        <is>
          <t>22_DIL-M</t>
        </is>
      </c>
      <c r="F5564" t="inlineStr">
        <is>
          <t>22_DIL-M</t>
        </is>
      </c>
      <c r="G5564" t="inlineStr">
        <is>
          <t>HILFSKONTAKTBLOCK</t>
        </is>
      </c>
      <c r="H5564" t="inlineStr">
        <is>
          <t>2S 2OE Lastschuetz DIL M</t>
        </is>
      </c>
      <c r="I5564">
        <v>556</v>
      </c>
      <c r="J5564">
        <f>GS31/265.2</f>
        <v>0</v>
      </c>
      <c r="K5564" t="inlineStr">
        <is>
          <t>DIL0AM</t>
        </is>
      </c>
      <c r="M5564" t="inlineStr">
        <is>
          <t>-265K1</t>
        </is>
      </c>
    </row>
    <row r="5565">
      <c r="A5565">
        <v>5564</v>
      </c>
      <c r="B5565">
        <f>GS31</f>
        <v>0</v>
      </c>
      <c r="C5565" t="inlineStr">
        <is>
          <t>+LS4</t>
        </is>
      </c>
      <c r="D5565" t="inlineStr">
        <is>
          <t>-265K1</t>
        </is>
      </c>
      <c r="E5565" t="inlineStr">
        <is>
          <t>DIL_0AM</t>
        </is>
      </c>
      <c r="F5565" t="inlineStr">
        <is>
          <t>22_DIL-M</t>
        </is>
      </c>
      <c r="G5565" t="inlineStr">
        <is>
          <t>LASTSCHUETZ</t>
        </is>
      </c>
      <c r="H5565" t="inlineStr">
        <is>
          <t>11 kW</t>
        </is>
      </c>
      <c r="I5565">
        <v>556</v>
      </c>
      <c r="J5565">
        <f>GS31/265.2</f>
        <v>0</v>
      </c>
      <c r="K5565" t="inlineStr">
        <is>
          <t>DIL0AM</t>
        </is>
      </c>
      <c r="M5565" t="inlineStr">
        <is>
          <t>-265K1</t>
        </is>
      </c>
    </row>
    <row r="5566">
      <c r="A5566">
        <v>5565</v>
      </c>
      <c r="B5566">
        <f>GS38</f>
        <v>0</v>
      </c>
      <c r="C5566" t="inlineStr">
        <is>
          <t>+LS05</t>
        </is>
      </c>
      <c r="D5566" t="inlineStr">
        <is>
          <t>-265K1</t>
        </is>
      </c>
      <c r="E5566" t="inlineStr">
        <is>
          <t>DILA-XHIC40</t>
        </is>
      </c>
      <c r="F5566" t="inlineStr">
        <is>
          <t>DILA-XHIC40</t>
        </is>
      </c>
      <c r="G5566" t="inlineStr">
        <is>
          <t>HILFSKONTAKTBLOCK</t>
        </is>
      </c>
      <c r="H5566" t="inlineStr">
        <is>
          <t>4S Last+Hilfssch. Cage</t>
        </is>
      </c>
      <c r="I5566">
        <v>435</v>
      </c>
      <c r="J5566">
        <f>GS38/265.5</f>
        <v>0</v>
      </c>
      <c r="M5566" t="inlineStr">
        <is>
          <t>-265K1</t>
        </is>
      </c>
    </row>
    <row r="5567">
      <c r="A5567">
        <v>5566</v>
      </c>
      <c r="B5567">
        <f>GS38</f>
        <v>0</v>
      </c>
      <c r="C5567" t="inlineStr">
        <is>
          <t>+LS05</t>
        </is>
      </c>
      <c r="D5567" t="inlineStr">
        <is>
          <t>-265K1</t>
        </is>
      </c>
      <c r="E5567" t="inlineStr">
        <is>
          <t>DILA-40</t>
        </is>
      </c>
      <c r="F5567" t="inlineStr">
        <is>
          <t>DILA-XHIC40</t>
        </is>
      </c>
      <c r="G5567" t="inlineStr">
        <is>
          <t>HILFSSCHUETZ</t>
        </is>
      </c>
      <c r="H5567" t="inlineStr">
        <is>
          <t>4S Federzugkl.</t>
        </is>
      </c>
      <c r="I5567">
        <v>435</v>
      </c>
      <c r="J5567">
        <f>GS38/265.5</f>
        <v>0</v>
      </c>
      <c r="M5567" t="inlineStr">
        <is>
          <t>-265K1</t>
        </is>
      </c>
    </row>
    <row r="5568">
      <c r="A5568">
        <v>5567</v>
      </c>
      <c r="B5568">
        <f>GS39</f>
        <v>0</v>
      </c>
      <c r="C5568" t="inlineStr">
        <is>
          <t>+LS05</t>
        </is>
      </c>
      <c r="D5568" t="inlineStr">
        <is>
          <t>-265K1</t>
        </is>
      </c>
      <c r="E5568" t="inlineStr">
        <is>
          <t>DILA-40</t>
        </is>
      </c>
      <c r="F5568" t="inlineStr">
        <is>
          <t>DILA-XHIC40</t>
        </is>
      </c>
      <c r="G5568" t="inlineStr">
        <is>
          <t>HILFSSCHUETZ</t>
        </is>
      </c>
      <c r="H5568" t="inlineStr">
        <is>
          <t>4S Federzugkl.</t>
        </is>
      </c>
      <c r="I5568">
        <v>430</v>
      </c>
      <c r="J5568">
        <f>GS39/265.5</f>
        <v>0</v>
      </c>
      <c r="M5568" t="inlineStr">
        <is>
          <t>-265K1</t>
        </is>
      </c>
    </row>
    <row r="5569">
      <c r="A5569">
        <v>5568</v>
      </c>
      <c r="B5569">
        <f>GS39</f>
        <v>0</v>
      </c>
      <c r="C5569" t="inlineStr">
        <is>
          <t>+LS05</t>
        </is>
      </c>
      <c r="D5569" t="inlineStr">
        <is>
          <t>-265K1</t>
        </is>
      </c>
      <c r="E5569" t="inlineStr">
        <is>
          <t>DILA-XHIC40</t>
        </is>
      </c>
      <c r="F5569" t="inlineStr">
        <is>
          <t>DILA-XHIC40</t>
        </is>
      </c>
      <c r="G5569" t="inlineStr">
        <is>
          <t>HILFSKONTAKTBLOCK</t>
        </is>
      </c>
      <c r="H5569" t="inlineStr">
        <is>
          <t>4S Last+Hilfssch. Cage</t>
        </is>
      </c>
      <c r="I5569">
        <v>430</v>
      </c>
      <c r="J5569">
        <f>GS39/265.5</f>
        <v>0</v>
      </c>
      <c r="M5569" t="inlineStr">
        <is>
          <t>-265K1</t>
        </is>
      </c>
    </row>
    <row r="5570">
      <c r="A5570">
        <v>5569</v>
      </c>
      <c r="B5570">
        <f>GS90</f>
        <v>0</v>
      </c>
      <c r="C5570" t="inlineStr">
        <is>
          <t>+LS04</t>
        </is>
      </c>
      <c r="D5570" t="inlineStr">
        <is>
          <t>-265K174.4</t>
        </is>
      </c>
      <c r="E5570" t="inlineStr">
        <is>
          <t>DILA-40</t>
        </is>
      </c>
      <c r="F5570" t="inlineStr">
        <is>
          <t>#KALK!</t>
        </is>
      </c>
      <c r="G5570" t="inlineStr">
        <is>
          <t>HILFSSCHUETZ</t>
        </is>
      </c>
      <c r="H5570" t="inlineStr">
        <is>
          <t>4S Federzugkl.</t>
        </is>
      </c>
      <c r="I5570">
        <v>976</v>
      </c>
      <c r="J5570">
        <f>GS90/265.7</f>
        <v>0</v>
      </c>
      <c r="M5570" t="inlineStr">
        <is>
          <t>-265K174.4</t>
        </is>
      </c>
    </row>
    <row r="5571">
      <c r="A5571">
        <v>5570</v>
      </c>
      <c r="B5571">
        <f>GS16</f>
        <v>0</v>
      </c>
      <c r="C5571" t="inlineStr">
        <is>
          <t>+LS5</t>
        </is>
      </c>
      <c r="D5571" t="inlineStr">
        <is>
          <t>-265K2</t>
        </is>
      </c>
      <c r="E5571" t="inlineStr">
        <is>
          <t>DIL_ER-31-G</t>
        </is>
      </c>
      <c r="F5571" t="inlineStr">
        <is>
          <t>#KALK!</t>
        </is>
      </c>
      <c r="G5571" t="inlineStr">
        <is>
          <t>HILFSSCHUETZ</t>
        </is>
      </c>
      <c r="H5571" t="inlineStr">
        <is>
          <t>3S 1OE</t>
        </is>
      </c>
      <c r="I5571">
        <v>493</v>
      </c>
      <c r="J5571">
        <f>GS16/265.7</f>
        <v>0</v>
      </c>
      <c r="M5571" t="inlineStr">
        <is>
          <t>-265K2</t>
        </is>
      </c>
    </row>
    <row r="5572">
      <c r="A5572">
        <v>5571</v>
      </c>
      <c r="B5572">
        <f>GS16</f>
        <v>0</v>
      </c>
      <c r="C5572" t="inlineStr">
        <is>
          <t>+LS5</t>
        </is>
      </c>
      <c r="D5572" t="inlineStr">
        <is>
          <t>-265K3</t>
        </is>
      </c>
      <c r="E5572" t="inlineStr">
        <is>
          <t>DIL_ER-40-G</t>
        </is>
      </c>
      <c r="F5572" t="inlineStr">
        <is>
          <t>#KALK!</t>
        </is>
      </c>
      <c r="G5572" t="inlineStr">
        <is>
          <t>HILFSSCHUETZ</t>
        </is>
      </c>
      <c r="H5572" t="inlineStr">
        <is>
          <t>4S</t>
        </is>
      </c>
      <c r="I5572">
        <v>493</v>
      </c>
      <c r="J5572">
        <f>GS16/265.8</f>
        <v>0</v>
      </c>
      <c r="M5572" t="inlineStr">
        <is>
          <t>-265K3</t>
        </is>
      </c>
    </row>
    <row r="5573">
      <c r="A5573">
        <v>5572</v>
      </c>
      <c r="B5573">
        <f>GS16</f>
        <v>0</v>
      </c>
      <c r="C5573" t="inlineStr">
        <is>
          <t>+LS5</t>
        </is>
      </c>
      <c r="D5573" t="inlineStr">
        <is>
          <t>-265K3750.0</t>
        </is>
      </c>
      <c r="E5573" t="inlineStr">
        <is>
          <t>DIL_EM-10-G</t>
        </is>
      </c>
      <c r="F5573" t="inlineStr">
        <is>
          <t>#KALK!</t>
        </is>
      </c>
      <c r="G5573" t="inlineStr">
        <is>
          <t>LASTSCHUETZ</t>
        </is>
      </c>
      <c r="H5573" t="inlineStr">
        <is>
          <t>4kW 1S</t>
        </is>
      </c>
      <c r="I5573">
        <v>493</v>
      </c>
      <c r="J5573">
        <f>GS16/265.4</f>
        <v>0</v>
      </c>
      <c r="M5573" t="inlineStr">
        <is>
          <t>-265K3750.0</t>
        </is>
      </c>
    </row>
    <row r="5574">
      <c r="A5574">
        <v>5573</v>
      </c>
      <c r="B5574">
        <f>GS16</f>
        <v>0</v>
      </c>
      <c r="C5574" t="inlineStr">
        <is>
          <t>+LS5</t>
        </is>
      </c>
      <c r="D5574" t="inlineStr">
        <is>
          <t>-265K3750.1</t>
        </is>
      </c>
      <c r="E5574" t="inlineStr">
        <is>
          <t>DIL_ER-22-G</t>
        </is>
      </c>
      <c r="F5574" t="inlineStr">
        <is>
          <t>#KALK!</t>
        </is>
      </c>
      <c r="G5574" t="inlineStr">
        <is>
          <t>HILFSSCHUETZ</t>
        </is>
      </c>
      <c r="H5574" t="inlineStr">
        <is>
          <t>2S 2OE</t>
        </is>
      </c>
      <c r="I5574">
        <v>493</v>
      </c>
      <c r="J5574">
        <f>GS16/265.5</f>
        <v>0</v>
      </c>
      <c r="M5574" t="inlineStr">
        <is>
          <t>-265K3750.1</t>
        </is>
      </c>
    </row>
    <row r="5575">
      <c r="A5575">
        <v>5574</v>
      </c>
      <c r="B5575">
        <f>GS16</f>
        <v>0</v>
      </c>
      <c r="C5575" t="inlineStr">
        <is>
          <t>+LS5</t>
        </is>
      </c>
      <c r="D5575" t="inlineStr">
        <is>
          <t>-265K3750.2</t>
        </is>
      </c>
      <c r="E5575" t="inlineStr">
        <is>
          <t>DIL_ER-22-G</t>
        </is>
      </c>
      <c r="F5575" t="inlineStr">
        <is>
          <t>#KALK!</t>
        </is>
      </c>
      <c r="G5575" t="inlineStr">
        <is>
          <t>HILFSSCHUETZ</t>
        </is>
      </c>
      <c r="H5575" t="inlineStr">
        <is>
          <t>2S 2OE</t>
        </is>
      </c>
      <c r="I5575">
        <v>493</v>
      </c>
      <c r="J5575">
        <f>GS16/265.6</f>
        <v>0</v>
      </c>
      <c r="M5575" t="inlineStr">
        <is>
          <t>-265K3750.2</t>
        </is>
      </c>
    </row>
    <row r="5576">
      <c r="A5576">
        <v>5575</v>
      </c>
      <c r="B5576">
        <f>GS38</f>
        <v>0</v>
      </c>
      <c r="C5576" t="inlineStr">
        <is>
          <t>+LS05</t>
        </is>
      </c>
      <c r="D5576" t="inlineStr">
        <is>
          <t>-265K413.4</t>
        </is>
      </c>
      <c r="E5576" t="inlineStr">
        <is>
          <t>DILA-40</t>
        </is>
      </c>
      <c r="F5576" t="inlineStr">
        <is>
          <t>#KALK!</t>
        </is>
      </c>
      <c r="G5576" t="inlineStr">
        <is>
          <t>HILFSSCHUETZ</t>
        </is>
      </c>
      <c r="H5576" t="inlineStr">
        <is>
          <t>4S Federzugkl.</t>
        </is>
      </c>
      <c r="I5576">
        <v>435</v>
      </c>
      <c r="J5576">
        <f>GS38/265.7</f>
        <v>0</v>
      </c>
      <c r="M5576" t="inlineStr">
        <is>
          <t>-265K413.4</t>
        </is>
      </c>
    </row>
    <row r="5577">
      <c r="A5577">
        <v>5576</v>
      </c>
      <c r="B5577">
        <f>GS39</f>
        <v>0</v>
      </c>
      <c r="C5577" t="inlineStr">
        <is>
          <t>+LS05</t>
        </is>
      </c>
      <c r="D5577" t="inlineStr">
        <is>
          <t>-265K413.4</t>
        </is>
      </c>
      <c r="E5577" t="inlineStr">
        <is>
          <t>DILA-40</t>
        </is>
      </c>
      <c r="F5577" t="inlineStr">
        <is>
          <t>#KALK!</t>
        </is>
      </c>
      <c r="G5577" t="inlineStr">
        <is>
          <t>HILFSSCHUETZ</t>
        </is>
      </c>
      <c r="H5577" t="inlineStr">
        <is>
          <t>4S Federzugkl.</t>
        </is>
      </c>
      <c r="I5577">
        <v>430</v>
      </c>
      <c r="J5577">
        <f>GS39/265.7</f>
        <v>0</v>
      </c>
      <c r="M5577" t="inlineStr">
        <is>
          <t>-265K413.4</t>
        </is>
      </c>
    </row>
    <row r="5578">
      <c r="A5578">
        <v>5577</v>
      </c>
      <c r="B5578">
        <f>GS30</f>
        <v>0</v>
      </c>
      <c r="C5578" t="inlineStr">
        <is>
          <t>+LS06</t>
        </is>
      </c>
      <c r="D5578" t="inlineStr">
        <is>
          <t>-265K414.4</t>
        </is>
      </c>
      <c r="E5578" t="inlineStr">
        <is>
          <t>DILA-40</t>
        </is>
      </c>
      <c r="F5578" t="inlineStr">
        <is>
          <t>#KALK!</t>
        </is>
      </c>
      <c r="G5578" t="inlineStr">
        <is>
          <t>HILFSSCHUETZ</t>
        </is>
      </c>
      <c r="H5578" t="inlineStr">
        <is>
          <t>4S Federzugkl.</t>
        </is>
      </c>
      <c r="I5578">
        <v>2514</v>
      </c>
      <c r="J5578">
        <f>GS30/265.7</f>
        <v>0</v>
      </c>
      <c r="M5578" t="inlineStr">
        <is>
          <t>-265K414.4</t>
        </is>
      </c>
    </row>
    <row r="5579">
      <c r="A5579">
        <v>5578</v>
      </c>
      <c r="B5579">
        <f>GS94</f>
        <v>0</v>
      </c>
      <c r="C5579" t="inlineStr">
        <is>
          <t>+LS18</t>
        </is>
      </c>
      <c r="D5579" t="inlineStr">
        <is>
          <t>-265K485.7</t>
        </is>
      </c>
      <c r="E5579" t="inlineStr">
        <is>
          <t>DILA-40</t>
        </is>
      </c>
      <c r="F5579" t="inlineStr">
        <is>
          <t>#KALK!</t>
        </is>
      </c>
      <c r="G5579" t="inlineStr">
        <is>
          <t>HILFSSCHUETZ</t>
        </is>
      </c>
      <c r="H5579" t="inlineStr">
        <is>
          <t>4S Federzugkl.</t>
        </is>
      </c>
      <c r="I5579">
        <v>355</v>
      </c>
      <c r="J5579">
        <f>GS94/265.7</f>
        <v>0</v>
      </c>
      <c r="M5579" t="inlineStr">
        <is>
          <t>-265K485.7</t>
        </is>
      </c>
    </row>
    <row r="5580">
      <c r="A5580">
        <v>5579</v>
      </c>
      <c r="B5580">
        <f>GS95</f>
        <v>0</v>
      </c>
      <c r="C5580" t="inlineStr">
        <is>
          <t>+LS18</t>
        </is>
      </c>
      <c r="D5580" t="inlineStr">
        <is>
          <t>-265K485.7</t>
        </is>
      </c>
      <c r="E5580" t="inlineStr">
        <is>
          <t>DILA-40</t>
        </is>
      </c>
      <c r="F5580" t="inlineStr">
        <is>
          <t>#KALK!</t>
        </is>
      </c>
      <c r="G5580" t="inlineStr">
        <is>
          <t>HILFSSCHUETZ</t>
        </is>
      </c>
      <c r="H5580" t="inlineStr">
        <is>
          <t>4S Federzugkl.</t>
        </is>
      </c>
      <c r="I5580">
        <v>355</v>
      </c>
      <c r="J5580">
        <f>GS95/265.7</f>
        <v>0</v>
      </c>
      <c r="M5580" t="inlineStr">
        <is>
          <t>-265K485.7</t>
        </is>
      </c>
    </row>
    <row r="5581">
      <c r="A5581">
        <v>5580</v>
      </c>
      <c r="B5581">
        <f>GS96</f>
        <v>0</v>
      </c>
      <c r="C5581" t="inlineStr">
        <is>
          <t>+LS18</t>
        </is>
      </c>
      <c r="D5581" t="inlineStr">
        <is>
          <t>-265K485.7</t>
        </is>
      </c>
      <c r="E5581" t="inlineStr">
        <is>
          <t>DILA-40</t>
        </is>
      </c>
      <c r="F5581" t="inlineStr">
        <is>
          <t>#KALK!</t>
        </is>
      </c>
      <c r="G5581" t="inlineStr">
        <is>
          <t>HILFSSCHUETZ</t>
        </is>
      </c>
      <c r="H5581" t="inlineStr">
        <is>
          <t>4S Federzugkl.</t>
        </is>
      </c>
      <c r="I5581">
        <v>355</v>
      </c>
      <c r="J5581">
        <f>GS96/265.7</f>
        <v>0</v>
      </c>
      <c r="M5581" t="inlineStr">
        <is>
          <t>-265K485.7</t>
        </is>
      </c>
    </row>
    <row r="5582">
      <c r="A5582">
        <v>5581</v>
      </c>
      <c r="B5582">
        <f>GS97</f>
        <v>0</v>
      </c>
      <c r="C5582" t="inlineStr">
        <is>
          <t>+LS18</t>
        </is>
      </c>
      <c r="D5582" t="inlineStr">
        <is>
          <t>-265K485.7</t>
        </is>
      </c>
      <c r="E5582" t="inlineStr">
        <is>
          <t>DILA-40</t>
        </is>
      </c>
      <c r="F5582" t="inlineStr">
        <is>
          <t>#KALK!</t>
        </is>
      </c>
      <c r="G5582" t="inlineStr">
        <is>
          <t>HILFSSCHUETZ</t>
        </is>
      </c>
      <c r="H5582" t="inlineStr">
        <is>
          <t>4S Federzugkl.</t>
        </is>
      </c>
      <c r="I5582">
        <v>355</v>
      </c>
      <c r="J5582">
        <f>GS97/265.7</f>
        <v>0</v>
      </c>
      <c r="M5582" t="inlineStr">
        <is>
          <t>-265K485.7</t>
        </is>
      </c>
    </row>
    <row r="5583">
      <c r="A5583">
        <v>5582</v>
      </c>
      <c r="B5583">
        <f>GS23</f>
        <v>0</v>
      </c>
      <c r="C5583" t="inlineStr">
        <is>
          <t>+LS5</t>
        </is>
      </c>
      <c r="D5583" t="inlineStr">
        <is>
          <t>-265K80.2</t>
        </is>
      </c>
      <c r="E5583" t="inlineStr">
        <is>
          <t>DIL_EM-10-G</t>
        </is>
      </c>
      <c r="F5583" t="inlineStr">
        <is>
          <t>#KALK!</t>
        </is>
      </c>
      <c r="G5583" t="inlineStr">
        <is>
          <t>LASTSCHUETZ</t>
        </is>
      </c>
      <c r="H5583" t="inlineStr">
        <is>
          <t>4kW 1S</t>
        </is>
      </c>
      <c r="I5583">
        <v>566</v>
      </c>
      <c r="J5583">
        <f>GS23/265.6</f>
        <v>0</v>
      </c>
      <c r="M5583" t="inlineStr">
        <is>
          <t>-265K80.2</t>
        </is>
      </c>
    </row>
    <row r="5584">
      <c r="A5584">
        <v>5583</v>
      </c>
      <c r="B5584">
        <f>GS23</f>
        <v>0</v>
      </c>
      <c r="C5584" t="inlineStr">
        <is>
          <t>+LS5</t>
        </is>
      </c>
      <c r="D5584" t="inlineStr">
        <is>
          <t>-265K80.3</t>
        </is>
      </c>
      <c r="E5584" t="inlineStr">
        <is>
          <t>DIL_EM-10-G</t>
        </is>
      </c>
      <c r="F5584" t="inlineStr">
        <is>
          <t>#KALK!</t>
        </is>
      </c>
      <c r="G5584" t="inlineStr">
        <is>
          <t>LASTSCHUETZ</t>
        </is>
      </c>
      <c r="H5584" t="inlineStr">
        <is>
          <t>4kW 1S</t>
        </is>
      </c>
      <c r="I5584">
        <v>566</v>
      </c>
      <c r="J5584">
        <f>GS23/265.6</f>
        <v>0</v>
      </c>
      <c r="M5584" t="inlineStr">
        <is>
          <t>-265K80.3</t>
        </is>
      </c>
    </row>
    <row r="5585">
      <c r="A5585">
        <v>5584</v>
      </c>
      <c r="B5585">
        <f>GS79</f>
        <v>0</v>
      </c>
      <c r="C5585" t="inlineStr">
        <is>
          <t>+LS[l1]</t>
        </is>
      </c>
      <c r="D5585" t="inlineStr">
        <is>
          <t>-265Q[a+204].0</t>
        </is>
      </c>
      <c r="E5585" t="inlineStr">
        <is>
          <t>DILM-9-10</t>
        </is>
      </c>
      <c r="F5585" t="inlineStr">
        <is>
          <t>#KALK!</t>
        </is>
      </c>
      <c r="G5585" t="inlineStr">
        <is>
          <t>LASTSCHUETZ</t>
        </is>
      </c>
      <c r="H5585" t="inlineStr">
        <is>
          <t>4kW 1S Federzugkl.</t>
        </is>
      </c>
      <c r="I5585">
        <v>156</v>
      </c>
      <c r="J5585">
        <f>GS79/265.6</f>
        <v>0</v>
      </c>
      <c r="M5585" t="inlineStr">
        <is>
          <t>-265Q[a+204].0</t>
        </is>
      </c>
    </row>
    <row r="5586">
      <c r="A5586">
        <v>5585</v>
      </c>
      <c r="B5586">
        <f>GS79</f>
        <v>0</v>
      </c>
      <c r="C5586" t="inlineStr">
        <is>
          <t>+LS[l1]</t>
        </is>
      </c>
      <c r="D5586" t="inlineStr">
        <is>
          <t>-265Q[a+204].0</t>
        </is>
      </c>
      <c r="E5586" t="inlineStr">
        <is>
          <t>DILM-9-10</t>
        </is>
      </c>
      <c r="F5586" t="inlineStr">
        <is>
          <t>#KALK!</t>
        </is>
      </c>
      <c r="G5586" t="inlineStr">
        <is>
          <t>LASTSCHUETZ</t>
        </is>
      </c>
      <c r="H5586" t="inlineStr">
        <is>
          <t>4kW 1S Federzugkl.</t>
        </is>
      </c>
      <c r="I5586">
        <v>154</v>
      </c>
      <c r="J5586">
        <f>GS79/265.6</f>
        <v>0</v>
      </c>
      <c r="M5586" t="inlineStr">
        <is>
          <t>-265Q[a+204].0</t>
        </is>
      </c>
    </row>
    <row r="5587">
      <c r="A5587">
        <v>5586</v>
      </c>
      <c r="B5587">
        <f>GS79</f>
        <v>0</v>
      </c>
      <c r="C5587" t="inlineStr">
        <is>
          <t>+LS[l1]</t>
        </is>
      </c>
      <c r="D5587" t="inlineStr">
        <is>
          <t>-265Q[a+204].0</t>
        </is>
      </c>
      <c r="E5587" t="inlineStr">
        <is>
          <t>DILM-9-10</t>
        </is>
      </c>
      <c r="F5587" t="inlineStr">
        <is>
          <t>#KALK!</t>
        </is>
      </c>
      <c r="G5587" t="inlineStr">
        <is>
          <t>LASTSCHUETZ</t>
        </is>
      </c>
      <c r="H5587" t="inlineStr">
        <is>
          <t>4kW 1S Federzugkl.</t>
        </is>
      </c>
      <c r="I5587">
        <v>221</v>
      </c>
      <c r="J5587">
        <f>GS79/265.6</f>
        <v>0</v>
      </c>
      <c r="M5587" t="inlineStr">
        <is>
          <t>-265Q[a+204].0</t>
        </is>
      </c>
    </row>
    <row r="5588">
      <c r="A5588">
        <v>5587</v>
      </c>
      <c r="B5588">
        <f>GS06</f>
        <v>0</v>
      </c>
      <c r="C5588" t="inlineStr">
        <is>
          <t>+LS04</t>
        </is>
      </c>
      <c r="D5588" t="inlineStr">
        <is>
          <t>-265Q1</t>
        </is>
      </c>
      <c r="E5588" t="inlineStr">
        <is>
          <t>DILA-XHI22</t>
        </is>
      </c>
      <c r="F5588" t="inlineStr">
        <is>
          <t>DILA-XHI22</t>
        </is>
      </c>
      <c r="G5588" t="inlineStr">
        <is>
          <t>HILFSKONTAKTBLOCK</t>
        </is>
      </c>
      <c r="H5588" t="inlineStr">
        <is>
          <t>2S 2OE Last+Hilfssch. Cage</t>
        </is>
      </c>
      <c r="I5588">
        <v>2870</v>
      </c>
      <c r="J5588">
        <f>GS06/265.6</f>
        <v>0</v>
      </c>
      <c r="K5588" t="inlineStr">
        <is>
          <t>DIL MC25</t>
        </is>
      </c>
      <c r="M5588" t="inlineStr">
        <is>
          <t>-265Q1</t>
        </is>
      </c>
    </row>
    <row r="5589">
      <c r="A5589">
        <v>5588</v>
      </c>
      <c r="B5589">
        <f>GS06</f>
        <v>0</v>
      </c>
      <c r="C5589" t="inlineStr">
        <is>
          <t>+LS04</t>
        </is>
      </c>
      <c r="D5589" t="inlineStr">
        <is>
          <t>-265Q1</t>
        </is>
      </c>
      <c r="E5589" t="inlineStr">
        <is>
          <t>DILMC25-10(RDC24)</t>
        </is>
      </c>
      <c r="F5589" t="inlineStr">
        <is>
          <t>DILA-XHI22</t>
        </is>
      </c>
      <c r="G5589" t="inlineStr">
        <is>
          <t>LASTSCHUETZ</t>
        </is>
      </c>
      <c r="H5589" t="inlineStr">
        <is>
          <t>11kW 1S Federzugkl.</t>
        </is>
      </c>
      <c r="I5589">
        <v>2870</v>
      </c>
      <c r="J5589">
        <f>GS06/265.6</f>
        <v>0</v>
      </c>
      <c r="K5589" t="inlineStr">
        <is>
          <t>DIL MC25</t>
        </is>
      </c>
      <c r="M5589" t="inlineStr">
        <is>
          <t>-265Q1</t>
        </is>
      </c>
    </row>
    <row r="5590">
      <c r="A5590">
        <v>5589</v>
      </c>
      <c r="B5590">
        <f>GS08</f>
        <v>0</v>
      </c>
      <c r="C5590" t="inlineStr">
        <is>
          <t>+LS04</t>
        </is>
      </c>
      <c r="D5590" t="inlineStr">
        <is>
          <t>-265Q1</t>
        </is>
      </c>
      <c r="E5590" t="inlineStr">
        <is>
          <t>DILA-XHI22</t>
        </is>
      </c>
      <c r="F5590" t="inlineStr">
        <is>
          <t>DILA-XHI22</t>
        </is>
      </c>
      <c r="G5590" t="inlineStr">
        <is>
          <t>HILFSKONTAKTBLOCK</t>
        </is>
      </c>
      <c r="H5590" t="inlineStr">
        <is>
          <t>2S 2OE Last+Hilfssch. Cage</t>
        </is>
      </c>
      <c r="I5590">
        <v>1157</v>
      </c>
      <c r="J5590">
        <f>GS08/265.6</f>
        <v>0</v>
      </c>
      <c r="K5590" t="inlineStr">
        <is>
          <t>DIL MC25</t>
        </is>
      </c>
      <c r="M5590" t="inlineStr">
        <is>
          <t>-265Q1</t>
        </is>
      </c>
    </row>
    <row r="5591">
      <c r="A5591">
        <v>5590</v>
      </c>
      <c r="B5591">
        <f>GS08</f>
        <v>0</v>
      </c>
      <c r="C5591" t="inlineStr">
        <is>
          <t>+LS04</t>
        </is>
      </c>
      <c r="D5591" t="inlineStr">
        <is>
          <t>-265Q1</t>
        </is>
      </c>
      <c r="E5591" t="inlineStr">
        <is>
          <t>DILMC25-10(RDC24)</t>
        </is>
      </c>
      <c r="F5591" t="inlineStr">
        <is>
          <t>DILA-XHI22</t>
        </is>
      </c>
      <c r="G5591" t="inlineStr">
        <is>
          <t>LASTSCHUETZ</t>
        </is>
      </c>
      <c r="H5591" t="inlineStr">
        <is>
          <t>11kW 1S Federzugkl.</t>
        </is>
      </c>
      <c r="I5591">
        <v>1157</v>
      </c>
      <c r="J5591">
        <f>GS08/265.6</f>
        <v>0</v>
      </c>
      <c r="K5591" t="inlineStr">
        <is>
          <t>DIL MC25</t>
        </is>
      </c>
      <c r="M5591" t="inlineStr">
        <is>
          <t>-265Q1</t>
        </is>
      </c>
    </row>
    <row r="5592">
      <c r="A5592">
        <v>5591</v>
      </c>
      <c r="B5592">
        <f>GS30</f>
        <v>0</v>
      </c>
      <c r="C5592" t="inlineStr">
        <is>
          <t>+LS06</t>
        </is>
      </c>
      <c r="D5592" t="inlineStr">
        <is>
          <t>-265Q1</t>
        </is>
      </c>
      <c r="E5592" t="inlineStr">
        <is>
          <t>DILA-XHI22</t>
        </is>
      </c>
      <c r="F5592" t="inlineStr">
        <is>
          <t>DILA-XHI22</t>
        </is>
      </c>
      <c r="G5592" t="inlineStr">
        <is>
          <t>HILFSKONTAKTBLOCK</t>
        </is>
      </c>
      <c r="H5592" t="inlineStr">
        <is>
          <t>2S 2OE Last+Hilfssch. Cage</t>
        </is>
      </c>
      <c r="I5592">
        <v>2514</v>
      </c>
      <c r="J5592">
        <f>GS30/265.4</f>
        <v>0</v>
      </c>
      <c r="K5592" t="inlineStr">
        <is>
          <t>DIL MC25</t>
        </is>
      </c>
      <c r="M5592" t="inlineStr">
        <is>
          <t>-265Q1</t>
        </is>
      </c>
    </row>
    <row r="5593">
      <c r="A5593">
        <v>5592</v>
      </c>
      <c r="B5593">
        <f>GS30</f>
        <v>0</v>
      </c>
      <c r="C5593" t="inlineStr">
        <is>
          <t>+LS06</t>
        </is>
      </c>
      <c r="D5593" t="inlineStr">
        <is>
          <t>-265Q1</t>
        </is>
      </c>
      <c r="E5593" t="inlineStr">
        <is>
          <t>DILMC25-10(RDC24)</t>
        </is>
      </c>
      <c r="F5593" t="inlineStr">
        <is>
          <t>DILA-XHI22</t>
        </is>
      </c>
      <c r="G5593" t="inlineStr">
        <is>
          <t>LASTSCHUETZ</t>
        </is>
      </c>
      <c r="H5593" t="inlineStr">
        <is>
          <t>11kW 1S Federzugkl.</t>
        </is>
      </c>
      <c r="I5593">
        <v>2514</v>
      </c>
      <c r="J5593">
        <f>GS30/265.4</f>
        <v>0</v>
      </c>
      <c r="K5593" t="inlineStr">
        <is>
          <t>DIL MC25</t>
        </is>
      </c>
      <c r="M5593" t="inlineStr">
        <is>
          <t>-265Q1</t>
        </is>
      </c>
    </row>
    <row r="5594">
      <c r="A5594">
        <v>5593</v>
      </c>
      <c r="B5594">
        <f>GS38</f>
        <v>0</v>
      </c>
      <c r="C5594" t="inlineStr">
        <is>
          <t>+LS05</t>
        </is>
      </c>
      <c r="D5594" t="inlineStr">
        <is>
          <t>-265Q1</t>
        </is>
      </c>
      <c r="E5594" t="inlineStr">
        <is>
          <t>DILA-XHI22</t>
        </is>
      </c>
      <c r="F5594" t="inlineStr">
        <is>
          <t>DILA-XHI22</t>
        </is>
      </c>
      <c r="G5594" t="inlineStr">
        <is>
          <t>HILFSKONTAKTBLOCK</t>
        </is>
      </c>
      <c r="H5594" t="inlineStr">
        <is>
          <t>2S 2OE Last+Hilfssch. Cage</t>
        </is>
      </c>
      <c r="I5594">
        <v>435</v>
      </c>
      <c r="J5594">
        <f>GS38/265.3</f>
        <v>0</v>
      </c>
      <c r="K5594" t="inlineStr">
        <is>
          <t>DIL MC25</t>
        </is>
      </c>
      <c r="M5594" t="inlineStr">
        <is>
          <t>-265Q1</t>
        </is>
      </c>
    </row>
    <row r="5595">
      <c r="A5595">
        <v>5594</v>
      </c>
      <c r="B5595">
        <f>GS38</f>
        <v>0</v>
      </c>
      <c r="C5595" t="inlineStr">
        <is>
          <t>+LS05</t>
        </is>
      </c>
      <c r="D5595" t="inlineStr">
        <is>
          <t>-265Q1</t>
        </is>
      </c>
      <c r="E5595" t="inlineStr">
        <is>
          <t>DILMC25-10(RDC24)</t>
        </is>
      </c>
      <c r="F5595" t="inlineStr">
        <is>
          <t>DILA-XHI22</t>
        </is>
      </c>
      <c r="G5595" t="inlineStr">
        <is>
          <t>LASTSCHUETZ</t>
        </is>
      </c>
      <c r="H5595" t="inlineStr">
        <is>
          <t>11kW 1S Federzugkl.</t>
        </is>
      </c>
      <c r="I5595">
        <v>435</v>
      </c>
      <c r="J5595">
        <f>GS38/265.3</f>
        <v>0</v>
      </c>
      <c r="K5595" t="inlineStr">
        <is>
          <t>DIL MC25</t>
        </is>
      </c>
      <c r="M5595" t="inlineStr">
        <is>
          <t>-265Q1</t>
        </is>
      </c>
    </row>
    <row r="5596">
      <c r="A5596">
        <v>5595</v>
      </c>
      <c r="B5596">
        <f>GS39</f>
        <v>0</v>
      </c>
      <c r="C5596" t="inlineStr">
        <is>
          <t>+LS05</t>
        </is>
      </c>
      <c r="D5596" t="inlineStr">
        <is>
          <t>-265Q1</t>
        </is>
      </c>
      <c r="E5596" t="inlineStr">
        <is>
          <t>DILMC25-10(RDC24)</t>
        </is>
      </c>
      <c r="F5596" t="inlineStr">
        <is>
          <t>DILA-XHI22</t>
        </is>
      </c>
      <c r="G5596" t="inlineStr">
        <is>
          <t>LASTSCHUETZ</t>
        </is>
      </c>
      <c r="H5596" t="inlineStr">
        <is>
          <t>11kW 1S Federzugkl.</t>
        </is>
      </c>
      <c r="I5596">
        <v>430</v>
      </c>
      <c r="J5596">
        <f>GS39/265.3</f>
        <v>0</v>
      </c>
      <c r="K5596" t="inlineStr">
        <is>
          <t>DIL MC25</t>
        </is>
      </c>
      <c r="M5596" t="inlineStr">
        <is>
          <t>-265Q1</t>
        </is>
      </c>
    </row>
    <row r="5597">
      <c r="A5597">
        <v>5596</v>
      </c>
      <c r="B5597">
        <f>GS39</f>
        <v>0</v>
      </c>
      <c r="C5597" t="inlineStr">
        <is>
          <t>+LS05</t>
        </is>
      </c>
      <c r="D5597" t="inlineStr">
        <is>
          <t>-265Q1</t>
        </is>
      </c>
      <c r="E5597" t="inlineStr">
        <is>
          <t>DILA-XHI22</t>
        </is>
      </c>
      <c r="F5597" t="inlineStr">
        <is>
          <t>DILA-XHI22</t>
        </is>
      </c>
      <c r="G5597" t="inlineStr">
        <is>
          <t>HILFSKONTAKTBLOCK</t>
        </is>
      </c>
      <c r="H5597" t="inlineStr">
        <is>
          <t>2S 2OE Last+Hilfssch. Cage</t>
        </is>
      </c>
      <c r="I5597">
        <v>430</v>
      </c>
      <c r="J5597">
        <f>GS39/265.3</f>
        <v>0</v>
      </c>
      <c r="K5597" t="inlineStr">
        <is>
          <t>DIL MC25</t>
        </is>
      </c>
      <c r="M5597" t="inlineStr">
        <is>
          <t>-265Q1</t>
        </is>
      </c>
    </row>
    <row r="5598">
      <c r="A5598">
        <v>5597</v>
      </c>
      <c r="B5598">
        <f>GS69</f>
        <v>0</v>
      </c>
      <c r="C5598" t="inlineStr">
        <is>
          <t>+LS05</t>
        </is>
      </c>
      <c r="D5598" t="inlineStr">
        <is>
          <t>-265Q1</t>
        </is>
      </c>
      <c r="E5598" t="inlineStr">
        <is>
          <t>DILA-XHI22</t>
        </is>
      </c>
      <c r="F5598" t="inlineStr">
        <is>
          <t>DILA-XHI22</t>
        </is>
      </c>
      <c r="G5598" t="inlineStr">
        <is>
          <t>HILFSKONTAKTBLOCK</t>
        </is>
      </c>
      <c r="H5598" t="inlineStr">
        <is>
          <t>2S 2OE Last+Hilfssch. Cage</t>
        </is>
      </c>
      <c r="I5598">
        <v>416</v>
      </c>
      <c r="J5598">
        <f>GS69/265.5</f>
        <v>0</v>
      </c>
      <c r="K5598" t="inlineStr">
        <is>
          <t>DIL MC25</t>
        </is>
      </c>
      <c r="M5598" t="inlineStr">
        <is>
          <t>-265Q1</t>
        </is>
      </c>
    </row>
    <row r="5599">
      <c r="A5599">
        <v>5598</v>
      </c>
      <c r="B5599">
        <f>GS69</f>
        <v>0</v>
      </c>
      <c r="C5599" t="inlineStr">
        <is>
          <t>+LS05</t>
        </is>
      </c>
      <c r="D5599" t="inlineStr">
        <is>
          <t>-265Q1</t>
        </is>
      </c>
      <c r="E5599" t="inlineStr">
        <is>
          <t>DILMC25-10(RDC24)</t>
        </is>
      </c>
      <c r="F5599" t="inlineStr">
        <is>
          <t>DILA-XHI22</t>
        </is>
      </c>
      <c r="G5599" t="inlineStr">
        <is>
          <t>LASTSCHUETZ</t>
        </is>
      </c>
      <c r="H5599" t="inlineStr">
        <is>
          <t>11kW 1S Federzugkl.</t>
        </is>
      </c>
      <c r="I5599">
        <v>416</v>
      </c>
      <c r="J5599">
        <f>GS69/265.5</f>
        <v>0</v>
      </c>
      <c r="K5599" t="inlineStr">
        <is>
          <t>DIL MC25</t>
        </is>
      </c>
      <c r="M5599" t="inlineStr">
        <is>
          <t>-265Q1</t>
        </is>
      </c>
    </row>
    <row r="5600">
      <c r="A5600">
        <v>5599</v>
      </c>
      <c r="B5600">
        <f>GS90</f>
        <v>0</v>
      </c>
      <c r="C5600" t="inlineStr">
        <is>
          <t>+LS04</t>
        </is>
      </c>
      <c r="D5600" t="inlineStr">
        <is>
          <t>-265Q1</t>
        </is>
      </c>
      <c r="E5600" t="inlineStr">
        <is>
          <t>DILMC25-10(RDC24)</t>
        </is>
      </c>
      <c r="F5600" t="inlineStr">
        <is>
          <t>DILA-XHI22</t>
        </is>
      </c>
      <c r="G5600" t="inlineStr">
        <is>
          <t>LASTSCHUETZ</t>
        </is>
      </c>
      <c r="H5600" t="inlineStr">
        <is>
          <t>11kW 1S Federzugkl.</t>
        </is>
      </c>
      <c r="I5600">
        <v>976</v>
      </c>
      <c r="J5600">
        <f>GS90/265.4</f>
        <v>0</v>
      </c>
      <c r="K5600" t="inlineStr">
        <is>
          <t>DIL MC25</t>
        </is>
      </c>
      <c r="M5600" t="inlineStr">
        <is>
          <t>-265Q1</t>
        </is>
      </c>
    </row>
    <row r="5601">
      <c r="A5601">
        <v>5600</v>
      </c>
      <c r="B5601">
        <f>GS90</f>
        <v>0</v>
      </c>
      <c r="C5601" t="inlineStr">
        <is>
          <t>+LS04</t>
        </is>
      </c>
      <c r="D5601" t="inlineStr">
        <is>
          <t>-265Q1</t>
        </is>
      </c>
      <c r="E5601" t="inlineStr">
        <is>
          <t>DILA-XHI22</t>
        </is>
      </c>
      <c r="F5601" t="inlineStr">
        <is>
          <t>DILA-XHI22</t>
        </is>
      </c>
      <c r="G5601" t="inlineStr">
        <is>
          <t>HILFSKONTAKTBLOCK</t>
        </is>
      </c>
      <c r="H5601" t="inlineStr">
        <is>
          <t>2S 2OE Last+Hilfssch. Cage</t>
        </is>
      </c>
      <c r="I5601">
        <v>976</v>
      </c>
      <c r="J5601">
        <f>GS90/265.4</f>
        <v>0</v>
      </c>
      <c r="K5601" t="inlineStr">
        <is>
          <t>DIL MC25</t>
        </is>
      </c>
      <c r="M5601" t="inlineStr">
        <is>
          <t>-265Q1</t>
        </is>
      </c>
    </row>
    <row r="5602">
      <c r="A5602">
        <v>5601</v>
      </c>
      <c r="B5602">
        <f>GS94</f>
        <v>0</v>
      </c>
      <c r="C5602" t="inlineStr">
        <is>
          <t>+LS18</t>
        </is>
      </c>
      <c r="D5602" t="inlineStr">
        <is>
          <t>-265Q1</t>
        </is>
      </c>
      <c r="E5602" t="inlineStr">
        <is>
          <t>DILMC25-10(RDC24)</t>
        </is>
      </c>
      <c r="F5602" t="inlineStr">
        <is>
          <t>DILA-XHI22</t>
        </is>
      </c>
      <c r="G5602" t="inlineStr">
        <is>
          <t>LASTSCHUETZ</t>
        </is>
      </c>
      <c r="H5602" t="inlineStr">
        <is>
          <t>11kW 1S Federzugkl.</t>
        </is>
      </c>
      <c r="I5602">
        <v>355</v>
      </c>
      <c r="J5602">
        <f>GS94/265.4</f>
        <v>0</v>
      </c>
      <c r="K5602" t="inlineStr">
        <is>
          <t>DIL MC25</t>
        </is>
      </c>
      <c r="M5602" t="inlineStr">
        <is>
          <t>-265Q1</t>
        </is>
      </c>
    </row>
    <row r="5603">
      <c r="A5603">
        <v>5602</v>
      </c>
      <c r="B5603">
        <f>GS94</f>
        <v>0</v>
      </c>
      <c r="C5603" t="inlineStr">
        <is>
          <t>+LS18</t>
        </is>
      </c>
      <c r="D5603" t="inlineStr">
        <is>
          <t>-265Q1</t>
        </is>
      </c>
      <c r="E5603" t="inlineStr">
        <is>
          <t>DILA-XHI22</t>
        </is>
      </c>
      <c r="F5603" t="inlineStr">
        <is>
          <t>DILA-XHI22</t>
        </is>
      </c>
      <c r="G5603" t="inlineStr">
        <is>
          <t>HILFSKONTAKTBLOCK</t>
        </is>
      </c>
      <c r="H5603" t="inlineStr">
        <is>
          <t>2S 2OE Last+Hilfssch. Cage</t>
        </is>
      </c>
      <c r="I5603">
        <v>355</v>
      </c>
      <c r="J5603">
        <f>GS94/265.4</f>
        <v>0</v>
      </c>
      <c r="K5603" t="inlineStr">
        <is>
          <t>DIL MC25</t>
        </is>
      </c>
      <c r="M5603" t="inlineStr">
        <is>
          <t>-265Q1</t>
        </is>
      </c>
    </row>
    <row r="5604">
      <c r="A5604">
        <v>5603</v>
      </c>
      <c r="B5604">
        <f>GS95</f>
        <v>0</v>
      </c>
      <c r="C5604" t="inlineStr">
        <is>
          <t>+LS18</t>
        </is>
      </c>
      <c r="D5604" t="inlineStr">
        <is>
          <t>-265Q1</t>
        </is>
      </c>
      <c r="E5604" t="inlineStr">
        <is>
          <t>DILA-XHI22</t>
        </is>
      </c>
      <c r="F5604" t="inlineStr">
        <is>
          <t>DILA-XHI22</t>
        </is>
      </c>
      <c r="G5604" t="inlineStr">
        <is>
          <t>HILFSKONTAKTBLOCK</t>
        </is>
      </c>
      <c r="H5604" t="inlineStr">
        <is>
          <t>2S 2OE Last+Hilfssch. Cage</t>
        </is>
      </c>
      <c r="I5604">
        <v>355</v>
      </c>
      <c r="J5604">
        <f>GS95/265.4</f>
        <v>0</v>
      </c>
      <c r="K5604" t="inlineStr">
        <is>
          <t>DIL MC25</t>
        </is>
      </c>
      <c r="M5604" t="inlineStr">
        <is>
          <t>-265Q1</t>
        </is>
      </c>
    </row>
    <row r="5605">
      <c r="A5605">
        <v>5604</v>
      </c>
      <c r="B5605">
        <f>GS95</f>
        <v>0</v>
      </c>
      <c r="C5605" t="inlineStr">
        <is>
          <t>+LS18</t>
        </is>
      </c>
      <c r="D5605" t="inlineStr">
        <is>
          <t>-265Q1</t>
        </is>
      </c>
      <c r="E5605" t="inlineStr">
        <is>
          <t>DILMC25-10(RDC24)</t>
        </is>
      </c>
      <c r="F5605" t="inlineStr">
        <is>
          <t>DILA-XHI22</t>
        </is>
      </c>
      <c r="G5605" t="inlineStr">
        <is>
          <t>LASTSCHUETZ</t>
        </is>
      </c>
      <c r="H5605" t="inlineStr">
        <is>
          <t>11kW 1S Federzugkl.</t>
        </is>
      </c>
      <c r="I5605">
        <v>355</v>
      </c>
      <c r="J5605">
        <f>GS95/265.4</f>
        <v>0</v>
      </c>
      <c r="K5605" t="inlineStr">
        <is>
          <t>DIL MC25</t>
        </is>
      </c>
      <c r="M5605" t="inlineStr">
        <is>
          <t>-265Q1</t>
        </is>
      </c>
    </row>
    <row r="5606">
      <c r="A5606">
        <v>5605</v>
      </c>
      <c r="B5606">
        <f>GS96</f>
        <v>0</v>
      </c>
      <c r="C5606" t="inlineStr">
        <is>
          <t>+LS18</t>
        </is>
      </c>
      <c r="D5606" t="inlineStr">
        <is>
          <t>-265Q1</t>
        </is>
      </c>
      <c r="E5606" t="inlineStr">
        <is>
          <t>DILMC25-10(RDC24)</t>
        </is>
      </c>
      <c r="F5606" t="inlineStr">
        <is>
          <t>DILA-XHI22</t>
        </is>
      </c>
      <c r="G5606" t="inlineStr">
        <is>
          <t>LASTSCHUETZ</t>
        </is>
      </c>
      <c r="H5606" t="inlineStr">
        <is>
          <t>11kW 1S Federzugkl.</t>
        </is>
      </c>
      <c r="I5606">
        <v>355</v>
      </c>
      <c r="J5606">
        <f>GS96/265.4</f>
        <v>0</v>
      </c>
      <c r="K5606" t="inlineStr">
        <is>
          <t>DIL MC25</t>
        </is>
      </c>
      <c r="M5606" t="inlineStr">
        <is>
          <t>-265Q1</t>
        </is>
      </c>
    </row>
    <row r="5607">
      <c r="A5607">
        <v>5606</v>
      </c>
      <c r="B5607">
        <f>GS96</f>
        <v>0</v>
      </c>
      <c r="C5607" t="inlineStr">
        <is>
          <t>+LS18</t>
        </is>
      </c>
      <c r="D5607" t="inlineStr">
        <is>
          <t>-265Q1</t>
        </is>
      </c>
      <c r="E5607" t="inlineStr">
        <is>
          <t>DILA-XHI22</t>
        </is>
      </c>
      <c r="F5607" t="inlineStr">
        <is>
          <t>DILA-XHI22</t>
        </is>
      </c>
      <c r="G5607" t="inlineStr">
        <is>
          <t>HILFSKONTAKTBLOCK</t>
        </is>
      </c>
      <c r="H5607" t="inlineStr">
        <is>
          <t>2S 2OE Last+Hilfssch. Cage</t>
        </is>
      </c>
      <c r="I5607">
        <v>355</v>
      </c>
      <c r="J5607">
        <f>GS96/265.4</f>
        <v>0</v>
      </c>
      <c r="K5607" t="inlineStr">
        <is>
          <t>DIL MC25</t>
        </is>
      </c>
      <c r="M5607" t="inlineStr">
        <is>
          <t>-265Q1</t>
        </is>
      </c>
    </row>
    <row r="5608">
      <c r="A5608">
        <v>5607</v>
      </c>
      <c r="B5608">
        <f>GS97</f>
        <v>0</v>
      </c>
      <c r="C5608" t="inlineStr">
        <is>
          <t>+LS18</t>
        </is>
      </c>
      <c r="D5608" t="inlineStr">
        <is>
          <t>-265Q1</t>
        </is>
      </c>
      <c r="E5608" t="inlineStr">
        <is>
          <t>DILMC25-10(RDC24)</t>
        </is>
      </c>
      <c r="F5608" t="inlineStr">
        <is>
          <t>DILA-XHI22</t>
        </is>
      </c>
      <c r="G5608" t="inlineStr">
        <is>
          <t>LASTSCHUETZ</t>
        </is>
      </c>
      <c r="H5608" t="inlineStr">
        <is>
          <t>11kW 1S Federzugkl.</t>
        </is>
      </c>
      <c r="I5608">
        <v>355</v>
      </c>
      <c r="J5608">
        <f>GS97/265.4</f>
        <v>0</v>
      </c>
      <c r="K5608" t="inlineStr">
        <is>
          <t>DIL MC25</t>
        </is>
      </c>
      <c r="M5608" t="inlineStr">
        <is>
          <t>-265Q1</t>
        </is>
      </c>
    </row>
    <row r="5609">
      <c r="A5609">
        <v>5608</v>
      </c>
      <c r="B5609">
        <f>GS97</f>
        <v>0</v>
      </c>
      <c r="C5609" t="inlineStr">
        <is>
          <t>+LS18</t>
        </is>
      </c>
      <c r="D5609" t="inlineStr">
        <is>
          <t>-265Q1</t>
        </is>
      </c>
      <c r="E5609" t="inlineStr">
        <is>
          <t>DILA-XHI22</t>
        </is>
      </c>
      <c r="F5609" t="inlineStr">
        <is>
          <t>DILA-XHI22</t>
        </is>
      </c>
      <c r="G5609" t="inlineStr">
        <is>
          <t>HILFSKONTAKTBLOCK</t>
        </is>
      </c>
      <c r="H5609" t="inlineStr">
        <is>
          <t>2S 2OE Last+Hilfssch. Cage</t>
        </is>
      </c>
      <c r="I5609">
        <v>355</v>
      </c>
      <c r="J5609">
        <f>GS97/265.4</f>
        <v>0</v>
      </c>
      <c r="K5609" t="inlineStr">
        <is>
          <t>DIL MC25</t>
        </is>
      </c>
      <c r="M5609" t="inlineStr">
        <is>
          <t>-265Q1</t>
        </is>
      </c>
    </row>
    <row r="5610">
      <c r="A5610">
        <v>5609</v>
      </c>
      <c r="B5610">
        <f>GS04</f>
        <v>0</v>
      </c>
      <c r="C5610" t="inlineStr">
        <is>
          <t>+LS6</t>
        </is>
      </c>
      <c r="D5610" t="inlineStr">
        <is>
          <t>-266K1</t>
        </is>
      </c>
      <c r="E5610" t="inlineStr">
        <is>
          <t>DIL_0AM</t>
        </is>
      </c>
      <c r="F5610" t="inlineStr">
        <is>
          <t>22_DIL-M</t>
        </is>
      </c>
      <c r="G5610" t="inlineStr">
        <is>
          <t>LASTSCHUETZ</t>
        </is>
      </c>
      <c r="H5610" t="inlineStr">
        <is>
          <t>11 kW</t>
        </is>
      </c>
      <c r="I5610">
        <v>517</v>
      </c>
      <c r="J5610">
        <f>GS04/266.2</f>
        <v>0</v>
      </c>
      <c r="K5610" t="inlineStr">
        <is>
          <t>DIL0AM</t>
        </is>
      </c>
      <c r="M5610" t="inlineStr">
        <is>
          <t>-266K1</t>
        </is>
      </c>
    </row>
    <row r="5611">
      <c r="A5611">
        <v>5610</v>
      </c>
      <c r="B5611">
        <f>GS04</f>
        <v>0</v>
      </c>
      <c r="C5611" t="inlineStr">
        <is>
          <t>+LS6</t>
        </is>
      </c>
      <c r="D5611" t="inlineStr">
        <is>
          <t>-266K1</t>
        </is>
      </c>
      <c r="E5611" t="inlineStr">
        <is>
          <t>22_DIL-M</t>
        </is>
      </c>
      <c r="F5611" t="inlineStr">
        <is>
          <t>22_DIL-M</t>
        </is>
      </c>
      <c r="G5611" t="inlineStr">
        <is>
          <t>HILFSKONTAKTBLOCK</t>
        </is>
      </c>
      <c r="H5611" t="inlineStr">
        <is>
          <t>2S 2OE Lastschuetz DIL M</t>
        </is>
      </c>
      <c r="I5611">
        <v>517</v>
      </c>
      <c r="J5611">
        <f>GS04/266.2</f>
        <v>0</v>
      </c>
      <c r="K5611" t="inlineStr">
        <is>
          <t>DIL0AM</t>
        </is>
      </c>
      <c r="M5611" t="inlineStr">
        <is>
          <t>-266K1</t>
        </is>
      </c>
    </row>
    <row r="5612">
      <c r="A5612">
        <v>5611</v>
      </c>
      <c r="B5612">
        <f>GS38</f>
        <v>0</v>
      </c>
      <c r="C5612" t="inlineStr">
        <is>
          <t>+LS05</t>
        </is>
      </c>
      <c r="D5612" t="inlineStr">
        <is>
          <t>-266Q413.6</t>
        </is>
      </c>
      <c r="E5612" t="inlineStr">
        <is>
          <t>DILM-9-10</t>
        </is>
      </c>
      <c r="F5612" t="inlineStr">
        <is>
          <t>#KALK!</t>
        </is>
      </c>
      <c r="G5612" t="inlineStr">
        <is>
          <t>LASTSCHUETZ</t>
        </is>
      </c>
      <c r="H5612" t="inlineStr">
        <is>
          <t>4kW 1S Federzugkl.</t>
        </is>
      </c>
      <c r="I5612">
        <v>436</v>
      </c>
      <c r="J5612">
        <f>GS38/266.6</f>
        <v>0</v>
      </c>
      <c r="M5612" t="inlineStr">
        <is>
          <t>-266Q413.6</t>
        </is>
      </c>
    </row>
    <row r="5613">
      <c r="A5613">
        <v>5612</v>
      </c>
      <c r="B5613">
        <f>GS39</f>
        <v>0</v>
      </c>
      <c r="C5613" t="inlineStr">
        <is>
          <t>+LS05</t>
        </is>
      </c>
      <c r="D5613" t="inlineStr">
        <is>
          <t>-266Q413.6</t>
        </is>
      </c>
      <c r="E5613" t="inlineStr">
        <is>
          <t>DILM-9-10</t>
        </is>
      </c>
      <c r="F5613" t="inlineStr">
        <is>
          <t>#KALK!</t>
        </is>
      </c>
      <c r="G5613" t="inlineStr">
        <is>
          <t>LASTSCHUETZ</t>
        </is>
      </c>
      <c r="H5613" t="inlineStr">
        <is>
          <t>4kW 1S Federzugkl.</t>
        </is>
      </c>
      <c r="I5613">
        <v>431</v>
      </c>
      <c r="J5613">
        <f>GS39/266.6</f>
        <v>0</v>
      </c>
      <c r="M5613" t="inlineStr">
        <is>
          <t>-266Q413.6</t>
        </is>
      </c>
    </row>
    <row r="5614">
      <c r="A5614">
        <v>5613</v>
      </c>
      <c r="B5614">
        <f>GS37</f>
        <v>0</v>
      </c>
      <c r="C5614" t="inlineStr">
        <is>
          <t>+LS05</t>
        </is>
      </c>
      <c r="D5614" t="inlineStr">
        <is>
          <t>-267K1</t>
        </is>
      </c>
      <c r="E5614" t="inlineStr">
        <is>
          <t>DILA-40</t>
        </is>
      </c>
      <c r="F5614" t="inlineStr">
        <is>
          <t>#KALK!</t>
        </is>
      </c>
      <c r="G5614" t="inlineStr">
        <is>
          <t>HILFSSCHUETZ</t>
        </is>
      </c>
      <c r="H5614" t="inlineStr">
        <is>
          <t>4S Federzugkl.</t>
        </is>
      </c>
      <c r="I5614">
        <v>329</v>
      </c>
      <c r="J5614">
        <f>GS37/267.2</f>
        <v>0</v>
      </c>
      <c r="M5614" t="inlineStr">
        <is>
          <t>-267K1</t>
        </is>
      </c>
    </row>
    <row r="5615">
      <c r="A5615">
        <v>5614</v>
      </c>
      <c r="B5615">
        <f>GS37</f>
        <v>0</v>
      </c>
      <c r="C5615" t="inlineStr">
        <is>
          <t>+LS05</t>
        </is>
      </c>
      <c r="D5615" t="inlineStr">
        <is>
          <t>-267K2</t>
        </is>
      </c>
      <c r="E5615" t="inlineStr">
        <is>
          <t>DILA-40</t>
        </is>
      </c>
      <c r="F5615" t="inlineStr">
        <is>
          <t>#KALK!</t>
        </is>
      </c>
      <c r="G5615" t="inlineStr">
        <is>
          <t>HILFSSCHUETZ</t>
        </is>
      </c>
      <c r="H5615" t="inlineStr">
        <is>
          <t>4S Federzugkl.</t>
        </is>
      </c>
      <c r="I5615">
        <v>329</v>
      </c>
      <c r="J5615">
        <f>GS37/267.3</f>
        <v>0</v>
      </c>
      <c r="M5615" t="inlineStr">
        <is>
          <t>-267K2</t>
        </is>
      </c>
    </row>
    <row r="5616">
      <c r="A5616">
        <v>5615</v>
      </c>
      <c r="B5616">
        <f>GS31</f>
        <v>0</v>
      </c>
      <c r="C5616" t="inlineStr">
        <is>
          <t>+LS4</t>
        </is>
      </c>
      <c r="D5616" t="inlineStr">
        <is>
          <t>-267K3502.0</t>
        </is>
      </c>
      <c r="E5616" t="inlineStr">
        <is>
          <t>DIL_EM-10-G</t>
        </is>
      </c>
      <c r="F5616" t="inlineStr">
        <is>
          <t>#KALK!</t>
        </is>
      </c>
      <c r="G5616" t="inlineStr">
        <is>
          <t>LASTSCHUETZ</t>
        </is>
      </c>
      <c r="H5616" t="inlineStr">
        <is>
          <t>4kW 1S</t>
        </is>
      </c>
      <c r="I5616">
        <v>558</v>
      </c>
      <c r="J5616">
        <f>GS31/267.6</f>
        <v>0</v>
      </c>
      <c r="M5616" t="inlineStr">
        <is>
          <t>-267K3502.0</t>
        </is>
      </c>
    </row>
    <row r="5617">
      <c r="A5617">
        <v>5616</v>
      </c>
      <c r="B5617">
        <f>GS31</f>
        <v>0</v>
      </c>
      <c r="C5617" t="inlineStr">
        <is>
          <t>+LS4</t>
        </is>
      </c>
      <c r="D5617" t="inlineStr">
        <is>
          <t>-267K3502.3</t>
        </is>
      </c>
      <c r="E5617" t="inlineStr">
        <is>
          <t>DIL_EM-10-G</t>
        </is>
      </c>
      <c r="F5617" t="inlineStr">
        <is>
          <t>#KALK!</t>
        </is>
      </c>
      <c r="G5617" t="inlineStr">
        <is>
          <t>LASTSCHUETZ</t>
        </is>
      </c>
      <c r="H5617" t="inlineStr">
        <is>
          <t>4kW 1S</t>
        </is>
      </c>
      <c r="I5617">
        <v>558</v>
      </c>
      <c r="J5617">
        <f>GS31/267.6</f>
        <v>0</v>
      </c>
      <c r="M5617" t="inlineStr">
        <is>
          <t>-267K3502.3</t>
        </is>
      </c>
    </row>
    <row r="5618">
      <c r="A5618">
        <v>5617</v>
      </c>
      <c r="B5618">
        <f>GS06</f>
        <v>0</v>
      </c>
      <c r="C5618" t="inlineStr">
        <is>
          <t>+LS04</t>
        </is>
      </c>
      <c r="D5618" t="inlineStr">
        <is>
          <t>-267Q124.5</t>
        </is>
      </c>
      <c r="E5618" t="inlineStr">
        <is>
          <t>DILMC17-10(RDC24)</t>
        </is>
      </c>
      <c r="F5618" t="inlineStr">
        <is>
          <t>#KALK!</t>
        </is>
      </c>
      <c r="G5618" t="inlineStr">
        <is>
          <t>LASTSCHUETZ</t>
        </is>
      </c>
      <c r="H5618" t="inlineStr">
        <is>
          <t>7,5kW 1S Federzugkl.</t>
        </is>
      </c>
      <c r="I5618">
        <v>2868</v>
      </c>
      <c r="J5618">
        <f>GS06/267.5</f>
        <v>0</v>
      </c>
      <c r="K5618" t="inlineStr">
        <is>
          <t>DIL MC17</t>
        </is>
      </c>
      <c r="M5618" t="inlineStr">
        <is>
          <t>-267Q124.5</t>
        </is>
      </c>
    </row>
    <row r="5619">
      <c r="A5619">
        <v>5618</v>
      </c>
      <c r="B5619">
        <f>GS90</f>
        <v>0</v>
      </c>
      <c r="C5619" t="inlineStr">
        <is>
          <t>+LS04</t>
        </is>
      </c>
      <c r="D5619" t="inlineStr">
        <is>
          <t>-267Q174.6</t>
        </is>
      </c>
      <c r="E5619" t="inlineStr">
        <is>
          <t>DILM-9-10</t>
        </is>
      </c>
      <c r="F5619" t="inlineStr">
        <is>
          <t>#KALK!</t>
        </is>
      </c>
      <c r="G5619" t="inlineStr">
        <is>
          <t>LASTSCHUETZ</t>
        </is>
      </c>
      <c r="H5619" t="inlineStr">
        <is>
          <t>4kW 1S Federzugkl.</t>
        </is>
      </c>
      <c r="I5619">
        <v>959</v>
      </c>
      <c r="J5619">
        <f>GS90/267.5</f>
        <v>0</v>
      </c>
      <c r="M5619" t="inlineStr">
        <is>
          <t>-267Q174.6</t>
        </is>
      </c>
    </row>
    <row r="5620">
      <c r="A5620">
        <v>5619</v>
      </c>
      <c r="B5620">
        <f>GC22</f>
        <v>0</v>
      </c>
      <c r="C5620" t="inlineStr">
        <is>
          <t>+LS3</t>
        </is>
      </c>
      <c r="D5620" t="inlineStr">
        <is>
          <t>-268K1</t>
        </is>
      </c>
      <c r="E5620" t="inlineStr">
        <is>
          <t>DIL_0AM</t>
        </is>
      </c>
      <c r="F5620" t="inlineStr">
        <is>
          <t>22_DIL-M</t>
        </is>
      </c>
      <c r="G5620" t="inlineStr">
        <is>
          <t>LASTSCHUETZ</t>
        </is>
      </c>
      <c r="H5620" t="inlineStr">
        <is>
          <t>11 kW</t>
        </is>
      </c>
      <c r="I5620">
        <v>3395</v>
      </c>
      <c r="J5620">
        <f>GC22/268.2</f>
        <v>0</v>
      </c>
      <c r="K5620" t="inlineStr">
        <is>
          <t>DIL0AM</t>
        </is>
      </c>
      <c r="M5620" t="inlineStr">
        <is>
          <t>-268K1</t>
        </is>
      </c>
    </row>
    <row r="5621">
      <c r="A5621">
        <v>5620</v>
      </c>
      <c r="B5621">
        <f>GC22</f>
        <v>0</v>
      </c>
      <c r="C5621" t="inlineStr">
        <is>
          <t>+LS3</t>
        </is>
      </c>
      <c r="D5621" t="inlineStr">
        <is>
          <t>-268K1</t>
        </is>
      </c>
      <c r="E5621" t="inlineStr">
        <is>
          <t>22_DIL-M</t>
        </is>
      </c>
      <c r="F5621" t="inlineStr">
        <is>
          <t>22_DIL-M</t>
        </is>
      </c>
      <c r="G5621" t="inlineStr">
        <is>
          <t>HILFSKONTAKTBLOCK</t>
        </is>
      </c>
      <c r="H5621" t="inlineStr">
        <is>
          <t>2S 2OE Lastschuetz DIL M</t>
        </is>
      </c>
      <c r="I5621">
        <v>3395</v>
      </c>
      <c r="J5621">
        <f>GC22/268.2</f>
        <v>0</v>
      </c>
      <c r="K5621" t="inlineStr">
        <is>
          <t>DIL0AM</t>
        </is>
      </c>
      <c r="M5621" t="inlineStr">
        <is>
          <t>-268K1</t>
        </is>
      </c>
    </row>
    <row r="5622">
      <c r="A5622">
        <v>5621</v>
      </c>
      <c r="B5622">
        <f>GS12</f>
        <v>0</v>
      </c>
      <c r="C5622" t="inlineStr">
        <is>
          <t>+LS3</t>
        </is>
      </c>
      <c r="D5622" t="inlineStr">
        <is>
          <t>-268K1</t>
        </is>
      </c>
      <c r="E5622" t="inlineStr">
        <is>
          <t>22_DIL-M</t>
        </is>
      </c>
      <c r="F5622" t="inlineStr">
        <is>
          <t>22_DIL-M</t>
        </is>
      </c>
      <c r="G5622" t="inlineStr">
        <is>
          <t>HILFSKONTAKTBLOCK</t>
        </is>
      </c>
      <c r="H5622" t="inlineStr">
        <is>
          <t>2S 2OE Lastschuetz DIL M</t>
        </is>
      </c>
      <c r="I5622">
        <v>400</v>
      </c>
      <c r="J5622">
        <f>GS12/268.2</f>
        <v>0</v>
      </c>
      <c r="K5622" t="inlineStr">
        <is>
          <t>DIL0AM</t>
        </is>
      </c>
      <c r="M5622" t="inlineStr">
        <is>
          <t>-268K1</t>
        </is>
      </c>
    </row>
    <row r="5623">
      <c r="A5623">
        <v>5622</v>
      </c>
      <c r="B5623">
        <f>GS12</f>
        <v>0</v>
      </c>
      <c r="C5623" t="inlineStr">
        <is>
          <t>+LS3</t>
        </is>
      </c>
      <c r="D5623" t="inlineStr">
        <is>
          <t>-268K1</t>
        </is>
      </c>
      <c r="E5623" t="inlineStr">
        <is>
          <t>DIL_0AM</t>
        </is>
      </c>
      <c r="F5623" t="inlineStr">
        <is>
          <t>22_DIL-M</t>
        </is>
      </c>
      <c r="G5623" t="inlineStr">
        <is>
          <t>LASTSCHUETZ</t>
        </is>
      </c>
      <c r="H5623" t="inlineStr">
        <is>
          <t>11 kW</t>
        </is>
      </c>
      <c r="I5623">
        <v>400</v>
      </c>
      <c r="J5623">
        <f>GS12/268.2</f>
        <v>0</v>
      </c>
      <c r="K5623" t="inlineStr">
        <is>
          <t>DIL0AM</t>
        </is>
      </c>
      <c r="M5623" t="inlineStr">
        <is>
          <t>-268K1</t>
        </is>
      </c>
    </row>
    <row r="5624">
      <c r="A5624">
        <v>5623</v>
      </c>
      <c r="B5624">
        <f>GS36</f>
        <v>0</v>
      </c>
      <c r="C5624" t="inlineStr">
        <is>
          <t>+LS05</t>
        </is>
      </c>
      <c r="D5624" t="inlineStr">
        <is>
          <t>-275Q170.7</t>
        </is>
      </c>
      <c r="E5624" t="inlineStr">
        <is>
          <t>DILM-9-10</t>
        </is>
      </c>
      <c r="F5624" t="inlineStr">
        <is>
          <t>DILA-XHI22</t>
        </is>
      </c>
      <c r="G5624" t="inlineStr">
        <is>
          <t>LASTSCHUETZ</t>
        </is>
      </c>
      <c r="H5624" t="inlineStr">
        <is>
          <t>4kW 1S Federzugkl.</t>
        </is>
      </c>
      <c r="I5624">
        <v>448</v>
      </c>
      <c r="J5624">
        <f>GS36/275.6</f>
        <v>0</v>
      </c>
      <c r="L5624" t="inlineStr">
        <is>
          <t>KL_3303</t>
        </is>
      </c>
      <c r="M5624" t="inlineStr">
        <is>
          <t>KL_3303
-275Q170.7</t>
        </is>
      </c>
      <c r="N5624" t="inlineStr">
        <is>
          <t>P</t>
        </is>
      </c>
    </row>
    <row r="5625">
      <c r="A5625">
        <v>5624</v>
      </c>
      <c r="B5625">
        <f>GS37</f>
        <v>0</v>
      </c>
      <c r="C5625" t="inlineStr">
        <is>
          <t>+LS05</t>
        </is>
      </c>
      <c r="D5625" t="inlineStr">
        <is>
          <t>-268K1</t>
        </is>
      </c>
      <c r="E5625" t="inlineStr">
        <is>
          <t>DILM-9-01</t>
        </is>
      </c>
      <c r="F5625" t="inlineStr">
        <is>
          <t>#KALK!</t>
        </is>
      </c>
      <c r="G5625" t="inlineStr">
        <is>
          <t>LASTSCHUETZ</t>
        </is>
      </c>
      <c r="H5625" t="inlineStr">
        <is>
          <t>4kW 1Oe Federzugkl.</t>
        </is>
      </c>
      <c r="I5625">
        <v>328</v>
      </c>
      <c r="J5625">
        <f>GS37/268.6</f>
        <v>0</v>
      </c>
      <c r="M5625" t="inlineStr">
        <is>
          <t>-268K1</t>
        </is>
      </c>
    </row>
    <row r="5626">
      <c r="A5626">
        <v>5625</v>
      </c>
      <c r="B5626">
        <f>GS36</f>
        <v>0</v>
      </c>
      <c r="C5626" t="inlineStr">
        <is>
          <t>+LS05</t>
        </is>
      </c>
      <c r="D5626" t="inlineStr">
        <is>
          <t>-278K171.2</t>
        </is>
      </c>
      <c r="E5626" t="inlineStr">
        <is>
          <t>DILA-22</t>
        </is>
      </c>
      <c r="F5626" t="inlineStr">
        <is>
          <t>#KALK!</t>
        </is>
      </c>
      <c r="G5626" t="inlineStr">
        <is>
          <t>HILFSSCHUETZ</t>
        </is>
      </c>
      <c r="H5626" t="inlineStr">
        <is>
          <t>2S 2Oe Federzugkl.</t>
        </is>
      </c>
      <c r="I5626">
        <v>451</v>
      </c>
      <c r="J5626">
        <f>GS36/278.5</f>
        <v>0</v>
      </c>
      <c r="M5626" t="inlineStr">
        <is>
          <t>-278K171.2</t>
        </is>
      </c>
    </row>
    <row r="5627">
      <c r="A5627">
        <v>5626</v>
      </c>
      <c r="B5627">
        <f>GS37</f>
        <v>0</v>
      </c>
      <c r="C5627" t="inlineStr">
        <is>
          <t>+LS05</t>
        </is>
      </c>
      <c r="D5627" t="inlineStr">
        <is>
          <t>-268K2</t>
        </is>
      </c>
      <c r="E5627" t="inlineStr">
        <is>
          <t>DILM-9-01</t>
        </is>
      </c>
      <c r="F5627" t="inlineStr">
        <is>
          <t>#KALK!</t>
        </is>
      </c>
      <c r="G5627" t="inlineStr">
        <is>
          <t>LASTSCHUETZ</t>
        </is>
      </c>
      <c r="H5627" t="inlineStr">
        <is>
          <t>4kW 1Oe Federzugkl.</t>
        </is>
      </c>
      <c r="I5627">
        <v>328</v>
      </c>
      <c r="J5627">
        <f>GS37/268.7</f>
        <v>0</v>
      </c>
      <c r="M5627" t="inlineStr">
        <is>
          <t>-268K2</t>
        </is>
      </c>
    </row>
    <row r="5628">
      <c r="A5628">
        <v>5627</v>
      </c>
      <c r="B5628">
        <f>GS31</f>
        <v>0</v>
      </c>
      <c r="C5628" t="inlineStr">
        <is>
          <t>+LS4</t>
        </is>
      </c>
      <c r="D5628" t="inlineStr">
        <is>
          <t>-268K3502.7</t>
        </is>
      </c>
      <c r="E5628" t="inlineStr">
        <is>
          <t>DIL_EM-10-G</t>
        </is>
      </c>
      <c r="F5628" t="inlineStr">
        <is>
          <t>#KALK!</t>
        </is>
      </c>
      <c r="G5628" t="inlineStr">
        <is>
          <t>LASTSCHUETZ</t>
        </is>
      </c>
      <c r="H5628" t="inlineStr">
        <is>
          <t>4kW 1S</t>
        </is>
      </c>
      <c r="I5628">
        <v>559</v>
      </c>
      <c r="J5628">
        <f>GS31/268.7</f>
        <v>0</v>
      </c>
      <c r="M5628" t="inlineStr">
        <is>
          <t>-268K3502.7</t>
        </is>
      </c>
    </row>
    <row r="5629">
      <c r="A5629">
        <v>5628</v>
      </c>
      <c r="B5629">
        <f>GS04</f>
        <v>0</v>
      </c>
      <c r="C5629" t="inlineStr">
        <is>
          <t>+LS6</t>
        </is>
      </c>
      <c r="D5629" t="inlineStr">
        <is>
          <t>-268K52.0</t>
        </is>
      </c>
      <c r="E5629" t="inlineStr">
        <is>
          <t>DIL_EM-10-G</t>
        </is>
      </c>
      <c r="F5629" t="inlineStr">
        <is>
          <t>#KALK!</t>
        </is>
      </c>
      <c r="G5629" t="inlineStr">
        <is>
          <t>LASTSCHUETZ</t>
        </is>
      </c>
      <c r="H5629" t="inlineStr">
        <is>
          <t>4kW 1S</t>
        </is>
      </c>
      <c r="I5629">
        <v>519</v>
      </c>
      <c r="J5629">
        <f>GS04/268.6</f>
        <v>0</v>
      </c>
      <c r="M5629" t="inlineStr">
        <is>
          <t>-268K52.0</t>
        </is>
      </c>
    </row>
    <row r="5630">
      <c r="A5630">
        <v>5629</v>
      </c>
      <c r="B5630">
        <f>GS04</f>
        <v>0</v>
      </c>
      <c r="C5630" t="inlineStr">
        <is>
          <t>+LS6</t>
        </is>
      </c>
      <c r="D5630" t="inlineStr">
        <is>
          <t>-268K52.1</t>
        </is>
      </c>
      <c r="E5630" t="inlineStr">
        <is>
          <t>DIL_EM-10-G</t>
        </is>
      </c>
      <c r="F5630" t="inlineStr">
        <is>
          <t>#KALK!</t>
        </is>
      </c>
      <c r="G5630" t="inlineStr">
        <is>
          <t>LASTSCHUETZ</t>
        </is>
      </c>
      <c r="H5630" t="inlineStr">
        <is>
          <t>4kW 1S</t>
        </is>
      </c>
      <c r="I5630">
        <v>519</v>
      </c>
      <c r="J5630">
        <f>GS04/268.6</f>
        <v>0</v>
      </c>
      <c r="M5630" t="inlineStr">
        <is>
          <t>-268K52.1</t>
        </is>
      </c>
    </row>
    <row r="5631">
      <c r="A5631">
        <v>5630</v>
      </c>
      <c r="B5631">
        <f>GS90</f>
        <v>0</v>
      </c>
      <c r="C5631" t="inlineStr">
        <is>
          <t>+LS04</t>
        </is>
      </c>
      <c r="D5631" t="inlineStr">
        <is>
          <t>-268Q174.7</t>
        </is>
      </c>
      <c r="E5631" t="inlineStr">
        <is>
          <t>DILM-9-10</t>
        </is>
      </c>
      <c r="F5631" t="inlineStr">
        <is>
          <t>#KALK!</t>
        </is>
      </c>
      <c r="G5631" t="inlineStr">
        <is>
          <t>LASTSCHUETZ</t>
        </is>
      </c>
      <c r="H5631" t="inlineStr">
        <is>
          <t>4kW 1S Federzugkl.</t>
        </is>
      </c>
      <c r="I5631">
        <v>972</v>
      </c>
      <c r="J5631">
        <f>GS90/268.5</f>
        <v>0</v>
      </c>
      <c r="M5631" t="inlineStr">
        <is>
          <t>-268Q174.7</t>
        </is>
      </c>
    </row>
    <row r="5632">
      <c r="A5632">
        <v>5631</v>
      </c>
      <c r="B5632">
        <f>GS08</f>
        <v>0</v>
      </c>
      <c r="C5632" t="inlineStr">
        <is>
          <t>+LS04</t>
        </is>
      </c>
      <c r="D5632" t="inlineStr">
        <is>
          <t>-268Q225.1</t>
        </is>
      </c>
      <c r="E5632" t="inlineStr">
        <is>
          <t>DILM-9-10</t>
        </is>
      </c>
      <c r="F5632" t="inlineStr">
        <is>
          <t>#KALK!</t>
        </is>
      </c>
      <c r="G5632" t="inlineStr">
        <is>
          <t>LASTSCHUETZ</t>
        </is>
      </c>
      <c r="H5632" t="inlineStr">
        <is>
          <t>4kW 1S Federzugkl.</t>
        </is>
      </c>
      <c r="I5632">
        <v>2077</v>
      </c>
      <c r="J5632">
        <f>GS08/268.6</f>
        <v>0</v>
      </c>
      <c r="K5632" t="inlineStr">
        <is>
          <t>DIL MC9</t>
        </is>
      </c>
      <c r="M5632" t="inlineStr">
        <is>
          <t>-268Q225.1</t>
        </is>
      </c>
    </row>
    <row r="5633">
      <c r="A5633">
        <v>5632</v>
      </c>
      <c r="B5633">
        <f>GS38</f>
        <v>0</v>
      </c>
      <c r="C5633" t="inlineStr">
        <is>
          <t>+LS05</t>
        </is>
      </c>
      <c r="D5633" t="inlineStr">
        <is>
          <t>-268Q415.3</t>
        </is>
      </c>
      <c r="E5633" t="inlineStr">
        <is>
          <t>DILM-9-01</t>
        </is>
      </c>
      <c r="F5633" t="inlineStr">
        <is>
          <t>#KALK!</t>
        </is>
      </c>
      <c r="G5633" t="inlineStr">
        <is>
          <t>LASTSCHUETZ</t>
        </is>
      </c>
      <c r="H5633" t="inlineStr">
        <is>
          <t>4kW 1Oe Federzugkl.</t>
        </is>
      </c>
      <c r="I5633">
        <v>438</v>
      </c>
      <c r="J5633">
        <f>GS38/268.6</f>
        <v>0</v>
      </c>
      <c r="M5633" t="inlineStr">
        <is>
          <t>-268Q415.3</t>
        </is>
      </c>
    </row>
    <row r="5634">
      <c r="A5634">
        <v>5633</v>
      </c>
      <c r="B5634">
        <f>GS39</f>
        <v>0</v>
      </c>
      <c r="C5634" t="inlineStr">
        <is>
          <t>+LS05</t>
        </is>
      </c>
      <c r="D5634" t="inlineStr">
        <is>
          <t>-268Q415.3</t>
        </is>
      </c>
      <c r="E5634" t="inlineStr">
        <is>
          <t>DILM-9-01</t>
        </is>
      </c>
      <c r="F5634" t="inlineStr">
        <is>
          <t>#KALK!</t>
        </is>
      </c>
      <c r="G5634" t="inlineStr">
        <is>
          <t>LASTSCHUETZ</t>
        </is>
      </c>
      <c r="H5634" t="inlineStr">
        <is>
          <t>4kW 1Oe Federzugkl.</t>
        </is>
      </c>
      <c r="I5634">
        <v>433</v>
      </c>
      <c r="J5634">
        <f>GS39/268.6</f>
        <v>0</v>
      </c>
      <c r="M5634" t="inlineStr">
        <is>
          <t>-268Q415.3</t>
        </is>
      </c>
    </row>
    <row r="5635">
      <c r="A5635">
        <v>5634</v>
      </c>
      <c r="B5635">
        <f>GS37</f>
        <v>0</v>
      </c>
      <c r="C5635" t="inlineStr">
        <is>
          <t>+LS05</t>
        </is>
      </c>
      <c r="D5635" t="inlineStr">
        <is>
          <t>-269K1</t>
        </is>
      </c>
      <c r="E5635" t="inlineStr">
        <is>
          <t>DILM-9-01</t>
        </is>
      </c>
      <c r="F5635" t="inlineStr">
        <is>
          <t>#KALK!</t>
        </is>
      </c>
      <c r="G5635" t="inlineStr">
        <is>
          <t>LASTSCHUETZ</t>
        </is>
      </c>
      <c r="H5635" t="inlineStr">
        <is>
          <t>4kW 1Oe Federzugkl.</t>
        </is>
      </c>
      <c r="I5635">
        <v>423</v>
      </c>
      <c r="J5635">
        <f>GS37/269.6</f>
        <v>0</v>
      </c>
      <c r="M5635" t="inlineStr">
        <is>
          <t>-269K1</t>
        </is>
      </c>
    </row>
    <row r="5636">
      <c r="A5636">
        <v>5635</v>
      </c>
      <c r="B5636">
        <f>GS37</f>
        <v>0</v>
      </c>
      <c r="C5636" t="inlineStr">
        <is>
          <t>+LS05</t>
        </is>
      </c>
      <c r="D5636" t="inlineStr">
        <is>
          <t>-269K2</t>
        </is>
      </c>
      <c r="E5636" t="inlineStr">
        <is>
          <t>DILM-9-01</t>
        </is>
      </c>
      <c r="F5636" t="inlineStr">
        <is>
          <t>#KALK!</t>
        </is>
      </c>
      <c r="G5636" t="inlineStr">
        <is>
          <t>LASTSCHUETZ</t>
        </is>
      </c>
      <c r="H5636" t="inlineStr">
        <is>
          <t>4kW 1Oe Federzugkl.</t>
        </is>
      </c>
      <c r="I5636">
        <v>423</v>
      </c>
      <c r="J5636">
        <f>GS37/269.7</f>
        <v>0</v>
      </c>
      <c r="M5636" t="inlineStr">
        <is>
          <t>-269K2</t>
        </is>
      </c>
    </row>
    <row r="5637">
      <c r="A5637">
        <v>5636</v>
      </c>
      <c r="B5637">
        <f>GS31</f>
        <v>0</v>
      </c>
      <c r="C5637" t="inlineStr">
        <is>
          <t>+LS4</t>
        </is>
      </c>
      <c r="D5637" t="inlineStr">
        <is>
          <t>-269K3503.3</t>
        </is>
      </c>
      <c r="E5637" t="inlineStr">
        <is>
          <t>DIL_EM-10-G</t>
        </is>
      </c>
      <c r="F5637" t="inlineStr">
        <is>
          <t>#KALK!</t>
        </is>
      </c>
      <c r="G5637" t="inlineStr">
        <is>
          <t>LASTSCHUETZ</t>
        </is>
      </c>
      <c r="H5637" t="inlineStr">
        <is>
          <t>4kW 1S</t>
        </is>
      </c>
      <c r="I5637">
        <v>560</v>
      </c>
      <c r="J5637">
        <f>GS31/269.7</f>
        <v>0</v>
      </c>
      <c r="M5637" t="inlineStr">
        <is>
          <t>-269K3503.3</t>
        </is>
      </c>
    </row>
    <row r="5638">
      <c r="A5638">
        <v>5637</v>
      </c>
      <c r="B5638">
        <f>GS04</f>
        <v>0</v>
      </c>
      <c r="C5638" t="inlineStr">
        <is>
          <t>+LS6</t>
        </is>
      </c>
      <c r="D5638" t="inlineStr">
        <is>
          <t>-269K52.7</t>
        </is>
      </c>
      <c r="E5638" t="inlineStr">
        <is>
          <t>DIL_EM-10-G</t>
        </is>
      </c>
      <c r="F5638" t="inlineStr">
        <is>
          <t>#KALK!</t>
        </is>
      </c>
      <c r="G5638" t="inlineStr">
        <is>
          <t>LASTSCHUETZ</t>
        </is>
      </c>
      <c r="H5638" t="inlineStr">
        <is>
          <t>4kW 1S</t>
        </is>
      </c>
      <c r="I5638">
        <v>520</v>
      </c>
      <c r="J5638">
        <f>GS04/269.7</f>
        <v>0</v>
      </c>
      <c r="M5638" t="inlineStr">
        <is>
          <t>-269K52.7</t>
        </is>
      </c>
    </row>
    <row r="5639">
      <c r="A5639">
        <v>5638</v>
      </c>
      <c r="B5639">
        <f>GS90</f>
        <v>0</v>
      </c>
      <c r="C5639" t="inlineStr">
        <is>
          <t>+LS04</t>
        </is>
      </c>
      <c r="D5639" t="inlineStr">
        <is>
          <t>-269Q175.0</t>
        </is>
      </c>
      <c r="E5639" t="inlineStr">
        <is>
          <t>DILM-9-10</t>
        </is>
      </c>
      <c r="F5639" t="inlineStr">
        <is>
          <t>#KALK!</t>
        </is>
      </c>
      <c r="G5639" t="inlineStr">
        <is>
          <t>LASTSCHUETZ</t>
        </is>
      </c>
      <c r="H5639" t="inlineStr">
        <is>
          <t>4kW 1S Federzugkl.</t>
        </is>
      </c>
      <c r="I5639">
        <v>1019</v>
      </c>
      <c r="J5639">
        <f>GS90/269.5</f>
        <v>0</v>
      </c>
      <c r="M5639" t="inlineStr">
        <is>
          <t>-269Q175.0</t>
        </is>
      </c>
    </row>
    <row r="5640">
      <c r="A5640">
        <v>5639</v>
      </c>
      <c r="B5640">
        <f>GS94</f>
        <v>0</v>
      </c>
      <c r="C5640" t="inlineStr">
        <is>
          <t>+LS18</t>
        </is>
      </c>
      <c r="D5640" t="inlineStr">
        <is>
          <t>-269Q484.0</t>
        </is>
      </c>
      <c r="E5640" t="inlineStr">
        <is>
          <t>DILM-9-10</t>
        </is>
      </c>
      <c r="F5640" t="inlineStr">
        <is>
          <t>#KALK!</t>
        </is>
      </c>
      <c r="G5640" t="inlineStr">
        <is>
          <t>LASTSCHUETZ</t>
        </is>
      </c>
      <c r="H5640" t="inlineStr">
        <is>
          <t>4kW 1S Federzugkl.</t>
        </is>
      </c>
      <c r="I5640">
        <v>359</v>
      </c>
      <c r="J5640">
        <f>GS94/269.5</f>
        <v>0</v>
      </c>
      <c r="M5640" t="inlineStr">
        <is>
          <t>-269Q484.0</t>
        </is>
      </c>
    </row>
    <row r="5641">
      <c r="A5641">
        <v>5640</v>
      </c>
      <c r="B5641">
        <f>GS95</f>
        <v>0</v>
      </c>
      <c r="C5641" t="inlineStr">
        <is>
          <t>+LS18</t>
        </is>
      </c>
      <c r="D5641" t="inlineStr">
        <is>
          <t>-269Q484.0</t>
        </is>
      </c>
      <c r="E5641" t="inlineStr">
        <is>
          <t>DILM-9-10</t>
        </is>
      </c>
      <c r="F5641" t="inlineStr">
        <is>
          <t>#KALK!</t>
        </is>
      </c>
      <c r="G5641" t="inlineStr">
        <is>
          <t>LASTSCHUETZ</t>
        </is>
      </c>
      <c r="H5641" t="inlineStr">
        <is>
          <t>4kW 1S Federzugkl.</t>
        </is>
      </c>
      <c r="I5641">
        <v>359</v>
      </c>
      <c r="J5641">
        <f>GS95/269.5</f>
        <v>0</v>
      </c>
      <c r="M5641" t="inlineStr">
        <is>
          <t>-269Q484.0</t>
        </is>
      </c>
    </row>
    <row r="5642">
      <c r="A5642">
        <v>5641</v>
      </c>
      <c r="B5642">
        <f>GS96</f>
        <v>0</v>
      </c>
      <c r="C5642" t="inlineStr">
        <is>
          <t>+LS18</t>
        </is>
      </c>
      <c r="D5642" t="inlineStr">
        <is>
          <t>-269Q484.0</t>
        </is>
      </c>
      <c r="E5642" t="inlineStr">
        <is>
          <t>DILM-9-10</t>
        </is>
      </c>
      <c r="F5642" t="inlineStr">
        <is>
          <t>#KALK!</t>
        </is>
      </c>
      <c r="G5642" t="inlineStr">
        <is>
          <t>LASTSCHUETZ</t>
        </is>
      </c>
      <c r="H5642" t="inlineStr">
        <is>
          <t>4kW 1S Federzugkl.</t>
        </is>
      </c>
      <c r="I5642">
        <v>359</v>
      </c>
      <c r="J5642">
        <f>GS96/269.5</f>
        <v>0</v>
      </c>
      <c r="M5642" t="inlineStr">
        <is>
          <t>-269Q484.0</t>
        </is>
      </c>
    </row>
    <row r="5643">
      <c r="A5643">
        <v>5642</v>
      </c>
      <c r="B5643">
        <f>GS97</f>
        <v>0</v>
      </c>
      <c r="C5643" t="inlineStr">
        <is>
          <t>+LS18</t>
        </is>
      </c>
      <c r="D5643" t="inlineStr">
        <is>
          <t>-269Q484.0</t>
        </is>
      </c>
      <c r="E5643" t="inlineStr">
        <is>
          <t>DILM-9-10</t>
        </is>
      </c>
      <c r="F5643" t="inlineStr">
        <is>
          <t>#KALK!</t>
        </is>
      </c>
      <c r="G5643" t="inlineStr">
        <is>
          <t>LASTSCHUETZ</t>
        </is>
      </c>
      <c r="H5643" t="inlineStr">
        <is>
          <t>4kW 1S Federzugkl.</t>
        </is>
      </c>
      <c r="I5643">
        <v>359</v>
      </c>
      <c r="J5643">
        <f>GS97/269.5</f>
        <v>0</v>
      </c>
      <c r="M5643" t="inlineStr">
        <is>
          <t>-269Q484.0</t>
        </is>
      </c>
    </row>
    <row r="5644">
      <c r="A5644">
        <v>5643</v>
      </c>
      <c r="B5644">
        <f>GS35</f>
        <v>0</v>
      </c>
      <c r="C5644" t="inlineStr">
        <is>
          <t>+ES02</t>
        </is>
      </c>
      <c r="D5644" t="inlineStr">
        <is>
          <t>-26K1</t>
        </is>
      </c>
      <c r="E5644" t="inlineStr">
        <is>
          <t>DILA-40</t>
        </is>
      </c>
      <c r="F5644" t="inlineStr">
        <is>
          <t>DILA-XHI22</t>
        </is>
      </c>
      <c r="G5644" t="inlineStr">
        <is>
          <t>HILFSSCHUETZ</t>
        </is>
      </c>
      <c r="H5644" t="inlineStr">
        <is>
          <t>4S Federzugkl.</t>
        </is>
      </c>
      <c r="I5644">
        <v>192</v>
      </c>
      <c r="J5644">
        <f>GS35/26.2</f>
        <v>0</v>
      </c>
      <c r="M5644" t="inlineStr">
        <is>
          <t>-26K1</t>
        </is>
      </c>
    </row>
    <row r="5645">
      <c r="A5645">
        <v>5644</v>
      </c>
      <c r="B5645">
        <f>GS35</f>
        <v>0</v>
      </c>
      <c r="C5645" t="inlineStr">
        <is>
          <t>+ES02</t>
        </is>
      </c>
      <c r="D5645" t="inlineStr">
        <is>
          <t>-26K1</t>
        </is>
      </c>
      <c r="E5645" t="inlineStr">
        <is>
          <t>DILA-XHI22</t>
        </is>
      </c>
      <c r="F5645" t="inlineStr">
        <is>
          <t>DILA-XHI22</t>
        </is>
      </c>
      <c r="G5645" t="inlineStr">
        <is>
          <t>HILFSKONTAKTBLOCK</t>
        </is>
      </c>
      <c r="H5645" t="inlineStr">
        <is>
          <t>2S 2OE Last+Hilfssch. Cage</t>
        </is>
      </c>
      <c r="I5645">
        <v>192</v>
      </c>
      <c r="J5645">
        <f>GS35/26.2</f>
        <v>0</v>
      </c>
      <c r="M5645" t="inlineStr">
        <is>
          <t>-26K1</t>
        </is>
      </c>
    </row>
    <row r="5646">
      <c r="A5646">
        <v>5645</v>
      </c>
      <c r="B5646">
        <f>GS35</f>
        <v>0</v>
      </c>
      <c r="C5646" t="inlineStr">
        <is>
          <t>+ES02</t>
        </is>
      </c>
      <c r="D5646" t="inlineStr">
        <is>
          <t>-26K2</t>
        </is>
      </c>
      <c r="E5646" t="inlineStr">
        <is>
          <t>DILA-XHI22</t>
        </is>
      </c>
      <c r="F5646" t="inlineStr">
        <is>
          <t>DILA-XHI22</t>
        </is>
      </c>
      <c r="G5646" t="inlineStr">
        <is>
          <t>HILFSKONTAKTBLOCK</t>
        </is>
      </c>
      <c r="H5646" t="inlineStr">
        <is>
          <t>2S 2OE Last+Hilfssch. Cage</t>
        </is>
      </c>
      <c r="I5646">
        <v>192</v>
      </c>
      <c r="J5646">
        <f>GS35/26.3</f>
        <v>0</v>
      </c>
      <c r="M5646" t="inlineStr">
        <is>
          <t>-26K2</t>
        </is>
      </c>
    </row>
    <row r="5647">
      <c r="A5647">
        <v>5646</v>
      </c>
      <c r="B5647">
        <f>GS35</f>
        <v>0</v>
      </c>
      <c r="C5647" t="inlineStr">
        <is>
          <t>+ES02</t>
        </is>
      </c>
      <c r="D5647" t="inlineStr">
        <is>
          <t>-26K2</t>
        </is>
      </c>
      <c r="E5647" t="inlineStr">
        <is>
          <t>DILA-40</t>
        </is>
      </c>
      <c r="F5647" t="inlineStr">
        <is>
          <t>DILA-XHI22</t>
        </is>
      </c>
      <c r="G5647" t="inlineStr">
        <is>
          <t>HILFSSCHUETZ</t>
        </is>
      </c>
      <c r="H5647" t="inlineStr">
        <is>
          <t>4S Federzugkl.</t>
        </is>
      </c>
      <c r="I5647">
        <v>192</v>
      </c>
      <c r="J5647">
        <f>GS35/26.3</f>
        <v>0</v>
      </c>
      <c r="M5647" t="inlineStr">
        <is>
          <t>-26K2</t>
        </is>
      </c>
    </row>
    <row r="5648">
      <c r="A5648">
        <v>5647</v>
      </c>
      <c r="B5648">
        <f>GS46</f>
        <v>0</v>
      </c>
      <c r="C5648" t="inlineStr">
        <is>
          <t>+ES02</t>
        </is>
      </c>
      <c r="D5648" t="inlineStr">
        <is>
          <t>-26K2</t>
        </is>
      </c>
      <c r="E5648" t="inlineStr">
        <is>
          <t>DILA-40</t>
        </is>
      </c>
      <c r="F5648" t="inlineStr">
        <is>
          <t>DILA-XHIC31</t>
        </is>
      </c>
      <c r="G5648" t="inlineStr">
        <is>
          <t>HILFSSCHUETZ</t>
        </is>
      </c>
      <c r="H5648" t="inlineStr">
        <is>
          <t>4S Federzugkl.</t>
        </is>
      </c>
      <c r="I5648">
        <v>175</v>
      </c>
      <c r="J5648">
        <f>GS46/26.6</f>
        <v>0</v>
      </c>
      <c r="M5648" t="inlineStr">
        <is>
          <t>-26K2</t>
        </is>
      </c>
    </row>
    <row r="5649">
      <c r="A5649">
        <v>5648</v>
      </c>
      <c r="B5649">
        <f>GS46</f>
        <v>0</v>
      </c>
      <c r="C5649" t="inlineStr">
        <is>
          <t>+ES02</t>
        </is>
      </c>
      <c r="D5649" t="inlineStr">
        <is>
          <t>-26K2</t>
        </is>
      </c>
      <c r="E5649" t="inlineStr">
        <is>
          <t>DILA-XHIC31</t>
        </is>
      </c>
      <c r="F5649" t="inlineStr">
        <is>
          <t>DILA-XHIC31</t>
        </is>
      </c>
      <c r="G5649" t="inlineStr">
        <is>
          <t>HILFSKONTAKTBLOCK</t>
        </is>
      </c>
      <c r="H5649" t="inlineStr">
        <is>
          <t>3S 1OE Last+Hilfssch. Cage</t>
        </is>
      </c>
      <c r="I5649">
        <v>175</v>
      </c>
      <c r="J5649">
        <f>GS46/26.6</f>
        <v>0</v>
      </c>
      <c r="M5649" t="inlineStr">
        <is>
          <t>-26K2</t>
        </is>
      </c>
    </row>
    <row r="5650">
      <c r="A5650">
        <v>5649</v>
      </c>
      <c r="B5650">
        <f>GS47</f>
        <v>0</v>
      </c>
      <c r="C5650" t="inlineStr">
        <is>
          <t>+ES02</t>
        </is>
      </c>
      <c r="D5650" t="inlineStr">
        <is>
          <t>-26K2</t>
        </is>
      </c>
      <c r="E5650" t="inlineStr">
        <is>
          <t>DILA-40</t>
        </is>
      </c>
      <c r="F5650" t="inlineStr">
        <is>
          <t>DILA-XHIC31</t>
        </is>
      </c>
      <c r="G5650" t="inlineStr">
        <is>
          <t>HILFSSCHUETZ</t>
        </is>
      </c>
      <c r="H5650" t="inlineStr">
        <is>
          <t>4S Federzugkl.</t>
        </is>
      </c>
      <c r="I5650">
        <v>175</v>
      </c>
      <c r="J5650">
        <f>GS47/26.6</f>
        <v>0</v>
      </c>
      <c r="M5650" t="inlineStr">
        <is>
          <t>-26K2</t>
        </is>
      </c>
    </row>
    <row r="5651">
      <c r="A5651">
        <v>5650</v>
      </c>
      <c r="B5651">
        <f>GS47</f>
        <v>0</v>
      </c>
      <c r="C5651" t="inlineStr">
        <is>
          <t>+ES02</t>
        </is>
      </c>
      <c r="D5651" t="inlineStr">
        <is>
          <t>-26K2</t>
        </is>
      </c>
      <c r="E5651" t="inlineStr">
        <is>
          <t>DILA-XHIC31</t>
        </is>
      </c>
      <c r="F5651" t="inlineStr">
        <is>
          <t>DILA-XHIC31</t>
        </is>
      </c>
      <c r="G5651" t="inlineStr">
        <is>
          <t>HILFSKONTAKTBLOCK</t>
        </is>
      </c>
      <c r="H5651" t="inlineStr">
        <is>
          <t>3S 1OE Last+Hilfssch. Cage</t>
        </is>
      </c>
      <c r="I5651">
        <v>175</v>
      </c>
      <c r="J5651">
        <f>GS47/26.6</f>
        <v>0</v>
      </c>
      <c r="M5651" t="inlineStr">
        <is>
          <t>-26K2</t>
        </is>
      </c>
    </row>
    <row r="5652">
      <c r="A5652">
        <v>5651</v>
      </c>
      <c r="B5652">
        <f>GS46</f>
        <v>0</v>
      </c>
      <c r="C5652" t="inlineStr">
        <is>
          <t>+ES02</t>
        </is>
      </c>
      <c r="D5652" t="inlineStr">
        <is>
          <t>-26K3</t>
        </is>
      </c>
      <c r="E5652" t="inlineStr">
        <is>
          <t>DILA-40</t>
        </is>
      </c>
      <c r="F5652" t="inlineStr">
        <is>
          <t>DILA-XHIC31</t>
        </is>
      </c>
      <c r="G5652" t="inlineStr">
        <is>
          <t>HILFSSCHUETZ</t>
        </is>
      </c>
      <c r="H5652" t="inlineStr">
        <is>
          <t>4S Federzugkl.</t>
        </is>
      </c>
      <c r="I5652">
        <v>175</v>
      </c>
      <c r="J5652">
        <f>GS46/26.7</f>
        <v>0</v>
      </c>
      <c r="M5652" t="inlineStr">
        <is>
          <t>-26K3</t>
        </is>
      </c>
    </row>
    <row r="5653">
      <c r="A5653">
        <v>5652</v>
      </c>
      <c r="B5653">
        <f>GS46</f>
        <v>0</v>
      </c>
      <c r="C5653" t="inlineStr">
        <is>
          <t>+ES02</t>
        </is>
      </c>
      <c r="D5653" t="inlineStr">
        <is>
          <t>-26K3</t>
        </is>
      </c>
      <c r="E5653" t="inlineStr">
        <is>
          <t>DILA-XHIC31</t>
        </is>
      </c>
      <c r="F5653" t="inlineStr">
        <is>
          <t>DILA-XHIC31</t>
        </is>
      </c>
      <c r="G5653" t="inlineStr">
        <is>
          <t>HILFSKONTAKTBLOCK</t>
        </is>
      </c>
      <c r="H5653" t="inlineStr">
        <is>
          <t>3S 1OE Last+Hilfssch. Cage</t>
        </is>
      </c>
      <c r="I5653">
        <v>175</v>
      </c>
      <c r="J5653">
        <f>GS46/26.7</f>
        <v>0</v>
      </c>
      <c r="M5653" t="inlineStr">
        <is>
          <t>-26K3</t>
        </is>
      </c>
    </row>
    <row r="5654">
      <c r="A5654">
        <v>5653</v>
      </c>
      <c r="B5654">
        <f>GS47</f>
        <v>0</v>
      </c>
      <c r="C5654" t="inlineStr">
        <is>
          <t>+ES02</t>
        </is>
      </c>
      <c r="D5654" t="inlineStr">
        <is>
          <t>-26K3</t>
        </is>
      </c>
      <c r="E5654" t="inlineStr">
        <is>
          <t>DILA-40</t>
        </is>
      </c>
      <c r="F5654" t="inlineStr">
        <is>
          <t>DILA-XHIC31</t>
        </is>
      </c>
      <c r="G5654" t="inlineStr">
        <is>
          <t>HILFSSCHUETZ</t>
        </is>
      </c>
      <c r="H5654" t="inlineStr">
        <is>
          <t>4S Federzugkl.</t>
        </is>
      </c>
      <c r="I5654">
        <v>175</v>
      </c>
      <c r="J5654">
        <f>GS47/26.7</f>
        <v>0</v>
      </c>
      <c r="M5654" t="inlineStr">
        <is>
          <t>-26K3</t>
        </is>
      </c>
    </row>
    <row r="5655">
      <c r="A5655">
        <v>5654</v>
      </c>
      <c r="B5655">
        <f>GS47</f>
        <v>0</v>
      </c>
      <c r="C5655" t="inlineStr">
        <is>
          <t>+ES02</t>
        </is>
      </c>
      <c r="D5655" t="inlineStr">
        <is>
          <t>-26K3</t>
        </is>
      </c>
      <c r="E5655" t="inlineStr">
        <is>
          <t>DILA-XHIC31</t>
        </is>
      </c>
      <c r="F5655" t="inlineStr">
        <is>
          <t>DILA-XHIC31</t>
        </is>
      </c>
      <c r="G5655" t="inlineStr">
        <is>
          <t>HILFSKONTAKTBLOCK</t>
        </is>
      </c>
      <c r="H5655" t="inlineStr">
        <is>
          <t>3S 1OE Last+Hilfssch. Cage</t>
        </is>
      </c>
      <c r="I5655">
        <v>175</v>
      </c>
      <c r="J5655">
        <f>GS47/26.7</f>
        <v>0</v>
      </c>
      <c r="M5655" t="inlineStr">
        <is>
          <t>-26K3</t>
        </is>
      </c>
    </row>
    <row r="5656">
      <c r="A5656">
        <v>5655</v>
      </c>
      <c r="B5656">
        <f>GS69</f>
        <v>0</v>
      </c>
      <c r="C5656" t="inlineStr">
        <is>
          <t>+LS[I1]</t>
        </is>
      </c>
      <c r="D5656" t="inlineStr">
        <is>
          <t>-26Q[a+91].0</t>
        </is>
      </c>
      <c r="E5656" t="inlineStr">
        <is>
          <t>DILM-9-10</t>
        </is>
      </c>
      <c r="F5656" t="inlineStr">
        <is>
          <t>#KALK!</t>
        </is>
      </c>
      <c r="G5656" t="inlineStr">
        <is>
          <t>LASTSCHUETZ</t>
        </is>
      </c>
      <c r="H5656" t="inlineStr">
        <is>
          <t>4kW 1S Federzugkl.</t>
        </is>
      </c>
      <c r="I5656">
        <v>456</v>
      </c>
      <c r="J5656">
        <f>GS69/26.3</f>
        <v>0</v>
      </c>
      <c r="M5656" t="inlineStr">
        <is>
          <t>-26Q[a+91].0</t>
        </is>
      </c>
    </row>
    <row r="5657">
      <c r="A5657">
        <v>5656</v>
      </c>
      <c r="B5657">
        <f>GS69</f>
        <v>0</v>
      </c>
      <c r="C5657" t="inlineStr">
        <is>
          <t>+LS[I1]</t>
        </is>
      </c>
      <c r="D5657" t="inlineStr">
        <is>
          <t>-26Q[a+91].6</t>
        </is>
      </c>
      <c r="E5657" t="inlineStr">
        <is>
          <t>DILM-9-10</t>
        </is>
      </c>
      <c r="F5657" t="inlineStr">
        <is>
          <t>#KALK!</t>
        </is>
      </c>
      <c r="G5657" t="inlineStr">
        <is>
          <t>LASTSCHUETZ</t>
        </is>
      </c>
      <c r="H5657" t="inlineStr">
        <is>
          <t>4kW 1S Federzugkl.</t>
        </is>
      </c>
      <c r="I5657">
        <v>456</v>
      </c>
      <c r="J5657">
        <f>GS69/26.5</f>
        <v>0</v>
      </c>
      <c r="M5657" t="inlineStr">
        <is>
          <t>-26Q[a+91].6</t>
        </is>
      </c>
    </row>
    <row r="5658">
      <c r="A5658">
        <v>5657</v>
      </c>
      <c r="B5658">
        <f>GS69</f>
        <v>0</v>
      </c>
      <c r="C5658" t="inlineStr">
        <is>
          <t>+LS[I1]</t>
        </is>
      </c>
      <c r="D5658" t="inlineStr">
        <is>
          <t>-26Q[a+91].7</t>
        </is>
      </c>
      <c r="E5658" t="inlineStr">
        <is>
          <t>DILM-9-10</t>
        </is>
      </c>
      <c r="F5658" t="inlineStr">
        <is>
          <t>#KALK!</t>
        </is>
      </c>
      <c r="G5658" t="inlineStr">
        <is>
          <t>LASTSCHUETZ</t>
        </is>
      </c>
      <c r="H5658" t="inlineStr">
        <is>
          <t>4kW 1S Federzugkl.</t>
        </is>
      </c>
      <c r="I5658">
        <v>456</v>
      </c>
      <c r="J5658">
        <f>GS69/26.6</f>
        <v>0</v>
      </c>
      <c r="M5658" t="inlineStr">
        <is>
          <t>-26Q[a+91].7</t>
        </is>
      </c>
    </row>
    <row r="5659">
      <c r="A5659">
        <v>5658</v>
      </c>
      <c r="B5659">
        <f>GS69</f>
        <v>0</v>
      </c>
      <c r="C5659" t="inlineStr">
        <is>
          <t>+LS[I1]</t>
        </is>
      </c>
      <c r="D5659" t="inlineStr">
        <is>
          <t>-26Q1</t>
        </is>
      </c>
      <c r="E5659" t="inlineStr">
        <is>
          <t>DILM-9-10</t>
        </is>
      </c>
      <c r="F5659" t="inlineStr">
        <is>
          <t>#KALK!</t>
        </is>
      </c>
      <c r="G5659" t="inlineStr">
        <is>
          <t>LASTSCHUETZ</t>
        </is>
      </c>
      <c r="H5659" t="inlineStr">
        <is>
          <t>4kW 1S Federzugkl.</t>
        </is>
      </c>
      <c r="I5659">
        <v>456</v>
      </c>
      <c r="J5659">
        <f>GS69/26.4</f>
        <v>0</v>
      </c>
      <c r="M5659" t="inlineStr">
        <is>
          <t>-26Q1</t>
        </is>
      </c>
    </row>
    <row r="5660">
      <c r="A5660">
        <v>5659</v>
      </c>
      <c r="B5660">
        <f>GS05</f>
        <v>0</v>
      </c>
      <c r="C5660" t="inlineStr">
        <is>
          <t>+ES02</t>
        </is>
      </c>
      <c r="D5660" t="inlineStr">
        <is>
          <t>-27.1K1</t>
        </is>
      </c>
      <c r="E5660" t="inlineStr">
        <is>
          <t>DILA-40</t>
        </is>
      </c>
      <c r="F5660" t="inlineStr">
        <is>
          <t>DILA-XHIC31</t>
        </is>
      </c>
      <c r="G5660" t="inlineStr">
        <is>
          <t>HILFSSCHUETZ</t>
        </is>
      </c>
      <c r="H5660" t="inlineStr">
        <is>
          <t>4S Federzugkl.</t>
        </is>
      </c>
      <c r="I5660">
        <v>425</v>
      </c>
      <c r="J5660">
        <f>GS05/27.1.4</f>
        <v>0</v>
      </c>
      <c r="M5660" t="inlineStr">
        <is>
          <t>-27.1K1</t>
        </is>
      </c>
    </row>
    <row r="5661">
      <c r="A5661">
        <v>5660</v>
      </c>
      <c r="B5661">
        <f>GS05</f>
        <v>0</v>
      </c>
      <c r="C5661" t="inlineStr">
        <is>
          <t>+ES02</t>
        </is>
      </c>
      <c r="D5661" t="inlineStr">
        <is>
          <t>-27.1K1</t>
        </is>
      </c>
      <c r="E5661" t="inlineStr">
        <is>
          <t>DILA-XHIC31</t>
        </is>
      </c>
      <c r="F5661" t="inlineStr">
        <is>
          <t>DILA-XHIC31</t>
        </is>
      </c>
      <c r="G5661" t="inlineStr">
        <is>
          <t>HILFSKONTAKTBLOCK</t>
        </is>
      </c>
      <c r="H5661" t="inlineStr">
        <is>
          <t>3S 1OE Last+Hilfssch. Cage</t>
        </is>
      </c>
      <c r="I5661">
        <v>425</v>
      </c>
      <c r="J5661">
        <f>GS05/27.1.4</f>
        <v>0</v>
      </c>
      <c r="M5661" t="inlineStr">
        <is>
          <t>-27.1K1</t>
        </is>
      </c>
    </row>
    <row r="5662">
      <c r="A5662">
        <v>5661</v>
      </c>
      <c r="B5662">
        <f>GS06</f>
        <v>0</v>
      </c>
      <c r="C5662" t="inlineStr">
        <is>
          <t>+ES02</t>
        </is>
      </c>
      <c r="D5662" t="inlineStr">
        <is>
          <t>-27.1K1</t>
        </is>
      </c>
      <c r="E5662" t="inlineStr">
        <is>
          <t>DILA-40</t>
        </is>
      </c>
      <c r="F5662" t="inlineStr">
        <is>
          <t>DILA-XHIC31</t>
        </is>
      </c>
      <c r="G5662" t="inlineStr">
        <is>
          <t>HILFSSCHUETZ</t>
        </is>
      </c>
      <c r="H5662" t="inlineStr">
        <is>
          <t>4S Federzugkl.</t>
        </is>
      </c>
      <c r="I5662">
        <v>425</v>
      </c>
      <c r="J5662">
        <f>GS06/27.1.2</f>
        <v>0</v>
      </c>
      <c r="M5662" t="inlineStr">
        <is>
          <t>-27.1K1</t>
        </is>
      </c>
    </row>
    <row r="5663">
      <c r="A5663">
        <v>5662</v>
      </c>
      <c r="B5663">
        <f>GS06</f>
        <v>0</v>
      </c>
      <c r="C5663" t="inlineStr">
        <is>
          <t>+ES02</t>
        </is>
      </c>
      <c r="D5663" t="inlineStr">
        <is>
          <t>-27.1K1</t>
        </is>
      </c>
      <c r="E5663" t="inlineStr">
        <is>
          <t>DILA-XHIC31</t>
        </is>
      </c>
      <c r="F5663" t="inlineStr">
        <is>
          <t>DILA-XHIC31</t>
        </is>
      </c>
      <c r="G5663" t="inlineStr">
        <is>
          <t>HILFSKONTAKTBLOCK</t>
        </is>
      </c>
      <c r="H5663" t="inlineStr">
        <is>
          <t>3S 1OE Last+Hilfssch. Cage</t>
        </is>
      </c>
      <c r="I5663">
        <v>425</v>
      </c>
      <c r="J5663">
        <f>GS06/27.1.2</f>
        <v>0</v>
      </c>
      <c r="M5663" t="inlineStr">
        <is>
          <t>-27.1K1</t>
        </is>
      </c>
    </row>
    <row r="5664">
      <c r="A5664">
        <v>5663</v>
      </c>
      <c r="B5664">
        <f>GS36</f>
        <v>0</v>
      </c>
      <c r="C5664" t="inlineStr">
        <is>
          <t>+LS05</t>
        </is>
      </c>
      <c r="D5664" t="inlineStr">
        <is>
          <t>-279.1K165.0</t>
        </is>
      </c>
      <c r="E5664" t="inlineStr">
        <is>
          <t>DILA-40</t>
        </is>
      </c>
      <c r="F5664" t="inlineStr">
        <is>
          <t>#KALK!</t>
        </is>
      </c>
      <c r="G5664" t="inlineStr">
        <is>
          <t>HILFSSCHUETZ</t>
        </is>
      </c>
      <c r="H5664" t="inlineStr">
        <is>
          <t>4S Federzugkl.</t>
        </is>
      </c>
      <c r="I5664">
        <v>1360</v>
      </c>
      <c r="J5664">
        <f>GS36/279.1.7</f>
        <v>0</v>
      </c>
      <c r="M5664" t="inlineStr">
        <is>
          <t>-279.1K165.0</t>
        </is>
      </c>
    </row>
    <row r="5665">
      <c r="A5665">
        <v>5664</v>
      </c>
      <c r="B5665">
        <f>GS36</f>
        <v>0</v>
      </c>
      <c r="C5665" t="inlineStr">
        <is>
          <t>+ES02</t>
        </is>
      </c>
      <c r="D5665" t="inlineStr">
        <is>
          <t>-27.1K1</t>
        </is>
      </c>
      <c r="E5665" t="inlineStr">
        <is>
          <t>DILA-XHIC31</t>
        </is>
      </c>
      <c r="F5665" t="inlineStr">
        <is>
          <t>DILA-XHIC31</t>
        </is>
      </c>
      <c r="G5665" t="inlineStr">
        <is>
          <t>HILFSKONTAKTBLOCK</t>
        </is>
      </c>
      <c r="H5665" t="inlineStr">
        <is>
          <t>3S 1OE Last+Hilfssch. Cage</t>
        </is>
      </c>
      <c r="I5665">
        <v>197</v>
      </c>
      <c r="J5665">
        <f>GS36/27.1.2</f>
        <v>0</v>
      </c>
      <c r="M5665" t="inlineStr">
        <is>
          <t>-27.1K1</t>
        </is>
      </c>
    </row>
    <row r="5666">
      <c r="A5666">
        <v>5665</v>
      </c>
      <c r="B5666">
        <f>GS38</f>
        <v>0</v>
      </c>
      <c r="C5666" t="inlineStr">
        <is>
          <t>+ES02</t>
        </is>
      </c>
      <c r="D5666" t="inlineStr">
        <is>
          <t>-27.1K1</t>
        </is>
      </c>
      <c r="E5666" t="inlineStr">
        <is>
          <t>DILA-XHIC31</t>
        </is>
      </c>
      <c r="F5666" t="inlineStr">
        <is>
          <t>DILA-XHIC31</t>
        </is>
      </c>
      <c r="G5666" t="inlineStr">
        <is>
          <t>HILFSKONTAKTBLOCK</t>
        </is>
      </c>
      <c r="H5666" t="inlineStr">
        <is>
          <t>3S 1OE Last+Hilfssch. Cage</t>
        </is>
      </c>
      <c r="I5666">
        <v>171</v>
      </c>
      <c r="J5666">
        <f>GS38/27.1.2</f>
        <v>0</v>
      </c>
      <c r="M5666" t="inlineStr">
        <is>
          <t>-27.1K1</t>
        </is>
      </c>
    </row>
    <row r="5667">
      <c r="A5667">
        <v>5666</v>
      </c>
      <c r="B5667">
        <f>GS38</f>
        <v>0</v>
      </c>
      <c r="C5667" t="inlineStr">
        <is>
          <t>+ES02</t>
        </is>
      </c>
      <c r="D5667" t="inlineStr">
        <is>
          <t>-27.1K1</t>
        </is>
      </c>
      <c r="E5667" t="inlineStr">
        <is>
          <t>DILA-40</t>
        </is>
      </c>
      <c r="F5667" t="inlineStr">
        <is>
          <t>DILA-XHIC31</t>
        </is>
      </c>
      <c r="G5667" t="inlineStr">
        <is>
          <t>HILFSSCHUETZ</t>
        </is>
      </c>
      <c r="H5667" t="inlineStr">
        <is>
          <t>4S Federzugkl.</t>
        </is>
      </c>
      <c r="I5667">
        <v>171</v>
      </c>
      <c r="J5667">
        <f>GS38/27.1.2</f>
        <v>0</v>
      </c>
      <c r="M5667" t="inlineStr">
        <is>
          <t>-27.1K1</t>
        </is>
      </c>
    </row>
    <row r="5668">
      <c r="A5668">
        <v>5667</v>
      </c>
      <c r="B5668">
        <f>GS39</f>
        <v>0</v>
      </c>
      <c r="C5668" t="inlineStr">
        <is>
          <t>+ES02</t>
        </is>
      </c>
      <c r="D5668" t="inlineStr">
        <is>
          <t>-27.1K1</t>
        </is>
      </c>
      <c r="E5668" t="inlineStr">
        <is>
          <t>DILA-40</t>
        </is>
      </c>
      <c r="F5668" t="inlineStr">
        <is>
          <t>DILA-XHIC31</t>
        </is>
      </c>
      <c r="G5668" t="inlineStr">
        <is>
          <t>HILFSSCHUETZ</t>
        </is>
      </c>
      <c r="H5668" t="inlineStr">
        <is>
          <t>4S Federzugkl.</t>
        </is>
      </c>
      <c r="I5668">
        <v>209</v>
      </c>
      <c r="J5668">
        <f>GS39/27.1.2</f>
        <v>0</v>
      </c>
      <c r="M5668" t="inlineStr">
        <is>
          <t>-27.1K1</t>
        </is>
      </c>
    </row>
    <row r="5669">
      <c r="A5669">
        <v>5668</v>
      </c>
      <c r="B5669">
        <f>GS39</f>
        <v>0</v>
      </c>
      <c r="C5669" t="inlineStr">
        <is>
          <t>+ES02</t>
        </is>
      </c>
      <c r="D5669" t="inlineStr">
        <is>
          <t>-27.1K1</t>
        </is>
      </c>
      <c r="E5669" t="inlineStr">
        <is>
          <t>DILA-XHIC31</t>
        </is>
      </c>
      <c r="F5669" t="inlineStr">
        <is>
          <t>DILA-XHIC31</t>
        </is>
      </c>
      <c r="G5669" t="inlineStr">
        <is>
          <t>HILFSKONTAKTBLOCK</t>
        </is>
      </c>
      <c r="H5669" t="inlineStr">
        <is>
          <t>3S 1OE Last+Hilfssch. Cage</t>
        </is>
      </c>
      <c r="I5669">
        <v>209</v>
      </c>
      <c r="J5669">
        <f>GS39/27.1.2</f>
        <v>0</v>
      </c>
      <c r="M5669" t="inlineStr">
        <is>
          <t>-27.1K1</t>
        </is>
      </c>
    </row>
    <row r="5670">
      <c r="A5670">
        <v>5669</v>
      </c>
      <c r="B5670">
        <f>GS51</f>
        <v>0</v>
      </c>
      <c r="C5670" t="inlineStr">
        <is>
          <t>+ES02</t>
        </is>
      </c>
      <c r="D5670" t="inlineStr">
        <is>
          <t>-27.1K1</t>
        </is>
      </c>
      <c r="E5670" t="inlineStr">
        <is>
          <t>DILA-XHIC31</t>
        </is>
      </c>
      <c r="F5670" t="inlineStr">
        <is>
          <t>DILA-XHIC31</t>
        </is>
      </c>
      <c r="G5670" t="inlineStr">
        <is>
          <t>HILFSKONTAKTBLOCK</t>
        </is>
      </c>
      <c r="H5670" t="inlineStr">
        <is>
          <t>3S 1OE Last+Hilfssch. Cage</t>
        </is>
      </c>
      <c r="I5670">
        <v>227</v>
      </c>
      <c r="J5670">
        <f>GS51/27.1.4</f>
        <v>0</v>
      </c>
      <c r="M5670" t="inlineStr">
        <is>
          <t>-27.1K1</t>
        </is>
      </c>
    </row>
    <row r="5671">
      <c r="A5671">
        <v>5670</v>
      </c>
      <c r="B5671">
        <f>GS51</f>
        <v>0</v>
      </c>
      <c r="C5671" t="inlineStr">
        <is>
          <t>+ES02</t>
        </is>
      </c>
      <c r="D5671" t="inlineStr">
        <is>
          <t>-27.1K1</t>
        </is>
      </c>
      <c r="E5671" t="inlineStr">
        <is>
          <t>DILA-40</t>
        </is>
      </c>
      <c r="F5671" t="inlineStr">
        <is>
          <t>DILA-XHIC31</t>
        </is>
      </c>
      <c r="G5671" t="inlineStr">
        <is>
          <t>HILFSSCHUETZ</t>
        </is>
      </c>
      <c r="H5671" t="inlineStr">
        <is>
          <t>4S Federzugkl.</t>
        </is>
      </c>
      <c r="I5671">
        <v>227</v>
      </c>
      <c r="J5671">
        <f>GS51/27.1.4</f>
        <v>0</v>
      </c>
      <c r="M5671" t="inlineStr">
        <is>
          <t>-27.1K1</t>
        </is>
      </c>
    </row>
    <row r="5672">
      <c r="A5672">
        <v>5671</v>
      </c>
      <c r="B5672">
        <f>GS55</f>
        <v>0</v>
      </c>
      <c r="C5672" t="inlineStr">
        <is>
          <t>+ES02</t>
        </is>
      </c>
      <c r="D5672" t="inlineStr">
        <is>
          <t>-27.1K1</t>
        </is>
      </c>
      <c r="E5672" t="inlineStr">
        <is>
          <t>DILA-40</t>
        </is>
      </c>
      <c r="F5672" t="inlineStr">
        <is>
          <t>DILA-XHIC31</t>
        </is>
      </c>
      <c r="G5672" t="inlineStr">
        <is>
          <t>HILFSSCHUETZ</t>
        </is>
      </c>
      <c r="H5672" t="inlineStr">
        <is>
          <t>4S Federzugkl.</t>
        </is>
      </c>
      <c r="I5672">
        <v>262</v>
      </c>
      <c r="J5672">
        <f>GS55/27.1.4</f>
        <v>0</v>
      </c>
      <c r="M5672" t="inlineStr">
        <is>
          <t>-27.1K1</t>
        </is>
      </c>
    </row>
    <row r="5673">
      <c r="A5673">
        <v>5672</v>
      </c>
      <c r="B5673">
        <f>GS55</f>
        <v>0</v>
      </c>
      <c r="C5673" t="inlineStr">
        <is>
          <t>+ES02</t>
        </is>
      </c>
      <c r="D5673" t="inlineStr">
        <is>
          <t>-27.1K1</t>
        </is>
      </c>
      <c r="E5673" t="inlineStr">
        <is>
          <t>DILA-XHIC31</t>
        </is>
      </c>
      <c r="F5673" t="inlineStr">
        <is>
          <t>DILA-XHIC31</t>
        </is>
      </c>
      <c r="G5673" t="inlineStr">
        <is>
          <t>HILFSKONTAKTBLOCK</t>
        </is>
      </c>
      <c r="H5673" t="inlineStr">
        <is>
          <t>3S 1OE Last+Hilfssch. Cage</t>
        </is>
      </c>
      <c r="I5673">
        <v>262</v>
      </c>
      <c r="J5673">
        <f>GS55/27.1.4</f>
        <v>0</v>
      </c>
      <c r="M5673" t="inlineStr">
        <is>
          <t>-27.1K1</t>
        </is>
      </c>
    </row>
    <row r="5674">
      <c r="A5674">
        <v>5673</v>
      </c>
      <c r="B5674">
        <f>GS05</f>
        <v>0</v>
      </c>
      <c r="C5674" t="inlineStr">
        <is>
          <t>+ES02</t>
        </is>
      </c>
      <c r="D5674" t="inlineStr">
        <is>
          <t>-27.1K2</t>
        </is>
      </c>
      <c r="E5674" t="inlineStr">
        <is>
          <t>DILA-40</t>
        </is>
      </c>
      <c r="F5674" t="inlineStr">
        <is>
          <t>DILA-XHIC31</t>
        </is>
      </c>
      <c r="G5674" t="inlineStr">
        <is>
          <t>HILFSSCHUETZ</t>
        </is>
      </c>
      <c r="H5674" t="inlineStr">
        <is>
          <t>4S Federzugkl.</t>
        </is>
      </c>
      <c r="I5674">
        <v>425</v>
      </c>
      <c r="J5674">
        <f>GS05/27.1.5</f>
        <v>0</v>
      </c>
      <c r="M5674" t="inlineStr">
        <is>
          <t>-27.1K2</t>
        </is>
      </c>
    </row>
    <row r="5675">
      <c r="A5675">
        <v>5674</v>
      </c>
      <c r="B5675">
        <f>GS05</f>
        <v>0</v>
      </c>
      <c r="C5675" t="inlineStr">
        <is>
          <t>+ES02</t>
        </is>
      </c>
      <c r="D5675" t="inlineStr">
        <is>
          <t>-27.1K2</t>
        </is>
      </c>
      <c r="E5675" t="inlineStr">
        <is>
          <t>DILA-XHIC31</t>
        </is>
      </c>
      <c r="F5675" t="inlineStr">
        <is>
          <t>DILA-XHIC31</t>
        </is>
      </c>
      <c r="G5675" t="inlineStr">
        <is>
          <t>HILFSKONTAKTBLOCK</t>
        </is>
      </c>
      <c r="H5675" t="inlineStr">
        <is>
          <t>3S 1OE Last+Hilfssch. Cage</t>
        </is>
      </c>
      <c r="I5675">
        <v>425</v>
      </c>
      <c r="J5675">
        <f>GS05/27.1.5</f>
        <v>0</v>
      </c>
      <c r="M5675" t="inlineStr">
        <is>
          <t>-27.1K2</t>
        </is>
      </c>
    </row>
    <row r="5676">
      <c r="A5676">
        <v>5675</v>
      </c>
      <c r="B5676">
        <f>GS06</f>
        <v>0</v>
      </c>
      <c r="C5676" t="inlineStr">
        <is>
          <t>+ES02</t>
        </is>
      </c>
      <c r="D5676" t="inlineStr">
        <is>
          <t>-27.1K2</t>
        </is>
      </c>
      <c r="E5676" t="inlineStr">
        <is>
          <t>DILA-40</t>
        </is>
      </c>
      <c r="F5676" t="inlineStr">
        <is>
          <t>DILA-XHIC31</t>
        </is>
      </c>
      <c r="G5676" t="inlineStr">
        <is>
          <t>HILFSSCHUETZ</t>
        </is>
      </c>
      <c r="H5676" t="inlineStr">
        <is>
          <t>4S Federzugkl.</t>
        </is>
      </c>
      <c r="I5676">
        <v>425</v>
      </c>
      <c r="J5676">
        <f>GS06/27.1.2</f>
        <v>0</v>
      </c>
      <c r="M5676" t="inlineStr">
        <is>
          <t>-27.1K2</t>
        </is>
      </c>
    </row>
    <row r="5677">
      <c r="A5677">
        <v>5676</v>
      </c>
      <c r="B5677">
        <f>GS06</f>
        <v>0</v>
      </c>
      <c r="C5677" t="inlineStr">
        <is>
          <t>+ES02</t>
        </is>
      </c>
      <c r="D5677" t="inlineStr">
        <is>
          <t>-27.1K2</t>
        </is>
      </c>
      <c r="E5677" t="inlineStr">
        <is>
          <t>DILA-XHIC31</t>
        </is>
      </c>
      <c r="F5677" t="inlineStr">
        <is>
          <t>DILA-XHIC31</t>
        </is>
      </c>
      <c r="G5677" t="inlineStr">
        <is>
          <t>HILFSKONTAKTBLOCK</t>
        </is>
      </c>
      <c r="H5677" t="inlineStr">
        <is>
          <t>3S 1OE Last+Hilfssch. Cage</t>
        </is>
      </c>
      <c r="I5677">
        <v>425</v>
      </c>
      <c r="J5677">
        <f>GS06/27.1.2</f>
        <v>0</v>
      </c>
      <c r="M5677" t="inlineStr">
        <is>
          <t>-27.1K2</t>
        </is>
      </c>
    </row>
    <row r="5678">
      <c r="A5678">
        <v>5677</v>
      </c>
      <c r="B5678">
        <f>GS36</f>
        <v>0</v>
      </c>
      <c r="C5678" t="inlineStr">
        <is>
          <t>+LS05</t>
        </is>
      </c>
      <c r="D5678" t="inlineStr">
        <is>
          <t>-279.2Q165.1</t>
        </is>
      </c>
      <c r="E5678" t="inlineStr">
        <is>
          <t>DILM-9-10</t>
        </is>
      </c>
      <c r="F5678" t="inlineStr">
        <is>
          <t>#KALK!</t>
        </is>
      </c>
      <c r="G5678" t="inlineStr">
        <is>
          <t>LASTSCHUETZ</t>
        </is>
      </c>
      <c r="H5678" t="inlineStr">
        <is>
          <t>4kW 1S Federzugkl.</t>
        </is>
      </c>
      <c r="I5678">
        <v>1359</v>
      </c>
      <c r="J5678">
        <f>GS36/279.2.5</f>
        <v>0</v>
      </c>
      <c r="L5678" t="inlineStr">
        <is>
          <t>GF_5201</t>
        </is>
      </c>
      <c r="M5678" t="inlineStr">
        <is>
          <t>GF_5201
-279.2Q165.1</t>
        </is>
      </c>
      <c r="N5678" t="inlineStr">
        <is>
          <t>P</t>
        </is>
      </c>
    </row>
    <row r="5679">
      <c r="A5679">
        <v>5678</v>
      </c>
      <c r="B5679">
        <f>GS36</f>
        <v>0</v>
      </c>
      <c r="C5679" t="inlineStr">
        <is>
          <t>+ES02</t>
        </is>
      </c>
      <c r="D5679" t="inlineStr">
        <is>
          <t>-27.1K2</t>
        </is>
      </c>
      <c r="E5679" t="inlineStr">
        <is>
          <t>DILA-XHIC31</t>
        </is>
      </c>
      <c r="F5679" t="inlineStr">
        <is>
          <t>DILA-XHIC31</t>
        </is>
      </c>
      <c r="G5679" t="inlineStr">
        <is>
          <t>HILFSKONTAKTBLOCK</t>
        </is>
      </c>
      <c r="H5679" t="inlineStr">
        <is>
          <t>3S 1OE Last+Hilfssch. Cage</t>
        </is>
      </c>
      <c r="I5679">
        <v>197</v>
      </c>
      <c r="J5679">
        <f>GS36/27.1.2</f>
        <v>0</v>
      </c>
      <c r="M5679" t="inlineStr">
        <is>
          <t>-27.1K2</t>
        </is>
      </c>
    </row>
    <row r="5680">
      <c r="A5680">
        <v>5679</v>
      </c>
      <c r="B5680">
        <f>GS38</f>
        <v>0</v>
      </c>
      <c r="C5680" t="inlineStr">
        <is>
          <t>+ES02</t>
        </is>
      </c>
      <c r="D5680" t="inlineStr">
        <is>
          <t>-27.1K2</t>
        </is>
      </c>
      <c r="E5680" t="inlineStr">
        <is>
          <t>DILA-XHIC31</t>
        </is>
      </c>
      <c r="F5680" t="inlineStr">
        <is>
          <t>DILA-XHIC31</t>
        </is>
      </c>
      <c r="G5680" t="inlineStr">
        <is>
          <t>HILFSKONTAKTBLOCK</t>
        </is>
      </c>
      <c r="H5680" t="inlineStr">
        <is>
          <t>3S 1OE Last+Hilfssch. Cage</t>
        </is>
      </c>
      <c r="I5680">
        <v>171</v>
      </c>
      <c r="J5680">
        <f>GS38/27.1.3</f>
        <v>0</v>
      </c>
      <c r="M5680" t="inlineStr">
        <is>
          <t>-27.1K2</t>
        </is>
      </c>
    </row>
    <row r="5681">
      <c r="A5681">
        <v>5680</v>
      </c>
      <c r="B5681">
        <f>GS38</f>
        <v>0</v>
      </c>
      <c r="C5681" t="inlineStr">
        <is>
          <t>+ES02</t>
        </is>
      </c>
      <c r="D5681" t="inlineStr">
        <is>
          <t>-27.1K2</t>
        </is>
      </c>
      <c r="E5681" t="inlineStr">
        <is>
          <t>DILA-40</t>
        </is>
      </c>
      <c r="F5681" t="inlineStr">
        <is>
          <t>DILA-XHIC31</t>
        </is>
      </c>
      <c r="G5681" t="inlineStr">
        <is>
          <t>HILFSSCHUETZ</t>
        </is>
      </c>
      <c r="H5681" t="inlineStr">
        <is>
          <t>4S Federzugkl.</t>
        </is>
      </c>
      <c r="I5681">
        <v>171</v>
      </c>
      <c r="J5681">
        <f>GS38/27.1.3</f>
        <v>0</v>
      </c>
      <c r="M5681" t="inlineStr">
        <is>
          <t>-27.1K2</t>
        </is>
      </c>
    </row>
    <row r="5682">
      <c r="A5682">
        <v>5681</v>
      </c>
      <c r="B5682">
        <f>GS39</f>
        <v>0</v>
      </c>
      <c r="C5682" t="inlineStr">
        <is>
          <t>+ES02</t>
        </is>
      </c>
      <c r="D5682" t="inlineStr">
        <is>
          <t>-27.1K2</t>
        </is>
      </c>
      <c r="E5682" t="inlineStr">
        <is>
          <t>DILA-XHIC31</t>
        </is>
      </c>
      <c r="F5682" t="inlineStr">
        <is>
          <t>DILA-XHIC31</t>
        </is>
      </c>
      <c r="G5682" t="inlineStr">
        <is>
          <t>HILFSKONTAKTBLOCK</t>
        </is>
      </c>
      <c r="H5682" t="inlineStr">
        <is>
          <t>3S 1OE Last+Hilfssch. Cage</t>
        </is>
      </c>
      <c r="I5682">
        <v>209</v>
      </c>
      <c r="J5682">
        <f>GS39/27.1.3</f>
        <v>0</v>
      </c>
      <c r="M5682" t="inlineStr">
        <is>
          <t>-27.1K2</t>
        </is>
      </c>
    </row>
    <row r="5683">
      <c r="A5683">
        <v>5682</v>
      </c>
      <c r="B5683">
        <f>GS39</f>
        <v>0</v>
      </c>
      <c r="C5683" t="inlineStr">
        <is>
          <t>+ES02</t>
        </is>
      </c>
      <c r="D5683" t="inlineStr">
        <is>
          <t>-27.1K2</t>
        </is>
      </c>
      <c r="E5683" t="inlineStr">
        <is>
          <t>DILA-40</t>
        </is>
      </c>
      <c r="F5683" t="inlineStr">
        <is>
          <t>DILA-XHIC31</t>
        </is>
      </c>
      <c r="G5683" t="inlineStr">
        <is>
          <t>HILFSSCHUETZ</t>
        </is>
      </c>
      <c r="H5683" t="inlineStr">
        <is>
          <t>4S Federzugkl.</t>
        </is>
      </c>
      <c r="I5683">
        <v>209</v>
      </c>
      <c r="J5683">
        <f>GS39/27.1.3</f>
        <v>0</v>
      </c>
      <c r="M5683" t="inlineStr">
        <is>
          <t>-27.1K2</t>
        </is>
      </c>
    </row>
    <row r="5684">
      <c r="A5684">
        <v>5683</v>
      </c>
      <c r="B5684">
        <f>GS51</f>
        <v>0</v>
      </c>
      <c r="C5684" t="inlineStr">
        <is>
          <t>+ES02</t>
        </is>
      </c>
      <c r="D5684" t="inlineStr">
        <is>
          <t>-27.1K2</t>
        </is>
      </c>
      <c r="E5684" t="inlineStr">
        <is>
          <t>DILA-XHIC31</t>
        </is>
      </c>
      <c r="F5684" t="inlineStr">
        <is>
          <t>DILA-XHIC31</t>
        </is>
      </c>
      <c r="G5684" t="inlineStr">
        <is>
          <t>HILFSKONTAKTBLOCK</t>
        </is>
      </c>
      <c r="H5684" t="inlineStr">
        <is>
          <t>3S 1OE Last+Hilfssch. Cage</t>
        </is>
      </c>
      <c r="I5684">
        <v>227</v>
      </c>
      <c r="J5684">
        <f>GS51/27.1.5</f>
        <v>0</v>
      </c>
      <c r="M5684" t="inlineStr">
        <is>
          <t>-27.1K2</t>
        </is>
      </c>
    </row>
    <row r="5685">
      <c r="A5685">
        <v>5684</v>
      </c>
      <c r="B5685">
        <f>GS51</f>
        <v>0</v>
      </c>
      <c r="C5685" t="inlineStr">
        <is>
          <t>+ES02</t>
        </is>
      </c>
      <c r="D5685" t="inlineStr">
        <is>
          <t>-27.1K2</t>
        </is>
      </c>
      <c r="E5685" t="inlineStr">
        <is>
          <t>DILA-40</t>
        </is>
      </c>
      <c r="F5685" t="inlineStr">
        <is>
          <t>DILA-XHIC31</t>
        </is>
      </c>
      <c r="G5685" t="inlineStr">
        <is>
          <t>HILFSSCHUETZ</t>
        </is>
      </c>
      <c r="H5685" t="inlineStr">
        <is>
          <t>4S Federzugkl.</t>
        </is>
      </c>
      <c r="I5685">
        <v>227</v>
      </c>
      <c r="J5685">
        <f>GS51/27.1.5</f>
        <v>0</v>
      </c>
      <c r="M5685" t="inlineStr">
        <is>
          <t>-27.1K2</t>
        </is>
      </c>
    </row>
    <row r="5686">
      <c r="A5686">
        <v>5685</v>
      </c>
      <c r="B5686">
        <f>GS55</f>
        <v>0</v>
      </c>
      <c r="C5686" t="inlineStr">
        <is>
          <t>+ES02</t>
        </is>
      </c>
      <c r="D5686" t="inlineStr">
        <is>
          <t>-27.1K2</t>
        </is>
      </c>
      <c r="E5686" t="inlineStr">
        <is>
          <t>DILA-40</t>
        </is>
      </c>
      <c r="F5686" t="inlineStr">
        <is>
          <t>DILA-XHIC31</t>
        </is>
      </c>
      <c r="G5686" t="inlineStr">
        <is>
          <t>HILFSSCHUETZ</t>
        </is>
      </c>
      <c r="H5686" t="inlineStr">
        <is>
          <t>4S Federzugkl.</t>
        </is>
      </c>
      <c r="I5686">
        <v>262</v>
      </c>
      <c r="J5686">
        <f>GS55/27.1.5</f>
        <v>0</v>
      </c>
      <c r="M5686" t="inlineStr">
        <is>
          <t>-27.1K2</t>
        </is>
      </c>
    </row>
    <row r="5687">
      <c r="A5687">
        <v>5686</v>
      </c>
      <c r="B5687">
        <f>GS55</f>
        <v>0</v>
      </c>
      <c r="C5687" t="inlineStr">
        <is>
          <t>+ES02</t>
        </is>
      </c>
      <c r="D5687" t="inlineStr">
        <is>
          <t>-27.1K2</t>
        </is>
      </c>
      <c r="E5687" t="inlineStr">
        <is>
          <t>DILA-XHIC31</t>
        </is>
      </c>
      <c r="F5687" t="inlineStr">
        <is>
          <t>DILA-XHIC31</t>
        </is>
      </c>
      <c r="G5687" t="inlineStr">
        <is>
          <t>HILFSKONTAKTBLOCK</t>
        </is>
      </c>
      <c r="H5687" t="inlineStr">
        <is>
          <t>3S 1OE Last+Hilfssch. Cage</t>
        </is>
      </c>
      <c r="I5687">
        <v>262</v>
      </c>
      <c r="J5687">
        <f>GS55/27.1.5</f>
        <v>0</v>
      </c>
      <c r="M5687" t="inlineStr">
        <is>
          <t>-27.1K2</t>
        </is>
      </c>
    </row>
    <row r="5688">
      <c r="A5688">
        <v>5687</v>
      </c>
      <c r="B5688">
        <f>GS06</f>
        <v>0</v>
      </c>
      <c r="C5688" t="inlineStr">
        <is>
          <t>+ES02</t>
        </is>
      </c>
      <c r="D5688" t="inlineStr">
        <is>
          <t>-27.1K3</t>
        </is>
      </c>
      <c r="E5688" t="inlineStr">
        <is>
          <t>DILA-40</t>
        </is>
      </c>
      <c r="F5688" t="inlineStr">
        <is>
          <t>DILA-XHIC31</t>
        </is>
      </c>
      <c r="G5688" t="inlineStr">
        <is>
          <t>HILFSSCHUETZ</t>
        </is>
      </c>
      <c r="H5688" t="inlineStr">
        <is>
          <t>4S Federzugkl.</t>
        </is>
      </c>
      <c r="I5688">
        <v>425</v>
      </c>
      <c r="J5688">
        <f>GS06/27.1.3</f>
        <v>0</v>
      </c>
      <c r="M5688" t="inlineStr">
        <is>
          <t>-27.1K3</t>
        </is>
      </c>
    </row>
    <row r="5689">
      <c r="A5689">
        <v>5688</v>
      </c>
      <c r="B5689">
        <f>GS06</f>
        <v>0</v>
      </c>
      <c r="C5689" t="inlineStr">
        <is>
          <t>+ES02</t>
        </is>
      </c>
      <c r="D5689" t="inlineStr">
        <is>
          <t>-27.1K3</t>
        </is>
      </c>
      <c r="E5689" t="inlineStr">
        <is>
          <t>DILA-XHIC31</t>
        </is>
      </c>
      <c r="F5689" t="inlineStr">
        <is>
          <t>DILA-XHIC31</t>
        </is>
      </c>
      <c r="G5689" t="inlineStr">
        <is>
          <t>HILFSKONTAKTBLOCK</t>
        </is>
      </c>
      <c r="H5689" t="inlineStr">
        <is>
          <t>3S 1OE Last+Hilfssch. Cage</t>
        </is>
      </c>
      <c r="I5689">
        <v>425</v>
      </c>
      <c r="J5689">
        <f>GS06/27.1.3</f>
        <v>0</v>
      </c>
      <c r="M5689" t="inlineStr">
        <is>
          <t>-27.1K3</t>
        </is>
      </c>
    </row>
    <row r="5690">
      <c r="A5690">
        <v>5689</v>
      </c>
      <c r="B5690">
        <f>GS36</f>
        <v>0</v>
      </c>
      <c r="C5690" t="inlineStr">
        <is>
          <t>+LS05</t>
        </is>
      </c>
      <c r="D5690" t="inlineStr">
        <is>
          <t>-279.3Q165.2</t>
        </is>
      </c>
      <c r="E5690" t="inlineStr">
        <is>
          <t>DILM-9-10</t>
        </is>
      </c>
      <c r="F5690" t="inlineStr">
        <is>
          <t>#KALK!</t>
        </is>
      </c>
      <c r="G5690" t="inlineStr">
        <is>
          <t>LASTSCHUETZ</t>
        </is>
      </c>
      <c r="H5690" t="inlineStr">
        <is>
          <t>4kW 1S Federzugkl.</t>
        </is>
      </c>
      <c r="I5690">
        <v>1349</v>
      </c>
      <c r="J5690">
        <f>GS36/279.3.5</f>
        <v>0</v>
      </c>
      <c r="L5690" t="inlineStr">
        <is>
          <t>GF_5202</t>
        </is>
      </c>
      <c r="M5690" t="inlineStr">
        <is>
          <t>GF_5202
-279.3Q165.2</t>
        </is>
      </c>
      <c r="N5690" t="inlineStr">
        <is>
          <t>P</t>
        </is>
      </c>
    </row>
    <row r="5691">
      <c r="A5691">
        <v>5690</v>
      </c>
      <c r="B5691">
        <f>GS36</f>
        <v>0</v>
      </c>
      <c r="C5691" t="inlineStr">
        <is>
          <t>+ES02</t>
        </is>
      </c>
      <c r="D5691" t="inlineStr">
        <is>
          <t>-27.1K3</t>
        </is>
      </c>
      <c r="E5691" t="inlineStr">
        <is>
          <t>DILA-XHIC31</t>
        </is>
      </c>
      <c r="F5691" t="inlineStr">
        <is>
          <t>DILA-XHIC31</t>
        </is>
      </c>
      <c r="G5691" t="inlineStr">
        <is>
          <t>HILFSKONTAKTBLOCK</t>
        </is>
      </c>
      <c r="H5691" t="inlineStr">
        <is>
          <t>3S 1OE Last+Hilfssch. Cage</t>
        </is>
      </c>
      <c r="I5691">
        <v>197</v>
      </c>
      <c r="J5691">
        <f>GS36/27.1.4</f>
        <v>0</v>
      </c>
      <c r="M5691" t="inlineStr">
        <is>
          <t>-27.1K3</t>
        </is>
      </c>
    </row>
    <row r="5692">
      <c r="A5692">
        <v>5691</v>
      </c>
      <c r="B5692">
        <f>GS06</f>
        <v>0</v>
      </c>
      <c r="C5692" t="inlineStr">
        <is>
          <t>+ES02</t>
        </is>
      </c>
      <c r="D5692" t="inlineStr">
        <is>
          <t>-27.1K4</t>
        </is>
      </c>
      <c r="E5692" t="inlineStr">
        <is>
          <t>DILA-40</t>
        </is>
      </c>
      <c r="F5692" t="inlineStr">
        <is>
          <t>DILA-XHIC31</t>
        </is>
      </c>
      <c r="G5692" t="inlineStr">
        <is>
          <t>HILFSSCHUETZ</t>
        </is>
      </c>
      <c r="H5692" t="inlineStr">
        <is>
          <t>4S Federzugkl.</t>
        </is>
      </c>
      <c r="I5692">
        <v>425</v>
      </c>
      <c r="J5692">
        <f>GS06/27.1.4</f>
        <v>0</v>
      </c>
      <c r="M5692" t="inlineStr">
        <is>
          <t>-27.1K4</t>
        </is>
      </c>
    </row>
    <row r="5693">
      <c r="A5693">
        <v>5692</v>
      </c>
      <c r="B5693">
        <f>GS06</f>
        <v>0</v>
      </c>
      <c r="C5693" t="inlineStr">
        <is>
          <t>+ES02</t>
        </is>
      </c>
      <c r="D5693" t="inlineStr">
        <is>
          <t>-27.1K4</t>
        </is>
      </c>
      <c r="E5693" t="inlineStr">
        <is>
          <t>DILA-XHIC31</t>
        </is>
      </c>
      <c r="F5693" t="inlineStr">
        <is>
          <t>DILA-XHIC31</t>
        </is>
      </c>
      <c r="G5693" t="inlineStr">
        <is>
          <t>HILFSKONTAKTBLOCK</t>
        </is>
      </c>
      <c r="H5693" t="inlineStr">
        <is>
          <t>3S 1OE Last+Hilfssch. Cage</t>
        </is>
      </c>
      <c r="I5693">
        <v>425</v>
      </c>
      <c r="J5693">
        <f>GS06/27.1.4</f>
        <v>0</v>
      </c>
      <c r="M5693" t="inlineStr">
        <is>
          <t>-27.1K4</t>
        </is>
      </c>
    </row>
    <row r="5694">
      <c r="A5694">
        <v>5693</v>
      </c>
      <c r="B5694">
        <f>GS36</f>
        <v>0</v>
      </c>
      <c r="C5694" t="inlineStr">
        <is>
          <t>+LS05</t>
        </is>
      </c>
      <c r="D5694" t="inlineStr">
        <is>
          <t>-279.4Q165.3</t>
        </is>
      </c>
      <c r="E5694" t="inlineStr">
        <is>
          <t>DILM-9-10</t>
        </is>
      </c>
      <c r="F5694" t="inlineStr">
        <is>
          <t>#KALK!</t>
        </is>
      </c>
      <c r="G5694" t="inlineStr">
        <is>
          <t>LASTSCHUETZ</t>
        </is>
      </c>
      <c r="H5694" t="inlineStr">
        <is>
          <t>4kW 1S Federzugkl.</t>
        </is>
      </c>
      <c r="I5694">
        <v>1358</v>
      </c>
      <c r="J5694">
        <f>GS36/279.4.5</f>
        <v>0</v>
      </c>
      <c r="L5694" t="inlineStr">
        <is>
          <t>GF_5203</t>
        </is>
      </c>
      <c r="M5694" t="inlineStr">
        <is>
          <t>GF_5203
-279.4Q165.3</t>
        </is>
      </c>
      <c r="N5694" t="inlineStr">
        <is>
          <t>P</t>
        </is>
      </c>
    </row>
    <row r="5695">
      <c r="A5695">
        <v>5694</v>
      </c>
      <c r="B5695">
        <f>GS36</f>
        <v>0</v>
      </c>
      <c r="C5695" t="inlineStr">
        <is>
          <t>+ES02</t>
        </is>
      </c>
      <c r="D5695" t="inlineStr">
        <is>
          <t>-27.1K4</t>
        </is>
      </c>
      <c r="E5695" t="inlineStr">
        <is>
          <t>DILA-XHIC31</t>
        </is>
      </c>
      <c r="F5695" t="inlineStr">
        <is>
          <t>DILA-XHIC31</t>
        </is>
      </c>
      <c r="G5695" t="inlineStr">
        <is>
          <t>HILFSKONTAKTBLOCK</t>
        </is>
      </c>
      <c r="H5695" t="inlineStr">
        <is>
          <t>3S 1OE Last+Hilfssch. Cage</t>
        </is>
      </c>
      <c r="I5695">
        <v>197</v>
      </c>
      <c r="J5695">
        <f>GS36/27.1.4</f>
        <v>0</v>
      </c>
      <c r="M5695" t="inlineStr">
        <is>
          <t>-27.1K4</t>
        </is>
      </c>
    </row>
    <row r="5696">
      <c r="A5696">
        <v>5695</v>
      </c>
      <c r="B5696">
        <f>GS36</f>
        <v>0</v>
      </c>
      <c r="C5696" t="inlineStr">
        <is>
          <t>+LS05</t>
        </is>
      </c>
      <c r="D5696" t="inlineStr">
        <is>
          <t>-279.5Q165.4</t>
        </is>
      </c>
      <c r="E5696" t="inlineStr">
        <is>
          <t>DILM-9-10</t>
        </is>
      </c>
      <c r="F5696" t="inlineStr">
        <is>
          <t>#KALK!</t>
        </is>
      </c>
      <c r="G5696" t="inlineStr">
        <is>
          <t>LASTSCHUETZ</t>
        </is>
      </c>
      <c r="H5696" t="inlineStr">
        <is>
          <t>4kW 1S Federzugkl.</t>
        </is>
      </c>
      <c r="I5696">
        <v>1354</v>
      </c>
      <c r="J5696">
        <f>GS36/279.5.5</f>
        <v>0</v>
      </c>
      <c r="L5696" t="inlineStr">
        <is>
          <t>GF_5204</t>
        </is>
      </c>
      <c r="M5696" t="inlineStr">
        <is>
          <t>GF_5204
-279.5Q165.4</t>
        </is>
      </c>
      <c r="N5696" t="inlineStr">
        <is>
          <t>P</t>
        </is>
      </c>
    </row>
    <row r="5697">
      <c r="A5697">
        <v>5696</v>
      </c>
      <c r="B5697">
        <f>GS36</f>
        <v>0</v>
      </c>
      <c r="C5697" t="inlineStr">
        <is>
          <t>+ES02</t>
        </is>
      </c>
      <c r="D5697" t="inlineStr">
        <is>
          <t>-27.1K5</t>
        </is>
      </c>
      <c r="E5697" t="inlineStr">
        <is>
          <t>DILA-XHIC31</t>
        </is>
      </c>
      <c r="F5697" t="inlineStr">
        <is>
          <t>DILA-XHIC31</t>
        </is>
      </c>
      <c r="G5697" t="inlineStr">
        <is>
          <t>HILFSKONTAKTBLOCK</t>
        </is>
      </c>
      <c r="H5697" t="inlineStr">
        <is>
          <t>3S 1OE Last+Hilfssch. Cage</t>
        </is>
      </c>
      <c r="I5697">
        <v>197</v>
      </c>
      <c r="J5697">
        <f>GS36/27.1.5</f>
        <v>0</v>
      </c>
      <c r="M5697" t="inlineStr">
        <is>
          <t>-27.1K5</t>
        </is>
      </c>
    </row>
    <row r="5698">
      <c r="A5698">
        <v>5697</v>
      </c>
      <c r="B5698">
        <f>GS36</f>
        <v>0</v>
      </c>
      <c r="C5698" t="inlineStr">
        <is>
          <t>+LS05</t>
        </is>
      </c>
      <c r="D5698" t="inlineStr">
        <is>
          <t>-279.6Q165.5</t>
        </is>
      </c>
      <c r="E5698" t="inlineStr">
        <is>
          <t>DILM-9-10</t>
        </is>
      </c>
      <c r="F5698" t="inlineStr">
        <is>
          <t>#KALK!</t>
        </is>
      </c>
      <c r="G5698" t="inlineStr">
        <is>
          <t>LASTSCHUETZ</t>
        </is>
      </c>
      <c r="H5698" t="inlineStr">
        <is>
          <t>4kW 1S Federzugkl.</t>
        </is>
      </c>
      <c r="I5698">
        <v>1353</v>
      </c>
      <c r="J5698">
        <f>GS36/279.6.5</f>
        <v>0</v>
      </c>
      <c r="L5698" t="inlineStr">
        <is>
          <t>GF_5205</t>
        </is>
      </c>
      <c r="M5698" t="inlineStr">
        <is>
          <t>GF_5205
-279.6Q165.5</t>
        </is>
      </c>
      <c r="N5698" t="inlineStr">
        <is>
          <t>P</t>
        </is>
      </c>
    </row>
    <row r="5699">
      <c r="A5699">
        <v>5698</v>
      </c>
      <c r="B5699">
        <f>GS36</f>
        <v>0</v>
      </c>
      <c r="C5699" t="inlineStr">
        <is>
          <t>+ES02</t>
        </is>
      </c>
      <c r="D5699" t="inlineStr">
        <is>
          <t>-27.1K6</t>
        </is>
      </c>
      <c r="E5699" t="inlineStr">
        <is>
          <t>DILA-XHIC31</t>
        </is>
      </c>
      <c r="F5699" t="inlineStr">
        <is>
          <t>DILA-XHIC31</t>
        </is>
      </c>
      <c r="G5699" t="inlineStr">
        <is>
          <t>HILFSKONTAKTBLOCK</t>
        </is>
      </c>
      <c r="H5699" t="inlineStr">
        <is>
          <t>3S 1OE Last+Hilfssch. Cage</t>
        </is>
      </c>
      <c r="I5699">
        <v>197</v>
      </c>
      <c r="J5699">
        <f>GS36/27.1.6</f>
        <v>0</v>
      </c>
      <c r="M5699" t="inlineStr">
        <is>
          <t>-27.1K6</t>
        </is>
      </c>
    </row>
    <row r="5700">
      <c r="A5700">
        <v>5699</v>
      </c>
      <c r="B5700">
        <f>GS55</f>
        <v>0</v>
      </c>
      <c r="C5700" t="inlineStr">
        <is>
          <t>+1KK57</t>
        </is>
      </c>
      <c r="D5700" t="inlineStr">
        <is>
          <t>-2703Q2</t>
        </is>
      </c>
      <c r="E5700" t="inlineStr">
        <is>
          <t>DILM-9-10</t>
        </is>
      </c>
      <c r="F5700" t="inlineStr">
        <is>
          <t>#KALK!</t>
        </is>
      </c>
      <c r="G5700" t="inlineStr">
        <is>
          <t>LASTSCHUETZ</t>
        </is>
      </c>
      <c r="H5700" t="inlineStr">
        <is>
          <t>4kW 1S Federzugkl.</t>
        </is>
      </c>
      <c r="I5700">
        <v>2641</v>
      </c>
      <c r="J5700">
        <f>GS55/2703.6</f>
        <v>0</v>
      </c>
      <c r="M5700" t="inlineStr">
        <is>
          <t>-2703Q2</t>
        </is>
      </c>
    </row>
    <row r="5701">
      <c r="A5701">
        <v>5700</v>
      </c>
      <c r="B5701">
        <f>GS01</f>
        <v>0</v>
      </c>
      <c r="C5701" t="inlineStr">
        <is>
          <t>+LS6</t>
        </is>
      </c>
      <c r="D5701" t="inlineStr">
        <is>
          <t>-270K1</t>
        </is>
      </c>
      <c r="E5701" t="inlineStr">
        <is>
          <t>DIL_2AM</t>
        </is>
      </c>
      <c r="F5701" t="inlineStr">
        <is>
          <t>22_DIL-M</t>
        </is>
      </c>
      <c r="G5701" t="inlineStr">
        <is>
          <t>LASTSCHUETZ</t>
        </is>
      </c>
      <c r="H5701" t="inlineStr">
        <is>
          <t>30 kW</t>
        </is>
      </c>
      <c r="I5701">
        <v>433</v>
      </c>
      <c r="J5701">
        <f>GS01/270.2</f>
        <v>0</v>
      </c>
      <c r="K5701" t="inlineStr">
        <is>
          <t>DIL2AM</t>
        </is>
      </c>
      <c r="M5701" t="inlineStr">
        <is>
          <t>-270K1</t>
        </is>
      </c>
    </row>
    <row r="5702">
      <c r="A5702">
        <v>5701</v>
      </c>
      <c r="B5702">
        <f>GS01</f>
        <v>0</v>
      </c>
      <c r="C5702" t="inlineStr">
        <is>
          <t>+LS6</t>
        </is>
      </c>
      <c r="D5702" t="inlineStr">
        <is>
          <t>-270K1</t>
        </is>
      </c>
      <c r="E5702" t="inlineStr">
        <is>
          <t>22_DIL-M</t>
        </is>
      </c>
      <c r="F5702" t="inlineStr">
        <is>
          <t>22_DIL-M</t>
        </is>
      </c>
      <c r="G5702" t="inlineStr">
        <is>
          <t>HILFSKONTAKTBLOCK</t>
        </is>
      </c>
      <c r="H5702" t="inlineStr">
        <is>
          <t>2S 2OE Lastschuetz DIL M</t>
        </is>
      </c>
      <c r="I5702">
        <v>433</v>
      </c>
      <c r="J5702">
        <f>GS01/270.2</f>
        <v>0</v>
      </c>
      <c r="K5702" t="inlineStr">
        <is>
          <t>DIL2AM</t>
        </is>
      </c>
      <c r="M5702" t="inlineStr">
        <is>
          <t>-270K1</t>
        </is>
      </c>
    </row>
    <row r="5703">
      <c r="A5703">
        <v>5702</v>
      </c>
      <c r="B5703">
        <f>GS16</f>
        <v>0</v>
      </c>
      <c r="C5703" t="inlineStr">
        <is>
          <t>+LS5</t>
        </is>
      </c>
      <c r="D5703" t="inlineStr">
        <is>
          <t>-270K1</t>
        </is>
      </c>
      <c r="E5703" t="inlineStr">
        <is>
          <t>DIL_ER-40-G</t>
        </is>
      </c>
      <c r="F5703" t="inlineStr">
        <is>
          <t>#KALK!</t>
        </is>
      </c>
      <c r="G5703" t="inlineStr">
        <is>
          <t>HILFSSCHUETZ</t>
        </is>
      </c>
      <c r="H5703" t="inlineStr">
        <is>
          <t>4S</t>
        </is>
      </c>
      <c r="I5703">
        <v>498</v>
      </c>
      <c r="J5703">
        <f>GS16/270.4</f>
        <v>0</v>
      </c>
      <c r="M5703" t="inlineStr">
        <is>
          <t>-270K1</t>
        </is>
      </c>
    </row>
    <row r="5704">
      <c r="A5704">
        <v>5703</v>
      </c>
      <c r="B5704">
        <f>GS37</f>
        <v>0</v>
      </c>
      <c r="C5704" t="inlineStr">
        <is>
          <t>+LS05</t>
        </is>
      </c>
      <c r="D5704" t="inlineStr">
        <is>
          <t>-270K1</t>
        </is>
      </c>
      <c r="E5704" t="inlineStr">
        <is>
          <t>DILM-9-01</t>
        </is>
      </c>
      <c r="F5704" t="inlineStr">
        <is>
          <t>#KALK!</t>
        </is>
      </c>
      <c r="G5704" t="inlineStr">
        <is>
          <t>LASTSCHUETZ</t>
        </is>
      </c>
      <c r="H5704" t="inlineStr">
        <is>
          <t>4kW 1Oe Federzugkl.</t>
        </is>
      </c>
      <c r="I5704">
        <v>424</v>
      </c>
      <c r="J5704">
        <f>GS37/270.6</f>
        <v>0</v>
      </c>
      <c r="M5704" t="inlineStr">
        <is>
          <t>-270K1</t>
        </is>
      </c>
    </row>
    <row r="5705">
      <c r="A5705">
        <v>5704</v>
      </c>
      <c r="B5705">
        <f>GS20</f>
        <v>0</v>
      </c>
      <c r="C5705" t="inlineStr">
        <is>
          <t>+LS05</t>
        </is>
      </c>
      <c r="D5705" t="inlineStr">
        <is>
          <t>-270K135.4</t>
        </is>
      </c>
      <c r="E5705" t="inlineStr">
        <is>
          <t>DILA-40</t>
        </is>
      </c>
      <c r="F5705" t="inlineStr">
        <is>
          <t>#KALK!</t>
        </is>
      </c>
      <c r="G5705" t="inlineStr">
        <is>
          <t>HILFSSCHUETZ</t>
        </is>
      </c>
      <c r="H5705" t="inlineStr">
        <is>
          <t>4S Federzugkl.</t>
        </is>
      </c>
      <c r="I5705">
        <v>1549</v>
      </c>
      <c r="J5705">
        <f>GS20/270.7</f>
        <v>0</v>
      </c>
      <c r="M5705" t="inlineStr">
        <is>
          <t>-270K135.4</t>
        </is>
      </c>
    </row>
    <row r="5706">
      <c r="A5706">
        <v>5705</v>
      </c>
      <c r="B5706">
        <f>GS36</f>
        <v>0</v>
      </c>
      <c r="C5706" t="inlineStr">
        <is>
          <t>+LS06</t>
        </is>
      </c>
      <c r="D5706" t="inlineStr">
        <is>
          <t>-285K403.4</t>
        </is>
      </c>
      <c r="E5706" t="inlineStr">
        <is>
          <t>DILA-40</t>
        </is>
      </c>
      <c r="F5706" t="inlineStr">
        <is>
          <t>#KALK!</t>
        </is>
      </c>
      <c r="G5706" t="inlineStr">
        <is>
          <t>HILFSSCHUETZ</t>
        </is>
      </c>
      <c r="H5706" t="inlineStr">
        <is>
          <t>4S Federzugkl.</t>
        </is>
      </c>
      <c r="I5706">
        <v>458</v>
      </c>
      <c r="J5706">
        <f>GS36/285.7</f>
        <v>0</v>
      </c>
      <c r="M5706" t="inlineStr">
        <is>
          <t>-285K403.4</t>
        </is>
      </c>
    </row>
    <row r="5707">
      <c r="A5707">
        <v>5706</v>
      </c>
      <c r="B5707">
        <f>GS16</f>
        <v>0</v>
      </c>
      <c r="C5707" t="inlineStr">
        <is>
          <t>+LS5</t>
        </is>
      </c>
      <c r="D5707" t="inlineStr">
        <is>
          <t>-270K2</t>
        </is>
      </c>
      <c r="E5707" t="inlineStr">
        <is>
          <t>DIL_ER-40-G</t>
        </is>
      </c>
      <c r="F5707" t="inlineStr">
        <is>
          <t>#KALK!</t>
        </is>
      </c>
      <c r="G5707" t="inlineStr">
        <is>
          <t>HILFSSCHUETZ</t>
        </is>
      </c>
      <c r="H5707" t="inlineStr">
        <is>
          <t>4S</t>
        </is>
      </c>
      <c r="I5707">
        <v>498</v>
      </c>
      <c r="J5707">
        <f>GS16/270.4</f>
        <v>0</v>
      </c>
      <c r="M5707" t="inlineStr">
        <is>
          <t>-270K2</t>
        </is>
      </c>
    </row>
    <row r="5708">
      <c r="A5708">
        <v>5707</v>
      </c>
      <c r="B5708">
        <f>GS37</f>
        <v>0</v>
      </c>
      <c r="C5708" t="inlineStr">
        <is>
          <t>+LS05</t>
        </is>
      </c>
      <c r="D5708" t="inlineStr">
        <is>
          <t>-270K2</t>
        </is>
      </c>
      <c r="E5708" t="inlineStr">
        <is>
          <t>DILM-9-01</t>
        </is>
      </c>
      <c r="F5708" t="inlineStr">
        <is>
          <t>#KALK!</t>
        </is>
      </c>
      <c r="G5708" t="inlineStr">
        <is>
          <t>LASTSCHUETZ</t>
        </is>
      </c>
      <c r="H5708" t="inlineStr">
        <is>
          <t>4kW 1Oe Federzugkl.</t>
        </is>
      </c>
      <c r="I5708">
        <v>424</v>
      </c>
      <c r="J5708">
        <f>GS37/270.7</f>
        <v>0</v>
      </c>
      <c r="M5708" t="inlineStr">
        <is>
          <t>-270K2</t>
        </is>
      </c>
    </row>
    <row r="5709">
      <c r="A5709">
        <v>5708</v>
      </c>
      <c r="B5709">
        <f>GC22</f>
        <v>0</v>
      </c>
      <c r="C5709" t="inlineStr">
        <is>
          <t>+LS3</t>
        </is>
      </c>
      <c r="D5709" t="inlineStr">
        <is>
          <t>-270K31.3</t>
        </is>
      </c>
      <c r="E5709" t="inlineStr">
        <is>
          <t>DIL_EM-10-G</t>
        </is>
      </c>
      <c r="F5709" t="inlineStr">
        <is>
          <t>#KALK!</t>
        </is>
      </c>
      <c r="G5709" t="inlineStr">
        <is>
          <t>LASTSCHUETZ</t>
        </is>
      </c>
      <c r="H5709" t="inlineStr">
        <is>
          <t>4kW 1S</t>
        </is>
      </c>
      <c r="I5709">
        <v>3484</v>
      </c>
      <c r="J5709">
        <f>GC22/270.7</f>
        <v>0</v>
      </c>
      <c r="M5709" t="inlineStr">
        <is>
          <t>-270K31.3</t>
        </is>
      </c>
    </row>
    <row r="5710">
      <c r="A5710">
        <v>5709</v>
      </c>
      <c r="B5710">
        <f>GS12</f>
        <v>0</v>
      </c>
      <c r="C5710" t="inlineStr">
        <is>
          <t>+LS3</t>
        </is>
      </c>
      <c r="D5710" t="inlineStr">
        <is>
          <t>-270K31.3</t>
        </is>
      </c>
      <c r="E5710" t="inlineStr">
        <is>
          <t>DIL_EM-10-G</t>
        </is>
      </c>
      <c r="F5710" t="inlineStr">
        <is>
          <t>#KALK!</t>
        </is>
      </c>
      <c r="G5710" t="inlineStr">
        <is>
          <t>LASTSCHUETZ</t>
        </is>
      </c>
      <c r="H5710" t="inlineStr">
        <is>
          <t>4kW 1S</t>
        </is>
      </c>
      <c r="I5710">
        <v>402</v>
      </c>
      <c r="J5710">
        <f>GS12/270.7</f>
        <v>0</v>
      </c>
      <c r="M5710" t="inlineStr">
        <is>
          <t>-270K31.3</t>
        </is>
      </c>
    </row>
    <row r="5711">
      <c r="A5711">
        <v>5710</v>
      </c>
      <c r="B5711">
        <f>GS31</f>
        <v>0</v>
      </c>
      <c r="C5711" t="inlineStr">
        <is>
          <t>+LS4</t>
        </is>
      </c>
      <c r="D5711" t="inlineStr">
        <is>
          <t>-270K3503.4</t>
        </is>
      </c>
      <c r="E5711" t="inlineStr">
        <is>
          <t>DIL_EM-10-G</t>
        </is>
      </c>
      <c r="F5711" t="inlineStr">
        <is>
          <t>#KALK!</t>
        </is>
      </c>
      <c r="G5711" t="inlineStr">
        <is>
          <t>LASTSCHUETZ</t>
        </is>
      </c>
      <c r="H5711" t="inlineStr">
        <is>
          <t>4kW 1S</t>
        </is>
      </c>
      <c r="I5711">
        <v>561</v>
      </c>
      <c r="J5711">
        <f>GS31/270.6</f>
        <v>0</v>
      </c>
      <c r="M5711" t="inlineStr">
        <is>
          <t>-270K3503.4</t>
        </is>
      </c>
    </row>
    <row r="5712">
      <c r="A5712">
        <v>5711</v>
      </c>
      <c r="B5712">
        <f>GS16</f>
        <v>0</v>
      </c>
      <c r="C5712" t="inlineStr">
        <is>
          <t>+LS5</t>
        </is>
      </c>
      <c r="D5712" t="inlineStr">
        <is>
          <t>-270K3750.5</t>
        </is>
      </c>
      <c r="E5712" t="inlineStr">
        <is>
          <t>DIL_ER-22-G</t>
        </is>
      </c>
      <c r="F5712" t="inlineStr">
        <is>
          <t>#KALK!</t>
        </is>
      </c>
      <c r="G5712" t="inlineStr">
        <is>
          <t>HILFSSCHUETZ</t>
        </is>
      </c>
      <c r="H5712" t="inlineStr">
        <is>
          <t>2S 2OE</t>
        </is>
      </c>
      <c r="I5712">
        <v>498</v>
      </c>
      <c r="J5712">
        <f>GS16/270.2</f>
        <v>0</v>
      </c>
      <c r="M5712" t="inlineStr">
        <is>
          <t>-270K3750.5</t>
        </is>
      </c>
    </row>
    <row r="5713">
      <c r="A5713">
        <v>5712</v>
      </c>
      <c r="B5713">
        <f>GS16</f>
        <v>0</v>
      </c>
      <c r="C5713" t="inlineStr">
        <is>
          <t>+LS5</t>
        </is>
      </c>
      <c r="D5713" t="inlineStr">
        <is>
          <t>-270K3750.6</t>
        </is>
      </c>
      <c r="E5713" t="inlineStr">
        <is>
          <t>DIL_ER-31-G</t>
        </is>
      </c>
      <c r="F5713" t="inlineStr">
        <is>
          <t>#KALK!</t>
        </is>
      </c>
      <c r="G5713" t="inlineStr">
        <is>
          <t>HILFSSCHUETZ</t>
        </is>
      </c>
      <c r="H5713" t="inlineStr">
        <is>
          <t>3S 1OE</t>
        </is>
      </c>
      <c r="I5713">
        <v>498</v>
      </c>
      <c r="J5713">
        <f>GS16/270.3</f>
        <v>0</v>
      </c>
      <c r="M5713" t="inlineStr">
        <is>
          <t>-270K3750.6</t>
        </is>
      </c>
    </row>
    <row r="5714">
      <c r="A5714">
        <v>5713</v>
      </c>
      <c r="B5714">
        <f>GS16</f>
        <v>0</v>
      </c>
      <c r="C5714" t="inlineStr">
        <is>
          <t>+LS5</t>
        </is>
      </c>
      <c r="D5714" t="inlineStr">
        <is>
          <t>-270K4</t>
        </is>
      </c>
      <c r="E5714" t="inlineStr">
        <is>
          <t>DIL_ER-40-G</t>
        </is>
      </c>
      <c r="F5714" t="inlineStr">
        <is>
          <t>#KALK!</t>
        </is>
      </c>
      <c r="G5714" t="inlineStr">
        <is>
          <t>HILFSSCHUETZ</t>
        </is>
      </c>
      <c r="H5714" t="inlineStr">
        <is>
          <t>4S</t>
        </is>
      </c>
      <c r="I5714">
        <v>498</v>
      </c>
      <c r="J5714">
        <f>GS16/270.6</f>
        <v>0</v>
      </c>
      <c r="M5714" t="inlineStr">
        <is>
          <t>-270K4</t>
        </is>
      </c>
    </row>
    <row r="5715">
      <c r="A5715">
        <v>5714</v>
      </c>
      <c r="B5715">
        <f>GS16</f>
        <v>0</v>
      </c>
      <c r="C5715" t="inlineStr">
        <is>
          <t>+LS5</t>
        </is>
      </c>
      <c r="D5715" t="inlineStr">
        <is>
          <t>-270K5</t>
        </is>
      </c>
      <c r="E5715" t="inlineStr">
        <is>
          <t>DIL_ER-40-G</t>
        </is>
      </c>
      <c r="F5715" t="inlineStr">
        <is>
          <t>#KALK!</t>
        </is>
      </c>
      <c r="G5715" t="inlineStr">
        <is>
          <t>HILFSSCHUETZ</t>
        </is>
      </c>
      <c r="H5715" t="inlineStr">
        <is>
          <t>4S</t>
        </is>
      </c>
      <c r="I5715">
        <v>498</v>
      </c>
      <c r="J5715">
        <f>GS16/270.7</f>
        <v>0</v>
      </c>
      <c r="M5715" t="inlineStr">
        <is>
          <t>-270K5</t>
        </is>
      </c>
    </row>
    <row r="5716">
      <c r="A5716">
        <v>5715</v>
      </c>
      <c r="B5716">
        <f>GS04</f>
        <v>0</v>
      </c>
      <c r="C5716" t="inlineStr">
        <is>
          <t>+LS6</t>
        </is>
      </c>
      <c r="D5716" t="inlineStr">
        <is>
          <t>-270K53.0</t>
        </is>
      </c>
      <c r="E5716" t="inlineStr">
        <is>
          <t>DIL_EM-10-G</t>
        </is>
      </c>
      <c r="F5716" t="inlineStr">
        <is>
          <t>#KALK!</t>
        </is>
      </c>
      <c r="G5716" t="inlineStr">
        <is>
          <t>LASTSCHUETZ</t>
        </is>
      </c>
      <c r="H5716" t="inlineStr">
        <is>
          <t>4kW 1S</t>
        </is>
      </c>
      <c r="I5716">
        <v>521</v>
      </c>
      <c r="J5716">
        <f>GS04/270.6</f>
        <v>0</v>
      </c>
      <c r="M5716" t="inlineStr">
        <is>
          <t>-270K53.0</t>
        </is>
      </c>
    </row>
    <row r="5717">
      <c r="A5717">
        <v>5716</v>
      </c>
      <c r="B5717">
        <f>GS16</f>
        <v>0</v>
      </c>
      <c r="C5717" t="inlineStr">
        <is>
          <t>+LS5</t>
        </is>
      </c>
      <c r="D5717" t="inlineStr">
        <is>
          <t>-270K6</t>
        </is>
      </c>
      <c r="E5717" t="inlineStr">
        <is>
          <t>DIL_ER-40-G</t>
        </is>
      </c>
      <c r="F5717" t="inlineStr">
        <is>
          <t>#KALK!</t>
        </is>
      </c>
      <c r="G5717" t="inlineStr">
        <is>
          <t>HILFSSCHUETZ</t>
        </is>
      </c>
      <c r="H5717" t="inlineStr">
        <is>
          <t>4S</t>
        </is>
      </c>
      <c r="I5717">
        <v>498</v>
      </c>
      <c r="J5717">
        <f>GS16/270.7</f>
        <v>0</v>
      </c>
      <c r="M5717" t="inlineStr">
        <is>
          <t>-270K6</t>
        </is>
      </c>
    </row>
    <row r="5718">
      <c r="A5718">
        <v>5717</v>
      </c>
      <c r="B5718">
        <f>GS20</f>
        <v>0</v>
      </c>
      <c r="C5718" t="inlineStr">
        <is>
          <t>+LS05</t>
        </is>
      </c>
      <c r="D5718" t="inlineStr">
        <is>
          <t>-270Q1</t>
        </is>
      </c>
      <c r="E5718" t="inlineStr">
        <is>
          <t>DILA-XHI22</t>
        </is>
      </c>
      <c r="F5718" t="inlineStr">
        <is>
          <t>DILA-XHI22</t>
        </is>
      </c>
      <c r="G5718" t="inlineStr">
        <is>
          <t>HILFSKONTAKTBLOCK</t>
        </is>
      </c>
      <c r="H5718" t="inlineStr">
        <is>
          <t>2S 2OE Last+Hilfssch. Cage</t>
        </is>
      </c>
      <c r="I5718">
        <v>1549</v>
      </c>
      <c r="J5718">
        <f>GS20/270.4</f>
        <v>0</v>
      </c>
      <c r="K5718" t="inlineStr">
        <is>
          <t>DIL MC25</t>
        </is>
      </c>
      <c r="M5718" t="inlineStr">
        <is>
          <t>-270Q1</t>
        </is>
      </c>
    </row>
    <row r="5719">
      <c r="A5719">
        <v>5718</v>
      </c>
      <c r="B5719">
        <f>GS20</f>
        <v>0</v>
      </c>
      <c r="C5719" t="inlineStr">
        <is>
          <t>+LS05</t>
        </is>
      </c>
      <c r="D5719" t="inlineStr">
        <is>
          <t>-270Q1</t>
        </is>
      </c>
      <c r="E5719" t="inlineStr">
        <is>
          <t>DILMC25-10(RDC24)</t>
        </is>
      </c>
      <c r="F5719" t="inlineStr">
        <is>
          <t>DILA-XHI22</t>
        </is>
      </c>
      <c r="G5719" t="inlineStr">
        <is>
          <t>LASTSCHUETZ</t>
        </is>
      </c>
      <c r="H5719" t="inlineStr">
        <is>
          <t>11kW 1S Federzugkl.</t>
        </is>
      </c>
      <c r="I5719">
        <v>1549</v>
      </c>
      <c r="J5719">
        <f>GS20/270.4</f>
        <v>0</v>
      </c>
      <c r="K5719" t="inlineStr">
        <is>
          <t>DIL MC25</t>
        </is>
      </c>
      <c r="M5719" t="inlineStr">
        <is>
          <t>-270Q1</t>
        </is>
      </c>
    </row>
    <row r="5720">
      <c r="A5720">
        <v>5719</v>
      </c>
      <c r="B5720">
        <f>GS36</f>
        <v>0</v>
      </c>
      <c r="C5720" t="inlineStr">
        <is>
          <t>+LS05</t>
        </is>
      </c>
      <c r="D5720" t="inlineStr">
        <is>
          <t>-270Q1</t>
        </is>
      </c>
      <c r="E5720" t="inlineStr">
        <is>
          <t>DILMC25-10(RDC24)</t>
        </is>
      </c>
      <c r="F5720" t="inlineStr">
        <is>
          <t>DILA-XHI22</t>
        </is>
      </c>
      <c r="G5720" t="inlineStr">
        <is>
          <t>LASTSCHUETZ</t>
        </is>
      </c>
      <c r="H5720" t="inlineStr">
        <is>
          <t>11kW 1S Federzugkl.</t>
        </is>
      </c>
      <c r="I5720">
        <v>443</v>
      </c>
      <c r="J5720">
        <f>GS36/270.4</f>
        <v>0</v>
      </c>
      <c r="K5720" t="inlineStr">
        <is>
          <t>DIL MC25</t>
        </is>
      </c>
      <c r="L5720" t="inlineStr">
        <is>
          <t>HVO 33</t>
        </is>
      </c>
      <c r="M5720" t="inlineStr">
        <is>
          <t>HVO 33
-270Q1</t>
        </is>
      </c>
      <c r="N5720" t="inlineStr">
        <is>
          <t>P</t>
        </is>
      </c>
    </row>
    <row r="5721">
      <c r="A5721">
        <v>5720</v>
      </c>
      <c r="B5721">
        <f>GS36</f>
        <v>0</v>
      </c>
      <c r="C5721" t="inlineStr">
        <is>
          <t>+LS05</t>
        </is>
      </c>
      <c r="D5721" t="inlineStr">
        <is>
          <t>-270Q1</t>
        </is>
      </c>
      <c r="E5721" t="inlineStr">
        <is>
          <t>DILA-XHI22</t>
        </is>
      </c>
      <c r="F5721" t="inlineStr">
        <is>
          <t>DILA-XHI22</t>
        </is>
      </c>
      <c r="G5721" t="inlineStr">
        <is>
          <t>HILFSKONTAKTBLOCK</t>
        </is>
      </c>
      <c r="H5721" t="inlineStr">
        <is>
          <t>2S 2OE Last+Hilfssch. Cage</t>
        </is>
      </c>
      <c r="I5721">
        <v>443</v>
      </c>
      <c r="J5721">
        <f>GS36/270.4</f>
        <v>0</v>
      </c>
      <c r="K5721" t="inlineStr">
        <is>
          <t>DIL MC25</t>
        </is>
      </c>
      <c r="L5721" t="inlineStr">
        <is>
          <t>HVO 33</t>
        </is>
      </c>
      <c r="M5721" t="inlineStr">
        <is>
          <t>HVO 33
-270Q1</t>
        </is>
      </c>
      <c r="N5721" t="inlineStr">
        <is>
          <t>P</t>
        </is>
      </c>
    </row>
    <row r="5722">
      <c r="A5722">
        <v>5721</v>
      </c>
      <c r="B5722">
        <f>GS51</f>
        <v>0</v>
      </c>
      <c r="C5722" t="inlineStr">
        <is>
          <t>+LS03</t>
        </is>
      </c>
      <c r="D5722" t="inlineStr">
        <is>
          <t>-270Q1</t>
        </is>
      </c>
      <c r="E5722" t="inlineStr">
        <is>
          <t>DILA-XHI22</t>
        </is>
      </c>
      <c r="F5722" t="inlineStr">
        <is>
          <t>DILA-XHI22</t>
        </is>
      </c>
      <c r="G5722" t="inlineStr">
        <is>
          <t>HILFSKONTAKTBLOCK</t>
        </is>
      </c>
      <c r="H5722" t="inlineStr">
        <is>
          <t>2S 2OE Last+Hilfssch. Cage</t>
        </is>
      </c>
      <c r="I5722">
        <v>455</v>
      </c>
      <c r="J5722">
        <f>GS51/270.6</f>
        <v>0</v>
      </c>
      <c r="K5722" t="inlineStr">
        <is>
          <t>DIL MC25</t>
        </is>
      </c>
      <c r="M5722" t="inlineStr">
        <is>
          <t>-270Q1</t>
        </is>
      </c>
    </row>
    <row r="5723">
      <c r="A5723">
        <v>5722</v>
      </c>
      <c r="B5723">
        <f>GS51</f>
        <v>0</v>
      </c>
      <c r="C5723" t="inlineStr">
        <is>
          <t>+LS03</t>
        </is>
      </c>
      <c r="D5723" t="inlineStr">
        <is>
          <t>-270Q1</t>
        </is>
      </c>
      <c r="E5723" t="inlineStr">
        <is>
          <t>DILMC25-10(RDC24)</t>
        </is>
      </c>
      <c r="F5723" t="inlineStr">
        <is>
          <t>DILA-XHI22</t>
        </is>
      </c>
      <c r="G5723" t="inlineStr">
        <is>
          <t>LASTSCHUETZ</t>
        </is>
      </c>
      <c r="H5723" t="inlineStr">
        <is>
          <t>11kW 1S Federzugkl.</t>
        </is>
      </c>
      <c r="I5723">
        <v>455</v>
      </c>
      <c r="J5723">
        <f>GS51/270.6</f>
        <v>0</v>
      </c>
      <c r="K5723" t="inlineStr">
        <is>
          <t>DIL MC25</t>
        </is>
      </c>
      <c r="M5723" t="inlineStr">
        <is>
          <t>-270Q1</t>
        </is>
      </c>
    </row>
    <row r="5724">
      <c r="A5724">
        <v>5723</v>
      </c>
      <c r="B5724">
        <f>GS53</f>
        <v>0</v>
      </c>
      <c r="C5724" t="inlineStr">
        <is>
          <t>+LS11</t>
        </is>
      </c>
      <c r="D5724" t="inlineStr">
        <is>
          <t>-270Q1</t>
        </is>
      </c>
      <c r="E5724" t="inlineStr">
        <is>
          <t>DILMC25-10(RDC24)</t>
        </is>
      </c>
      <c r="F5724" t="inlineStr">
        <is>
          <t>DILA-XHI22</t>
        </is>
      </c>
      <c r="G5724" t="inlineStr">
        <is>
          <t>LASTSCHUETZ</t>
        </is>
      </c>
      <c r="H5724" t="inlineStr">
        <is>
          <t>11kW 1S Federzugkl.</t>
        </is>
      </c>
      <c r="I5724">
        <v>389</v>
      </c>
      <c r="J5724">
        <f>GS53/270.6</f>
        <v>0</v>
      </c>
      <c r="K5724" t="inlineStr">
        <is>
          <t>DIL MC25</t>
        </is>
      </c>
      <c r="M5724" t="inlineStr">
        <is>
          <t>-270Q1</t>
        </is>
      </c>
    </row>
    <row r="5725">
      <c r="A5725">
        <v>5724</v>
      </c>
      <c r="B5725">
        <f>GS53</f>
        <v>0</v>
      </c>
      <c r="C5725" t="inlineStr">
        <is>
          <t>+LS11</t>
        </is>
      </c>
      <c r="D5725" t="inlineStr">
        <is>
          <t>-270Q1</t>
        </is>
      </c>
      <c r="E5725" t="inlineStr">
        <is>
          <t>DILA-XHI22</t>
        </is>
      </c>
      <c r="F5725" t="inlineStr">
        <is>
          <t>DILA-XHI22</t>
        </is>
      </c>
      <c r="G5725" t="inlineStr">
        <is>
          <t>HILFSKONTAKTBLOCK</t>
        </is>
      </c>
      <c r="H5725" t="inlineStr">
        <is>
          <t>2S 2OE Last+Hilfssch. Cage</t>
        </is>
      </c>
      <c r="I5725">
        <v>389</v>
      </c>
      <c r="J5725">
        <f>GS53/270.6</f>
        <v>0</v>
      </c>
      <c r="K5725" t="inlineStr">
        <is>
          <t>DIL MC25</t>
        </is>
      </c>
      <c r="M5725" t="inlineStr">
        <is>
          <t>-270Q1</t>
        </is>
      </c>
    </row>
    <row r="5726">
      <c r="A5726">
        <v>5725</v>
      </c>
      <c r="B5726">
        <f>GS90</f>
        <v>0</v>
      </c>
      <c r="C5726" t="inlineStr">
        <is>
          <t>+LS04</t>
        </is>
      </c>
      <c r="D5726" t="inlineStr">
        <is>
          <t>-270Q175.1</t>
        </is>
      </c>
      <c r="E5726" t="inlineStr">
        <is>
          <t>DILM-9-10</t>
        </is>
      </c>
      <c r="F5726" t="inlineStr">
        <is>
          <t>#KALK!</t>
        </is>
      </c>
      <c r="G5726" t="inlineStr">
        <is>
          <t>LASTSCHUETZ</t>
        </is>
      </c>
      <c r="H5726" t="inlineStr">
        <is>
          <t>4kW 1S Federzugkl.</t>
        </is>
      </c>
      <c r="I5726">
        <v>973</v>
      </c>
      <c r="J5726">
        <f>GS90/270.5</f>
        <v>0</v>
      </c>
      <c r="M5726" t="inlineStr">
        <is>
          <t>-270Q175.1</t>
        </is>
      </c>
    </row>
    <row r="5727">
      <c r="A5727">
        <v>5726</v>
      </c>
      <c r="B5727">
        <f>GS08</f>
        <v>0</v>
      </c>
      <c r="C5727" t="inlineStr">
        <is>
          <t>+LS04</t>
        </is>
      </c>
      <c r="D5727" t="inlineStr">
        <is>
          <t>-270Q225.2</t>
        </is>
      </c>
      <c r="E5727" t="inlineStr">
        <is>
          <t>DILM-9-10</t>
        </is>
      </c>
      <c r="F5727" t="inlineStr">
        <is>
          <t>#KALK!</t>
        </is>
      </c>
      <c r="G5727" t="inlineStr">
        <is>
          <t>LASTSCHUETZ</t>
        </is>
      </c>
      <c r="H5727" t="inlineStr">
        <is>
          <t>4kW 1S Federzugkl.</t>
        </is>
      </c>
      <c r="I5727">
        <v>1378</v>
      </c>
      <c r="J5727">
        <f>GS08/270.6</f>
        <v>0</v>
      </c>
      <c r="K5727" t="inlineStr">
        <is>
          <t>DIL MC9</t>
        </is>
      </c>
      <c r="M5727" t="inlineStr">
        <is>
          <t>-270Q225.2</t>
        </is>
      </c>
    </row>
    <row r="5728">
      <c r="A5728">
        <v>5727</v>
      </c>
      <c r="B5728">
        <f>GS11</f>
        <v>0</v>
      </c>
      <c r="C5728" t="inlineStr">
        <is>
          <t>+LS6</t>
        </is>
      </c>
      <c r="D5728" t="inlineStr">
        <is>
          <t>-271K1</t>
        </is>
      </c>
      <c r="E5728" t="inlineStr">
        <is>
          <t>22_DIL-M</t>
        </is>
      </c>
      <c r="F5728" t="inlineStr">
        <is>
          <t>22_DIL-M</t>
        </is>
      </c>
      <c r="G5728" t="inlineStr">
        <is>
          <t>HILFSKONTAKTBLOCK</t>
        </is>
      </c>
      <c r="H5728" t="inlineStr">
        <is>
          <t>2S 2OE Lastschuetz DIL M</t>
        </is>
      </c>
      <c r="I5728">
        <v>382</v>
      </c>
      <c r="J5728">
        <f>GS11/271.2</f>
        <v>0</v>
      </c>
      <c r="K5728" t="inlineStr">
        <is>
          <t>DIL0AM</t>
        </is>
      </c>
      <c r="M5728" t="inlineStr">
        <is>
          <t>-271K1</t>
        </is>
      </c>
    </row>
    <row r="5729">
      <c r="A5729">
        <v>5728</v>
      </c>
      <c r="B5729">
        <f>GS11</f>
        <v>0</v>
      </c>
      <c r="C5729" t="inlineStr">
        <is>
          <t>+LS6</t>
        </is>
      </c>
      <c r="D5729" t="inlineStr">
        <is>
          <t>-271K1</t>
        </is>
      </c>
      <c r="E5729" t="inlineStr">
        <is>
          <t>DIL_0AM</t>
        </is>
      </c>
      <c r="F5729" t="inlineStr">
        <is>
          <t>22_DIL-M</t>
        </is>
      </c>
      <c r="G5729" t="inlineStr">
        <is>
          <t>LASTSCHUETZ</t>
        </is>
      </c>
      <c r="H5729" t="inlineStr">
        <is>
          <t>11 kW</t>
        </is>
      </c>
      <c r="I5729">
        <v>382</v>
      </c>
      <c r="J5729">
        <f>GS11/271.2</f>
        <v>0</v>
      </c>
      <c r="K5729" t="inlineStr">
        <is>
          <t>DIL0AM</t>
        </is>
      </c>
      <c r="M5729" t="inlineStr">
        <is>
          <t>-271K1</t>
        </is>
      </c>
    </row>
    <row r="5730">
      <c r="A5730">
        <v>5729</v>
      </c>
      <c r="B5730">
        <f>GS21</f>
        <v>0</v>
      </c>
      <c r="C5730" t="inlineStr">
        <is>
          <t>+LS6</t>
        </is>
      </c>
      <c r="D5730" t="inlineStr">
        <is>
          <t>-271K1</t>
        </is>
      </c>
      <c r="E5730" t="inlineStr">
        <is>
          <t>DIL_0AM</t>
        </is>
      </c>
      <c r="F5730" t="inlineStr">
        <is>
          <t>22_DIL-M</t>
        </is>
      </c>
      <c r="G5730" t="inlineStr">
        <is>
          <t>LASTSCHUETZ</t>
        </is>
      </c>
      <c r="H5730" t="inlineStr">
        <is>
          <t>11 kW</t>
        </is>
      </c>
      <c r="I5730">
        <v>359</v>
      </c>
      <c r="J5730">
        <f>GS21/271.2</f>
        <v>0</v>
      </c>
      <c r="K5730" t="inlineStr">
        <is>
          <t>DIL0AM</t>
        </is>
      </c>
      <c r="M5730" t="inlineStr">
        <is>
          <t>-271K1</t>
        </is>
      </c>
    </row>
    <row r="5731">
      <c r="A5731">
        <v>5730</v>
      </c>
      <c r="B5731">
        <f>GS21</f>
        <v>0</v>
      </c>
      <c r="C5731" t="inlineStr">
        <is>
          <t>+LS6</t>
        </is>
      </c>
      <c r="D5731" t="inlineStr">
        <is>
          <t>-271K1</t>
        </is>
      </c>
      <c r="E5731" t="inlineStr">
        <is>
          <t>22_DIL-M</t>
        </is>
      </c>
      <c r="F5731" t="inlineStr">
        <is>
          <t>22_DIL-M</t>
        </is>
      </c>
      <c r="G5731" t="inlineStr">
        <is>
          <t>HILFSKONTAKTBLOCK</t>
        </is>
      </c>
      <c r="H5731" t="inlineStr">
        <is>
          <t>2S 2OE Lastschuetz DIL M</t>
        </is>
      </c>
      <c r="I5731">
        <v>359</v>
      </c>
      <c r="J5731">
        <f>GS21/271.2</f>
        <v>0</v>
      </c>
      <c r="K5731" t="inlineStr">
        <is>
          <t>DIL0AM</t>
        </is>
      </c>
      <c r="M5731" t="inlineStr">
        <is>
          <t>-271K1</t>
        </is>
      </c>
    </row>
    <row r="5732">
      <c r="A5732">
        <v>5731</v>
      </c>
      <c r="B5732">
        <f>GS37</f>
        <v>0</v>
      </c>
      <c r="C5732" t="inlineStr">
        <is>
          <t>+LS05</t>
        </is>
      </c>
      <c r="D5732" t="inlineStr">
        <is>
          <t>-271K1</t>
        </is>
      </c>
      <c r="E5732" t="inlineStr">
        <is>
          <t>DILM-9-01</t>
        </is>
      </c>
      <c r="F5732" t="inlineStr">
        <is>
          <t>#KALK!</t>
        </is>
      </c>
      <c r="G5732" t="inlineStr">
        <is>
          <t>LASTSCHUETZ</t>
        </is>
      </c>
      <c r="H5732" t="inlineStr">
        <is>
          <t>4kW 1Oe Federzugkl.</t>
        </is>
      </c>
      <c r="I5732">
        <v>425</v>
      </c>
      <c r="J5732">
        <f>GS37/271.6</f>
        <v>0</v>
      </c>
      <c r="M5732" t="inlineStr">
        <is>
          <t>-271K1</t>
        </is>
      </c>
    </row>
    <row r="5733">
      <c r="A5733">
        <v>5732</v>
      </c>
      <c r="B5733">
        <f>GS24</f>
        <v>0</v>
      </c>
      <c r="C5733" t="inlineStr">
        <is>
          <t>+ES2</t>
        </is>
      </c>
      <c r="D5733" t="inlineStr">
        <is>
          <t>-271K120.0</t>
        </is>
      </c>
      <c r="E5733" t="inlineStr">
        <is>
          <t>DIL_ER-40-G</t>
        </is>
      </c>
      <c r="F5733" t="inlineStr">
        <is>
          <t>40_DIL-E</t>
        </is>
      </c>
      <c r="G5733" t="inlineStr">
        <is>
          <t>HILFSSCHUETZ</t>
        </is>
      </c>
      <c r="H5733" t="inlineStr">
        <is>
          <t>4S</t>
        </is>
      </c>
      <c r="I5733">
        <v>816</v>
      </c>
      <c r="J5733">
        <f>GS24/271.6</f>
        <v>0</v>
      </c>
      <c r="M5733" t="inlineStr">
        <is>
          <t>-271K120.0</t>
        </is>
      </c>
    </row>
    <row r="5734">
      <c r="A5734">
        <v>5733</v>
      </c>
      <c r="B5734">
        <f>GS24</f>
        <v>0</v>
      </c>
      <c r="C5734" t="inlineStr">
        <is>
          <t>+ES2</t>
        </is>
      </c>
      <c r="D5734" t="inlineStr">
        <is>
          <t>-271K120.0</t>
        </is>
      </c>
      <c r="E5734" t="inlineStr">
        <is>
          <t>40_DIL-E</t>
        </is>
      </c>
      <c r="F5734" t="inlineStr">
        <is>
          <t>40_DIL-E</t>
        </is>
      </c>
      <c r="G5734" t="inlineStr">
        <is>
          <t>HILFSKONTAKTBLOCK</t>
        </is>
      </c>
      <c r="H5734" t="inlineStr">
        <is>
          <t>4S Last+Hilfsschuetz</t>
        </is>
      </c>
      <c r="I5734">
        <v>816</v>
      </c>
      <c r="J5734">
        <f>GS24/271.6</f>
        <v>0</v>
      </c>
      <c r="M5734" t="inlineStr">
        <is>
          <t>-271K120.0</t>
        </is>
      </c>
    </row>
    <row r="5735">
      <c r="A5735">
        <v>5734</v>
      </c>
      <c r="B5735">
        <f>GS24</f>
        <v>0</v>
      </c>
      <c r="C5735" t="inlineStr">
        <is>
          <t>+ES2</t>
        </is>
      </c>
      <c r="D5735" t="inlineStr">
        <is>
          <t>-271K120.1</t>
        </is>
      </c>
      <c r="E5735" t="inlineStr">
        <is>
          <t>DIL_ER-40-G</t>
        </is>
      </c>
      <c r="F5735" t="inlineStr">
        <is>
          <t>40_DIL-E</t>
        </is>
      </c>
      <c r="G5735" t="inlineStr">
        <is>
          <t>HILFSSCHUETZ</t>
        </is>
      </c>
      <c r="H5735" t="inlineStr">
        <is>
          <t>4S</t>
        </is>
      </c>
      <c r="I5735">
        <v>816</v>
      </c>
      <c r="J5735">
        <f>GS24/271.6</f>
        <v>0</v>
      </c>
      <c r="M5735" t="inlineStr">
        <is>
          <t>-271K120.1</t>
        </is>
      </c>
    </row>
    <row r="5736">
      <c r="A5736">
        <v>5735</v>
      </c>
      <c r="B5736">
        <f>GS24</f>
        <v>0</v>
      </c>
      <c r="C5736" t="inlineStr">
        <is>
          <t>+ES2</t>
        </is>
      </c>
      <c r="D5736" t="inlineStr">
        <is>
          <t>-271K120.1</t>
        </is>
      </c>
      <c r="E5736" t="inlineStr">
        <is>
          <t>40_DIL-E</t>
        </is>
      </c>
      <c r="F5736" t="inlineStr">
        <is>
          <t>40_DIL-E</t>
        </is>
      </c>
      <c r="G5736" t="inlineStr">
        <is>
          <t>HILFSKONTAKTBLOCK</t>
        </is>
      </c>
      <c r="H5736" t="inlineStr">
        <is>
          <t>4S Last+Hilfsschuetz</t>
        </is>
      </c>
      <c r="I5736">
        <v>816</v>
      </c>
      <c r="J5736">
        <f>GS24/271.6</f>
        <v>0</v>
      </c>
      <c r="M5736" t="inlineStr">
        <is>
          <t>-271K120.1</t>
        </is>
      </c>
    </row>
    <row r="5737">
      <c r="A5737">
        <v>5736</v>
      </c>
      <c r="B5737">
        <f>GS11</f>
        <v>0</v>
      </c>
      <c r="C5737" t="inlineStr">
        <is>
          <t>+LS6</t>
        </is>
      </c>
      <c r="D5737" t="inlineStr">
        <is>
          <t>-271K2</t>
        </is>
      </c>
      <c r="E5737" t="inlineStr">
        <is>
          <t>22_DIL-M</t>
        </is>
      </c>
      <c r="F5737" t="inlineStr">
        <is>
          <t>22_DIL-M</t>
        </is>
      </c>
      <c r="G5737" t="inlineStr">
        <is>
          <t>HILFSKONTAKTBLOCK</t>
        </is>
      </c>
      <c r="H5737" t="inlineStr">
        <is>
          <t>2S 2OE Lastschuetz DIL M</t>
        </is>
      </c>
      <c r="I5737">
        <v>382</v>
      </c>
      <c r="J5737">
        <f>GS11/271.3</f>
        <v>0</v>
      </c>
      <c r="K5737" t="inlineStr">
        <is>
          <t>DIL0AM</t>
        </is>
      </c>
      <c r="M5737" t="inlineStr">
        <is>
          <t>-271K2</t>
        </is>
      </c>
    </row>
    <row r="5738">
      <c r="A5738">
        <v>5737</v>
      </c>
      <c r="B5738">
        <f>GS11</f>
        <v>0</v>
      </c>
      <c r="C5738" t="inlineStr">
        <is>
          <t>+LS6</t>
        </is>
      </c>
      <c r="D5738" t="inlineStr">
        <is>
          <t>-271K2</t>
        </is>
      </c>
      <c r="E5738" t="inlineStr">
        <is>
          <t>DIL_0AM</t>
        </is>
      </c>
      <c r="F5738" t="inlineStr">
        <is>
          <t>22_DIL-M</t>
        </is>
      </c>
      <c r="G5738" t="inlineStr">
        <is>
          <t>LASTSCHUETZ</t>
        </is>
      </c>
      <c r="H5738" t="inlineStr">
        <is>
          <t>11 kW</t>
        </is>
      </c>
      <c r="I5738">
        <v>382</v>
      </c>
      <c r="J5738">
        <f>GS11/271.3</f>
        <v>0</v>
      </c>
      <c r="K5738" t="inlineStr">
        <is>
          <t>DIL0AM</t>
        </is>
      </c>
      <c r="M5738" t="inlineStr">
        <is>
          <t>-271K2</t>
        </is>
      </c>
    </row>
    <row r="5739">
      <c r="A5739">
        <v>5738</v>
      </c>
      <c r="B5739">
        <f>GS21</f>
        <v>0</v>
      </c>
      <c r="C5739" t="inlineStr">
        <is>
          <t>+LS6</t>
        </is>
      </c>
      <c r="D5739" t="inlineStr">
        <is>
          <t>-271K2</t>
        </is>
      </c>
      <c r="E5739" t="inlineStr">
        <is>
          <t>DIL_0AM</t>
        </is>
      </c>
      <c r="F5739" t="inlineStr">
        <is>
          <t>22_DIL-M</t>
        </is>
      </c>
      <c r="G5739" t="inlineStr">
        <is>
          <t>LASTSCHUETZ</t>
        </is>
      </c>
      <c r="H5739" t="inlineStr">
        <is>
          <t>11 kW</t>
        </is>
      </c>
      <c r="I5739">
        <v>359</v>
      </c>
      <c r="J5739">
        <f>GS21/271.3</f>
        <v>0</v>
      </c>
      <c r="K5739" t="inlineStr">
        <is>
          <t>DIL0AM</t>
        </is>
      </c>
      <c r="M5739" t="inlineStr">
        <is>
          <t>-271K2</t>
        </is>
      </c>
    </row>
    <row r="5740">
      <c r="A5740">
        <v>5739</v>
      </c>
      <c r="B5740">
        <f>GS21</f>
        <v>0</v>
      </c>
      <c r="C5740" t="inlineStr">
        <is>
          <t>+LS6</t>
        </is>
      </c>
      <c r="D5740" t="inlineStr">
        <is>
          <t>-271K2</t>
        </is>
      </c>
      <c r="E5740" t="inlineStr">
        <is>
          <t>22_DIL-M</t>
        </is>
      </c>
      <c r="F5740" t="inlineStr">
        <is>
          <t>22_DIL-M</t>
        </is>
      </c>
      <c r="G5740" t="inlineStr">
        <is>
          <t>HILFSKONTAKTBLOCK</t>
        </is>
      </c>
      <c r="H5740" t="inlineStr">
        <is>
          <t>2S 2OE Lastschuetz DIL M</t>
        </is>
      </c>
      <c r="I5740">
        <v>359</v>
      </c>
      <c r="J5740">
        <f>GS21/271.3</f>
        <v>0</v>
      </c>
      <c r="K5740" t="inlineStr">
        <is>
          <t>DIL0AM</t>
        </is>
      </c>
      <c r="M5740" t="inlineStr">
        <is>
          <t>-271K2</t>
        </is>
      </c>
    </row>
    <row r="5741">
      <c r="A5741">
        <v>5740</v>
      </c>
      <c r="B5741">
        <f>GS37</f>
        <v>0</v>
      </c>
      <c r="C5741" t="inlineStr">
        <is>
          <t>+LS05</t>
        </is>
      </c>
      <c r="D5741" t="inlineStr">
        <is>
          <t>-271K2</t>
        </is>
      </c>
      <c r="E5741" t="inlineStr">
        <is>
          <t>DILM-9-01</t>
        </is>
      </c>
      <c r="F5741" t="inlineStr">
        <is>
          <t>#KALK!</t>
        </is>
      </c>
      <c r="G5741" t="inlineStr">
        <is>
          <t>LASTSCHUETZ</t>
        </is>
      </c>
      <c r="H5741" t="inlineStr">
        <is>
          <t>4kW 1Oe Federzugkl.</t>
        </is>
      </c>
      <c r="I5741">
        <v>425</v>
      </c>
      <c r="J5741">
        <f>GS37/271.7</f>
        <v>0</v>
      </c>
      <c r="M5741" t="inlineStr">
        <is>
          <t>-271K2</t>
        </is>
      </c>
    </row>
    <row r="5742">
      <c r="A5742">
        <v>5741</v>
      </c>
      <c r="B5742">
        <f>GC22</f>
        <v>0</v>
      </c>
      <c r="C5742" t="inlineStr">
        <is>
          <t>+LS3</t>
        </is>
      </c>
      <c r="D5742" t="inlineStr">
        <is>
          <t>-271K31.4</t>
        </is>
      </c>
      <c r="E5742" t="inlineStr">
        <is>
          <t>DILM-9-01</t>
        </is>
      </c>
      <c r="F5742" t="inlineStr">
        <is>
          <t>#KALK!</t>
        </is>
      </c>
      <c r="G5742" t="inlineStr">
        <is>
          <t>LASTSCHUETZ</t>
        </is>
      </c>
      <c r="H5742" t="inlineStr">
        <is>
          <t>4kW 1Oe Federzugkl.</t>
        </is>
      </c>
      <c r="I5742">
        <v>3485</v>
      </c>
      <c r="J5742">
        <f>GC22/271.6</f>
        <v>0</v>
      </c>
      <c r="M5742" t="inlineStr">
        <is>
          <t>-271K31.4</t>
        </is>
      </c>
    </row>
    <row r="5743">
      <c r="A5743">
        <v>5742</v>
      </c>
      <c r="B5743">
        <f>GS12</f>
        <v>0</v>
      </c>
      <c r="C5743" t="inlineStr">
        <is>
          <t>+LS3</t>
        </is>
      </c>
      <c r="D5743" t="inlineStr">
        <is>
          <t>-271K31.4</t>
        </is>
      </c>
      <c r="E5743" t="inlineStr">
        <is>
          <t>DILM-9-01</t>
        </is>
      </c>
      <c r="F5743" t="inlineStr">
        <is>
          <t>#KALK!</t>
        </is>
      </c>
      <c r="G5743" t="inlineStr">
        <is>
          <t>LASTSCHUETZ</t>
        </is>
      </c>
      <c r="H5743" t="inlineStr">
        <is>
          <t>4kW 1Oe Federzugkl.</t>
        </is>
      </c>
      <c r="I5743">
        <v>403</v>
      </c>
      <c r="J5743">
        <f>GS12/271.6</f>
        <v>0</v>
      </c>
      <c r="M5743" t="inlineStr">
        <is>
          <t>-271K31.4</t>
        </is>
      </c>
    </row>
    <row r="5744">
      <c r="A5744">
        <v>5743</v>
      </c>
      <c r="B5744">
        <f>GC22</f>
        <v>0</v>
      </c>
      <c r="C5744" t="inlineStr">
        <is>
          <t>+LS3</t>
        </is>
      </c>
      <c r="D5744" t="inlineStr">
        <is>
          <t>-271K31.5</t>
        </is>
      </c>
      <c r="E5744" t="inlineStr">
        <is>
          <t>DIL_EM-10-G</t>
        </is>
      </c>
      <c r="F5744" t="inlineStr">
        <is>
          <t>#KALK!</t>
        </is>
      </c>
      <c r="G5744" t="inlineStr">
        <is>
          <t>LASTSCHUETZ</t>
        </is>
      </c>
      <c r="H5744" t="inlineStr">
        <is>
          <t>4kW 1S</t>
        </is>
      </c>
      <c r="I5744">
        <v>3485</v>
      </c>
      <c r="J5744">
        <f>GC22/271.7</f>
        <v>0</v>
      </c>
      <c r="M5744" t="inlineStr">
        <is>
          <t>-271K31.5</t>
        </is>
      </c>
    </row>
    <row r="5745">
      <c r="A5745">
        <v>5744</v>
      </c>
      <c r="B5745">
        <f>GS12</f>
        <v>0</v>
      </c>
      <c r="C5745" t="inlineStr">
        <is>
          <t>+LS3</t>
        </is>
      </c>
      <c r="D5745" t="inlineStr">
        <is>
          <t>-271K31.5</t>
        </is>
      </c>
      <c r="E5745" t="inlineStr">
        <is>
          <t>DIL_EM-10-G</t>
        </is>
      </c>
      <c r="F5745" t="inlineStr">
        <is>
          <t>#KALK!</t>
        </is>
      </c>
      <c r="G5745" t="inlineStr">
        <is>
          <t>LASTSCHUETZ</t>
        </is>
      </c>
      <c r="H5745" t="inlineStr">
        <is>
          <t>4kW 1S</t>
        </is>
      </c>
      <c r="I5745">
        <v>403</v>
      </c>
      <c r="J5745">
        <f>GS12/271.7</f>
        <v>0</v>
      </c>
      <c r="M5745" t="inlineStr">
        <is>
          <t>-271K31.5</t>
        </is>
      </c>
    </row>
    <row r="5746">
      <c r="A5746">
        <v>5745</v>
      </c>
      <c r="B5746">
        <f>GC22</f>
        <v>0</v>
      </c>
      <c r="C5746" t="inlineStr">
        <is>
          <t>+LS3</t>
        </is>
      </c>
      <c r="D5746" t="inlineStr">
        <is>
          <t>-271K33.6</t>
        </is>
      </c>
      <c r="E5746" t="inlineStr">
        <is>
          <t>DILM-9-01</t>
        </is>
      </c>
      <c r="F5746" t="inlineStr">
        <is>
          <t>#KALK!</t>
        </is>
      </c>
      <c r="G5746" t="inlineStr">
        <is>
          <t>LASTSCHUETZ</t>
        </is>
      </c>
      <c r="H5746" t="inlineStr">
        <is>
          <t>4kW 1Oe Federzugkl.</t>
        </is>
      </c>
      <c r="I5746">
        <v>3485</v>
      </c>
      <c r="J5746">
        <f>GC22/271.6</f>
        <v>0</v>
      </c>
      <c r="M5746" t="inlineStr">
        <is>
          <t>-271K33.6</t>
        </is>
      </c>
    </row>
    <row r="5747">
      <c r="A5747">
        <v>5746</v>
      </c>
      <c r="B5747">
        <f>GS12</f>
        <v>0</v>
      </c>
      <c r="C5747" t="inlineStr">
        <is>
          <t>+LS3</t>
        </is>
      </c>
      <c r="D5747" t="inlineStr">
        <is>
          <t>-271K33.6</t>
        </is>
      </c>
      <c r="E5747" t="inlineStr">
        <is>
          <t>DILM-9-01</t>
        </is>
      </c>
      <c r="F5747" t="inlineStr">
        <is>
          <t>#KALK!</t>
        </is>
      </c>
      <c r="G5747" t="inlineStr">
        <is>
          <t>LASTSCHUETZ</t>
        </is>
      </c>
      <c r="H5747" t="inlineStr">
        <is>
          <t>4kW 1Oe Federzugkl.</t>
        </is>
      </c>
      <c r="I5747">
        <v>403</v>
      </c>
      <c r="J5747">
        <f>GS12/271.6</f>
        <v>0</v>
      </c>
      <c r="M5747" t="inlineStr">
        <is>
          <t>-271K33.6</t>
        </is>
      </c>
    </row>
    <row r="5748">
      <c r="A5748">
        <v>5747</v>
      </c>
      <c r="B5748">
        <f>GS31</f>
        <v>0</v>
      </c>
      <c r="C5748" t="inlineStr">
        <is>
          <t>+LS4</t>
        </is>
      </c>
      <c r="D5748" t="inlineStr">
        <is>
          <t>-271K3504.0</t>
        </is>
      </c>
      <c r="E5748" t="inlineStr">
        <is>
          <t>DIL_EM-10-G</t>
        </is>
      </c>
      <c r="F5748" t="inlineStr">
        <is>
          <t>#KALK!</t>
        </is>
      </c>
      <c r="G5748" t="inlineStr">
        <is>
          <t>LASTSCHUETZ</t>
        </is>
      </c>
      <c r="H5748" t="inlineStr">
        <is>
          <t>4kW 1S</t>
        </is>
      </c>
      <c r="I5748">
        <v>562</v>
      </c>
      <c r="J5748">
        <f>GS31/271.7</f>
        <v>0</v>
      </c>
      <c r="M5748" t="inlineStr">
        <is>
          <t>-271K3504.0</t>
        </is>
      </c>
    </row>
    <row r="5749">
      <c r="A5749">
        <v>5748</v>
      </c>
      <c r="B5749">
        <f>GS04</f>
        <v>0</v>
      </c>
      <c r="C5749" t="inlineStr">
        <is>
          <t>+LS6</t>
        </is>
      </c>
      <c r="D5749" t="inlineStr">
        <is>
          <t>-271K53.4</t>
        </is>
      </c>
      <c r="E5749" t="inlineStr">
        <is>
          <t>DIL_EM-10-G</t>
        </is>
      </c>
      <c r="F5749" t="inlineStr">
        <is>
          <t>#KALK!</t>
        </is>
      </c>
      <c r="G5749" t="inlineStr">
        <is>
          <t>LASTSCHUETZ</t>
        </is>
      </c>
      <c r="H5749" t="inlineStr">
        <is>
          <t>4kW 1S</t>
        </is>
      </c>
      <c r="I5749">
        <v>522</v>
      </c>
      <c r="J5749">
        <f>GS04/271.7</f>
        <v>0</v>
      </c>
      <c r="M5749" t="inlineStr">
        <is>
          <t>-271K53.4</t>
        </is>
      </c>
    </row>
    <row r="5750">
      <c r="A5750">
        <v>5749</v>
      </c>
      <c r="B5750">
        <f>GS06</f>
        <v>0</v>
      </c>
      <c r="C5750" t="inlineStr">
        <is>
          <t>+LS04</t>
        </is>
      </c>
      <c r="D5750" t="inlineStr">
        <is>
          <t>-271Q124.7</t>
        </is>
      </c>
      <c r="E5750" t="inlineStr">
        <is>
          <t>DILMC17-10(RDC24)</t>
        </is>
      </c>
      <c r="F5750" t="inlineStr">
        <is>
          <t>#KALK!</t>
        </is>
      </c>
      <c r="G5750" t="inlineStr">
        <is>
          <t>LASTSCHUETZ</t>
        </is>
      </c>
      <c r="H5750" t="inlineStr">
        <is>
          <t>7,5kW 1S Federzugkl.</t>
        </is>
      </c>
      <c r="I5750">
        <v>2864</v>
      </c>
      <c r="J5750">
        <f>GS06/271.5</f>
        <v>0</v>
      </c>
      <c r="K5750" t="inlineStr">
        <is>
          <t>DIL MC17</t>
        </is>
      </c>
      <c r="M5750" t="inlineStr">
        <is>
          <t>-271Q124.7</t>
        </is>
      </c>
    </row>
    <row r="5751">
      <c r="A5751">
        <v>5750</v>
      </c>
      <c r="B5751">
        <f>GS90</f>
        <v>0</v>
      </c>
      <c r="C5751" t="inlineStr">
        <is>
          <t>+LS04</t>
        </is>
      </c>
      <c r="D5751" t="inlineStr">
        <is>
          <t>-271Q175.2</t>
        </is>
      </c>
      <c r="E5751" t="inlineStr">
        <is>
          <t>DILM-9-10</t>
        </is>
      </c>
      <c r="F5751" t="inlineStr">
        <is>
          <t>#KALK!</t>
        </is>
      </c>
      <c r="G5751" t="inlineStr">
        <is>
          <t>LASTSCHUETZ</t>
        </is>
      </c>
      <c r="H5751" t="inlineStr">
        <is>
          <t>4kW 1S Federzugkl.</t>
        </is>
      </c>
      <c r="I5751">
        <v>975</v>
      </c>
      <c r="J5751">
        <f>GS90/271.5</f>
        <v>0</v>
      </c>
      <c r="M5751" t="inlineStr">
        <is>
          <t>-271Q175.2</t>
        </is>
      </c>
    </row>
    <row r="5752">
      <c r="A5752">
        <v>5751</v>
      </c>
      <c r="B5752">
        <f>GS38</f>
        <v>0</v>
      </c>
      <c r="C5752" t="inlineStr">
        <is>
          <t>+LS05</t>
        </is>
      </c>
      <c r="D5752" t="inlineStr">
        <is>
          <t>-271Q414.4</t>
        </is>
      </c>
      <c r="E5752" t="inlineStr">
        <is>
          <t>DILMC12-10(24VDC)</t>
        </is>
      </c>
      <c r="F5752" t="inlineStr">
        <is>
          <t>#KALK!</t>
        </is>
      </c>
      <c r="G5752" t="inlineStr">
        <is>
          <t>LASTSCHUETZ</t>
        </is>
      </c>
      <c r="H5752" t="inlineStr">
        <is>
          <t>5,5kW 1S Federzugkl.</t>
        </is>
      </c>
      <c r="I5752">
        <v>441</v>
      </c>
      <c r="J5752">
        <f>GS38/271.5</f>
        <v>0</v>
      </c>
      <c r="K5752" t="inlineStr">
        <is>
          <t>DIL MC12</t>
        </is>
      </c>
      <c r="M5752" t="inlineStr">
        <is>
          <t>-271Q414.4</t>
        </is>
      </c>
    </row>
    <row r="5753">
      <c r="A5753">
        <v>5752</v>
      </c>
      <c r="B5753">
        <f>GS39</f>
        <v>0</v>
      </c>
      <c r="C5753" t="inlineStr">
        <is>
          <t>+LS05</t>
        </is>
      </c>
      <c r="D5753" t="inlineStr">
        <is>
          <t>-271Q414.4</t>
        </is>
      </c>
      <c r="E5753" t="inlineStr">
        <is>
          <t>DILMC12-10(24VDC)</t>
        </is>
      </c>
      <c r="F5753" t="inlineStr">
        <is>
          <t>#KALK!</t>
        </is>
      </c>
      <c r="G5753" t="inlineStr">
        <is>
          <t>LASTSCHUETZ</t>
        </is>
      </c>
      <c r="H5753" t="inlineStr">
        <is>
          <t>5,5kW 1S Federzugkl.</t>
        </is>
      </c>
      <c r="I5753">
        <v>436</v>
      </c>
      <c r="J5753">
        <f>GS39/271.5</f>
        <v>0</v>
      </c>
      <c r="K5753" t="inlineStr">
        <is>
          <t>DIL MC12</t>
        </is>
      </c>
      <c r="M5753" t="inlineStr">
        <is>
          <t>-271Q414.4</t>
        </is>
      </c>
    </row>
    <row r="5754">
      <c r="A5754">
        <v>5753</v>
      </c>
      <c r="B5754">
        <f>GS94</f>
        <v>0</v>
      </c>
      <c r="C5754" t="inlineStr">
        <is>
          <t>+LS18</t>
        </is>
      </c>
      <c r="D5754" t="inlineStr">
        <is>
          <t>-271Q484.1</t>
        </is>
      </c>
      <c r="E5754" t="inlineStr">
        <is>
          <t>DILM-9-10</t>
        </is>
      </c>
      <c r="F5754" t="inlineStr">
        <is>
          <t>#KALK!</t>
        </is>
      </c>
      <c r="G5754" t="inlineStr">
        <is>
          <t>LASTSCHUETZ</t>
        </is>
      </c>
      <c r="H5754" t="inlineStr">
        <is>
          <t>4kW 1S Federzugkl.</t>
        </is>
      </c>
      <c r="I5754">
        <v>361</v>
      </c>
      <c r="J5754">
        <f>GS94/271.5</f>
        <v>0</v>
      </c>
      <c r="M5754" t="inlineStr">
        <is>
          <t>-271Q484.1</t>
        </is>
      </c>
    </row>
    <row r="5755">
      <c r="A5755">
        <v>5754</v>
      </c>
      <c r="B5755">
        <f>GS95</f>
        <v>0</v>
      </c>
      <c r="C5755" t="inlineStr">
        <is>
          <t>+LS18</t>
        </is>
      </c>
      <c r="D5755" t="inlineStr">
        <is>
          <t>-271Q484.1</t>
        </is>
      </c>
      <c r="E5755" t="inlineStr">
        <is>
          <t>DILM-9-10</t>
        </is>
      </c>
      <c r="F5755" t="inlineStr">
        <is>
          <t>#KALK!</t>
        </is>
      </c>
      <c r="G5755" t="inlineStr">
        <is>
          <t>LASTSCHUETZ</t>
        </is>
      </c>
      <c r="H5755" t="inlineStr">
        <is>
          <t>4kW 1S Federzugkl.</t>
        </is>
      </c>
      <c r="I5755">
        <v>361</v>
      </c>
      <c r="J5755">
        <f>GS95/271.5</f>
        <v>0</v>
      </c>
      <c r="M5755" t="inlineStr">
        <is>
          <t>-271Q484.1</t>
        </is>
      </c>
    </row>
    <row r="5756">
      <c r="A5756">
        <v>5755</v>
      </c>
      <c r="B5756">
        <f>GS96</f>
        <v>0</v>
      </c>
      <c r="C5756" t="inlineStr">
        <is>
          <t>+LS18</t>
        </is>
      </c>
      <c r="D5756" t="inlineStr">
        <is>
          <t>-271Q484.1</t>
        </is>
      </c>
      <c r="E5756" t="inlineStr">
        <is>
          <t>DILM-9-10</t>
        </is>
      </c>
      <c r="F5756" t="inlineStr">
        <is>
          <t>#KALK!</t>
        </is>
      </c>
      <c r="G5756" t="inlineStr">
        <is>
          <t>LASTSCHUETZ</t>
        </is>
      </c>
      <c r="H5756" t="inlineStr">
        <is>
          <t>4kW 1S Federzugkl.</t>
        </is>
      </c>
      <c r="I5756">
        <v>361</v>
      </c>
      <c r="J5756">
        <f>GS96/271.5</f>
        <v>0</v>
      </c>
      <c r="M5756" t="inlineStr">
        <is>
          <t>-271Q484.1</t>
        </is>
      </c>
    </row>
    <row r="5757">
      <c r="A5757">
        <v>5756</v>
      </c>
      <c r="B5757">
        <f>GS97</f>
        <v>0</v>
      </c>
      <c r="C5757" t="inlineStr">
        <is>
          <t>+LS18</t>
        </is>
      </c>
      <c r="D5757" t="inlineStr">
        <is>
          <t>-271Q484.1</t>
        </is>
      </c>
      <c r="E5757" t="inlineStr">
        <is>
          <t>DILM-9-10</t>
        </is>
      </c>
      <c r="F5757" t="inlineStr">
        <is>
          <t>#KALK!</t>
        </is>
      </c>
      <c r="G5757" t="inlineStr">
        <is>
          <t>LASTSCHUETZ</t>
        </is>
      </c>
      <c r="H5757" t="inlineStr">
        <is>
          <t>4kW 1S Federzugkl.</t>
        </is>
      </c>
      <c r="I5757">
        <v>361</v>
      </c>
      <c r="J5757">
        <f>GS97/271.5</f>
        <v>0</v>
      </c>
      <c r="M5757" t="inlineStr">
        <is>
          <t>-271Q484.1</t>
        </is>
      </c>
    </row>
    <row r="5758">
      <c r="A5758">
        <v>5757</v>
      </c>
      <c r="B5758">
        <f>GS55</f>
        <v>0</v>
      </c>
      <c r="C5758" t="inlineStr">
        <is>
          <t>+1KK58</t>
        </is>
      </c>
      <c r="D5758" t="inlineStr">
        <is>
          <t>-2723Q2</t>
        </is>
      </c>
      <c r="E5758" t="inlineStr">
        <is>
          <t>DILM-9-10</t>
        </is>
      </c>
      <c r="F5758" t="inlineStr">
        <is>
          <t>#KALK!</t>
        </is>
      </c>
      <c r="G5758" t="inlineStr">
        <is>
          <t>LASTSCHUETZ</t>
        </is>
      </c>
      <c r="H5758" t="inlineStr">
        <is>
          <t>4kW 1S Federzugkl.</t>
        </is>
      </c>
      <c r="I5758">
        <v>2653</v>
      </c>
      <c r="J5758">
        <f>GS55/2723.6</f>
        <v>0</v>
      </c>
      <c r="M5758" t="inlineStr">
        <is>
          <t>-2723Q2</t>
        </is>
      </c>
    </row>
    <row r="5759">
      <c r="A5759">
        <v>5758</v>
      </c>
      <c r="B5759">
        <f>GS02</f>
        <v>0</v>
      </c>
      <c r="C5759" t="inlineStr">
        <is>
          <t>+LS5</t>
        </is>
      </c>
      <c r="D5759" t="inlineStr">
        <is>
          <t>-272K1</t>
        </is>
      </c>
      <c r="E5759" t="inlineStr">
        <is>
          <t>22_DIL-M</t>
        </is>
      </c>
      <c r="F5759" t="inlineStr">
        <is>
          <t>22_DIL-M</t>
        </is>
      </c>
      <c r="G5759" t="inlineStr">
        <is>
          <t>HILFSKONTAKTBLOCK</t>
        </is>
      </c>
      <c r="H5759" t="inlineStr">
        <is>
          <t>2S 2OE Lastschuetz DIL M</t>
        </is>
      </c>
      <c r="I5759">
        <v>678</v>
      </c>
      <c r="J5759">
        <f>GS02/272.3</f>
        <v>0</v>
      </c>
      <c r="K5759" t="inlineStr">
        <is>
          <t>DIL0AM</t>
        </is>
      </c>
      <c r="M5759" t="inlineStr">
        <is>
          <t>-272K1</t>
        </is>
      </c>
    </row>
    <row r="5760">
      <c r="A5760">
        <v>5759</v>
      </c>
      <c r="B5760">
        <f>GS02</f>
        <v>0</v>
      </c>
      <c r="C5760" t="inlineStr">
        <is>
          <t>+LS5</t>
        </is>
      </c>
      <c r="D5760" t="inlineStr">
        <is>
          <t>-272K1</t>
        </is>
      </c>
      <c r="E5760" t="inlineStr">
        <is>
          <t>DIL_0AM</t>
        </is>
      </c>
      <c r="F5760" t="inlineStr">
        <is>
          <t>22_DIL-M</t>
        </is>
      </c>
      <c r="G5760" t="inlineStr">
        <is>
          <t>LASTSCHUETZ</t>
        </is>
      </c>
      <c r="H5760" t="inlineStr">
        <is>
          <t>11 kW</t>
        </is>
      </c>
      <c r="I5760">
        <v>678</v>
      </c>
      <c r="J5760">
        <f>GS02/272.3</f>
        <v>0</v>
      </c>
      <c r="K5760" t="inlineStr">
        <is>
          <t>DIL0AM</t>
        </is>
      </c>
      <c r="M5760" t="inlineStr">
        <is>
          <t>-272K1</t>
        </is>
      </c>
    </row>
    <row r="5761">
      <c r="A5761">
        <v>5760</v>
      </c>
      <c r="B5761">
        <f>GS13</f>
        <v>0</v>
      </c>
      <c r="C5761" t="inlineStr">
        <is>
          <t>+LS5</t>
        </is>
      </c>
      <c r="D5761" t="inlineStr">
        <is>
          <t>-272K1</t>
        </is>
      </c>
      <c r="E5761" t="inlineStr">
        <is>
          <t>DIL_0AM</t>
        </is>
      </c>
      <c r="F5761" t="inlineStr">
        <is>
          <t>22_DIL-M</t>
        </is>
      </c>
      <c r="G5761" t="inlineStr">
        <is>
          <t>LASTSCHUETZ</t>
        </is>
      </c>
      <c r="H5761" t="inlineStr">
        <is>
          <t>11 kW</t>
        </is>
      </c>
      <c r="I5761">
        <v>514</v>
      </c>
      <c r="J5761">
        <f>GS13/272.2</f>
        <v>0</v>
      </c>
      <c r="K5761" t="inlineStr">
        <is>
          <t>DIL0AM</t>
        </is>
      </c>
      <c r="M5761" t="inlineStr">
        <is>
          <t>-272K1</t>
        </is>
      </c>
    </row>
    <row r="5762">
      <c r="A5762">
        <v>5761</v>
      </c>
      <c r="B5762">
        <f>GS13</f>
        <v>0</v>
      </c>
      <c r="C5762" t="inlineStr">
        <is>
          <t>+LS5</t>
        </is>
      </c>
      <c r="D5762" t="inlineStr">
        <is>
          <t>-272K1</t>
        </is>
      </c>
      <c r="E5762" t="inlineStr">
        <is>
          <t>22_DIL-M</t>
        </is>
      </c>
      <c r="F5762" t="inlineStr">
        <is>
          <t>22_DIL-M</t>
        </is>
      </c>
      <c r="G5762" t="inlineStr">
        <is>
          <t>HILFSKONTAKTBLOCK</t>
        </is>
      </c>
      <c r="H5762" t="inlineStr">
        <is>
          <t>2S 2OE Lastschuetz DIL M</t>
        </is>
      </c>
      <c r="I5762">
        <v>514</v>
      </c>
      <c r="J5762">
        <f>GS13/272.2</f>
        <v>0</v>
      </c>
      <c r="K5762" t="inlineStr">
        <is>
          <t>DIL0AM</t>
        </is>
      </c>
      <c r="M5762" t="inlineStr">
        <is>
          <t>-272K1</t>
        </is>
      </c>
    </row>
    <row r="5763">
      <c r="A5763">
        <v>5762</v>
      </c>
      <c r="B5763">
        <f>GS16</f>
        <v>0</v>
      </c>
      <c r="C5763" t="inlineStr">
        <is>
          <t>+LS5</t>
        </is>
      </c>
      <c r="D5763" t="inlineStr">
        <is>
          <t>-272K1</t>
        </is>
      </c>
      <c r="E5763" t="inlineStr">
        <is>
          <t>DIL_ER-40-G</t>
        </is>
      </c>
      <c r="F5763" t="inlineStr">
        <is>
          <t>#KALK!</t>
        </is>
      </c>
      <c r="G5763" t="inlineStr">
        <is>
          <t>HILFSSCHUETZ</t>
        </is>
      </c>
      <c r="H5763" t="inlineStr">
        <is>
          <t>4S</t>
        </is>
      </c>
      <c r="I5763">
        <v>500</v>
      </c>
      <c r="J5763">
        <f>GS16/272.2</f>
        <v>0</v>
      </c>
      <c r="M5763" t="inlineStr">
        <is>
          <t>-272K1</t>
        </is>
      </c>
    </row>
    <row r="5764">
      <c r="A5764">
        <v>5763</v>
      </c>
      <c r="B5764">
        <f>GS23</f>
        <v>0</v>
      </c>
      <c r="C5764" t="inlineStr">
        <is>
          <t>+LS5</t>
        </is>
      </c>
      <c r="D5764" t="inlineStr">
        <is>
          <t>-272K1</t>
        </is>
      </c>
      <c r="E5764" t="inlineStr">
        <is>
          <t>22_DIL-M</t>
        </is>
      </c>
      <c r="F5764" t="inlineStr">
        <is>
          <t>22_DIL-M</t>
        </is>
      </c>
      <c r="G5764" t="inlineStr">
        <is>
          <t>HILFSKONTAKTBLOCK</t>
        </is>
      </c>
      <c r="H5764" t="inlineStr">
        <is>
          <t>2S 2OE Lastschuetz DIL M</t>
        </is>
      </c>
      <c r="I5764">
        <v>573</v>
      </c>
      <c r="J5764">
        <f>GS23/272.2</f>
        <v>0</v>
      </c>
      <c r="K5764" t="inlineStr">
        <is>
          <t>DIL0AM</t>
        </is>
      </c>
      <c r="M5764" t="inlineStr">
        <is>
          <t>-272K1</t>
        </is>
      </c>
    </row>
    <row r="5765">
      <c r="A5765">
        <v>5764</v>
      </c>
      <c r="B5765">
        <f>GS23</f>
        <v>0</v>
      </c>
      <c r="C5765" t="inlineStr">
        <is>
          <t>+LS5</t>
        </is>
      </c>
      <c r="D5765" t="inlineStr">
        <is>
          <t>-272K1</t>
        </is>
      </c>
      <c r="E5765" t="inlineStr">
        <is>
          <t>DIL_0AM</t>
        </is>
      </c>
      <c r="F5765" t="inlineStr">
        <is>
          <t>22_DIL-M</t>
        </is>
      </c>
      <c r="G5765" t="inlineStr">
        <is>
          <t>LASTSCHUETZ</t>
        </is>
      </c>
      <c r="H5765" t="inlineStr">
        <is>
          <t>11 kW</t>
        </is>
      </c>
      <c r="I5765">
        <v>573</v>
      </c>
      <c r="J5765">
        <f>GS23/272.2</f>
        <v>0</v>
      </c>
      <c r="K5765" t="inlineStr">
        <is>
          <t>DIL0AM</t>
        </is>
      </c>
      <c r="M5765" t="inlineStr">
        <is>
          <t>-272K1</t>
        </is>
      </c>
    </row>
    <row r="5766">
      <c r="A5766">
        <v>5765</v>
      </c>
      <c r="B5766">
        <f>GS37</f>
        <v>0</v>
      </c>
      <c r="C5766" t="inlineStr">
        <is>
          <t>+LS05</t>
        </is>
      </c>
      <c r="D5766" t="inlineStr">
        <is>
          <t>-272K1</t>
        </is>
      </c>
      <c r="E5766" t="inlineStr">
        <is>
          <t>DILM-9-01</t>
        </is>
      </c>
      <c r="F5766" t="inlineStr">
        <is>
          <t>#KALK!</t>
        </is>
      </c>
      <c r="G5766" t="inlineStr">
        <is>
          <t>LASTSCHUETZ</t>
        </is>
      </c>
      <c r="H5766" t="inlineStr">
        <is>
          <t>4kW 1Oe Federzugkl.</t>
        </is>
      </c>
      <c r="I5766">
        <v>426</v>
      </c>
      <c r="J5766">
        <f>GS37/272.6</f>
        <v>0</v>
      </c>
      <c r="M5766" t="inlineStr">
        <is>
          <t>-272K1</t>
        </is>
      </c>
    </row>
    <row r="5767">
      <c r="A5767">
        <v>5766</v>
      </c>
      <c r="B5767">
        <f>GS16</f>
        <v>0</v>
      </c>
      <c r="C5767" t="inlineStr">
        <is>
          <t>+LS5</t>
        </is>
      </c>
      <c r="D5767" t="inlineStr">
        <is>
          <t>-272K2</t>
        </is>
      </c>
      <c r="E5767" t="inlineStr">
        <is>
          <t>DIL_ER-40-G</t>
        </is>
      </c>
      <c r="F5767" t="inlineStr">
        <is>
          <t>#KALK!</t>
        </is>
      </c>
      <c r="G5767" t="inlineStr">
        <is>
          <t>HILFSSCHUETZ</t>
        </is>
      </c>
      <c r="H5767" t="inlineStr">
        <is>
          <t>4S</t>
        </is>
      </c>
      <c r="I5767">
        <v>500</v>
      </c>
      <c r="J5767">
        <f>GS16/272.4</f>
        <v>0</v>
      </c>
      <c r="M5767" t="inlineStr">
        <is>
          <t>-272K2</t>
        </is>
      </c>
    </row>
    <row r="5768">
      <c r="A5768">
        <v>5767</v>
      </c>
      <c r="B5768">
        <f>GS37</f>
        <v>0</v>
      </c>
      <c r="C5768" t="inlineStr">
        <is>
          <t>+LS05</t>
        </is>
      </c>
      <c r="D5768" t="inlineStr">
        <is>
          <t>-272K2</t>
        </is>
      </c>
      <c r="E5768" t="inlineStr">
        <is>
          <t>DILM-9-01</t>
        </is>
      </c>
      <c r="F5768" t="inlineStr">
        <is>
          <t>#KALK!</t>
        </is>
      </c>
      <c r="G5768" t="inlineStr">
        <is>
          <t>LASTSCHUETZ</t>
        </is>
      </c>
      <c r="H5768" t="inlineStr">
        <is>
          <t>4kW 1Oe Federzugkl.</t>
        </is>
      </c>
      <c r="I5768">
        <v>426</v>
      </c>
      <c r="J5768">
        <f>GS37/272.7</f>
        <v>0</v>
      </c>
      <c r="M5768" t="inlineStr">
        <is>
          <t>-272K2</t>
        </is>
      </c>
    </row>
    <row r="5769">
      <c r="A5769">
        <v>5768</v>
      </c>
      <c r="B5769">
        <f>GS16</f>
        <v>0</v>
      </c>
      <c r="C5769" t="inlineStr">
        <is>
          <t>+LS5</t>
        </is>
      </c>
      <c r="D5769" t="inlineStr">
        <is>
          <t>-272K3</t>
        </is>
      </c>
      <c r="E5769" t="inlineStr">
        <is>
          <t>DIL_ER-40-G</t>
        </is>
      </c>
      <c r="F5769" t="inlineStr">
        <is>
          <t>#KALK!</t>
        </is>
      </c>
      <c r="G5769" t="inlineStr">
        <is>
          <t>HILFSSCHUETZ</t>
        </is>
      </c>
      <c r="H5769" t="inlineStr">
        <is>
          <t>4S</t>
        </is>
      </c>
      <c r="I5769">
        <v>500</v>
      </c>
      <c r="J5769">
        <f>GS16/272.5</f>
        <v>0</v>
      </c>
      <c r="M5769" t="inlineStr">
        <is>
          <t>-272K3</t>
        </is>
      </c>
    </row>
    <row r="5770">
      <c r="A5770">
        <v>5769</v>
      </c>
      <c r="B5770">
        <f>GC22</f>
        <v>0</v>
      </c>
      <c r="C5770" t="inlineStr">
        <is>
          <t>+LS3</t>
        </is>
      </c>
      <c r="D5770" t="inlineStr">
        <is>
          <t>-272K32.3</t>
        </is>
      </c>
      <c r="E5770" t="inlineStr">
        <is>
          <t>DIL_EM-10-G</t>
        </is>
      </c>
      <c r="F5770" t="inlineStr">
        <is>
          <t>#KALK!</t>
        </is>
      </c>
      <c r="G5770" t="inlineStr">
        <is>
          <t>LASTSCHUETZ</t>
        </is>
      </c>
      <c r="H5770" t="inlineStr">
        <is>
          <t>4kW 1S</t>
        </is>
      </c>
      <c r="I5770">
        <v>3486</v>
      </c>
      <c r="J5770">
        <f>GC22/272.7</f>
        <v>0</v>
      </c>
      <c r="M5770" t="inlineStr">
        <is>
          <t>-272K32.3</t>
        </is>
      </c>
    </row>
    <row r="5771">
      <c r="A5771">
        <v>5770</v>
      </c>
      <c r="B5771">
        <f>GS12</f>
        <v>0</v>
      </c>
      <c r="C5771" t="inlineStr">
        <is>
          <t>+LS3</t>
        </is>
      </c>
      <c r="D5771" t="inlineStr">
        <is>
          <t>-272K32.3</t>
        </is>
      </c>
      <c r="E5771" t="inlineStr">
        <is>
          <t>DIL_EM-10-G</t>
        </is>
      </c>
      <c r="F5771" t="inlineStr">
        <is>
          <t>#KALK!</t>
        </is>
      </c>
      <c r="G5771" t="inlineStr">
        <is>
          <t>LASTSCHUETZ</t>
        </is>
      </c>
      <c r="H5771" t="inlineStr">
        <is>
          <t>4kW 1S</t>
        </is>
      </c>
      <c r="I5771">
        <v>404</v>
      </c>
      <c r="J5771">
        <f>GS12/272.7</f>
        <v>0</v>
      </c>
      <c r="M5771" t="inlineStr">
        <is>
          <t>-272K32.3</t>
        </is>
      </c>
    </row>
    <row r="5772">
      <c r="A5772">
        <v>5771</v>
      </c>
      <c r="B5772">
        <f>GS31</f>
        <v>0</v>
      </c>
      <c r="C5772" t="inlineStr">
        <is>
          <t>+LS4</t>
        </is>
      </c>
      <c r="D5772" t="inlineStr">
        <is>
          <t>-272K3504.4</t>
        </is>
      </c>
      <c r="E5772" t="inlineStr">
        <is>
          <t>DIL_EM-10-G</t>
        </is>
      </c>
      <c r="F5772" t="inlineStr">
        <is>
          <t>#KALK!</t>
        </is>
      </c>
      <c r="G5772" t="inlineStr">
        <is>
          <t>LASTSCHUETZ</t>
        </is>
      </c>
      <c r="H5772" t="inlineStr">
        <is>
          <t>4kW 1S</t>
        </is>
      </c>
      <c r="I5772">
        <v>563</v>
      </c>
      <c r="J5772">
        <f>GS31/272.7</f>
        <v>0</v>
      </c>
      <c r="M5772" t="inlineStr">
        <is>
          <t>-272K3504.4</t>
        </is>
      </c>
    </row>
    <row r="5773">
      <c r="A5773">
        <v>5772</v>
      </c>
      <c r="B5773">
        <f>GS16</f>
        <v>0</v>
      </c>
      <c r="C5773" t="inlineStr">
        <is>
          <t>+LS5</t>
        </is>
      </c>
      <c r="D5773" t="inlineStr">
        <is>
          <t>-272K4</t>
        </is>
      </c>
      <c r="E5773" t="inlineStr">
        <is>
          <t>DIL_ER-40-G</t>
        </is>
      </c>
      <c r="F5773" t="inlineStr">
        <is>
          <t>#KALK!</t>
        </is>
      </c>
      <c r="G5773" t="inlineStr">
        <is>
          <t>HILFSSCHUETZ</t>
        </is>
      </c>
      <c r="H5773" t="inlineStr">
        <is>
          <t>4S</t>
        </is>
      </c>
      <c r="I5773">
        <v>500</v>
      </c>
      <c r="J5773">
        <f>GS16/272.6</f>
        <v>0</v>
      </c>
      <c r="M5773" t="inlineStr">
        <is>
          <t>-272K4</t>
        </is>
      </c>
    </row>
    <row r="5774">
      <c r="A5774">
        <v>5773</v>
      </c>
      <c r="B5774">
        <f>GS04</f>
        <v>0</v>
      </c>
      <c r="C5774" t="inlineStr">
        <is>
          <t>+LS6</t>
        </is>
      </c>
      <c r="D5774" t="inlineStr">
        <is>
          <t>-272K54.2</t>
        </is>
      </c>
      <c r="E5774" t="inlineStr">
        <is>
          <t>DIL_EM-10-G</t>
        </is>
      </c>
      <c r="F5774" t="inlineStr">
        <is>
          <t>#KALK!</t>
        </is>
      </c>
      <c r="G5774" t="inlineStr">
        <is>
          <t>LASTSCHUETZ</t>
        </is>
      </c>
      <c r="H5774" t="inlineStr">
        <is>
          <t>4kW 1S</t>
        </is>
      </c>
      <c r="I5774">
        <v>523</v>
      </c>
      <c r="J5774">
        <f>GS04/272.7</f>
        <v>0</v>
      </c>
      <c r="M5774" t="inlineStr">
        <is>
          <t>-272K54.2</t>
        </is>
      </c>
    </row>
    <row r="5775">
      <c r="A5775">
        <v>5774</v>
      </c>
      <c r="B5775">
        <f>GS36</f>
        <v>0</v>
      </c>
      <c r="C5775" t="inlineStr">
        <is>
          <t>+LS06</t>
        </is>
      </c>
      <c r="D5775" t="inlineStr">
        <is>
          <t>-288Q404.0</t>
        </is>
      </c>
      <c r="E5775" t="inlineStr">
        <is>
          <t>DILM-9-10</t>
        </is>
      </c>
      <c r="F5775" t="inlineStr">
        <is>
          <t>#KALK!</t>
        </is>
      </c>
      <c r="G5775" t="inlineStr">
        <is>
          <t>LASTSCHUETZ</t>
        </is>
      </c>
      <c r="H5775" t="inlineStr">
        <is>
          <t>4kW 1S Federzugkl.</t>
        </is>
      </c>
      <c r="I5775">
        <v>461</v>
      </c>
      <c r="J5775">
        <f>GS36/288.6</f>
        <v>0</v>
      </c>
      <c r="L5775" t="inlineStr">
        <is>
          <t>KF_0503</t>
        </is>
      </c>
      <c r="M5775" t="inlineStr">
        <is>
          <t>KF_0503
-288Q404.0</t>
        </is>
      </c>
      <c r="N5775" t="inlineStr">
        <is>
          <t>P</t>
        </is>
      </c>
    </row>
    <row r="5776">
      <c r="A5776">
        <v>5775</v>
      </c>
      <c r="B5776">
        <f>GS94</f>
        <v>0</v>
      </c>
      <c r="C5776" t="inlineStr">
        <is>
          <t>+LS18</t>
        </is>
      </c>
      <c r="D5776" t="inlineStr">
        <is>
          <t>-272Q484.2</t>
        </is>
      </c>
      <c r="E5776" t="inlineStr">
        <is>
          <t>DILM-9-10</t>
        </is>
      </c>
      <c r="F5776" t="inlineStr">
        <is>
          <t>#KALK!</t>
        </is>
      </c>
      <c r="G5776" t="inlineStr">
        <is>
          <t>LASTSCHUETZ</t>
        </is>
      </c>
      <c r="H5776" t="inlineStr">
        <is>
          <t>4kW 1S Federzugkl.</t>
        </is>
      </c>
      <c r="I5776">
        <v>362</v>
      </c>
      <c r="J5776">
        <f>GS94/272.5</f>
        <v>0</v>
      </c>
      <c r="M5776" t="inlineStr">
        <is>
          <t>-272Q484.2</t>
        </is>
      </c>
    </row>
    <row r="5777">
      <c r="A5777">
        <v>5776</v>
      </c>
      <c r="B5777">
        <f>GS95</f>
        <v>0</v>
      </c>
      <c r="C5777" t="inlineStr">
        <is>
          <t>+LS18</t>
        </is>
      </c>
      <c r="D5777" t="inlineStr">
        <is>
          <t>-272Q484.2</t>
        </is>
      </c>
      <c r="E5777" t="inlineStr">
        <is>
          <t>DILM-9-10</t>
        </is>
      </c>
      <c r="F5777" t="inlineStr">
        <is>
          <t>#KALK!</t>
        </is>
      </c>
      <c r="G5777" t="inlineStr">
        <is>
          <t>LASTSCHUETZ</t>
        </is>
      </c>
      <c r="H5777" t="inlineStr">
        <is>
          <t>4kW 1S Federzugkl.</t>
        </is>
      </c>
      <c r="I5777">
        <v>362</v>
      </c>
      <c r="J5777">
        <f>GS95/272.5</f>
        <v>0</v>
      </c>
      <c r="M5777" t="inlineStr">
        <is>
          <t>-272Q484.2</t>
        </is>
      </c>
    </row>
    <row r="5778">
      <c r="A5778">
        <v>5777</v>
      </c>
      <c r="B5778">
        <f>GS96</f>
        <v>0</v>
      </c>
      <c r="C5778" t="inlineStr">
        <is>
          <t>+LS18</t>
        </is>
      </c>
      <c r="D5778" t="inlineStr">
        <is>
          <t>-272Q484.2</t>
        </is>
      </c>
      <c r="E5778" t="inlineStr">
        <is>
          <t>DILM-9-10</t>
        </is>
      </c>
      <c r="F5778" t="inlineStr">
        <is>
          <t>#KALK!</t>
        </is>
      </c>
      <c r="G5778" t="inlineStr">
        <is>
          <t>LASTSCHUETZ</t>
        </is>
      </c>
      <c r="H5778" t="inlineStr">
        <is>
          <t>4kW 1S Federzugkl.</t>
        </is>
      </c>
      <c r="I5778">
        <v>362</v>
      </c>
      <c r="J5778">
        <f>GS96/272.5</f>
        <v>0</v>
      </c>
      <c r="M5778" t="inlineStr">
        <is>
          <t>-272Q484.2</t>
        </is>
      </c>
    </row>
    <row r="5779">
      <c r="A5779">
        <v>5778</v>
      </c>
      <c r="B5779">
        <f>GS97</f>
        <v>0</v>
      </c>
      <c r="C5779" t="inlineStr">
        <is>
          <t>+LS18</t>
        </is>
      </c>
      <c r="D5779" t="inlineStr">
        <is>
          <t>-272Q484.2</t>
        </is>
      </c>
      <c r="E5779" t="inlineStr">
        <is>
          <t>DILM-9-10</t>
        </is>
      </c>
      <c r="F5779" t="inlineStr">
        <is>
          <t>#KALK!</t>
        </is>
      </c>
      <c r="G5779" t="inlineStr">
        <is>
          <t>LASTSCHUETZ</t>
        </is>
      </c>
      <c r="H5779" t="inlineStr">
        <is>
          <t>4kW 1S Federzugkl.</t>
        </is>
      </c>
      <c r="I5779">
        <v>362</v>
      </c>
      <c r="J5779">
        <f>GS97/272.5</f>
        <v>0</v>
      </c>
      <c r="M5779" t="inlineStr">
        <is>
          <t>-272Q484.2</t>
        </is>
      </c>
    </row>
    <row r="5780">
      <c r="A5780">
        <v>5779</v>
      </c>
      <c r="B5780">
        <f>GS37</f>
        <v>0</v>
      </c>
      <c r="C5780" t="inlineStr">
        <is>
          <t>+LS05</t>
        </is>
      </c>
      <c r="D5780" t="inlineStr">
        <is>
          <t>-273K1</t>
        </is>
      </c>
      <c r="E5780" t="inlineStr">
        <is>
          <t>DILM-9-01</t>
        </is>
      </c>
      <c r="F5780" t="inlineStr">
        <is>
          <t>#KALK!</t>
        </is>
      </c>
      <c r="G5780" t="inlineStr">
        <is>
          <t>LASTSCHUETZ</t>
        </is>
      </c>
      <c r="H5780" t="inlineStr">
        <is>
          <t>4kW 1Oe Federzugkl.</t>
        </is>
      </c>
      <c r="I5780">
        <v>427</v>
      </c>
      <c r="J5780">
        <f>GS37/273.6</f>
        <v>0</v>
      </c>
      <c r="M5780" t="inlineStr">
        <is>
          <t>-273K1</t>
        </is>
      </c>
    </row>
    <row r="5781">
      <c r="A5781">
        <v>5780</v>
      </c>
      <c r="B5781">
        <f>GS11</f>
        <v>0</v>
      </c>
      <c r="C5781" t="inlineStr">
        <is>
          <t>+LS6</t>
        </is>
      </c>
      <c r="D5781" t="inlineStr">
        <is>
          <t>-273K12.3</t>
        </is>
      </c>
      <c r="E5781" t="inlineStr">
        <is>
          <t>DIL_EM-10-G</t>
        </is>
      </c>
      <c r="F5781" t="inlineStr">
        <is>
          <t>#KALK!</t>
        </is>
      </c>
      <c r="G5781" t="inlineStr">
        <is>
          <t>LASTSCHUETZ</t>
        </is>
      </c>
      <c r="H5781" t="inlineStr">
        <is>
          <t>4kW 1S</t>
        </is>
      </c>
      <c r="I5781">
        <v>384</v>
      </c>
      <c r="J5781">
        <f>GS11/273.7</f>
        <v>0</v>
      </c>
      <c r="M5781" t="inlineStr">
        <is>
          <t>-273K12.3</t>
        </is>
      </c>
    </row>
    <row r="5782">
      <c r="A5782">
        <v>5781</v>
      </c>
      <c r="B5782">
        <f>GS21</f>
        <v>0</v>
      </c>
      <c r="C5782" t="inlineStr">
        <is>
          <t>+LS6</t>
        </is>
      </c>
      <c r="D5782" t="inlineStr">
        <is>
          <t>-273K12.3</t>
        </is>
      </c>
      <c r="E5782" t="inlineStr">
        <is>
          <t>DIL_EM-10-G</t>
        </is>
      </c>
      <c r="F5782" t="inlineStr">
        <is>
          <t>#KALK!</t>
        </is>
      </c>
      <c r="G5782" t="inlineStr">
        <is>
          <t>LASTSCHUETZ</t>
        </is>
      </c>
      <c r="H5782" t="inlineStr">
        <is>
          <t>4kW 1S</t>
        </is>
      </c>
      <c r="I5782">
        <v>361</v>
      </c>
      <c r="J5782">
        <f>GS21/273.7</f>
        <v>0</v>
      </c>
      <c r="M5782" t="inlineStr">
        <is>
          <t>-273K12.3</t>
        </is>
      </c>
    </row>
    <row r="5783">
      <c r="A5783">
        <v>5782</v>
      </c>
      <c r="B5783">
        <f>GS37</f>
        <v>0</v>
      </c>
      <c r="C5783" t="inlineStr">
        <is>
          <t>+LS05</t>
        </is>
      </c>
      <c r="D5783" t="inlineStr">
        <is>
          <t>-273K2</t>
        </is>
      </c>
      <c r="E5783" t="inlineStr">
        <is>
          <t>DILM-9-01</t>
        </is>
      </c>
      <c r="F5783" t="inlineStr">
        <is>
          <t>#KALK!</t>
        </is>
      </c>
      <c r="G5783" t="inlineStr">
        <is>
          <t>LASTSCHUETZ</t>
        </is>
      </c>
      <c r="H5783" t="inlineStr">
        <is>
          <t>4kW 1Oe Federzugkl.</t>
        </is>
      </c>
      <c r="I5783">
        <v>427</v>
      </c>
      <c r="J5783">
        <f>GS37/273.7</f>
        <v>0</v>
      </c>
      <c r="M5783" t="inlineStr">
        <is>
          <t>-273K2</t>
        </is>
      </c>
    </row>
    <row r="5784">
      <c r="A5784">
        <v>5783</v>
      </c>
      <c r="B5784">
        <f>GC22</f>
        <v>0</v>
      </c>
      <c r="C5784" t="inlineStr">
        <is>
          <t>+LS3</t>
        </is>
      </c>
      <c r="D5784" t="inlineStr">
        <is>
          <t>-273K32.4</t>
        </is>
      </c>
      <c r="E5784" t="inlineStr">
        <is>
          <t>DILM-9-01</t>
        </is>
      </c>
      <c r="F5784" t="inlineStr">
        <is>
          <t>#KALK!</t>
        </is>
      </c>
      <c r="G5784" t="inlineStr">
        <is>
          <t>LASTSCHUETZ</t>
        </is>
      </c>
      <c r="H5784" t="inlineStr">
        <is>
          <t>4kW 1Oe Federzugkl.</t>
        </is>
      </c>
      <c r="I5784">
        <v>3487</v>
      </c>
      <c r="J5784">
        <f>GC22/273.6</f>
        <v>0</v>
      </c>
      <c r="M5784" t="inlineStr">
        <is>
          <t>-273K32.4</t>
        </is>
      </c>
    </row>
    <row r="5785">
      <c r="A5785">
        <v>5784</v>
      </c>
      <c r="B5785">
        <f>GS12</f>
        <v>0</v>
      </c>
      <c r="C5785" t="inlineStr">
        <is>
          <t>+LS3</t>
        </is>
      </c>
      <c r="D5785" t="inlineStr">
        <is>
          <t>-273K32.4</t>
        </is>
      </c>
      <c r="E5785" t="inlineStr">
        <is>
          <t>DILM-9-01</t>
        </is>
      </c>
      <c r="F5785" t="inlineStr">
        <is>
          <t>#KALK!</t>
        </is>
      </c>
      <c r="G5785" t="inlineStr">
        <is>
          <t>LASTSCHUETZ</t>
        </is>
      </c>
      <c r="H5785" t="inlineStr">
        <is>
          <t>4kW 1Oe Federzugkl.</t>
        </is>
      </c>
      <c r="I5785">
        <v>405</v>
      </c>
      <c r="J5785">
        <f>GS12/273.6</f>
        <v>0</v>
      </c>
      <c r="M5785" t="inlineStr">
        <is>
          <t>-273K32.4</t>
        </is>
      </c>
    </row>
    <row r="5786">
      <c r="A5786">
        <v>5785</v>
      </c>
      <c r="B5786">
        <f>GC22</f>
        <v>0</v>
      </c>
      <c r="C5786" t="inlineStr">
        <is>
          <t>+LS3</t>
        </is>
      </c>
      <c r="D5786" t="inlineStr">
        <is>
          <t>-273K32.5</t>
        </is>
      </c>
      <c r="E5786" t="inlineStr">
        <is>
          <t>DIL_EM-10-G</t>
        </is>
      </c>
      <c r="F5786" t="inlineStr">
        <is>
          <t>#KALK!</t>
        </is>
      </c>
      <c r="G5786" t="inlineStr">
        <is>
          <t>LASTSCHUETZ</t>
        </is>
      </c>
      <c r="H5786" t="inlineStr">
        <is>
          <t>4kW 1S</t>
        </is>
      </c>
      <c r="I5786">
        <v>3487</v>
      </c>
      <c r="J5786">
        <f>GC22/273.7</f>
        <v>0</v>
      </c>
      <c r="M5786" t="inlineStr">
        <is>
          <t>-273K32.5</t>
        </is>
      </c>
    </row>
    <row r="5787">
      <c r="A5787">
        <v>5786</v>
      </c>
      <c r="B5787">
        <f>GS12</f>
        <v>0</v>
      </c>
      <c r="C5787" t="inlineStr">
        <is>
          <t>+LS3</t>
        </is>
      </c>
      <c r="D5787" t="inlineStr">
        <is>
          <t>-273K32.5</t>
        </is>
      </c>
      <c r="E5787" t="inlineStr">
        <is>
          <t>DIL_EM-10-G</t>
        </is>
      </c>
      <c r="F5787" t="inlineStr">
        <is>
          <t>#KALK!</t>
        </is>
      </c>
      <c r="G5787" t="inlineStr">
        <is>
          <t>LASTSCHUETZ</t>
        </is>
      </c>
      <c r="H5787" t="inlineStr">
        <is>
          <t>4kW 1S</t>
        </is>
      </c>
      <c r="I5787">
        <v>405</v>
      </c>
      <c r="J5787">
        <f>GS12/273.7</f>
        <v>0</v>
      </c>
      <c r="M5787" t="inlineStr">
        <is>
          <t>-273K32.5</t>
        </is>
      </c>
    </row>
    <row r="5788">
      <c r="A5788">
        <v>5787</v>
      </c>
      <c r="B5788">
        <f>GC22</f>
        <v>0</v>
      </c>
      <c r="C5788" t="inlineStr">
        <is>
          <t>+LS3</t>
        </is>
      </c>
      <c r="D5788" t="inlineStr">
        <is>
          <t>-273K33.7</t>
        </is>
      </c>
      <c r="E5788" t="inlineStr">
        <is>
          <t>DILM-9-01</t>
        </is>
      </c>
      <c r="F5788" t="inlineStr">
        <is>
          <t>#KALK!</t>
        </is>
      </c>
      <c r="G5788" t="inlineStr">
        <is>
          <t>LASTSCHUETZ</t>
        </is>
      </c>
      <c r="H5788" t="inlineStr">
        <is>
          <t>4kW 1Oe Federzugkl.</t>
        </is>
      </c>
      <c r="I5788">
        <v>3487</v>
      </c>
      <c r="J5788">
        <f>GC22/273.6</f>
        <v>0</v>
      </c>
      <c r="M5788" t="inlineStr">
        <is>
          <t>-273K33.7</t>
        </is>
      </c>
    </row>
    <row r="5789">
      <c r="A5789">
        <v>5788</v>
      </c>
      <c r="B5789">
        <f>GS12</f>
        <v>0</v>
      </c>
      <c r="C5789" t="inlineStr">
        <is>
          <t>+LS3</t>
        </is>
      </c>
      <c r="D5789" t="inlineStr">
        <is>
          <t>-273K33.7</t>
        </is>
      </c>
      <c r="E5789" t="inlineStr">
        <is>
          <t>DILM-9-01</t>
        </is>
      </c>
      <c r="F5789" t="inlineStr">
        <is>
          <t>#KALK!</t>
        </is>
      </c>
      <c r="G5789" t="inlineStr">
        <is>
          <t>LASTSCHUETZ</t>
        </is>
      </c>
      <c r="H5789" t="inlineStr">
        <is>
          <t>4kW 1Oe Federzugkl.</t>
        </is>
      </c>
      <c r="I5789">
        <v>405</v>
      </c>
      <c r="J5789">
        <f>GS12/273.6</f>
        <v>0</v>
      </c>
      <c r="M5789" t="inlineStr">
        <is>
          <t>-273K33.7</t>
        </is>
      </c>
    </row>
    <row r="5790">
      <c r="A5790">
        <v>5789</v>
      </c>
      <c r="B5790">
        <f>GS31</f>
        <v>0</v>
      </c>
      <c r="C5790" t="inlineStr">
        <is>
          <t>+LS4</t>
        </is>
      </c>
      <c r="D5790" t="inlineStr">
        <is>
          <t>-273K3505.0</t>
        </is>
      </c>
      <c r="E5790" t="inlineStr">
        <is>
          <t>DIL_EM-10-G</t>
        </is>
      </c>
      <c r="F5790" t="inlineStr">
        <is>
          <t>#KALK!</t>
        </is>
      </c>
      <c r="G5790" t="inlineStr">
        <is>
          <t>LASTSCHUETZ</t>
        </is>
      </c>
      <c r="H5790" t="inlineStr">
        <is>
          <t>4kW 1S</t>
        </is>
      </c>
      <c r="I5790">
        <v>564</v>
      </c>
      <c r="J5790">
        <f>GS31/273.7</f>
        <v>0</v>
      </c>
      <c r="M5790" t="inlineStr">
        <is>
          <t>-273K3505.0</t>
        </is>
      </c>
    </row>
    <row r="5791">
      <c r="A5791">
        <v>5790</v>
      </c>
      <c r="B5791">
        <f>GS02</f>
        <v>0</v>
      </c>
      <c r="C5791" t="inlineStr">
        <is>
          <t>+LS5</t>
        </is>
      </c>
      <c r="D5791" t="inlineStr">
        <is>
          <t>-273K44.5</t>
        </is>
      </c>
      <c r="E5791" t="inlineStr">
        <is>
          <t>DIL_EM-10-G</t>
        </is>
      </c>
      <c r="F5791" t="inlineStr">
        <is>
          <t>#KALK!</t>
        </is>
      </c>
      <c r="G5791" t="inlineStr">
        <is>
          <t>LASTSCHUETZ</t>
        </is>
      </c>
      <c r="H5791" t="inlineStr">
        <is>
          <t>4kW 1S</t>
        </is>
      </c>
      <c r="I5791">
        <v>679</v>
      </c>
      <c r="J5791">
        <f>GS02/273.7</f>
        <v>0</v>
      </c>
      <c r="M5791" t="inlineStr">
        <is>
          <t>-273K44.5</t>
        </is>
      </c>
    </row>
    <row r="5792">
      <c r="A5792">
        <v>5791</v>
      </c>
      <c r="B5792">
        <f>GS01</f>
        <v>0</v>
      </c>
      <c r="C5792" t="inlineStr">
        <is>
          <t>+LS6</t>
        </is>
      </c>
      <c r="D5792" t="inlineStr">
        <is>
          <t>-273K52.0</t>
        </is>
      </c>
      <c r="E5792" t="inlineStr">
        <is>
          <t>DIL_EM-10-G</t>
        </is>
      </c>
      <c r="F5792" t="inlineStr">
        <is>
          <t>#KALK!</t>
        </is>
      </c>
      <c r="G5792" t="inlineStr">
        <is>
          <t>LASTSCHUETZ</t>
        </is>
      </c>
      <c r="H5792" t="inlineStr">
        <is>
          <t>4kW 1S</t>
        </is>
      </c>
      <c r="I5792">
        <v>436</v>
      </c>
      <c r="J5792">
        <f>GS01/273.6</f>
        <v>0</v>
      </c>
      <c r="M5792" t="inlineStr">
        <is>
          <t>-273K52.0</t>
        </is>
      </c>
    </row>
    <row r="5793">
      <c r="A5793">
        <v>5792</v>
      </c>
      <c r="B5793">
        <f>GS01</f>
        <v>0</v>
      </c>
      <c r="C5793" t="inlineStr">
        <is>
          <t>+LS6</t>
        </is>
      </c>
      <c r="D5793" t="inlineStr">
        <is>
          <t>-273K52.1</t>
        </is>
      </c>
      <c r="E5793" t="inlineStr">
        <is>
          <t>DIL_EM-10-G</t>
        </is>
      </c>
      <c r="F5793" t="inlineStr">
        <is>
          <t>#KALK!</t>
        </is>
      </c>
      <c r="G5793" t="inlineStr">
        <is>
          <t>LASTSCHUETZ</t>
        </is>
      </c>
      <c r="H5793" t="inlineStr">
        <is>
          <t>4kW 1S</t>
        </is>
      </c>
      <c r="I5793">
        <v>436</v>
      </c>
      <c r="J5793">
        <f>GS01/273.6</f>
        <v>0</v>
      </c>
      <c r="M5793" t="inlineStr">
        <is>
          <t>-273K52.1</t>
        </is>
      </c>
    </row>
    <row r="5794">
      <c r="A5794">
        <v>5793</v>
      </c>
      <c r="B5794">
        <f>GS04</f>
        <v>0</v>
      </c>
      <c r="C5794" t="inlineStr">
        <is>
          <t>+LS6</t>
        </is>
      </c>
      <c r="D5794" t="inlineStr">
        <is>
          <t>-273K54.1</t>
        </is>
      </c>
      <c r="E5794" t="inlineStr">
        <is>
          <t>DIL_EM-10-G</t>
        </is>
      </c>
      <c r="F5794" t="inlineStr">
        <is>
          <t>#KALK!</t>
        </is>
      </c>
      <c r="G5794" t="inlineStr">
        <is>
          <t>LASTSCHUETZ</t>
        </is>
      </c>
      <c r="H5794" t="inlineStr">
        <is>
          <t>4kW 1S</t>
        </is>
      </c>
      <c r="I5794">
        <v>524</v>
      </c>
      <c r="J5794">
        <f>GS04/273.6</f>
        <v>0</v>
      </c>
      <c r="M5794" t="inlineStr">
        <is>
          <t>-273K54.1</t>
        </is>
      </c>
    </row>
    <row r="5795">
      <c r="A5795">
        <v>5794</v>
      </c>
      <c r="B5795">
        <f>GS08</f>
        <v>0</v>
      </c>
      <c r="C5795" t="inlineStr">
        <is>
          <t>+LS04</t>
        </is>
      </c>
      <c r="D5795" t="inlineStr">
        <is>
          <t>-273Q225.3</t>
        </is>
      </c>
      <c r="E5795" t="inlineStr">
        <is>
          <t>DILM-9-10</t>
        </is>
      </c>
      <c r="F5795" t="inlineStr">
        <is>
          <t>#KALK!</t>
        </is>
      </c>
      <c r="G5795" t="inlineStr">
        <is>
          <t>LASTSCHUETZ</t>
        </is>
      </c>
      <c r="H5795" t="inlineStr">
        <is>
          <t>4kW 1S Federzugkl.</t>
        </is>
      </c>
      <c r="I5795">
        <v>205</v>
      </c>
      <c r="J5795">
        <f>GS08/273.6</f>
        <v>0</v>
      </c>
      <c r="K5795" t="inlineStr">
        <is>
          <t>DIL MC9</t>
        </is>
      </c>
      <c r="M5795" t="inlineStr">
        <is>
          <t>-273Q225.3</t>
        </is>
      </c>
    </row>
    <row r="5796">
      <c r="A5796">
        <v>5795</v>
      </c>
      <c r="B5796">
        <f>GS94</f>
        <v>0</v>
      </c>
      <c r="C5796" t="inlineStr">
        <is>
          <t>+LS18</t>
        </is>
      </c>
      <c r="D5796" t="inlineStr">
        <is>
          <t>-273Q484.3</t>
        </is>
      </c>
      <c r="E5796" t="inlineStr">
        <is>
          <t>DILM-9-10</t>
        </is>
      </c>
      <c r="F5796" t="inlineStr">
        <is>
          <t>#KALK!</t>
        </is>
      </c>
      <c r="G5796" t="inlineStr">
        <is>
          <t>LASTSCHUETZ</t>
        </is>
      </c>
      <c r="H5796" t="inlineStr">
        <is>
          <t>4kW 1S Federzugkl.</t>
        </is>
      </c>
      <c r="I5796">
        <v>363</v>
      </c>
      <c r="J5796">
        <f>GS94/273.5</f>
        <v>0</v>
      </c>
      <c r="M5796" t="inlineStr">
        <is>
          <t>-273Q484.3</t>
        </is>
      </c>
    </row>
    <row r="5797">
      <c r="A5797">
        <v>5796</v>
      </c>
      <c r="B5797">
        <f>GS96</f>
        <v>0</v>
      </c>
      <c r="C5797" t="inlineStr">
        <is>
          <t>+LS18</t>
        </is>
      </c>
      <c r="D5797" t="inlineStr">
        <is>
          <t>-273Q484.3</t>
        </is>
      </c>
      <c r="E5797" t="inlineStr">
        <is>
          <t>DILM-9-10</t>
        </is>
      </c>
      <c r="F5797" t="inlineStr">
        <is>
          <t>#KALK!</t>
        </is>
      </c>
      <c r="G5797" t="inlineStr">
        <is>
          <t>LASTSCHUETZ</t>
        </is>
      </c>
      <c r="H5797" t="inlineStr">
        <is>
          <t>4kW 1S Federzugkl.</t>
        </is>
      </c>
      <c r="I5797">
        <v>363</v>
      </c>
      <c r="J5797">
        <f>GS96/273.5</f>
        <v>0</v>
      </c>
      <c r="M5797" t="inlineStr">
        <is>
          <t>-273Q484.3</t>
        </is>
      </c>
    </row>
    <row r="5798">
      <c r="A5798">
        <v>5797</v>
      </c>
      <c r="B5798">
        <f>GS13</f>
        <v>0</v>
      </c>
      <c r="C5798" t="inlineStr">
        <is>
          <t>+LS5</t>
        </is>
      </c>
      <c r="D5798" t="inlineStr">
        <is>
          <t>-27483.5</t>
        </is>
      </c>
      <c r="E5798" t="inlineStr">
        <is>
          <t>DIL_EM-10-G</t>
        </is>
      </c>
      <c r="F5798" t="inlineStr">
        <is>
          <t>#KALK!</t>
        </is>
      </c>
      <c r="G5798" t="inlineStr">
        <is>
          <t>LASTSCHUETZ</t>
        </is>
      </c>
      <c r="H5798" t="inlineStr">
        <is>
          <t>4kW 1S</t>
        </is>
      </c>
      <c r="I5798">
        <v>516</v>
      </c>
      <c r="J5798">
        <f>GS13/274.7</f>
        <v>0</v>
      </c>
      <c r="M5798" t="inlineStr">
        <is>
          <t>-27483.5</t>
        </is>
      </c>
    </row>
    <row r="5799">
      <c r="A5799">
        <v>5798</v>
      </c>
      <c r="B5799">
        <f>GS25</f>
        <v>0</v>
      </c>
      <c r="C5799" t="inlineStr">
        <is>
          <t>+ES2</t>
        </is>
      </c>
      <c r="D5799" t="inlineStr">
        <is>
          <t>-274K120.0</t>
        </is>
      </c>
      <c r="E5799" t="inlineStr">
        <is>
          <t>DIL_ER-40-G</t>
        </is>
      </c>
      <c r="F5799" t="inlineStr">
        <is>
          <t>40_DIL-E</t>
        </is>
      </c>
      <c r="G5799" t="inlineStr">
        <is>
          <t>HILFSSCHUETZ</t>
        </is>
      </c>
      <c r="H5799" t="inlineStr">
        <is>
          <t>4S</t>
        </is>
      </c>
      <c r="I5799">
        <v>397</v>
      </c>
      <c r="J5799">
        <f>GS25/274.6</f>
        <v>0</v>
      </c>
      <c r="M5799" t="inlineStr">
        <is>
          <t>-274K120.0</t>
        </is>
      </c>
    </row>
    <row r="5800">
      <c r="A5800">
        <v>5799</v>
      </c>
      <c r="B5800">
        <f>GS25</f>
        <v>0</v>
      </c>
      <c r="C5800" t="inlineStr">
        <is>
          <t>+ES2</t>
        </is>
      </c>
      <c r="D5800" t="inlineStr">
        <is>
          <t>-274K120.0</t>
        </is>
      </c>
      <c r="E5800" t="inlineStr">
        <is>
          <t>40_DIL-E</t>
        </is>
      </c>
      <c r="F5800" t="inlineStr">
        <is>
          <t>40_DIL-E</t>
        </is>
      </c>
      <c r="G5800" t="inlineStr">
        <is>
          <t>HILFSKONTAKTBLOCK</t>
        </is>
      </c>
      <c r="H5800" t="inlineStr">
        <is>
          <t>4S Last+Hilfsschuetz</t>
        </is>
      </c>
      <c r="I5800">
        <v>397</v>
      </c>
      <c r="J5800">
        <f>GS25/274.6</f>
        <v>0</v>
      </c>
      <c r="M5800" t="inlineStr">
        <is>
          <t>-274K120.0</t>
        </is>
      </c>
    </row>
    <row r="5801">
      <c r="A5801">
        <v>5800</v>
      </c>
      <c r="B5801">
        <f>GS25</f>
        <v>0</v>
      </c>
      <c r="C5801" t="inlineStr">
        <is>
          <t>+ES2</t>
        </is>
      </c>
      <c r="D5801" t="inlineStr">
        <is>
          <t>-274K120.1</t>
        </is>
      </c>
      <c r="E5801" t="inlineStr">
        <is>
          <t>DIL_ER-40-G</t>
        </is>
      </c>
      <c r="F5801" t="inlineStr">
        <is>
          <t>40_DIL-E</t>
        </is>
      </c>
      <c r="G5801" t="inlineStr">
        <is>
          <t>HILFSSCHUETZ</t>
        </is>
      </c>
      <c r="H5801" t="inlineStr">
        <is>
          <t>4S</t>
        </is>
      </c>
      <c r="I5801">
        <v>397</v>
      </c>
      <c r="J5801">
        <f>GS25/274.6</f>
        <v>0</v>
      </c>
      <c r="M5801" t="inlineStr">
        <is>
          <t>-274K120.1</t>
        </is>
      </c>
    </row>
    <row r="5802">
      <c r="A5802">
        <v>5801</v>
      </c>
      <c r="B5802">
        <f>GS25</f>
        <v>0</v>
      </c>
      <c r="C5802" t="inlineStr">
        <is>
          <t>+ES2</t>
        </is>
      </c>
      <c r="D5802" t="inlineStr">
        <is>
          <t>-274K120.1</t>
        </is>
      </c>
      <c r="E5802" t="inlineStr">
        <is>
          <t>40_DIL-E</t>
        </is>
      </c>
      <c r="F5802" t="inlineStr">
        <is>
          <t>40_DIL-E</t>
        </is>
      </c>
      <c r="G5802" t="inlineStr">
        <is>
          <t>HILFSKONTAKTBLOCK</t>
        </is>
      </c>
      <c r="H5802" t="inlineStr">
        <is>
          <t>4S Last+Hilfsschuetz</t>
        </is>
      </c>
      <c r="I5802">
        <v>397</v>
      </c>
      <c r="J5802">
        <f>GS25/274.6</f>
        <v>0</v>
      </c>
      <c r="M5802" t="inlineStr">
        <is>
          <t>-274K120.1</t>
        </is>
      </c>
    </row>
    <row r="5803">
      <c r="A5803">
        <v>5802</v>
      </c>
      <c r="B5803">
        <f>GC22</f>
        <v>0</v>
      </c>
      <c r="C5803" t="inlineStr">
        <is>
          <t>+LS3</t>
        </is>
      </c>
      <c r="D5803" t="inlineStr">
        <is>
          <t>-274K33.1</t>
        </is>
      </c>
      <c r="E5803" t="inlineStr">
        <is>
          <t>DIL_EM-10-G</t>
        </is>
      </c>
      <c r="F5803" t="inlineStr">
        <is>
          <t>#KALK!</t>
        </is>
      </c>
      <c r="G5803" t="inlineStr">
        <is>
          <t>LASTSCHUETZ</t>
        </is>
      </c>
      <c r="H5803" t="inlineStr">
        <is>
          <t>4kW 1S</t>
        </is>
      </c>
      <c r="I5803">
        <v>3488</v>
      </c>
      <c r="J5803">
        <f>GC22/274.7</f>
        <v>0</v>
      </c>
      <c r="M5803" t="inlineStr">
        <is>
          <t>-274K33.1</t>
        </is>
      </c>
    </row>
    <row r="5804">
      <c r="A5804">
        <v>5803</v>
      </c>
      <c r="B5804">
        <f>GS12</f>
        <v>0</v>
      </c>
      <c r="C5804" t="inlineStr">
        <is>
          <t>+LS3</t>
        </is>
      </c>
      <c r="D5804" t="inlineStr">
        <is>
          <t>-274K33.1</t>
        </is>
      </c>
      <c r="E5804" t="inlineStr">
        <is>
          <t>DIL_EM-10-G</t>
        </is>
      </c>
      <c r="F5804" t="inlineStr">
        <is>
          <t>#KALK!</t>
        </is>
      </c>
      <c r="G5804" t="inlineStr">
        <is>
          <t>LASTSCHUETZ</t>
        </is>
      </c>
      <c r="H5804" t="inlineStr">
        <is>
          <t>4kW 1S</t>
        </is>
      </c>
      <c r="I5804">
        <v>406</v>
      </c>
      <c r="J5804">
        <f>GS12/274.7</f>
        <v>0</v>
      </c>
      <c r="M5804" t="inlineStr">
        <is>
          <t>-274K33.1</t>
        </is>
      </c>
    </row>
    <row r="5805">
      <c r="A5805">
        <v>5804</v>
      </c>
      <c r="B5805">
        <f>GS31</f>
        <v>0</v>
      </c>
      <c r="C5805" t="inlineStr">
        <is>
          <t>+LS4</t>
        </is>
      </c>
      <c r="D5805" t="inlineStr">
        <is>
          <t>-274K3505.1</t>
        </is>
      </c>
      <c r="E5805" t="inlineStr">
        <is>
          <t>DIL_EM-10-G</t>
        </is>
      </c>
      <c r="F5805" t="inlineStr">
        <is>
          <t>#KALK!</t>
        </is>
      </c>
      <c r="G5805" t="inlineStr">
        <is>
          <t>LASTSCHUETZ</t>
        </is>
      </c>
      <c r="H5805" t="inlineStr">
        <is>
          <t>4kW 1S</t>
        </is>
      </c>
      <c r="I5805">
        <v>565</v>
      </c>
      <c r="J5805">
        <f>GS31/274.6</f>
        <v>0</v>
      </c>
      <c r="M5805" t="inlineStr">
        <is>
          <t>-274K3505.1</t>
        </is>
      </c>
    </row>
    <row r="5806">
      <c r="A5806">
        <v>5805</v>
      </c>
      <c r="B5806">
        <f>GS02</f>
        <v>0</v>
      </c>
      <c r="C5806" t="inlineStr">
        <is>
          <t>+LS5</t>
        </is>
      </c>
      <c r="D5806" t="inlineStr">
        <is>
          <t>-274K45.3</t>
        </is>
      </c>
      <c r="E5806" t="inlineStr">
        <is>
          <t>DIL_EM-10-G</t>
        </is>
      </c>
      <c r="F5806" t="inlineStr">
        <is>
          <t>#KALK!</t>
        </is>
      </c>
      <c r="G5806" t="inlineStr">
        <is>
          <t>LASTSCHUETZ</t>
        </is>
      </c>
      <c r="H5806" t="inlineStr">
        <is>
          <t>4kW 1S</t>
        </is>
      </c>
      <c r="I5806">
        <v>680</v>
      </c>
      <c r="J5806">
        <f>GS02/274.7</f>
        <v>0</v>
      </c>
      <c r="M5806" t="inlineStr">
        <is>
          <t>-274K45.3</t>
        </is>
      </c>
    </row>
    <row r="5807">
      <c r="A5807">
        <v>5806</v>
      </c>
      <c r="B5807">
        <f>GS01</f>
        <v>0</v>
      </c>
      <c r="C5807" t="inlineStr">
        <is>
          <t>+LS6</t>
        </is>
      </c>
      <c r="D5807" t="inlineStr">
        <is>
          <t>-274K52.2</t>
        </is>
      </c>
      <c r="E5807" t="inlineStr">
        <is>
          <t>DIL_EM-10-G</t>
        </is>
      </c>
      <c r="F5807" t="inlineStr">
        <is>
          <t>#KALK!</t>
        </is>
      </c>
      <c r="G5807" t="inlineStr">
        <is>
          <t>LASTSCHUETZ</t>
        </is>
      </c>
      <c r="H5807" t="inlineStr">
        <is>
          <t>4kW 1S</t>
        </is>
      </c>
      <c r="I5807">
        <v>437</v>
      </c>
      <c r="J5807">
        <f>GS01/274.6</f>
        <v>0</v>
      </c>
      <c r="M5807" t="inlineStr">
        <is>
          <t>-274K52.2</t>
        </is>
      </c>
    </row>
    <row r="5808">
      <c r="A5808">
        <v>5807</v>
      </c>
      <c r="B5808">
        <f>GS01</f>
        <v>0</v>
      </c>
      <c r="C5808" t="inlineStr">
        <is>
          <t>+LS6</t>
        </is>
      </c>
      <c r="D5808" t="inlineStr">
        <is>
          <t>-274K52.3</t>
        </is>
      </c>
      <c r="E5808" t="inlineStr">
        <is>
          <t>DIL_EM-10-G</t>
        </is>
      </c>
      <c r="F5808" t="inlineStr">
        <is>
          <t>#KALK!</t>
        </is>
      </c>
      <c r="G5808" t="inlineStr">
        <is>
          <t>LASTSCHUETZ</t>
        </is>
      </c>
      <c r="H5808" t="inlineStr">
        <is>
          <t>4kW 1S</t>
        </is>
      </c>
      <c r="I5808">
        <v>437</v>
      </c>
      <c r="J5808">
        <f>GS01/274.6</f>
        <v>0</v>
      </c>
      <c r="M5808" t="inlineStr">
        <is>
          <t>-274K52.3</t>
        </is>
      </c>
    </row>
    <row r="5809">
      <c r="A5809">
        <v>5808</v>
      </c>
      <c r="B5809">
        <f>GS04</f>
        <v>0</v>
      </c>
      <c r="C5809" t="inlineStr">
        <is>
          <t>+LS6</t>
        </is>
      </c>
      <c r="D5809" t="inlineStr">
        <is>
          <t>-274K54.5</t>
        </is>
      </c>
      <c r="E5809" t="inlineStr">
        <is>
          <t>DIL_EM-10-G</t>
        </is>
      </c>
      <c r="F5809" t="inlineStr">
        <is>
          <t>#KALK!</t>
        </is>
      </c>
      <c r="G5809" t="inlineStr">
        <is>
          <t>LASTSCHUETZ</t>
        </is>
      </c>
      <c r="H5809" t="inlineStr">
        <is>
          <t>4kW 1S</t>
        </is>
      </c>
      <c r="I5809">
        <v>525</v>
      </c>
      <c r="J5809">
        <f>GS04/274.7</f>
        <v>0</v>
      </c>
      <c r="M5809" t="inlineStr">
        <is>
          <t>-274K54.5</t>
        </is>
      </c>
    </row>
    <row r="5810">
      <c r="A5810">
        <v>5809</v>
      </c>
      <c r="B5810">
        <f>GS32</f>
        <v>0</v>
      </c>
      <c r="C5810" t="inlineStr">
        <is>
          <t>+ES2</t>
        </is>
      </c>
      <c r="D5810" t="inlineStr">
        <is>
          <t>-274K60.0</t>
        </is>
      </c>
      <c r="E5810" t="inlineStr">
        <is>
          <t>40_DIL-E</t>
        </is>
      </c>
      <c r="F5810" t="inlineStr">
        <is>
          <t>40_DIL-E</t>
        </is>
      </c>
      <c r="G5810" t="inlineStr">
        <is>
          <t>HILFSKONTAKTBLOCK</t>
        </is>
      </c>
      <c r="H5810" t="inlineStr">
        <is>
          <t>4S Last+Hilfsschuetz</t>
        </is>
      </c>
      <c r="I5810">
        <v>1363</v>
      </c>
      <c r="J5810">
        <f>GS32/274.6</f>
        <v>0</v>
      </c>
      <c r="M5810" t="inlineStr">
        <is>
          <t>-274K60.0</t>
        </is>
      </c>
    </row>
    <row r="5811">
      <c r="A5811">
        <v>5810</v>
      </c>
      <c r="B5811">
        <f>GS32</f>
        <v>0</v>
      </c>
      <c r="C5811" t="inlineStr">
        <is>
          <t>+ES2</t>
        </is>
      </c>
      <c r="D5811" t="inlineStr">
        <is>
          <t>-274K60.0</t>
        </is>
      </c>
      <c r="E5811" t="inlineStr">
        <is>
          <t>DIL_ER-40-G</t>
        </is>
      </c>
      <c r="F5811" t="inlineStr">
        <is>
          <t>40_DIL-E</t>
        </is>
      </c>
      <c r="G5811" t="inlineStr">
        <is>
          <t>HILFSSCHUETZ</t>
        </is>
      </c>
      <c r="H5811" t="inlineStr">
        <is>
          <t>4S</t>
        </is>
      </c>
      <c r="I5811">
        <v>1363</v>
      </c>
      <c r="J5811">
        <f>GS32/274.6</f>
        <v>0</v>
      </c>
      <c r="M5811" t="inlineStr">
        <is>
          <t>-274K60.0</t>
        </is>
      </c>
    </row>
    <row r="5812">
      <c r="A5812">
        <v>5811</v>
      </c>
      <c r="B5812">
        <f>GS32</f>
        <v>0</v>
      </c>
      <c r="C5812" t="inlineStr">
        <is>
          <t>+ES2</t>
        </is>
      </c>
      <c r="D5812" t="inlineStr">
        <is>
          <t>-274K60.1</t>
        </is>
      </c>
      <c r="E5812" t="inlineStr">
        <is>
          <t>40_DIL-E</t>
        </is>
      </c>
      <c r="F5812" t="inlineStr">
        <is>
          <t>40_DIL-E</t>
        </is>
      </c>
      <c r="G5812" t="inlineStr">
        <is>
          <t>HILFSKONTAKTBLOCK</t>
        </is>
      </c>
      <c r="H5812" t="inlineStr">
        <is>
          <t>4S Last+Hilfsschuetz</t>
        </is>
      </c>
      <c r="I5812">
        <v>1363</v>
      </c>
      <c r="J5812">
        <f>GS32/274.7</f>
        <v>0</v>
      </c>
      <c r="M5812" t="inlineStr">
        <is>
          <t>-274K60.1</t>
        </is>
      </c>
    </row>
    <row r="5813">
      <c r="A5813">
        <v>5812</v>
      </c>
      <c r="B5813">
        <f>GS32</f>
        <v>0</v>
      </c>
      <c r="C5813" t="inlineStr">
        <is>
          <t>+ES2</t>
        </is>
      </c>
      <c r="D5813" t="inlineStr">
        <is>
          <t>-274K60.1</t>
        </is>
      </c>
      <c r="E5813" t="inlineStr">
        <is>
          <t>DIL_ER-40-G</t>
        </is>
      </c>
      <c r="F5813" t="inlineStr">
        <is>
          <t>40_DIL-E</t>
        </is>
      </c>
      <c r="G5813" t="inlineStr">
        <is>
          <t>HILFSSCHUETZ</t>
        </is>
      </c>
      <c r="H5813" t="inlineStr">
        <is>
          <t>4S</t>
        </is>
      </c>
      <c r="I5813">
        <v>1363</v>
      </c>
      <c r="J5813">
        <f>GS32/274.7</f>
        <v>0</v>
      </c>
      <c r="M5813" t="inlineStr">
        <is>
          <t>-274K60.1</t>
        </is>
      </c>
    </row>
    <row r="5814">
      <c r="A5814">
        <v>5813</v>
      </c>
      <c r="B5814">
        <f>GS23</f>
        <v>0</v>
      </c>
      <c r="C5814" t="inlineStr">
        <is>
          <t>+LS5</t>
        </is>
      </c>
      <c r="D5814" t="inlineStr">
        <is>
          <t>-274K83.5</t>
        </is>
      </c>
      <c r="E5814" t="inlineStr">
        <is>
          <t>DIL_EM-10-G</t>
        </is>
      </c>
      <c r="F5814" t="inlineStr">
        <is>
          <t>#KALK!</t>
        </is>
      </c>
      <c r="G5814" t="inlineStr">
        <is>
          <t>LASTSCHUETZ</t>
        </is>
      </c>
      <c r="H5814" t="inlineStr">
        <is>
          <t>4kW 1S</t>
        </is>
      </c>
      <c r="I5814">
        <v>575</v>
      </c>
      <c r="J5814">
        <f>GS23/274.7</f>
        <v>0</v>
      </c>
      <c r="M5814" t="inlineStr">
        <is>
          <t>-274K83.5</t>
        </is>
      </c>
    </row>
    <row r="5815">
      <c r="A5815">
        <v>5814</v>
      </c>
      <c r="B5815">
        <f>GS51</f>
        <v>0</v>
      </c>
      <c r="C5815" t="inlineStr">
        <is>
          <t>+LS03</t>
        </is>
      </c>
      <c r="D5815" t="inlineStr">
        <is>
          <t>-274Q133.1</t>
        </is>
      </c>
      <c r="E5815" t="inlineStr">
        <is>
          <t>DILM-9-10</t>
        </is>
      </c>
      <c r="F5815" t="inlineStr">
        <is>
          <t>#KALK!</t>
        </is>
      </c>
      <c r="G5815" t="inlineStr">
        <is>
          <t>LASTSCHUETZ</t>
        </is>
      </c>
      <c r="H5815" t="inlineStr">
        <is>
          <t>4kW 1S Federzugkl.</t>
        </is>
      </c>
      <c r="I5815">
        <v>459</v>
      </c>
      <c r="J5815">
        <f>GS51/274.6</f>
        <v>0</v>
      </c>
      <c r="K5815" t="inlineStr">
        <is>
          <t>DIL MC9</t>
        </is>
      </c>
      <c r="M5815" t="inlineStr">
        <is>
          <t>-274Q133.1</t>
        </is>
      </c>
    </row>
    <row r="5816">
      <c r="A5816">
        <v>5815</v>
      </c>
      <c r="B5816">
        <f>GS95</f>
        <v>0</v>
      </c>
      <c r="C5816" t="inlineStr">
        <is>
          <t>+LS18</t>
        </is>
      </c>
      <c r="D5816" t="inlineStr">
        <is>
          <t>-274Q486.5</t>
        </is>
      </c>
      <c r="E5816" t="inlineStr">
        <is>
          <t>DILM-9-10</t>
        </is>
      </c>
      <c r="F5816" t="inlineStr">
        <is>
          <t>#KALK!</t>
        </is>
      </c>
      <c r="G5816" t="inlineStr">
        <is>
          <t>LASTSCHUETZ</t>
        </is>
      </c>
      <c r="H5816" t="inlineStr">
        <is>
          <t>4kW 1S Federzugkl.</t>
        </is>
      </c>
      <c r="I5816">
        <v>800</v>
      </c>
      <c r="J5816">
        <f>GS95/274.5</f>
        <v>0</v>
      </c>
      <c r="M5816" t="inlineStr">
        <is>
          <t>-274Q486.5</t>
        </is>
      </c>
    </row>
    <row r="5817">
      <c r="A5817">
        <v>5816</v>
      </c>
      <c r="B5817">
        <f>GS97</f>
        <v>0</v>
      </c>
      <c r="C5817" t="inlineStr">
        <is>
          <t>+LS18</t>
        </is>
      </c>
      <c r="D5817" t="inlineStr">
        <is>
          <t>-274Q486.5</t>
        </is>
      </c>
      <c r="E5817" t="inlineStr">
        <is>
          <t>DILM-9-10</t>
        </is>
      </c>
      <c r="F5817" t="inlineStr">
        <is>
          <t>#KALK!</t>
        </is>
      </c>
      <c r="G5817" t="inlineStr">
        <is>
          <t>LASTSCHUETZ</t>
        </is>
      </c>
      <c r="H5817" t="inlineStr">
        <is>
          <t>4kW 1S Federzugkl.</t>
        </is>
      </c>
      <c r="I5817">
        <v>800</v>
      </c>
      <c r="J5817">
        <f>GS97/274.5</f>
        <v>0</v>
      </c>
      <c r="M5817" t="inlineStr">
        <is>
          <t>-274Q486.5</t>
        </is>
      </c>
    </row>
    <row r="5818">
      <c r="A5818">
        <v>5817</v>
      </c>
      <c r="B5818">
        <f>GS13</f>
        <v>0</v>
      </c>
      <c r="C5818" t="inlineStr">
        <is>
          <t>+LS5</t>
        </is>
      </c>
      <c r="D5818" t="inlineStr">
        <is>
          <t>-27584.3</t>
        </is>
      </c>
      <c r="E5818" t="inlineStr">
        <is>
          <t>DIL_EM-10-G</t>
        </is>
      </c>
      <c r="F5818" t="inlineStr">
        <is>
          <t>#KALK!</t>
        </is>
      </c>
      <c r="G5818" t="inlineStr">
        <is>
          <t>LASTSCHUETZ</t>
        </is>
      </c>
      <c r="H5818" t="inlineStr">
        <is>
          <t>4kW 1S</t>
        </is>
      </c>
      <c r="I5818">
        <v>517</v>
      </c>
      <c r="J5818">
        <f>GS13/275.7</f>
        <v>0</v>
      </c>
      <c r="M5818" t="inlineStr">
        <is>
          <t>-27584.3</t>
        </is>
      </c>
    </row>
    <row r="5819">
      <c r="A5819">
        <v>5818</v>
      </c>
      <c r="B5819">
        <f>GC03</f>
        <v>0</v>
      </c>
      <c r="C5819" t="inlineStr">
        <is>
          <t>+LS7</t>
        </is>
      </c>
      <c r="D5819" t="inlineStr">
        <is>
          <t>-275K1</t>
        </is>
      </c>
      <c r="E5819" t="inlineStr">
        <is>
          <t>22_DIL-M</t>
        </is>
      </c>
      <c r="F5819" t="inlineStr">
        <is>
          <t>22_DIL-M</t>
        </is>
      </c>
      <c r="G5819" t="inlineStr">
        <is>
          <t>HILFSKONTAKTBLOCK</t>
        </is>
      </c>
      <c r="H5819" t="inlineStr">
        <is>
          <t>2S 2OE Lastschuetz DIL M</t>
        </is>
      </c>
      <c r="I5819">
        <v>3372</v>
      </c>
      <c r="J5819">
        <f>GC03/275.2</f>
        <v>0</v>
      </c>
      <c r="K5819" t="inlineStr">
        <is>
          <t>DIL0AM</t>
        </is>
      </c>
      <c r="M5819" t="inlineStr">
        <is>
          <t>-275K1</t>
        </is>
      </c>
    </row>
    <row r="5820">
      <c r="A5820">
        <v>5819</v>
      </c>
      <c r="B5820">
        <f>GC03</f>
        <v>0</v>
      </c>
      <c r="C5820" t="inlineStr">
        <is>
          <t>+LS7</t>
        </is>
      </c>
      <c r="D5820" t="inlineStr">
        <is>
          <t>-275K1</t>
        </is>
      </c>
      <c r="E5820" t="inlineStr">
        <is>
          <t>DIL_0AM</t>
        </is>
      </c>
      <c r="F5820" t="inlineStr">
        <is>
          <t>22_DIL-M</t>
        </is>
      </c>
      <c r="G5820" t="inlineStr">
        <is>
          <t>LASTSCHUETZ</t>
        </is>
      </c>
      <c r="H5820" t="inlineStr">
        <is>
          <t>11 kW</t>
        </is>
      </c>
      <c r="I5820">
        <v>3372</v>
      </c>
      <c r="J5820">
        <f>GC03/275.2</f>
        <v>0</v>
      </c>
      <c r="K5820" t="inlineStr">
        <is>
          <t>DIL0AM</t>
        </is>
      </c>
      <c r="M5820" t="inlineStr">
        <is>
          <t>-275K1</t>
        </is>
      </c>
    </row>
    <row r="5821">
      <c r="A5821">
        <v>5820</v>
      </c>
      <c r="B5821">
        <f>GS33</f>
        <v>0</v>
      </c>
      <c r="C5821" t="inlineStr">
        <is>
          <t>+LS6</t>
        </is>
      </c>
      <c r="D5821" t="inlineStr">
        <is>
          <t>-275K1</t>
        </is>
      </c>
      <c r="E5821" t="inlineStr">
        <is>
          <t>DIL_0AM</t>
        </is>
      </c>
      <c r="F5821" t="inlineStr">
        <is>
          <t>22_DIL-M</t>
        </is>
      </c>
      <c r="G5821" t="inlineStr">
        <is>
          <t>LASTSCHUETZ</t>
        </is>
      </c>
      <c r="H5821" t="inlineStr">
        <is>
          <t>11 kW</t>
        </is>
      </c>
      <c r="I5821">
        <v>722</v>
      </c>
      <c r="J5821">
        <f>GS33/275.2</f>
        <v>0</v>
      </c>
      <c r="K5821" t="inlineStr">
        <is>
          <t>DIL0AM</t>
        </is>
      </c>
      <c r="M5821" t="inlineStr">
        <is>
          <t>-275K1</t>
        </is>
      </c>
    </row>
    <row r="5822">
      <c r="A5822">
        <v>5821</v>
      </c>
      <c r="B5822">
        <f>GS33</f>
        <v>0</v>
      </c>
      <c r="C5822" t="inlineStr">
        <is>
          <t>+LS6</t>
        </is>
      </c>
      <c r="D5822" t="inlineStr">
        <is>
          <t>-275K1</t>
        </is>
      </c>
      <c r="E5822" t="inlineStr">
        <is>
          <t>22_DIL-M</t>
        </is>
      </c>
      <c r="F5822" t="inlineStr">
        <is>
          <t>22_DIL-M</t>
        </is>
      </c>
      <c r="G5822" t="inlineStr">
        <is>
          <t>HILFSKONTAKTBLOCK</t>
        </is>
      </c>
      <c r="H5822" t="inlineStr">
        <is>
          <t>2S 2OE Lastschuetz DIL M</t>
        </is>
      </c>
      <c r="I5822">
        <v>722</v>
      </c>
      <c r="J5822">
        <f>GS33/275.2</f>
        <v>0</v>
      </c>
      <c r="K5822" t="inlineStr">
        <is>
          <t>DIL0AM</t>
        </is>
      </c>
      <c r="M5822" t="inlineStr">
        <is>
          <t>-275K1</t>
        </is>
      </c>
    </row>
    <row r="5823">
      <c r="A5823">
        <v>5822</v>
      </c>
      <c r="B5823">
        <f>GS34</f>
        <v>0</v>
      </c>
      <c r="C5823" t="inlineStr">
        <is>
          <t>+LS6</t>
        </is>
      </c>
      <c r="D5823" t="inlineStr">
        <is>
          <t>-275K1</t>
        </is>
      </c>
      <c r="E5823" t="inlineStr">
        <is>
          <t>22_DIL-M</t>
        </is>
      </c>
      <c r="F5823" t="inlineStr">
        <is>
          <t>22_DIL-M</t>
        </is>
      </c>
      <c r="G5823" t="inlineStr">
        <is>
          <t>HILFSKONTAKTBLOCK</t>
        </is>
      </c>
      <c r="H5823" t="inlineStr">
        <is>
          <t>2S 2OE Lastschuetz DIL M</t>
        </is>
      </c>
      <c r="I5823">
        <v>400</v>
      </c>
      <c r="J5823">
        <f>GS34/275.2</f>
        <v>0</v>
      </c>
      <c r="K5823" t="inlineStr">
        <is>
          <t>DIL2AM</t>
        </is>
      </c>
      <c r="M5823" t="inlineStr">
        <is>
          <t>-275K1</t>
        </is>
      </c>
    </row>
    <row r="5824">
      <c r="A5824">
        <v>5823</v>
      </c>
      <c r="B5824">
        <f>GS34</f>
        <v>0</v>
      </c>
      <c r="C5824" t="inlineStr">
        <is>
          <t>+LS6</t>
        </is>
      </c>
      <c r="D5824" t="inlineStr">
        <is>
          <t>-275K1</t>
        </is>
      </c>
      <c r="E5824" t="inlineStr">
        <is>
          <t>DIL_2AM</t>
        </is>
      </c>
      <c r="F5824" t="inlineStr">
        <is>
          <t>22_DIL-M</t>
        </is>
      </c>
      <c r="G5824" t="inlineStr">
        <is>
          <t>LASTSCHUETZ</t>
        </is>
      </c>
      <c r="H5824" t="inlineStr">
        <is>
          <t>30 kW</t>
        </is>
      </c>
      <c r="I5824">
        <v>400</v>
      </c>
      <c r="J5824">
        <f>GS34/275.2</f>
        <v>0</v>
      </c>
      <c r="K5824" t="inlineStr">
        <is>
          <t>DIL2AM</t>
        </is>
      </c>
      <c r="M5824" t="inlineStr">
        <is>
          <t>-275K1</t>
        </is>
      </c>
    </row>
    <row r="5825">
      <c r="A5825">
        <v>5824</v>
      </c>
      <c r="B5825">
        <f>GS11</f>
        <v>0</v>
      </c>
      <c r="C5825" t="inlineStr">
        <is>
          <t>+LS6</t>
        </is>
      </c>
      <c r="D5825" t="inlineStr">
        <is>
          <t>-275K13.1</t>
        </is>
      </c>
      <c r="E5825" t="inlineStr">
        <is>
          <t>DIL_EM-10-G</t>
        </is>
      </c>
      <c r="F5825" t="inlineStr">
        <is>
          <t>#KALK!</t>
        </is>
      </c>
      <c r="G5825" t="inlineStr">
        <is>
          <t>LASTSCHUETZ</t>
        </is>
      </c>
      <c r="H5825" t="inlineStr">
        <is>
          <t>4kW 1S</t>
        </is>
      </c>
      <c r="I5825">
        <v>386</v>
      </c>
      <c r="J5825">
        <f>GS11/275.7</f>
        <v>0</v>
      </c>
      <c r="M5825" t="inlineStr">
        <is>
          <t>-275K13.1</t>
        </is>
      </c>
    </row>
    <row r="5826">
      <c r="A5826">
        <v>5825</v>
      </c>
      <c r="B5826">
        <f>GS21</f>
        <v>0</v>
      </c>
      <c r="C5826" t="inlineStr">
        <is>
          <t>+LS6</t>
        </is>
      </c>
      <c r="D5826" t="inlineStr">
        <is>
          <t>-275K13.1</t>
        </is>
      </c>
      <c r="E5826" t="inlineStr">
        <is>
          <t>DIL_EM-10-G</t>
        </is>
      </c>
      <c r="F5826" t="inlineStr">
        <is>
          <t>#KALK!</t>
        </is>
      </c>
      <c r="G5826" t="inlineStr">
        <is>
          <t>LASTSCHUETZ</t>
        </is>
      </c>
      <c r="H5826" t="inlineStr">
        <is>
          <t>4kW 1S</t>
        </is>
      </c>
      <c r="I5826">
        <v>363</v>
      </c>
      <c r="J5826">
        <f>GS21/275.7</f>
        <v>0</v>
      </c>
      <c r="M5826" t="inlineStr">
        <is>
          <t>-275K13.1</t>
        </is>
      </c>
    </row>
    <row r="5827">
      <c r="A5827">
        <v>5826</v>
      </c>
      <c r="B5827">
        <f>GS91</f>
        <v>0</v>
      </c>
      <c r="C5827" t="inlineStr">
        <is>
          <t>+LS04</t>
        </is>
      </c>
      <c r="D5827" t="inlineStr">
        <is>
          <t>-275K170.0</t>
        </is>
      </c>
      <c r="E5827" t="inlineStr">
        <is>
          <t>DILA-40</t>
        </is>
      </c>
      <c r="F5827" t="inlineStr">
        <is>
          <t>#KALK!</t>
        </is>
      </c>
      <c r="G5827" t="inlineStr">
        <is>
          <t>HILFSSCHUETZ</t>
        </is>
      </c>
      <c r="H5827" t="inlineStr">
        <is>
          <t>4S Federzugkl.</t>
        </is>
      </c>
      <c r="I5827">
        <v>423</v>
      </c>
      <c r="J5827">
        <f>GS91/275.7</f>
        <v>0</v>
      </c>
      <c r="M5827" t="inlineStr">
        <is>
          <t>-275K170.0</t>
        </is>
      </c>
    </row>
    <row r="5828">
      <c r="A5828">
        <v>5827</v>
      </c>
      <c r="B5828">
        <f>GS93</f>
        <v>0</v>
      </c>
      <c r="C5828" t="inlineStr">
        <is>
          <t>+LS04</t>
        </is>
      </c>
      <c r="D5828" t="inlineStr">
        <is>
          <t>-275K183.0</t>
        </is>
      </c>
      <c r="E5828" t="inlineStr">
        <is>
          <t>DILA-40</t>
        </is>
      </c>
      <c r="F5828" t="inlineStr">
        <is>
          <t>#KALK!</t>
        </is>
      </c>
      <c r="G5828" t="inlineStr">
        <is>
          <t>HILFSSCHUETZ</t>
        </is>
      </c>
      <c r="H5828" t="inlineStr">
        <is>
          <t>4S Federzugkl.</t>
        </is>
      </c>
      <c r="I5828">
        <v>829</v>
      </c>
      <c r="J5828">
        <f>GS93/275.7</f>
        <v>0</v>
      </c>
      <c r="M5828" t="inlineStr">
        <is>
          <t>-275K183.0</t>
        </is>
      </c>
    </row>
    <row r="5829">
      <c r="A5829">
        <v>5828</v>
      </c>
      <c r="B5829">
        <f>GS92</f>
        <v>0</v>
      </c>
      <c r="C5829" t="inlineStr">
        <is>
          <t>+LS04</t>
        </is>
      </c>
      <c r="D5829" t="inlineStr">
        <is>
          <t>-275K184.0</t>
        </is>
      </c>
      <c r="E5829" t="inlineStr">
        <is>
          <t>DILA-40</t>
        </is>
      </c>
      <c r="F5829" t="inlineStr">
        <is>
          <t>#KALK!</t>
        </is>
      </c>
      <c r="G5829" t="inlineStr">
        <is>
          <t>HILFSSCHUETZ</t>
        </is>
      </c>
      <c r="H5829" t="inlineStr">
        <is>
          <t>4S Federzugkl.</t>
        </is>
      </c>
      <c r="I5829">
        <v>422</v>
      </c>
      <c r="J5829">
        <f>GS92/275.7</f>
        <v>0</v>
      </c>
      <c r="M5829" t="inlineStr">
        <is>
          <t>-275K184.0</t>
        </is>
      </c>
    </row>
    <row r="5830">
      <c r="A5830">
        <v>5829</v>
      </c>
      <c r="B5830">
        <f>GS34</f>
        <v>0</v>
      </c>
      <c r="C5830" t="inlineStr">
        <is>
          <t>+LS6</t>
        </is>
      </c>
      <c r="D5830" t="inlineStr">
        <is>
          <t>-275K2</t>
        </is>
      </c>
      <c r="E5830" t="inlineStr">
        <is>
          <t>22_DIL-M</t>
        </is>
      </c>
      <c r="F5830" t="inlineStr">
        <is>
          <t>22_DIL-M</t>
        </is>
      </c>
      <c r="G5830" t="inlineStr">
        <is>
          <t>HILFSKONTAKTBLOCK</t>
        </is>
      </c>
      <c r="H5830" t="inlineStr">
        <is>
          <t>2S 2OE Lastschuetz DIL M</t>
        </is>
      </c>
      <c r="I5830">
        <v>400</v>
      </c>
      <c r="J5830">
        <f>GS34/275.3</f>
        <v>0</v>
      </c>
      <c r="K5830" t="inlineStr">
        <is>
          <t>DIL0AM</t>
        </is>
      </c>
      <c r="M5830" t="inlineStr">
        <is>
          <t>-275K2</t>
        </is>
      </c>
    </row>
    <row r="5831">
      <c r="A5831">
        <v>5830</v>
      </c>
      <c r="B5831">
        <f>GS34</f>
        <v>0</v>
      </c>
      <c r="C5831" t="inlineStr">
        <is>
          <t>+LS6</t>
        </is>
      </c>
      <c r="D5831" t="inlineStr">
        <is>
          <t>-275K2</t>
        </is>
      </c>
      <c r="E5831" t="inlineStr">
        <is>
          <t>DIL_0AM</t>
        </is>
      </c>
      <c r="F5831" t="inlineStr">
        <is>
          <t>22_DIL-M</t>
        </is>
      </c>
      <c r="G5831" t="inlineStr">
        <is>
          <t>LASTSCHUETZ</t>
        </is>
      </c>
      <c r="H5831" t="inlineStr">
        <is>
          <t>11 kW</t>
        </is>
      </c>
      <c r="I5831">
        <v>400</v>
      </c>
      <c r="J5831">
        <f>GS34/275.3</f>
        <v>0</v>
      </c>
      <c r="K5831" t="inlineStr">
        <is>
          <t>DIL0AM</t>
        </is>
      </c>
      <c r="M5831" t="inlineStr">
        <is>
          <t>-275K2</t>
        </is>
      </c>
    </row>
    <row r="5832">
      <c r="A5832">
        <v>5831</v>
      </c>
      <c r="B5832">
        <f>GS31</f>
        <v>0</v>
      </c>
      <c r="C5832" t="inlineStr">
        <is>
          <t>+LS4</t>
        </is>
      </c>
      <c r="D5832" t="inlineStr">
        <is>
          <t>-275K3505.5</t>
        </is>
      </c>
      <c r="E5832" t="inlineStr">
        <is>
          <t>DIL_EM-10-G</t>
        </is>
      </c>
      <c r="F5832" t="inlineStr">
        <is>
          <t>#KALK!</t>
        </is>
      </c>
      <c r="G5832" t="inlineStr">
        <is>
          <t>LASTSCHUETZ</t>
        </is>
      </c>
      <c r="H5832" t="inlineStr">
        <is>
          <t>4kW 1S</t>
        </is>
      </c>
      <c r="I5832">
        <v>566</v>
      </c>
      <c r="J5832">
        <f>GS31/275.7</f>
        <v>0</v>
      </c>
      <c r="M5832" t="inlineStr">
        <is>
          <t>-275K3505.5</t>
        </is>
      </c>
    </row>
    <row r="5833">
      <c r="A5833">
        <v>5832</v>
      </c>
      <c r="B5833">
        <f>GS35</f>
        <v>0</v>
      </c>
      <c r="C5833" t="inlineStr">
        <is>
          <t>+LS06</t>
        </is>
      </c>
      <c r="D5833" t="inlineStr">
        <is>
          <t>-275K430.4</t>
        </is>
      </c>
      <c r="E5833" t="inlineStr">
        <is>
          <t>DILA-40</t>
        </is>
      </c>
      <c r="F5833" t="inlineStr">
        <is>
          <t>#KALK!</t>
        </is>
      </c>
      <c r="G5833" t="inlineStr">
        <is>
          <t>HILFSSCHUETZ</t>
        </is>
      </c>
      <c r="H5833" t="inlineStr">
        <is>
          <t>4S Federzugkl.</t>
        </is>
      </c>
      <c r="I5833">
        <v>434</v>
      </c>
      <c r="J5833">
        <f>GS35/275.7</f>
        <v>0</v>
      </c>
      <c r="M5833" t="inlineStr">
        <is>
          <t>-275K430.4</t>
        </is>
      </c>
    </row>
    <row r="5834">
      <c r="A5834">
        <v>5833</v>
      </c>
      <c r="B5834">
        <f>GS46</f>
        <v>0</v>
      </c>
      <c r="C5834" t="inlineStr">
        <is>
          <t>+LS04</t>
        </is>
      </c>
      <c r="D5834" t="inlineStr">
        <is>
          <t>-275K444.0</t>
        </is>
      </c>
      <c r="E5834" t="inlineStr">
        <is>
          <t>DILA-40</t>
        </is>
      </c>
      <c r="F5834" t="inlineStr">
        <is>
          <t>#KALK!</t>
        </is>
      </c>
      <c r="G5834" t="inlineStr">
        <is>
          <t>HILFSSCHUETZ</t>
        </is>
      </c>
      <c r="H5834" t="inlineStr">
        <is>
          <t>4S Federzugkl.</t>
        </is>
      </c>
      <c r="I5834">
        <v>782</v>
      </c>
      <c r="J5834">
        <f>GS46/275.7</f>
        <v>0</v>
      </c>
      <c r="M5834" t="inlineStr">
        <is>
          <t>-275K444.0</t>
        </is>
      </c>
    </row>
    <row r="5835">
      <c r="A5835">
        <v>5834</v>
      </c>
      <c r="B5835">
        <f>GS47</f>
        <v>0</v>
      </c>
      <c r="C5835" t="inlineStr">
        <is>
          <t>+LS04</t>
        </is>
      </c>
      <c r="D5835" t="inlineStr">
        <is>
          <t>-275K444.0</t>
        </is>
      </c>
      <c r="E5835" t="inlineStr">
        <is>
          <t>DILA-40</t>
        </is>
      </c>
      <c r="F5835" t="inlineStr">
        <is>
          <t>#KALK!</t>
        </is>
      </c>
      <c r="G5835" t="inlineStr">
        <is>
          <t>HILFSSCHUETZ</t>
        </is>
      </c>
      <c r="H5835" t="inlineStr">
        <is>
          <t>4S Federzugkl.</t>
        </is>
      </c>
      <c r="I5835">
        <v>782</v>
      </c>
      <c r="J5835">
        <f>GS47/275.7</f>
        <v>0</v>
      </c>
      <c r="M5835" t="inlineStr">
        <is>
          <t>-275K444.0</t>
        </is>
      </c>
    </row>
    <row r="5836">
      <c r="A5836">
        <v>5835</v>
      </c>
      <c r="B5836">
        <f>GS48</f>
        <v>0</v>
      </c>
      <c r="C5836" t="inlineStr">
        <is>
          <t>+LS04</t>
        </is>
      </c>
      <c r="D5836" t="inlineStr">
        <is>
          <t>-275K444.0</t>
        </is>
      </c>
      <c r="E5836" t="inlineStr">
        <is>
          <t>DILA-40</t>
        </is>
      </c>
      <c r="F5836" t="inlineStr">
        <is>
          <t>#KALK!</t>
        </is>
      </c>
      <c r="G5836" t="inlineStr">
        <is>
          <t>HILFSSCHUETZ</t>
        </is>
      </c>
      <c r="H5836" t="inlineStr">
        <is>
          <t>4S Federzugkl.</t>
        </is>
      </c>
      <c r="I5836">
        <v>407</v>
      </c>
      <c r="J5836">
        <f>GS48/275.7</f>
        <v>0</v>
      </c>
      <c r="M5836" t="inlineStr">
        <is>
          <t>-275K444.0</t>
        </is>
      </c>
    </row>
    <row r="5837">
      <c r="A5837">
        <v>5836</v>
      </c>
      <c r="B5837">
        <f>GS49</f>
        <v>0</v>
      </c>
      <c r="C5837" t="inlineStr">
        <is>
          <t>+LS04</t>
        </is>
      </c>
      <c r="D5837" t="inlineStr">
        <is>
          <t>-275K444.0</t>
        </is>
      </c>
      <c r="E5837" t="inlineStr">
        <is>
          <t>DILA-40</t>
        </is>
      </c>
      <c r="F5837" t="inlineStr">
        <is>
          <t>#KALK!</t>
        </is>
      </c>
      <c r="G5837" t="inlineStr">
        <is>
          <t>HILFSSCHUETZ</t>
        </is>
      </c>
      <c r="H5837" t="inlineStr">
        <is>
          <t>4S Federzugkl.</t>
        </is>
      </c>
      <c r="I5837">
        <v>406</v>
      </c>
      <c r="J5837">
        <f>GS49/275.7</f>
        <v>0</v>
      </c>
      <c r="M5837" t="inlineStr">
        <is>
          <t>-275K444.0</t>
        </is>
      </c>
    </row>
    <row r="5838">
      <c r="A5838">
        <v>5837</v>
      </c>
      <c r="B5838">
        <f>GS02</f>
        <v>0</v>
      </c>
      <c r="C5838" t="inlineStr">
        <is>
          <t>+LS5</t>
        </is>
      </c>
      <c r="D5838" t="inlineStr">
        <is>
          <t>-275K45.7</t>
        </is>
      </c>
      <c r="E5838" t="inlineStr">
        <is>
          <t>DIL_EM-10-G</t>
        </is>
      </c>
      <c r="F5838" t="inlineStr">
        <is>
          <t>#KALK!</t>
        </is>
      </c>
      <c r="G5838" t="inlineStr">
        <is>
          <t>LASTSCHUETZ</t>
        </is>
      </c>
      <c r="H5838" t="inlineStr">
        <is>
          <t>4kW 1S</t>
        </is>
      </c>
      <c r="I5838">
        <v>681</v>
      </c>
      <c r="J5838">
        <f>GS02/275.7</f>
        <v>0</v>
      </c>
      <c r="M5838" t="inlineStr">
        <is>
          <t>-275K45.7</t>
        </is>
      </c>
    </row>
    <row r="5839">
      <c r="A5839">
        <v>5838</v>
      </c>
      <c r="B5839">
        <f>GS01</f>
        <v>0</v>
      </c>
      <c r="C5839" t="inlineStr">
        <is>
          <t>+LS6</t>
        </is>
      </c>
      <c r="D5839" t="inlineStr">
        <is>
          <t>-275K52.4</t>
        </is>
      </c>
      <c r="E5839" t="inlineStr">
        <is>
          <t>DIL_EM-10-G</t>
        </is>
      </c>
      <c r="F5839" t="inlineStr">
        <is>
          <t>#KALK!</t>
        </is>
      </c>
      <c r="G5839" t="inlineStr">
        <is>
          <t>LASTSCHUETZ</t>
        </is>
      </c>
      <c r="H5839" t="inlineStr">
        <is>
          <t>4kW 1S</t>
        </is>
      </c>
      <c r="I5839">
        <v>438</v>
      </c>
      <c r="J5839">
        <f>GS01/275.6</f>
        <v>0</v>
      </c>
      <c r="M5839" t="inlineStr">
        <is>
          <t>-275K52.4</t>
        </is>
      </c>
    </row>
    <row r="5840">
      <c r="A5840">
        <v>5839</v>
      </c>
      <c r="B5840">
        <f>GS01</f>
        <v>0</v>
      </c>
      <c r="C5840" t="inlineStr">
        <is>
          <t>+LS6</t>
        </is>
      </c>
      <c r="D5840" t="inlineStr">
        <is>
          <t>-275K52.5</t>
        </is>
      </c>
      <c r="E5840" t="inlineStr">
        <is>
          <t>DIL_EM-10-G</t>
        </is>
      </c>
      <c r="F5840" t="inlineStr">
        <is>
          <t>#KALK!</t>
        </is>
      </c>
      <c r="G5840" t="inlineStr">
        <is>
          <t>LASTSCHUETZ</t>
        </is>
      </c>
      <c r="H5840" t="inlineStr">
        <is>
          <t>4kW 1S</t>
        </is>
      </c>
      <c r="I5840">
        <v>438</v>
      </c>
      <c r="J5840">
        <f>GS01/275.6</f>
        <v>0</v>
      </c>
      <c r="M5840" t="inlineStr">
        <is>
          <t>-275K52.5</t>
        </is>
      </c>
    </row>
    <row r="5841">
      <c r="A5841">
        <v>5840</v>
      </c>
      <c r="B5841">
        <f>GS04</f>
        <v>0</v>
      </c>
      <c r="C5841" t="inlineStr">
        <is>
          <t>+LS6</t>
        </is>
      </c>
      <c r="D5841" t="inlineStr">
        <is>
          <t>-275K54.6</t>
        </is>
      </c>
      <c r="E5841" t="inlineStr">
        <is>
          <t>DIL_EM-10-G</t>
        </is>
      </c>
      <c r="F5841" t="inlineStr">
        <is>
          <t>#KALK!</t>
        </is>
      </c>
      <c r="G5841" t="inlineStr">
        <is>
          <t>LASTSCHUETZ</t>
        </is>
      </c>
      <c r="H5841" t="inlineStr">
        <is>
          <t>4kW 1S</t>
        </is>
      </c>
      <c r="I5841">
        <v>526</v>
      </c>
      <c r="J5841">
        <f>GS04/275.6</f>
        <v>0</v>
      </c>
      <c r="M5841" t="inlineStr">
        <is>
          <t>-275K54.6</t>
        </is>
      </c>
    </row>
    <row r="5842">
      <c r="A5842">
        <v>5841</v>
      </c>
      <c r="B5842">
        <f>GS04</f>
        <v>0</v>
      </c>
      <c r="C5842" t="inlineStr">
        <is>
          <t>+LS6</t>
        </is>
      </c>
      <c r="D5842" t="inlineStr">
        <is>
          <t>-275K54.7</t>
        </is>
      </c>
      <c r="E5842" t="inlineStr">
        <is>
          <t>DIL_EM-10-G</t>
        </is>
      </c>
      <c r="F5842" t="inlineStr">
        <is>
          <t>#KALK!</t>
        </is>
      </c>
      <c r="G5842" t="inlineStr">
        <is>
          <t>LASTSCHUETZ</t>
        </is>
      </c>
      <c r="H5842" t="inlineStr">
        <is>
          <t>4kW 1S</t>
        </is>
      </c>
      <c r="I5842">
        <v>526</v>
      </c>
      <c r="J5842">
        <f>GS04/275.6</f>
        <v>0</v>
      </c>
      <c r="M5842" t="inlineStr">
        <is>
          <t>-275K54.7</t>
        </is>
      </c>
    </row>
    <row r="5843">
      <c r="A5843">
        <v>5842</v>
      </c>
      <c r="B5843">
        <f>GS23</f>
        <v>0</v>
      </c>
      <c r="C5843" t="inlineStr">
        <is>
          <t>+LS5</t>
        </is>
      </c>
      <c r="D5843" t="inlineStr">
        <is>
          <t>-275K84.3</t>
        </is>
      </c>
      <c r="E5843" t="inlineStr">
        <is>
          <t>DIL_EM-10-G</t>
        </is>
      </c>
      <c r="F5843" t="inlineStr">
        <is>
          <t>#KALK!</t>
        </is>
      </c>
      <c r="G5843" t="inlineStr">
        <is>
          <t>LASTSCHUETZ</t>
        </is>
      </c>
      <c r="H5843" t="inlineStr">
        <is>
          <t>4kW 1S</t>
        </is>
      </c>
      <c r="I5843">
        <v>576</v>
      </c>
      <c r="J5843">
        <f>GS23/275.7</f>
        <v>0</v>
      </c>
      <c r="M5843" t="inlineStr">
        <is>
          <t>-275K84.3</t>
        </is>
      </c>
    </row>
    <row r="5844">
      <c r="A5844">
        <v>5843</v>
      </c>
      <c r="B5844">
        <f>GS35</f>
        <v>0</v>
      </c>
      <c r="C5844" t="inlineStr">
        <is>
          <t>+LS06</t>
        </is>
      </c>
      <c r="D5844" t="inlineStr">
        <is>
          <t>-275Q1</t>
        </is>
      </c>
      <c r="E5844" t="inlineStr">
        <is>
          <t>DILA-XHI22</t>
        </is>
      </c>
      <c r="F5844" t="inlineStr">
        <is>
          <t>DILA-XHI22</t>
        </is>
      </c>
      <c r="G5844" t="inlineStr">
        <is>
          <t>HILFSKONTAKTBLOCK</t>
        </is>
      </c>
      <c r="H5844" t="inlineStr">
        <is>
          <t>2S 2OE Last+Hilfssch. Cage</t>
        </is>
      </c>
      <c r="I5844">
        <v>434</v>
      </c>
      <c r="J5844">
        <f>GS35/275.4</f>
        <v>0</v>
      </c>
      <c r="K5844" t="inlineStr">
        <is>
          <t>DIL MC25</t>
        </is>
      </c>
      <c r="M5844" t="inlineStr">
        <is>
          <t>-275Q1</t>
        </is>
      </c>
    </row>
    <row r="5845">
      <c r="A5845">
        <v>5844</v>
      </c>
      <c r="B5845">
        <f>GS35</f>
        <v>0</v>
      </c>
      <c r="C5845" t="inlineStr">
        <is>
          <t>+LS06</t>
        </is>
      </c>
      <c r="D5845" t="inlineStr">
        <is>
          <t>-275Q1</t>
        </is>
      </c>
      <c r="E5845" t="inlineStr">
        <is>
          <t>DILM-25-10</t>
        </is>
      </c>
      <c r="F5845" t="inlineStr">
        <is>
          <t>DILA-XHI22</t>
        </is>
      </c>
      <c r="G5845" t="inlineStr">
        <is>
          <t>LASTSCHUETZ</t>
        </is>
      </c>
      <c r="H5845" t="inlineStr">
        <is>
          <t>11kW 1S Federzugkl.</t>
        </is>
      </c>
      <c r="I5845">
        <v>434</v>
      </c>
      <c r="J5845">
        <f>GS35/275.4</f>
        <v>0</v>
      </c>
      <c r="K5845" t="inlineStr">
        <is>
          <t>DIL MC25</t>
        </is>
      </c>
      <c r="M5845" t="inlineStr">
        <is>
          <t>-275Q1</t>
        </is>
      </c>
    </row>
    <row r="5846">
      <c r="A5846">
        <v>5845</v>
      </c>
      <c r="B5846">
        <f>GS46</f>
        <v>0</v>
      </c>
      <c r="C5846" t="inlineStr">
        <is>
          <t>+LS04</t>
        </is>
      </c>
      <c r="D5846" t="inlineStr">
        <is>
          <t>-275Q1</t>
        </is>
      </c>
      <c r="E5846" t="inlineStr">
        <is>
          <t>DILMC40(RDC24)</t>
        </is>
      </c>
      <c r="F5846" t="inlineStr">
        <is>
          <t>DILM150-XHIC22</t>
        </is>
      </c>
      <c r="G5846" t="inlineStr">
        <is>
          <t>LASTSCHUETZ</t>
        </is>
      </c>
      <c r="H5846" t="inlineStr">
        <is>
          <t>18,5kW Federzugkl.</t>
        </is>
      </c>
      <c r="I5846">
        <v>782</v>
      </c>
      <c r="J5846">
        <f>GS46/275.2</f>
        <v>0</v>
      </c>
      <c r="K5846" t="inlineStr">
        <is>
          <t>DIL MC40</t>
        </is>
      </c>
      <c r="M5846" t="inlineStr">
        <is>
          <t>-275Q1</t>
        </is>
      </c>
    </row>
    <row r="5847">
      <c r="A5847">
        <v>5846</v>
      </c>
      <c r="B5847">
        <f>GS46</f>
        <v>0</v>
      </c>
      <c r="C5847" t="inlineStr">
        <is>
          <t>+LS04</t>
        </is>
      </c>
      <c r="D5847" t="inlineStr">
        <is>
          <t>-275Q1</t>
        </is>
      </c>
      <c r="E5847" t="inlineStr">
        <is>
          <t>DILM150-XHIC22</t>
        </is>
      </c>
      <c r="F5847" t="inlineStr">
        <is>
          <t>DILM150-XHIC22</t>
        </is>
      </c>
      <c r="G5847" t="inlineStr">
        <is>
          <t>HILFSKONTAKTBLOCK</t>
        </is>
      </c>
      <c r="H5847" t="inlineStr">
        <is>
          <t>2S 2OE ab DILMC40</t>
        </is>
      </c>
      <c r="I5847">
        <v>782</v>
      </c>
      <c r="J5847">
        <f>GS46/275.2</f>
        <v>0</v>
      </c>
      <c r="K5847" t="inlineStr">
        <is>
          <t>DIL MC40</t>
        </is>
      </c>
      <c r="M5847" t="inlineStr">
        <is>
          <t>-275Q1</t>
        </is>
      </c>
    </row>
    <row r="5848">
      <c r="A5848">
        <v>5847</v>
      </c>
      <c r="B5848">
        <f>GS47</f>
        <v>0</v>
      </c>
      <c r="C5848" t="inlineStr">
        <is>
          <t>+LS04</t>
        </is>
      </c>
      <c r="D5848" t="inlineStr">
        <is>
          <t>-275Q1</t>
        </is>
      </c>
      <c r="E5848" t="inlineStr">
        <is>
          <t>DILM150-XHIC22</t>
        </is>
      </c>
      <c r="F5848" t="inlineStr">
        <is>
          <t>DILM150-XHIC22</t>
        </is>
      </c>
      <c r="G5848" t="inlineStr">
        <is>
          <t>HILFSKONTAKTBLOCK</t>
        </is>
      </c>
      <c r="H5848" t="inlineStr">
        <is>
          <t>2S 2OE ab DILMC40</t>
        </is>
      </c>
      <c r="I5848">
        <v>782</v>
      </c>
      <c r="J5848">
        <f>GS47/275.2</f>
        <v>0</v>
      </c>
      <c r="K5848" t="inlineStr">
        <is>
          <t>DIL MC40</t>
        </is>
      </c>
      <c r="M5848" t="inlineStr">
        <is>
          <t>-275Q1</t>
        </is>
      </c>
    </row>
    <row r="5849">
      <c r="A5849">
        <v>5848</v>
      </c>
      <c r="B5849">
        <f>GS47</f>
        <v>0</v>
      </c>
      <c r="C5849" t="inlineStr">
        <is>
          <t>+LS04</t>
        </is>
      </c>
      <c r="D5849" t="inlineStr">
        <is>
          <t>-275Q1</t>
        </is>
      </c>
      <c r="E5849" t="inlineStr">
        <is>
          <t>DILMC40(RDC24)</t>
        </is>
      </c>
      <c r="F5849" t="inlineStr">
        <is>
          <t>DILM150-XHIC22</t>
        </is>
      </c>
      <c r="G5849" t="inlineStr">
        <is>
          <t>LASTSCHUETZ</t>
        </is>
      </c>
      <c r="H5849" t="inlineStr">
        <is>
          <t>18,5kW Federzugkl.</t>
        </is>
      </c>
      <c r="I5849">
        <v>782</v>
      </c>
      <c r="J5849">
        <f>GS47/275.2</f>
        <v>0</v>
      </c>
      <c r="K5849" t="inlineStr">
        <is>
          <t>DIL MC40</t>
        </is>
      </c>
      <c r="M5849" t="inlineStr">
        <is>
          <t>-275Q1</t>
        </is>
      </c>
    </row>
    <row r="5850">
      <c r="A5850">
        <v>5849</v>
      </c>
      <c r="B5850">
        <f>GS48</f>
        <v>0</v>
      </c>
      <c r="C5850" t="inlineStr">
        <is>
          <t>+LS04</t>
        </is>
      </c>
      <c r="D5850" t="inlineStr">
        <is>
          <t>-275Q1</t>
        </is>
      </c>
      <c r="E5850" t="inlineStr">
        <is>
          <t>DILMC40(RDC24)</t>
        </is>
      </c>
      <c r="F5850" t="inlineStr">
        <is>
          <t>DILM150-XHIC22</t>
        </is>
      </c>
      <c r="G5850" t="inlineStr">
        <is>
          <t>LASTSCHUETZ</t>
        </is>
      </c>
      <c r="H5850" t="inlineStr">
        <is>
          <t>18,5kW Federzugkl.</t>
        </is>
      </c>
      <c r="I5850">
        <v>407</v>
      </c>
      <c r="J5850">
        <f>GS48/275.2</f>
        <v>0</v>
      </c>
      <c r="K5850" t="inlineStr">
        <is>
          <t>DIL MC40</t>
        </is>
      </c>
      <c r="M5850" t="inlineStr">
        <is>
          <t>-275Q1</t>
        </is>
      </c>
    </row>
    <row r="5851">
      <c r="A5851">
        <v>5850</v>
      </c>
      <c r="B5851">
        <f>GS48</f>
        <v>0</v>
      </c>
      <c r="C5851" t="inlineStr">
        <is>
          <t>+LS04</t>
        </is>
      </c>
      <c r="D5851" t="inlineStr">
        <is>
          <t>-275Q1</t>
        </is>
      </c>
      <c r="E5851" t="inlineStr">
        <is>
          <t>DILM150-XHIC22</t>
        </is>
      </c>
      <c r="F5851" t="inlineStr">
        <is>
          <t>DILM150-XHIC22</t>
        </is>
      </c>
      <c r="G5851" t="inlineStr">
        <is>
          <t>HILFSKONTAKTBLOCK</t>
        </is>
      </c>
      <c r="H5851" t="inlineStr">
        <is>
          <t>2S 2OE ab DILMC40</t>
        </is>
      </c>
      <c r="I5851">
        <v>407</v>
      </c>
      <c r="J5851">
        <f>GS48/275.2</f>
        <v>0</v>
      </c>
      <c r="K5851" t="inlineStr">
        <is>
          <t>DIL MC40</t>
        </is>
      </c>
      <c r="M5851" t="inlineStr">
        <is>
          <t>-275Q1</t>
        </is>
      </c>
    </row>
    <row r="5852">
      <c r="A5852">
        <v>5851</v>
      </c>
      <c r="B5852">
        <f>GS49</f>
        <v>0</v>
      </c>
      <c r="C5852" t="inlineStr">
        <is>
          <t>+LS04</t>
        </is>
      </c>
      <c r="D5852" t="inlineStr">
        <is>
          <t>-275Q1</t>
        </is>
      </c>
      <c r="E5852" t="inlineStr">
        <is>
          <t>DILMC40(RDC24)</t>
        </is>
      </c>
      <c r="F5852" t="inlineStr">
        <is>
          <t>DILM150-XHIC22</t>
        </is>
      </c>
      <c r="G5852" t="inlineStr">
        <is>
          <t>LASTSCHUETZ</t>
        </is>
      </c>
      <c r="H5852" t="inlineStr">
        <is>
          <t>18,5kW Federzugkl.</t>
        </is>
      </c>
      <c r="I5852">
        <v>406</v>
      </c>
      <c r="J5852">
        <f>GS49/275.2</f>
        <v>0</v>
      </c>
      <c r="K5852" t="inlineStr">
        <is>
          <t>DIL MC40</t>
        </is>
      </c>
      <c r="M5852" t="inlineStr">
        <is>
          <t>-275Q1</t>
        </is>
      </c>
    </row>
    <row r="5853">
      <c r="A5853">
        <v>5852</v>
      </c>
      <c r="B5853">
        <f>GS49</f>
        <v>0</v>
      </c>
      <c r="C5853" t="inlineStr">
        <is>
          <t>+LS04</t>
        </is>
      </c>
      <c r="D5853" t="inlineStr">
        <is>
          <t>-275Q1</t>
        </is>
      </c>
      <c r="E5853" t="inlineStr">
        <is>
          <t>DILM150-XHIC22</t>
        </is>
      </c>
      <c r="F5853" t="inlineStr">
        <is>
          <t>DILM150-XHIC22</t>
        </is>
      </c>
      <c r="G5853" t="inlineStr">
        <is>
          <t>HILFSKONTAKTBLOCK</t>
        </is>
      </c>
      <c r="H5853" t="inlineStr">
        <is>
          <t>2S 2OE ab DILMC40</t>
        </is>
      </c>
      <c r="I5853">
        <v>406</v>
      </c>
      <c r="J5853">
        <f>GS49/275.2</f>
        <v>0</v>
      </c>
      <c r="K5853" t="inlineStr">
        <is>
          <t>DIL MC40</t>
        </is>
      </c>
      <c r="M5853" t="inlineStr">
        <is>
          <t>-275Q1</t>
        </is>
      </c>
    </row>
    <row r="5854">
      <c r="A5854">
        <v>5853</v>
      </c>
      <c r="B5854">
        <f>GS91</f>
        <v>0</v>
      </c>
      <c r="C5854" t="inlineStr">
        <is>
          <t>+LS04</t>
        </is>
      </c>
      <c r="D5854" t="inlineStr">
        <is>
          <t>-275Q1</t>
        </is>
      </c>
      <c r="E5854" t="inlineStr">
        <is>
          <t>DILA-XHI22</t>
        </is>
      </c>
      <c r="F5854" t="inlineStr">
        <is>
          <t>DILA-XHI22</t>
        </is>
      </c>
      <c r="G5854" t="inlineStr">
        <is>
          <t>HILFSKONTAKTBLOCK</t>
        </is>
      </c>
      <c r="H5854" t="inlineStr">
        <is>
          <t>2S 2OE Last+Hilfssch. Cage</t>
        </is>
      </c>
      <c r="I5854">
        <v>423</v>
      </c>
      <c r="J5854">
        <f>GS91/275.4</f>
        <v>0</v>
      </c>
      <c r="K5854" t="inlineStr">
        <is>
          <t>DIL MC25</t>
        </is>
      </c>
      <c r="M5854" t="inlineStr">
        <is>
          <t>-275Q1</t>
        </is>
      </c>
    </row>
    <row r="5855">
      <c r="A5855">
        <v>5854</v>
      </c>
      <c r="B5855">
        <f>GS91</f>
        <v>0</v>
      </c>
      <c r="C5855" t="inlineStr">
        <is>
          <t>+LS04</t>
        </is>
      </c>
      <c r="D5855" t="inlineStr">
        <is>
          <t>-275Q1</t>
        </is>
      </c>
      <c r="E5855" t="inlineStr">
        <is>
          <t>DILMC25-10(RDC24)</t>
        </is>
      </c>
      <c r="F5855" t="inlineStr">
        <is>
          <t>DILA-XHI22</t>
        </is>
      </c>
      <c r="G5855" t="inlineStr">
        <is>
          <t>LASTSCHUETZ</t>
        </is>
      </c>
      <c r="H5855" t="inlineStr">
        <is>
          <t>11kW 1S Federzugkl.</t>
        </is>
      </c>
      <c r="I5855">
        <v>423</v>
      </c>
      <c r="J5855">
        <f>GS91/275.4</f>
        <v>0</v>
      </c>
      <c r="K5855" t="inlineStr">
        <is>
          <t>DIL MC25</t>
        </is>
      </c>
      <c r="M5855" t="inlineStr">
        <is>
          <t>-275Q1</t>
        </is>
      </c>
    </row>
    <row r="5856">
      <c r="A5856">
        <v>5855</v>
      </c>
      <c r="B5856">
        <f>GS92</f>
        <v>0</v>
      </c>
      <c r="C5856" t="inlineStr">
        <is>
          <t>+LS04</t>
        </is>
      </c>
      <c r="D5856" t="inlineStr">
        <is>
          <t>-275Q1</t>
        </is>
      </c>
      <c r="E5856" t="inlineStr">
        <is>
          <t>DILMC25-10(RDC24)</t>
        </is>
      </c>
      <c r="F5856" t="inlineStr">
        <is>
          <t>DILA-XHI22</t>
        </is>
      </c>
      <c r="G5856" t="inlineStr">
        <is>
          <t>LASTSCHUETZ</t>
        </is>
      </c>
      <c r="H5856" t="inlineStr">
        <is>
          <t>11kW 1S Federzugkl.</t>
        </is>
      </c>
      <c r="I5856">
        <v>422</v>
      </c>
      <c r="J5856">
        <f>GS92/275.4</f>
        <v>0</v>
      </c>
      <c r="K5856" t="inlineStr">
        <is>
          <t>DIL MC25</t>
        </is>
      </c>
      <c r="M5856" t="inlineStr">
        <is>
          <t>-275Q1</t>
        </is>
      </c>
    </row>
    <row r="5857">
      <c r="A5857">
        <v>5856</v>
      </c>
      <c r="B5857">
        <f>GS92</f>
        <v>0</v>
      </c>
      <c r="C5857" t="inlineStr">
        <is>
          <t>+LS04</t>
        </is>
      </c>
      <c r="D5857" t="inlineStr">
        <is>
          <t>-275Q1</t>
        </is>
      </c>
      <c r="E5857" t="inlineStr">
        <is>
          <t>DILA-XHI22</t>
        </is>
      </c>
      <c r="F5857" t="inlineStr">
        <is>
          <t>DILA-XHI22</t>
        </is>
      </c>
      <c r="G5857" t="inlineStr">
        <is>
          <t>HILFSKONTAKTBLOCK</t>
        </is>
      </c>
      <c r="H5857" t="inlineStr">
        <is>
          <t>2S 2OE Last+Hilfssch. Cage</t>
        </is>
      </c>
      <c r="I5857">
        <v>422</v>
      </c>
      <c r="J5857">
        <f>GS92/275.4</f>
        <v>0</v>
      </c>
      <c r="K5857" t="inlineStr">
        <is>
          <t>DIL MC25</t>
        </is>
      </c>
      <c r="M5857" t="inlineStr">
        <is>
          <t>-275Q1</t>
        </is>
      </c>
    </row>
    <row r="5858">
      <c r="A5858">
        <v>5857</v>
      </c>
      <c r="B5858">
        <f>GS93</f>
        <v>0</v>
      </c>
      <c r="C5858" t="inlineStr">
        <is>
          <t>+LS04</t>
        </is>
      </c>
      <c r="D5858" t="inlineStr">
        <is>
          <t>-275Q1</t>
        </is>
      </c>
      <c r="E5858" t="inlineStr">
        <is>
          <t>DILMC25-10(RDC24)</t>
        </is>
      </c>
      <c r="F5858" t="inlineStr">
        <is>
          <t>DILA-XHI22</t>
        </is>
      </c>
      <c r="G5858" t="inlineStr">
        <is>
          <t>LASTSCHUETZ</t>
        </is>
      </c>
      <c r="H5858" t="inlineStr">
        <is>
          <t>11kW 1S Federzugkl.</t>
        </is>
      </c>
      <c r="I5858">
        <v>829</v>
      </c>
      <c r="J5858">
        <f>GS93/275.4</f>
        <v>0</v>
      </c>
      <c r="K5858" t="inlineStr">
        <is>
          <t>DIL MC25</t>
        </is>
      </c>
      <c r="M5858" t="inlineStr">
        <is>
          <t>-275Q1</t>
        </is>
      </c>
    </row>
    <row r="5859">
      <c r="A5859">
        <v>5858</v>
      </c>
      <c r="B5859">
        <f>GS93</f>
        <v>0</v>
      </c>
      <c r="C5859" t="inlineStr">
        <is>
          <t>+LS04</t>
        </is>
      </c>
      <c r="D5859" t="inlineStr">
        <is>
          <t>-275Q1</t>
        </is>
      </c>
      <c r="E5859" t="inlineStr">
        <is>
          <t>DILA-XHI22</t>
        </is>
      </c>
      <c r="F5859" t="inlineStr">
        <is>
          <t>DILA-XHI22</t>
        </is>
      </c>
      <c r="G5859" t="inlineStr">
        <is>
          <t>HILFSKONTAKTBLOCK</t>
        </is>
      </c>
      <c r="H5859" t="inlineStr">
        <is>
          <t>2S 2OE Last+Hilfssch. Cage</t>
        </is>
      </c>
      <c r="I5859">
        <v>829</v>
      </c>
      <c r="J5859">
        <f>GS93/275.4</f>
        <v>0</v>
      </c>
      <c r="K5859" t="inlineStr">
        <is>
          <t>DIL MC25</t>
        </is>
      </c>
      <c r="M5859" t="inlineStr">
        <is>
          <t>-275Q1</t>
        </is>
      </c>
    </row>
    <row r="5860">
      <c r="A5860">
        <v>5859</v>
      </c>
      <c r="B5860">
        <f>GS36</f>
        <v>0</v>
      </c>
      <c r="C5860" t="inlineStr">
        <is>
          <t>+LS06</t>
        </is>
      </c>
      <c r="D5860" t="inlineStr">
        <is>
          <t>-291Q404.3</t>
        </is>
      </c>
      <c r="E5860" t="inlineStr">
        <is>
          <t>DILMC12-10(24VDC)</t>
        </is>
      </c>
      <c r="F5860" t="inlineStr">
        <is>
          <t>#KALK!</t>
        </is>
      </c>
      <c r="G5860" t="inlineStr">
        <is>
          <t>LASTSCHUETZ</t>
        </is>
      </c>
      <c r="H5860" t="inlineStr">
        <is>
          <t>5,5kW 1S Federzugkl.</t>
        </is>
      </c>
      <c r="I5860">
        <v>464</v>
      </c>
      <c r="J5860">
        <f>GS36/291.5</f>
        <v>0</v>
      </c>
      <c r="K5860" t="inlineStr">
        <is>
          <t>DIL MC12</t>
        </is>
      </c>
      <c r="L5860" t="inlineStr">
        <is>
          <t>HT_0505</t>
        </is>
      </c>
      <c r="M5860" t="inlineStr">
        <is>
          <t>HT_0505
-291Q404.3</t>
        </is>
      </c>
      <c r="N5860" t="inlineStr">
        <is>
          <t>P</t>
        </is>
      </c>
    </row>
    <row r="5861">
      <c r="A5861">
        <v>5860</v>
      </c>
      <c r="B5861">
        <f>GS36</f>
        <v>0</v>
      </c>
      <c r="C5861" t="inlineStr">
        <is>
          <t>+LS05</t>
        </is>
      </c>
      <c r="D5861" t="inlineStr">
        <is>
          <t>-275Q170.6</t>
        </is>
      </c>
      <c r="E5861" t="inlineStr">
        <is>
          <t>DILA-XHI22</t>
        </is>
      </c>
      <c r="F5861" t="inlineStr">
        <is>
          <t>DILA-XHI22</t>
        </is>
      </c>
      <c r="G5861" t="inlineStr">
        <is>
          <t>HILFSKONTAKTBLOCK</t>
        </is>
      </c>
      <c r="H5861" t="inlineStr">
        <is>
          <t>2S 2OE Last+Hilfssch. Cage</t>
        </is>
      </c>
      <c r="I5861">
        <v>448</v>
      </c>
      <c r="J5861">
        <f>GS36/275.5</f>
        <v>0</v>
      </c>
      <c r="L5861" t="inlineStr">
        <is>
          <t>KL_3303</t>
        </is>
      </c>
      <c r="M5861" t="inlineStr">
        <is>
          <t>KL_3303
-275Q170.6</t>
        </is>
      </c>
      <c r="N5861" t="inlineStr">
        <is>
          <t>P</t>
        </is>
      </c>
    </row>
    <row r="5862">
      <c r="A5862">
        <v>5861</v>
      </c>
      <c r="B5862">
        <f>GS36</f>
        <v>0</v>
      </c>
      <c r="C5862" t="inlineStr">
        <is>
          <t>+LS06</t>
        </is>
      </c>
      <c r="D5862" t="inlineStr">
        <is>
          <t>-298K1</t>
        </is>
      </c>
      <c r="E5862" t="inlineStr">
        <is>
          <t>DILM-9-01</t>
        </is>
      </c>
      <c r="F5862" t="inlineStr">
        <is>
          <t>#KALK!</t>
        </is>
      </c>
      <c r="G5862" t="inlineStr">
        <is>
          <t>LASTSCHUETZ</t>
        </is>
      </c>
      <c r="H5862" t="inlineStr">
        <is>
          <t>4kW 1Oe Federzugkl.</t>
        </is>
      </c>
      <c r="I5862">
        <v>471</v>
      </c>
      <c r="J5862">
        <f>GS36/298.6</f>
        <v>0</v>
      </c>
      <c r="L5862" t="inlineStr">
        <is>
          <t>Lichtvorhang KF</t>
        </is>
      </c>
      <c r="M5862" t="inlineStr">
        <is>
          <t>Lichtvorhang KF
-298K1</t>
        </is>
      </c>
    </row>
    <row r="5863">
      <c r="A5863">
        <v>5862</v>
      </c>
      <c r="B5863">
        <f>GS36</f>
        <v>0</v>
      </c>
      <c r="C5863" t="inlineStr">
        <is>
          <t>+LS05</t>
        </is>
      </c>
      <c r="D5863" t="inlineStr">
        <is>
          <t>-275Q170.7</t>
        </is>
      </c>
      <c r="E5863" t="inlineStr">
        <is>
          <t>DILA-XHI22</t>
        </is>
      </c>
      <c r="F5863" t="inlineStr">
        <is>
          <t>DILA-XHI22</t>
        </is>
      </c>
      <c r="G5863" t="inlineStr">
        <is>
          <t>HILFSKONTAKTBLOCK</t>
        </is>
      </c>
      <c r="H5863" t="inlineStr">
        <is>
          <t>2S 2OE Last+Hilfssch. Cage</t>
        </is>
      </c>
      <c r="I5863">
        <v>448</v>
      </c>
      <c r="J5863">
        <f>GS36/275.6</f>
        <v>0</v>
      </c>
      <c r="L5863" t="inlineStr">
        <is>
          <t>KL_3303</t>
        </is>
      </c>
      <c r="M5863" t="inlineStr">
        <is>
          <t>KL_3303
-275Q170.7</t>
        </is>
      </c>
      <c r="N5863" t="inlineStr">
        <is>
          <t>P</t>
        </is>
      </c>
    </row>
    <row r="5864">
      <c r="A5864">
        <v>5863</v>
      </c>
      <c r="B5864">
        <f>GS46</f>
        <v>0</v>
      </c>
      <c r="C5864" t="inlineStr">
        <is>
          <t>+LS04</t>
        </is>
      </c>
      <c r="D5864" t="inlineStr">
        <is>
          <t>-275Q2</t>
        </is>
      </c>
      <c r="E5864" t="inlineStr">
        <is>
          <t>DILM-9-10</t>
        </is>
      </c>
      <c r="F5864" t="inlineStr">
        <is>
          <t>DILA-XHI22</t>
        </is>
      </c>
      <c r="G5864" t="inlineStr">
        <is>
          <t>LASTSCHUETZ</t>
        </is>
      </c>
      <c r="H5864" t="inlineStr">
        <is>
          <t>4kW 1S Federzugkl.</t>
        </is>
      </c>
      <c r="I5864">
        <v>782</v>
      </c>
      <c r="J5864">
        <f>GS46/275.3</f>
        <v>0</v>
      </c>
      <c r="M5864" t="inlineStr">
        <is>
          <t>-275Q2</t>
        </is>
      </c>
    </row>
    <row r="5865">
      <c r="A5865">
        <v>5864</v>
      </c>
      <c r="B5865">
        <f>GS46</f>
        <v>0</v>
      </c>
      <c r="C5865" t="inlineStr">
        <is>
          <t>+LS04</t>
        </is>
      </c>
      <c r="D5865" t="inlineStr">
        <is>
          <t>-275Q2</t>
        </is>
      </c>
      <c r="E5865" t="inlineStr">
        <is>
          <t>DILA-XHI22</t>
        </is>
      </c>
      <c r="F5865" t="inlineStr">
        <is>
          <t>DILA-XHI22</t>
        </is>
      </c>
      <c r="G5865" t="inlineStr">
        <is>
          <t>HILFSKONTAKTBLOCK</t>
        </is>
      </c>
      <c r="H5865" t="inlineStr">
        <is>
          <t>2S 2OE Last+Hilfssch. Cage</t>
        </is>
      </c>
      <c r="I5865">
        <v>782</v>
      </c>
      <c r="J5865">
        <f>GS46/275.3</f>
        <v>0</v>
      </c>
      <c r="M5865" t="inlineStr">
        <is>
          <t>-275Q2</t>
        </is>
      </c>
    </row>
    <row r="5866">
      <c r="A5866">
        <v>5865</v>
      </c>
      <c r="B5866">
        <f>GS47</f>
        <v>0</v>
      </c>
      <c r="C5866" t="inlineStr">
        <is>
          <t>+LS04</t>
        </is>
      </c>
      <c r="D5866" t="inlineStr">
        <is>
          <t>-275Q2</t>
        </is>
      </c>
      <c r="E5866" t="inlineStr">
        <is>
          <t>DILM-9-10</t>
        </is>
      </c>
      <c r="F5866" t="inlineStr">
        <is>
          <t>DILA-XHI22</t>
        </is>
      </c>
      <c r="G5866" t="inlineStr">
        <is>
          <t>LASTSCHUETZ</t>
        </is>
      </c>
      <c r="H5866" t="inlineStr">
        <is>
          <t>4kW 1S Federzugkl.</t>
        </is>
      </c>
      <c r="I5866">
        <v>782</v>
      </c>
      <c r="J5866">
        <f>GS47/275.3</f>
        <v>0</v>
      </c>
      <c r="M5866" t="inlineStr">
        <is>
          <t>-275Q2</t>
        </is>
      </c>
    </row>
    <row r="5867">
      <c r="A5867">
        <v>5866</v>
      </c>
      <c r="B5867">
        <f>GS47</f>
        <v>0</v>
      </c>
      <c r="C5867" t="inlineStr">
        <is>
          <t>+LS04</t>
        </is>
      </c>
      <c r="D5867" t="inlineStr">
        <is>
          <t>-275Q2</t>
        </is>
      </c>
      <c r="E5867" t="inlineStr">
        <is>
          <t>DILA-XHI22</t>
        </is>
      </c>
      <c r="F5867" t="inlineStr">
        <is>
          <t>DILA-XHI22</t>
        </is>
      </c>
      <c r="G5867" t="inlineStr">
        <is>
          <t>HILFSKONTAKTBLOCK</t>
        </is>
      </c>
      <c r="H5867" t="inlineStr">
        <is>
          <t>2S 2OE Last+Hilfssch. Cage</t>
        </is>
      </c>
      <c r="I5867">
        <v>782</v>
      </c>
      <c r="J5867">
        <f>GS47/275.3</f>
        <v>0</v>
      </c>
      <c r="M5867" t="inlineStr">
        <is>
          <t>-275Q2</t>
        </is>
      </c>
    </row>
    <row r="5868">
      <c r="A5868">
        <v>5867</v>
      </c>
      <c r="B5868">
        <f>GS48</f>
        <v>0</v>
      </c>
      <c r="C5868" t="inlineStr">
        <is>
          <t>+LS04</t>
        </is>
      </c>
      <c r="D5868" t="inlineStr">
        <is>
          <t>-275Q2</t>
        </is>
      </c>
      <c r="E5868" t="inlineStr">
        <is>
          <t>DILA-XHI22</t>
        </is>
      </c>
      <c r="F5868" t="inlineStr">
        <is>
          <t>DILA-XHI22</t>
        </is>
      </c>
      <c r="G5868" t="inlineStr">
        <is>
          <t>HILFSKONTAKTBLOCK</t>
        </is>
      </c>
      <c r="H5868" t="inlineStr">
        <is>
          <t>2S 2OE Last+Hilfssch. Cage</t>
        </is>
      </c>
      <c r="I5868">
        <v>407</v>
      </c>
      <c r="J5868">
        <f>GS48/275.3</f>
        <v>0</v>
      </c>
      <c r="M5868" t="inlineStr">
        <is>
          <t>-275Q2</t>
        </is>
      </c>
    </row>
    <row r="5869">
      <c r="A5869">
        <v>5868</v>
      </c>
      <c r="B5869">
        <f>GS48</f>
        <v>0</v>
      </c>
      <c r="C5869" t="inlineStr">
        <is>
          <t>+LS04</t>
        </is>
      </c>
      <c r="D5869" t="inlineStr">
        <is>
          <t>-275Q2</t>
        </is>
      </c>
      <c r="E5869" t="inlineStr">
        <is>
          <t>DILM-9-10</t>
        </is>
      </c>
      <c r="F5869" t="inlineStr">
        <is>
          <t>DILA-XHI22</t>
        </is>
      </c>
      <c r="G5869" t="inlineStr">
        <is>
          <t>LASTSCHUETZ</t>
        </is>
      </c>
      <c r="H5869" t="inlineStr">
        <is>
          <t>4kW 1S Federzugkl.</t>
        </is>
      </c>
      <c r="I5869">
        <v>407</v>
      </c>
      <c r="J5869">
        <f>GS48/275.3</f>
        <v>0</v>
      </c>
      <c r="M5869" t="inlineStr">
        <is>
          <t>-275Q2</t>
        </is>
      </c>
    </row>
    <row r="5870">
      <c r="A5870">
        <v>5869</v>
      </c>
      <c r="B5870">
        <f>GS49</f>
        <v>0</v>
      </c>
      <c r="C5870" t="inlineStr">
        <is>
          <t>+LS04</t>
        </is>
      </c>
      <c r="D5870" t="inlineStr">
        <is>
          <t>-275Q2</t>
        </is>
      </c>
      <c r="E5870" t="inlineStr">
        <is>
          <t>DILM-9-10</t>
        </is>
      </c>
      <c r="F5870" t="inlineStr">
        <is>
          <t>DILA-XHI22</t>
        </is>
      </c>
      <c r="G5870" t="inlineStr">
        <is>
          <t>LASTSCHUETZ</t>
        </is>
      </c>
      <c r="H5870" t="inlineStr">
        <is>
          <t>4kW 1S Federzugkl.</t>
        </is>
      </c>
      <c r="I5870">
        <v>406</v>
      </c>
      <c r="J5870">
        <f>GS49/275.3</f>
        <v>0</v>
      </c>
      <c r="M5870" t="inlineStr">
        <is>
          <t>-275Q2</t>
        </is>
      </c>
    </row>
    <row r="5871">
      <c r="A5871">
        <v>5870</v>
      </c>
      <c r="B5871">
        <f>GS49</f>
        <v>0</v>
      </c>
      <c r="C5871" t="inlineStr">
        <is>
          <t>+LS04</t>
        </is>
      </c>
      <c r="D5871" t="inlineStr">
        <is>
          <t>-275Q2</t>
        </is>
      </c>
      <c r="E5871" t="inlineStr">
        <is>
          <t>DILA-XHI22</t>
        </is>
      </c>
      <c r="F5871" t="inlineStr">
        <is>
          <t>DILA-XHI22</t>
        </is>
      </c>
      <c r="G5871" t="inlineStr">
        <is>
          <t>HILFSKONTAKTBLOCK</t>
        </is>
      </c>
      <c r="H5871" t="inlineStr">
        <is>
          <t>2S 2OE Last+Hilfssch. Cage</t>
        </is>
      </c>
      <c r="I5871">
        <v>406</v>
      </c>
      <c r="J5871">
        <f>GS49/275.3</f>
        <v>0</v>
      </c>
      <c r="M5871" t="inlineStr">
        <is>
          <t>-275Q2</t>
        </is>
      </c>
    </row>
    <row r="5872">
      <c r="A5872">
        <v>5871</v>
      </c>
      <c r="B5872">
        <f>GS08</f>
        <v>0</v>
      </c>
      <c r="C5872" t="inlineStr">
        <is>
          <t>+LS04</t>
        </is>
      </c>
      <c r="D5872" t="inlineStr">
        <is>
          <t>-275Q225.4</t>
        </is>
      </c>
      <c r="E5872" t="inlineStr">
        <is>
          <t>DILM-9-10</t>
        </is>
      </c>
      <c r="F5872" t="inlineStr">
        <is>
          <t>#KALK!</t>
        </is>
      </c>
      <c r="G5872" t="inlineStr">
        <is>
          <t>LASTSCHUETZ</t>
        </is>
      </c>
      <c r="H5872" t="inlineStr">
        <is>
          <t>4kW 1S Federzugkl.</t>
        </is>
      </c>
      <c r="I5872">
        <v>176</v>
      </c>
      <c r="J5872">
        <f>GS08/275.6</f>
        <v>0</v>
      </c>
      <c r="K5872" t="inlineStr">
        <is>
          <t>DIL MC9</t>
        </is>
      </c>
      <c r="M5872" t="inlineStr">
        <is>
          <t>-275Q225.4</t>
        </is>
      </c>
    </row>
    <row r="5873">
      <c r="A5873">
        <v>5872</v>
      </c>
      <c r="B5873">
        <f>GS13</f>
        <v>0</v>
      </c>
      <c r="C5873" t="inlineStr">
        <is>
          <t>+LS5</t>
        </is>
      </c>
      <c r="D5873" t="inlineStr">
        <is>
          <t>-27685.3</t>
        </is>
      </c>
      <c r="E5873" t="inlineStr">
        <is>
          <t>DIL_EM-10-G</t>
        </is>
      </c>
      <c r="F5873" t="inlineStr">
        <is>
          <t>#KALK!</t>
        </is>
      </c>
      <c r="G5873" t="inlineStr">
        <is>
          <t>LASTSCHUETZ</t>
        </is>
      </c>
      <c r="H5873" t="inlineStr">
        <is>
          <t>4kW 1S</t>
        </is>
      </c>
      <c r="I5873">
        <v>518</v>
      </c>
      <c r="J5873">
        <f>GS13/276.7</f>
        <v>0</v>
      </c>
      <c r="M5873" t="inlineStr">
        <is>
          <t>-27685.3</t>
        </is>
      </c>
    </row>
    <row r="5874">
      <c r="A5874">
        <v>5873</v>
      </c>
      <c r="B5874">
        <f>GS11</f>
        <v>0</v>
      </c>
      <c r="C5874" t="inlineStr">
        <is>
          <t>+LS6</t>
        </is>
      </c>
      <c r="D5874" t="inlineStr">
        <is>
          <t>-276K13.5</t>
        </is>
      </c>
      <c r="E5874" t="inlineStr">
        <is>
          <t>DIL_EM-10-G</t>
        </is>
      </c>
      <c r="F5874" t="inlineStr">
        <is>
          <t>#KALK!</t>
        </is>
      </c>
      <c r="G5874" t="inlineStr">
        <is>
          <t>LASTSCHUETZ</t>
        </is>
      </c>
      <c r="H5874" t="inlineStr">
        <is>
          <t>4kW 1S</t>
        </is>
      </c>
      <c r="I5874">
        <v>387</v>
      </c>
      <c r="J5874">
        <f>GS11/276.7</f>
        <v>0</v>
      </c>
      <c r="M5874" t="inlineStr">
        <is>
          <t>-276K13.5</t>
        </is>
      </c>
    </row>
    <row r="5875">
      <c r="A5875">
        <v>5874</v>
      </c>
      <c r="B5875">
        <f>GS21</f>
        <v>0</v>
      </c>
      <c r="C5875" t="inlineStr">
        <is>
          <t>+LS6</t>
        </is>
      </c>
      <c r="D5875" t="inlineStr">
        <is>
          <t>-276K13.5</t>
        </is>
      </c>
      <c r="E5875" t="inlineStr">
        <is>
          <t>DIL_EM-10-G</t>
        </is>
      </c>
      <c r="F5875" t="inlineStr">
        <is>
          <t>#KALK!</t>
        </is>
      </c>
      <c r="G5875" t="inlineStr">
        <is>
          <t>LASTSCHUETZ</t>
        </is>
      </c>
      <c r="H5875" t="inlineStr">
        <is>
          <t>4kW 1S</t>
        </is>
      </c>
      <c r="I5875">
        <v>364</v>
      </c>
      <c r="J5875">
        <f>GS21/276.7</f>
        <v>0</v>
      </c>
      <c r="M5875" t="inlineStr">
        <is>
          <t>-276K13.5</t>
        </is>
      </c>
    </row>
    <row r="5876">
      <c r="A5876">
        <v>5875</v>
      </c>
      <c r="B5876">
        <f>GS31</f>
        <v>0</v>
      </c>
      <c r="C5876" t="inlineStr">
        <is>
          <t>+LS4</t>
        </is>
      </c>
      <c r="D5876" t="inlineStr">
        <is>
          <t>-276K3506.1</t>
        </is>
      </c>
      <c r="E5876" t="inlineStr">
        <is>
          <t>DIL_EM-10-G</t>
        </is>
      </c>
      <c r="F5876" t="inlineStr">
        <is>
          <t>#KALK!</t>
        </is>
      </c>
      <c r="G5876" t="inlineStr">
        <is>
          <t>LASTSCHUETZ</t>
        </is>
      </c>
      <c r="H5876" t="inlineStr">
        <is>
          <t>4kW 1S</t>
        </is>
      </c>
      <c r="I5876">
        <v>567</v>
      </c>
      <c r="J5876">
        <f>GS31/276.7</f>
        <v>0</v>
      </c>
      <c r="M5876" t="inlineStr">
        <is>
          <t>-276K3506.1</t>
        </is>
      </c>
    </row>
    <row r="5877">
      <c r="A5877">
        <v>5876</v>
      </c>
      <c r="B5877">
        <f>GS02</f>
        <v>0</v>
      </c>
      <c r="C5877" t="inlineStr">
        <is>
          <t>+LS5</t>
        </is>
      </c>
      <c r="D5877" t="inlineStr">
        <is>
          <t>-276K46.3</t>
        </is>
      </c>
      <c r="E5877" t="inlineStr">
        <is>
          <t>DIL_EM-10-G</t>
        </is>
      </c>
      <c r="F5877" t="inlineStr">
        <is>
          <t>#KALK!</t>
        </is>
      </c>
      <c r="G5877" t="inlineStr">
        <is>
          <t>LASTSCHUETZ</t>
        </is>
      </c>
      <c r="H5877" t="inlineStr">
        <is>
          <t>4kW 1S</t>
        </is>
      </c>
      <c r="I5877">
        <v>682</v>
      </c>
      <c r="J5877">
        <f>GS02/276.7</f>
        <v>0</v>
      </c>
      <c r="M5877" t="inlineStr">
        <is>
          <t>-276K46.3</t>
        </is>
      </c>
    </row>
    <row r="5878">
      <c r="A5878">
        <v>5877</v>
      </c>
      <c r="B5878">
        <f>GS01</f>
        <v>0</v>
      </c>
      <c r="C5878" t="inlineStr">
        <is>
          <t>+LS6</t>
        </is>
      </c>
      <c r="D5878" t="inlineStr">
        <is>
          <t>-276K52.6</t>
        </is>
      </c>
      <c r="E5878" t="inlineStr">
        <is>
          <t>DIL_EM-10-G</t>
        </is>
      </c>
      <c r="F5878" t="inlineStr">
        <is>
          <t>#KALK!</t>
        </is>
      </c>
      <c r="G5878" t="inlineStr">
        <is>
          <t>LASTSCHUETZ</t>
        </is>
      </c>
      <c r="H5878" t="inlineStr">
        <is>
          <t>4kW 1S</t>
        </is>
      </c>
      <c r="I5878">
        <v>439</v>
      </c>
      <c r="J5878">
        <f>GS01/276.6</f>
        <v>0</v>
      </c>
      <c r="M5878" t="inlineStr">
        <is>
          <t>-276K52.6</t>
        </is>
      </c>
    </row>
    <row r="5879">
      <c r="A5879">
        <v>5878</v>
      </c>
      <c r="B5879">
        <f>GS01</f>
        <v>0</v>
      </c>
      <c r="C5879" t="inlineStr">
        <is>
          <t>+LS6</t>
        </is>
      </c>
      <c r="D5879" t="inlineStr">
        <is>
          <t>-276K52.7</t>
        </is>
      </c>
      <c r="E5879" t="inlineStr">
        <is>
          <t>DIL_EM-10-G</t>
        </is>
      </c>
      <c r="F5879" t="inlineStr">
        <is>
          <t>#KALK!</t>
        </is>
      </c>
      <c r="G5879" t="inlineStr">
        <is>
          <t>LASTSCHUETZ</t>
        </is>
      </c>
      <c r="H5879" t="inlineStr">
        <is>
          <t>4kW 1S</t>
        </is>
      </c>
      <c r="I5879">
        <v>439</v>
      </c>
      <c r="J5879">
        <f>GS01/276.6</f>
        <v>0</v>
      </c>
      <c r="M5879" t="inlineStr">
        <is>
          <t>-276K52.7</t>
        </is>
      </c>
    </row>
    <row r="5880">
      <c r="A5880">
        <v>5879</v>
      </c>
      <c r="B5880">
        <f>GS04</f>
        <v>0</v>
      </c>
      <c r="C5880" t="inlineStr">
        <is>
          <t>+LS6</t>
        </is>
      </c>
      <c r="D5880" t="inlineStr">
        <is>
          <t>-276K55.0</t>
        </is>
      </c>
      <c r="E5880" t="inlineStr">
        <is>
          <t>DIL_EM-10-G</t>
        </is>
      </c>
      <c r="F5880" t="inlineStr">
        <is>
          <t>#KALK!</t>
        </is>
      </c>
      <c r="G5880" t="inlineStr">
        <is>
          <t>LASTSCHUETZ</t>
        </is>
      </c>
      <c r="H5880" t="inlineStr">
        <is>
          <t>4kW 1S</t>
        </is>
      </c>
      <c r="I5880">
        <v>527</v>
      </c>
      <c r="J5880">
        <f>GS04/276.6</f>
        <v>0</v>
      </c>
      <c r="M5880" t="inlineStr">
        <is>
          <t>-276K55.0</t>
        </is>
      </c>
    </row>
    <row r="5881">
      <c r="A5881">
        <v>5880</v>
      </c>
      <c r="B5881">
        <f>GC03</f>
        <v>0</v>
      </c>
      <c r="C5881" t="inlineStr">
        <is>
          <t>+LS7</t>
        </is>
      </c>
      <c r="D5881" t="inlineStr">
        <is>
          <t>-276K74.7</t>
        </is>
      </c>
      <c r="E5881" t="inlineStr">
        <is>
          <t>DIL_ER-22-G</t>
        </is>
      </c>
      <c r="F5881" t="inlineStr">
        <is>
          <t>#KALK!</t>
        </is>
      </c>
      <c r="G5881" t="inlineStr">
        <is>
          <t>HILFSSCHUETZ</t>
        </is>
      </c>
      <c r="H5881" t="inlineStr">
        <is>
          <t>2S 2OE</t>
        </is>
      </c>
      <c r="I5881">
        <v>3373</v>
      </c>
      <c r="J5881">
        <f>GC03/276.7</f>
        <v>0</v>
      </c>
      <c r="M5881" t="inlineStr">
        <is>
          <t>-276K74.7</t>
        </is>
      </c>
    </row>
    <row r="5882">
      <c r="A5882">
        <v>5881</v>
      </c>
      <c r="B5882">
        <f>GS23</f>
        <v>0</v>
      </c>
      <c r="C5882" t="inlineStr">
        <is>
          <t>+LS5</t>
        </is>
      </c>
      <c r="D5882" t="inlineStr">
        <is>
          <t>-276K85.3</t>
        </is>
      </c>
      <c r="E5882" t="inlineStr">
        <is>
          <t>DIL_EM-10-G</t>
        </is>
      </c>
      <c r="F5882" t="inlineStr">
        <is>
          <t>#KALK!</t>
        </is>
      </c>
      <c r="G5882" t="inlineStr">
        <is>
          <t>LASTSCHUETZ</t>
        </is>
      </c>
      <c r="H5882" t="inlineStr">
        <is>
          <t>4kW 1S</t>
        </is>
      </c>
      <c r="I5882">
        <v>577</v>
      </c>
      <c r="J5882">
        <f>GS23/276.7</f>
        <v>0</v>
      </c>
      <c r="M5882" t="inlineStr">
        <is>
          <t>-276K85.3</t>
        </is>
      </c>
    </row>
    <row r="5883">
      <c r="A5883">
        <v>5882</v>
      </c>
      <c r="B5883">
        <f>GS90</f>
        <v>0</v>
      </c>
      <c r="C5883" t="inlineStr">
        <is>
          <t>+LS04</t>
        </is>
      </c>
      <c r="D5883" t="inlineStr">
        <is>
          <t>-276Q175.6</t>
        </is>
      </c>
      <c r="E5883" t="inlineStr">
        <is>
          <t>DILM-9-10</t>
        </is>
      </c>
      <c r="F5883" t="inlineStr">
        <is>
          <t>#KALK!</t>
        </is>
      </c>
      <c r="G5883" t="inlineStr">
        <is>
          <t>LASTSCHUETZ</t>
        </is>
      </c>
      <c r="H5883" t="inlineStr">
        <is>
          <t>4kW 1S Federzugkl.</t>
        </is>
      </c>
      <c r="I5883">
        <v>968</v>
      </c>
      <c r="J5883">
        <f>GS90/276.5</f>
        <v>0</v>
      </c>
      <c r="M5883" t="inlineStr">
        <is>
          <t>-276Q175.6</t>
        </is>
      </c>
    </row>
    <row r="5884">
      <c r="A5884">
        <v>5883</v>
      </c>
      <c r="B5884">
        <f>GS93</f>
        <v>0</v>
      </c>
      <c r="C5884" t="inlineStr">
        <is>
          <t>+LS04</t>
        </is>
      </c>
      <c r="D5884" t="inlineStr">
        <is>
          <t>-276Q183.1</t>
        </is>
      </c>
      <c r="E5884" t="inlineStr">
        <is>
          <t>DILM-9-10</t>
        </is>
      </c>
      <c r="F5884" t="inlineStr">
        <is>
          <t>DILA-XHI22</t>
        </is>
      </c>
      <c r="G5884" t="inlineStr">
        <is>
          <t>LASTSCHUETZ</t>
        </is>
      </c>
      <c r="H5884" t="inlineStr">
        <is>
          <t>4kW 1S Federzugkl.</t>
        </is>
      </c>
      <c r="I5884">
        <v>830</v>
      </c>
      <c r="J5884">
        <f>GS93/276.5</f>
        <v>0</v>
      </c>
      <c r="M5884" t="inlineStr">
        <is>
          <t>-276Q183.1</t>
        </is>
      </c>
    </row>
    <row r="5885">
      <c r="A5885">
        <v>5884</v>
      </c>
      <c r="B5885">
        <f>GS93</f>
        <v>0</v>
      </c>
      <c r="C5885" t="inlineStr">
        <is>
          <t>+LS04</t>
        </is>
      </c>
      <c r="D5885" t="inlineStr">
        <is>
          <t>-276Q183.1</t>
        </is>
      </c>
      <c r="E5885" t="inlineStr">
        <is>
          <t>DILA-XHI22</t>
        </is>
      </c>
      <c r="F5885" t="inlineStr">
        <is>
          <t>DILA-XHI22</t>
        </is>
      </c>
      <c r="G5885" t="inlineStr">
        <is>
          <t>HILFSKONTAKTBLOCK</t>
        </is>
      </c>
      <c r="H5885" t="inlineStr">
        <is>
          <t>2S 2OE Last+Hilfssch. Cage</t>
        </is>
      </c>
      <c r="I5885">
        <v>830</v>
      </c>
      <c r="J5885">
        <f>GS93/276.5</f>
        <v>0</v>
      </c>
      <c r="M5885" t="inlineStr">
        <is>
          <t>-276Q183.1</t>
        </is>
      </c>
    </row>
    <row r="5886">
      <c r="A5886">
        <v>5885</v>
      </c>
      <c r="B5886">
        <f>GS93</f>
        <v>0</v>
      </c>
      <c r="C5886" t="inlineStr">
        <is>
          <t>+LS04</t>
        </is>
      </c>
      <c r="D5886" t="inlineStr">
        <is>
          <t>-276Q183.2</t>
        </is>
      </c>
      <c r="E5886" t="inlineStr">
        <is>
          <t>DILM-9-10</t>
        </is>
      </c>
      <c r="F5886" t="inlineStr">
        <is>
          <t>DILA-XHI22</t>
        </is>
      </c>
      <c r="G5886" t="inlineStr">
        <is>
          <t>LASTSCHUETZ</t>
        </is>
      </c>
      <c r="H5886" t="inlineStr">
        <is>
          <t>4kW 1S Federzugkl.</t>
        </is>
      </c>
      <c r="I5886">
        <v>830</v>
      </c>
      <c r="J5886">
        <f>GS93/276.6</f>
        <v>0</v>
      </c>
      <c r="M5886" t="inlineStr">
        <is>
          <t>-276Q183.2</t>
        </is>
      </c>
    </row>
    <row r="5887">
      <c r="A5887">
        <v>5886</v>
      </c>
      <c r="B5887">
        <f>GS93</f>
        <v>0</v>
      </c>
      <c r="C5887" t="inlineStr">
        <is>
          <t>+LS04</t>
        </is>
      </c>
      <c r="D5887" t="inlineStr">
        <is>
          <t>-276Q183.2</t>
        </is>
      </c>
      <c r="E5887" t="inlineStr">
        <is>
          <t>DILA-XHI22</t>
        </is>
      </c>
      <c r="F5887" t="inlineStr">
        <is>
          <t>DILA-XHI22</t>
        </is>
      </c>
      <c r="G5887" t="inlineStr">
        <is>
          <t>HILFSKONTAKTBLOCK</t>
        </is>
      </c>
      <c r="H5887" t="inlineStr">
        <is>
          <t>2S 2OE Last+Hilfssch. Cage</t>
        </is>
      </c>
      <c r="I5887">
        <v>830</v>
      </c>
      <c r="J5887">
        <f>GS93/276.6</f>
        <v>0</v>
      </c>
      <c r="M5887" t="inlineStr">
        <is>
          <t>-276Q183.2</t>
        </is>
      </c>
    </row>
    <row r="5888">
      <c r="A5888">
        <v>5887</v>
      </c>
      <c r="B5888">
        <f>GS53</f>
        <v>0</v>
      </c>
      <c r="C5888" t="inlineStr">
        <is>
          <t>+LS11</t>
        </is>
      </c>
      <c r="D5888" t="inlineStr">
        <is>
          <t>-276Q407.4</t>
        </is>
      </c>
      <c r="E5888" t="inlineStr">
        <is>
          <t>DILM-9-10</t>
        </is>
      </c>
      <c r="F5888" t="inlineStr">
        <is>
          <t>#KALK!</t>
        </is>
      </c>
      <c r="G5888" t="inlineStr">
        <is>
          <t>LASTSCHUETZ</t>
        </is>
      </c>
      <c r="H5888" t="inlineStr">
        <is>
          <t>4kW 1S Federzugkl.</t>
        </is>
      </c>
      <c r="I5888">
        <v>396</v>
      </c>
      <c r="J5888">
        <f>GS53/276.6</f>
        <v>0</v>
      </c>
      <c r="K5888" t="inlineStr">
        <is>
          <t>DIL MC9</t>
        </is>
      </c>
      <c r="M5888" t="inlineStr">
        <is>
          <t>-276Q407.4</t>
        </is>
      </c>
    </row>
    <row r="5889">
      <c r="A5889">
        <v>5888</v>
      </c>
      <c r="B5889">
        <f>GS38</f>
        <v>0</v>
      </c>
      <c r="C5889" t="inlineStr">
        <is>
          <t>+LS05</t>
        </is>
      </c>
      <c r="D5889" t="inlineStr">
        <is>
          <t>-276Q415.2</t>
        </is>
      </c>
      <c r="E5889" t="inlineStr">
        <is>
          <t>DILM-9-10</t>
        </is>
      </c>
      <c r="F5889" t="inlineStr">
        <is>
          <t>#KALK!</t>
        </is>
      </c>
      <c r="G5889" t="inlineStr">
        <is>
          <t>LASTSCHUETZ</t>
        </is>
      </c>
      <c r="H5889" t="inlineStr">
        <is>
          <t>4kW 1S Federzugkl.</t>
        </is>
      </c>
      <c r="I5889">
        <v>446</v>
      </c>
      <c r="J5889">
        <f>GS38/276.5</f>
        <v>0</v>
      </c>
      <c r="M5889" t="inlineStr">
        <is>
          <t>-276Q415.2</t>
        </is>
      </c>
    </row>
    <row r="5890">
      <c r="A5890">
        <v>5889</v>
      </c>
      <c r="B5890">
        <f>GS39</f>
        <v>0</v>
      </c>
      <c r="C5890" t="inlineStr">
        <is>
          <t>+LS05</t>
        </is>
      </c>
      <c r="D5890" t="inlineStr">
        <is>
          <t>-276Q415.2</t>
        </is>
      </c>
      <c r="E5890" t="inlineStr">
        <is>
          <t>DILM-9-10</t>
        </is>
      </c>
      <c r="F5890" t="inlineStr">
        <is>
          <t>#KALK!</t>
        </is>
      </c>
      <c r="G5890" t="inlineStr">
        <is>
          <t>LASTSCHUETZ</t>
        </is>
      </c>
      <c r="H5890" t="inlineStr">
        <is>
          <t>4kW 1S Federzugkl.</t>
        </is>
      </c>
      <c r="I5890">
        <v>441</v>
      </c>
      <c r="J5890">
        <f>GS39/276.5</f>
        <v>0</v>
      </c>
      <c r="M5890" t="inlineStr">
        <is>
          <t>-276Q415.2</t>
        </is>
      </c>
    </row>
    <row r="5891">
      <c r="A5891">
        <v>5890</v>
      </c>
      <c r="B5891">
        <f>GS35</f>
        <v>0</v>
      </c>
      <c r="C5891" t="inlineStr">
        <is>
          <t>+LS06</t>
        </is>
      </c>
      <c r="D5891" t="inlineStr">
        <is>
          <t>-276Q430.6</t>
        </is>
      </c>
      <c r="E5891" t="inlineStr">
        <is>
          <t>DILM-9-10</t>
        </is>
      </c>
      <c r="F5891" t="inlineStr">
        <is>
          <t>#KALK!</t>
        </is>
      </c>
      <c r="G5891" t="inlineStr">
        <is>
          <t>LASTSCHUETZ</t>
        </is>
      </c>
      <c r="H5891" t="inlineStr">
        <is>
          <t>4kW 1S Federzugkl.</t>
        </is>
      </c>
      <c r="I5891">
        <v>435</v>
      </c>
      <c r="J5891">
        <f>GS35/276.6</f>
        <v>0</v>
      </c>
      <c r="M5891" t="inlineStr">
        <is>
          <t>-276Q430.6</t>
        </is>
      </c>
    </row>
    <row r="5892">
      <c r="A5892">
        <v>5891</v>
      </c>
      <c r="B5892">
        <f>GS94</f>
        <v>0</v>
      </c>
      <c r="C5892" t="inlineStr">
        <is>
          <t>+LS18</t>
        </is>
      </c>
      <c r="D5892" t="inlineStr">
        <is>
          <t>-276Q484.4</t>
        </is>
      </c>
      <c r="E5892" t="inlineStr">
        <is>
          <t>DILM-9-10</t>
        </is>
      </c>
      <c r="F5892" t="inlineStr">
        <is>
          <t>#KALK!</t>
        </is>
      </c>
      <c r="G5892" t="inlineStr">
        <is>
          <t>LASTSCHUETZ</t>
        </is>
      </c>
      <c r="H5892" t="inlineStr">
        <is>
          <t>4kW 1S Federzugkl.</t>
        </is>
      </c>
      <c r="I5892">
        <v>366</v>
      </c>
      <c r="J5892">
        <f>GS94/276.5</f>
        <v>0</v>
      </c>
      <c r="M5892" t="inlineStr">
        <is>
          <t>-276Q484.4</t>
        </is>
      </c>
    </row>
    <row r="5893">
      <c r="A5893">
        <v>5892</v>
      </c>
      <c r="B5893">
        <f>GS96</f>
        <v>0</v>
      </c>
      <c r="C5893" t="inlineStr">
        <is>
          <t>+LS18</t>
        </is>
      </c>
      <c r="D5893" t="inlineStr">
        <is>
          <t>-276Q484.4</t>
        </is>
      </c>
      <c r="E5893" t="inlineStr">
        <is>
          <t>DILM-9-10</t>
        </is>
      </c>
      <c r="F5893" t="inlineStr">
        <is>
          <t>#KALK!</t>
        </is>
      </c>
      <c r="G5893" t="inlineStr">
        <is>
          <t>LASTSCHUETZ</t>
        </is>
      </c>
      <c r="H5893" t="inlineStr">
        <is>
          <t>4kW 1S Federzugkl.</t>
        </is>
      </c>
      <c r="I5893">
        <v>366</v>
      </c>
      <c r="J5893">
        <f>GS96/276.5</f>
        <v>0</v>
      </c>
      <c r="M5893" t="inlineStr">
        <is>
          <t>-276Q484.4</t>
        </is>
      </c>
    </row>
    <row r="5894">
      <c r="A5894">
        <v>5893</v>
      </c>
      <c r="B5894">
        <f>GS95</f>
        <v>0</v>
      </c>
      <c r="C5894" t="inlineStr">
        <is>
          <t>+LS18</t>
        </is>
      </c>
      <c r="D5894" t="inlineStr">
        <is>
          <t>-276Q486.6</t>
        </is>
      </c>
      <c r="E5894" t="inlineStr">
        <is>
          <t>DILM-9-10</t>
        </is>
      </c>
      <c r="F5894" t="inlineStr">
        <is>
          <t>#KALK!</t>
        </is>
      </c>
      <c r="G5894" t="inlineStr">
        <is>
          <t>LASTSCHUETZ</t>
        </is>
      </c>
      <c r="H5894" t="inlineStr">
        <is>
          <t>4kW 1S Federzugkl.</t>
        </is>
      </c>
      <c r="I5894">
        <v>801</v>
      </c>
      <c r="J5894">
        <f>GS95/276.5</f>
        <v>0</v>
      </c>
      <c r="M5894" t="inlineStr">
        <is>
          <t>-276Q486.6</t>
        </is>
      </c>
    </row>
    <row r="5895">
      <c r="A5895">
        <v>5894</v>
      </c>
      <c r="B5895">
        <f>GS97</f>
        <v>0</v>
      </c>
      <c r="C5895" t="inlineStr">
        <is>
          <t>+LS18</t>
        </is>
      </c>
      <c r="D5895" t="inlineStr">
        <is>
          <t>-276Q486.6</t>
        </is>
      </c>
      <c r="E5895" t="inlineStr">
        <is>
          <t>DILM-9-10</t>
        </is>
      </c>
      <c r="F5895" t="inlineStr">
        <is>
          <t>#KALK!</t>
        </is>
      </c>
      <c r="G5895" t="inlineStr">
        <is>
          <t>LASTSCHUETZ</t>
        </is>
      </c>
      <c r="H5895" t="inlineStr">
        <is>
          <t>4kW 1S Federzugkl.</t>
        </is>
      </c>
      <c r="I5895">
        <v>801</v>
      </c>
      <c r="J5895">
        <f>GS97/276.5</f>
        <v>0</v>
      </c>
      <c r="M5895" t="inlineStr">
        <is>
          <t>-276Q486.6</t>
        </is>
      </c>
    </row>
    <row r="5896">
      <c r="A5896">
        <v>5895</v>
      </c>
      <c r="B5896">
        <f>GS11</f>
        <v>0</v>
      </c>
      <c r="C5896" t="inlineStr">
        <is>
          <t>+LS6</t>
        </is>
      </c>
      <c r="D5896" t="inlineStr">
        <is>
          <t>-277K14.1</t>
        </is>
      </c>
      <c r="E5896" t="inlineStr">
        <is>
          <t>DIL_EM-10-G</t>
        </is>
      </c>
      <c r="F5896" t="inlineStr">
        <is>
          <t>#KALK!</t>
        </is>
      </c>
      <c r="G5896" t="inlineStr">
        <is>
          <t>LASTSCHUETZ</t>
        </is>
      </c>
      <c r="H5896" t="inlineStr">
        <is>
          <t>4kW 1S</t>
        </is>
      </c>
      <c r="I5896">
        <v>388</v>
      </c>
      <c r="J5896">
        <f>GS11/277.7</f>
        <v>0</v>
      </c>
      <c r="M5896" t="inlineStr">
        <is>
          <t>-277K14.1</t>
        </is>
      </c>
    </row>
    <row r="5897">
      <c r="A5897">
        <v>5896</v>
      </c>
      <c r="B5897">
        <f>GS21</f>
        <v>0</v>
      </c>
      <c r="C5897" t="inlineStr">
        <is>
          <t>+LS6</t>
        </is>
      </c>
      <c r="D5897" t="inlineStr">
        <is>
          <t>-277K14.1</t>
        </is>
      </c>
      <c r="E5897" t="inlineStr">
        <is>
          <t>DIL_EM-10-G</t>
        </is>
      </c>
      <c r="F5897" t="inlineStr">
        <is>
          <t>#KALK!</t>
        </is>
      </c>
      <c r="G5897" t="inlineStr">
        <is>
          <t>LASTSCHUETZ</t>
        </is>
      </c>
      <c r="H5897" t="inlineStr">
        <is>
          <t>4kW 1S</t>
        </is>
      </c>
      <c r="I5897">
        <v>365</v>
      </c>
      <c r="J5897">
        <f>GS21/277.7</f>
        <v>0</v>
      </c>
      <c r="M5897" t="inlineStr">
        <is>
          <t>-277K14.1</t>
        </is>
      </c>
    </row>
    <row r="5898">
      <c r="A5898">
        <v>5897</v>
      </c>
      <c r="B5898">
        <f>GS33</f>
        <v>0</v>
      </c>
      <c r="C5898" t="inlineStr">
        <is>
          <t>+LS6</t>
        </is>
      </c>
      <c r="D5898" t="inlineStr">
        <is>
          <t>-277K42.0</t>
        </is>
      </c>
      <c r="E5898" t="inlineStr">
        <is>
          <t>DIL_EM-10-G</t>
        </is>
      </c>
      <c r="F5898" t="inlineStr">
        <is>
          <t>#KALK!</t>
        </is>
      </c>
      <c r="G5898" t="inlineStr">
        <is>
          <t>LASTSCHUETZ</t>
        </is>
      </c>
      <c r="H5898" t="inlineStr">
        <is>
          <t>4kW 1S</t>
        </is>
      </c>
      <c r="I5898">
        <v>724</v>
      </c>
      <c r="J5898">
        <f>GS33/277.6</f>
        <v>0</v>
      </c>
      <c r="M5898" t="inlineStr">
        <is>
          <t>-277K42.0</t>
        </is>
      </c>
    </row>
    <row r="5899">
      <c r="A5899">
        <v>5898</v>
      </c>
      <c r="B5899">
        <f>GS33</f>
        <v>0</v>
      </c>
      <c r="C5899" t="inlineStr">
        <is>
          <t>+LS6</t>
        </is>
      </c>
      <c r="D5899" t="inlineStr">
        <is>
          <t>-277K42.1</t>
        </is>
      </c>
      <c r="E5899" t="inlineStr">
        <is>
          <t>DIL_EM-10-G</t>
        </is>
      </c>
      <c r="F5899" t="inlineStr">
        <is>
          <t>#KALK!</t>
        </is>
      </c>
      <c r="G5899" t="inlineStr">
        <is>
          <t>LASTSCHUETZ</t>
        </is>
      </c>
      <c r="H5899" t="inlineStr">
        <is>
          <t>4kW 1S</t>
        </is>
      </c>
      <c r="I5899">
        <v>724</v>
      </c>
      <c r="J5899">
        <f>GS33/277.6</f>
        <v>0</v>
      </c>
      <c r="M5899" t="inlineStr">
        <is>
          <t>-277K42.1</t>
        </is>
      </c>
    </row>
    <row r="5900">
      <c r="A5900">
        <v>5899</v>
      </c>
      <c r="B5900">
        <f>GS02</f>
        <v>0</v>
      </c>
      <c r="C5900" t="inlineStr">
        <is>
          <t>+LS5</t>
        </is>
      </c>
      <c r="D5900" t="inlineStr">
        <is>
          <t>-277K46.7</t>
        </is>
      </c>
      <c r="E5900" t="inlineStr">
        <is>
          <t>DIL_EM-10-G</t>
        </is>
      </c>
      <c r="F5900" t="inlineStr">
        <is>
          <t>#KALK!</t>
        </is>
      </c>
      <c r="G5900" t="inlineStr">
        <is>
          <t>LASTSCHUETZ</t>
        </is>
      </c>
      <c r="H5900" t="inlineStr">
        <is>
          <t>4kW 1S</t>
        </is>
      </c>
      <c r="I5900">
        <v>683</v>
      </c>
      <c r="J5900">
        <f>GS02/277.7</f>
        <v>0</v>
      </c>
      <c r="M5900" t="inlineStr">
        <is>
          <t>-277K46.7</t>
        </is>
      </c>
    </row>
    <row r="5901">
      <c r="A5901">
        <v>5900</v>
      </c>
      <c r="B5901">
        <f>GS01</f>
        <v>0</v>
      </c>
      <c r="C5901" t="inlineStr">
        <is>
          <t>+LS6</t>
        </is>
      </c>
      <c r="D5901" t="inlineStr">
        <is>
          <t>-277K53.3</t>
        </is>
      </c>
      <c r="E5901" t="inlineStr">
        <is>
          <t>DIL_EM-10-G</t>
        </is>
      </c>
      <c r="F5901" t="inlineStr">
        <is>
          <t>#KALK!</t>
        </is>
      </c>
      <c r="G5901" t="inlineStr">
        <is>
          <t>LASTSCHUETZ</t>
        </is>
      </c>
      <c r="H5901" t="inlineStr">
        <is>
          <t>4kW 1S</t>
        </is>
      </c>
      <c r="I5901">
        <v>440</v>
      </c>
      <c r="J5901">
        <f>GS01/277.7</f>
        <v>0</v>
      </c>
      <c r="M5901" t="inlineStr">
        <is>
          <t>-277K53.3</t>
        </is>
      </c>
    </row>
    <row r="5902">
      <c r="A5902">
        <v>5901</v>
      </c>
      <c r="B5902">
        <f>GS04</f>
        <v>0</v>
      </c>
      <c r="C5902" t="inlineStr">
        <is>
          <t>+LS6</t>
        </is>
      </c>
      <c r="D5902" t="inlineStr">
        <is>
          <t>-277K55.1</t>
        </is>
      </c>
      <c r="E5902" t="inlineStr">
        <is>
          <t>DIL_EM-10-G</t>
        </is>
      </c>
      <c r="F5902" t="inlineStr">
        <is>
          <t>#KALK!</t>
        </is>
      </c>
      <c r="G5902" t="inlineStr">
        <is>
          <t>LASTSCHUETZ</t>
        </is>
      </c>
      <c r="H5902" t="inlineStr">
        <is>
          <t>4kW 1S</t>
        </is>
      </c>
      <c r="I5902">
        <v>528</v>
      </c>
      <c r="J5902">
        <f>GS04/277.6</f>
        <v>0</v>
      </c>
      <c r="M5902" t="inlineStr">
        <is>
          <t>-277K55.1</t>
        </is>
      </c>
    </row>
    <row r="5903">
      <c r="A5903">
        <v>5902</v>
      </c>
      <c r="B5903">
        <f>GS04</f>
        <v>0</v>
      </c>
      <c r="C5903" t="inlineStr">
        <is>
          <t>+LS6</t>
        </is>
      </c>
      <c r="D5903" t="inlineStr">
        <is>
          <t>-277K55.2</t>
        </is>
      </c>
      <c r="E5903" t="inlineStr">
        <is>
          <t>DIL_EM-10-G</t>
        </is>
      </c>
      <c r="F5903" t="inlineStr">
        <is>
          <t>#KALK!</t>
        </is>
      </c>
      <c r="G5903" t="inlineStr">
        <is>
          <t>LASTSCHUETZ</t>
        </is>
      </c>
      <c r="H5903" t="inlineStr">
        <is>
          <t>4kW 1S</t>
        </is>
      </c>
      <c r="I5903">
        <v>528</v>
      </c>
      <c r="J5903">
        <f>GS04/277.6</f>
        <v>0</v>
      </c>
      <c r="M5903" t="inlineStr">
        <is>
          <t>-277K55.2</t>
        </is>
      </c>
    </row>
    <row r="5904">
      <c r="A5904">
        <v>5903</v>
      </c>
      <c r="B5904">
        <f>GC03</f>
        <v>0</v>
      </c>
      <c r="C5904" t="inlineStr">
        <is>
          <t>+LS7</t>
        </is>
      </c>
      <c r="D5904" t="inlineStr">
        <is>
          <t>-277K75.4</t>
        </is>
      </c>
      <c r="E5904" t="inlineStr">
        <is>
          <t>DIL_EM-10-G</t>
        </is>
      </c>
      <c r="F5904" t="inlineStr">
        <is>
          <t>#KALK!</t>
        </is>
      </c>
      <c r="G5904" t="inlineStr">
        <is>
          <t>LASTSCHUETZ</t>
        </is>
      </c>
      <c r="H5904" t="inlineStr">
        <is>
          <t>4kW 1S</t>
        </is>
      </c>
      <c r="I5904">
        <v>3374</v>
      </c>
      <c r="J5904">
        <f>GC03/277.7</f>
        <v>0</v>
      </c>
      <c r="M5904" t="inlineStr">
        <is>
          <t>-277K75.4</t>
        </is>
      </c>
    </row>
    <row r="5905">
      <c r="A5905">
        <v>5904</v>
      </c>
      <c r="B5905">
        <f>GS51</f>
        <v>0</v>
      </c>
      <c r="C5905" t="inlineStr">
        <is>
          <t>+LS03</t>
        </is>
      </c>
      <c r="D5905" t="inlineStr">
        <is>
          <t>-277Q133.2</t>
        </is>
      </c>
      <c r="E5905" t="inlineStr">
        <is>
          <t>DILM-9-10</t>
        </is>
      </c>
      <c r="F5905" t="inlineStr">
        <is>
          <t>#KALK!</t>
        </is>
      </c>
      <c r="G5905" t="inlineStr">
        <is>
          <t>LASTSCHUETZ</t>
        </is>
      </c>
      <c r="H5905" t="inlineStr">
        <is>
          <t>4kW 1S Federzugkl.</t>
        </is>
      </c>
      <c r="I5905">
        <v>462</v>
      </c>
      <c r="J5905">
        <f>GS51/277.6</f>
        <v>0</v>
      </c>
      <c r="K5905" t="inlineStr">
        <is>
          <t>DIL MC9</t>
        </is>
      </c>
      <c r="M5905" t="inlineStr">
        <is>
          <t>-277Q133.2</t>
        </is>
      </c>
    </row>
    <row r="5906">
      <c r="A5906">
        <v>5905</v>
      </c>
      <c r="B5906">
        <f>GS91</f>
        <v>0</v>
      </c>
      <c r="C5906" t="inlineStr">
        <is>
          <t>+LS04</t>
        </is>
      </c>
      <c r="D5906" t="inlineStr">
        <is>
          <t>-277Q170.5</t>
        </is>
      </c>
      <c r="E5906" t="inlineStr">
        <is>
          <t>DILM-9-10</t>
        </is>
      </c>
      <c r="F5906" t="inlineStr">
        <is>
          <t>#KALK!</t>
        </is>
      </c>
      <c r="G5906" t="inlineStr">
        <is>
          <t>LASTSCHUETZ</t>
        </is>
      </c>
      <c r="H5906" t="inlineStr">
        <is>
          <t>4kW 1S Federzugkl.</t>
        </is>
      </c>
      <c r="I5906">
        <v>425</v>
      </c>
      <c r="J5906">
        <f>GS91/277.5</f>
        <v>0</v>
      </c>
      <c r="M5906" t="inlineStr">
        <is>
          <t>-277Q170.5</t>
        </is>
      </c>
    </row>
    <row r="5907">
      <c r="A5907">
        <v>5906</v>
      </c>
      <c r="B5907">
        <f>GS90</f>
        <v>0</v>
      </c>
      <c r="C5907" t="inlineStr">
        <is>
          <t>+LS04</t>
        </is>
      </c>
      <c r="D5907" t="inlineStr">
        <is>
          <t>-277Q175.7</t>
        </is>
      </c>
      <c r="E5907" t="inlineStr">
        <is>
          <t>DILM-9-10</t>
        </is>
      </c>
      <c r="F5907" t="inlineStr">
        <is>
          <t>#KALK!</t>
        </is>
      </c>
      <c r="G5907" t="inlineStr">
        <is>
          <t>LASTSCHUETZ</t>
        </is>
      </c>
      <c r="H5907" t="inlineStr">
        <is>
          <t>4kW 1S Federzugkl.</t>
        </is>
      </c>
      <c r="I5907">
        <v>967</v>
      </c>
      <c r="J5907">
        <f>GS90/277.5</f>
        <v>0</v>
      </c>
      <c r="M5907" t="inlineStr">
        <is>
          <t>-277Q175.7</t>
        </is>
      </c>
    </row>
    <row r="5908">
      <c r="A5908">
        <v>5907</v>
      </c>
      <c r="B5908">
        <f>GS93</f>
        <v>0</v>
      </c>
      <c r="C5908" t="inlineStr">
        <is>
          <t>+LS04</t>
        </is>
      </c>
      <c r="D5908" t="inlineStr">
        <is>
          <t>-277Q183.3</t>
        </is>
      </c>
      <c r="E5908" t="inlineStr">
        <is>
          <t>DILM-9-10</t>
        </is>
      </c>
      <c r="F5908" t="inlineStr">
        <is>
          <t>#KALK!</t>
        </is>
      </c>
      <c r="G5908" t="inlineStr">
        <is>
          <t>LASTSCHUETZ</t>
        </is>
      </c>
      <c r="H5908" t="inlineStr">
        <is>
          <t>4kW 1S Federzugkl.</t>
        </is>
      </c>
      <c r="I5908">
        <v>831</v>
      </c>
      <c r="J5908">
        <f>GS93/277.5</f>
        <v>0</v>
      </c>
      <c r="M5908" t="inlineStr">
        <is>
          <t>-277Q183.3</t>
        </is>
      </c>
    </row>
    <row r="5909">
      <c r="A5909">
        <v>5908</v>
      </c>
      <c r="B5909">
        <f>GS08</f>
        <v>0</v>
      </c>
      <c r="C5909" t="inlineStr">
        <is>
          <t>+LS04</t>
        </is>
      </c>
      <c r="D5909" t="inlineStr">
        <is>
          <t>-277Q225.5</t>
        </is>
      </c>
      <c r="E5909" t="inlineStr">
        <is>
          <t>DILM-9-01</t>
        </is>
      </c>
      <c r="F5909" t="inlineStr">
        <is>
          <t>#KALK!</t>
        </is>
      </c>
      <c r="G5909" t="inlineStr">
        <is>
          <t>LASTSCHUETZ</t>
        </is>
      </c>
      <c r="H5909" t="inlineStr">
        <is>
          <t>4kW 1Oe Federzugkl.</t>
        </is>
      </c>
      <c r="I5909">
        <v>847</v>
      </c>
      <c r="J5909">
        <f>GS08/277.6</f>
        <v>0</v>
      </c>
      <c r="M5909" t="inlineStr">
        <is>
          <t>-277Q225.5</t>
        </is>
      </c>
    </row>
    <row r="5910">
      <c r="A5910">
        <v>5909</v>
      </c>
      <c r="B5910">
        <f>GS95</f>
        <v>0</v>
      </c>
      <c r="C5910" t="inlineStr">
        <is>
          <t>+LS18</t>
        </is>
      </c>
      <c r="D5910" t="inlineStr">
        <is>
          <t>-277Q486.7</t>
        </is>
      </c>
      <c r="E5910" t="inlineStr">
        <is>
          <t>DILM-9-10</t>
        </is>
      </c>
      <c r="F5910" t="inlineStr">
        <is>
          <t>#KALK!</t>
        </is>
      </c>
      <c r="G5910" t="inlineStr">
        <is>
          <t>LASTSCHUETZ</t>
        </is>
      </c>
      <c r="H5910" t="inlineStr">
        <is>
          <t>4kW 1S Federzugkl.</t>
        </is>
      </c>
      <c r="I5910">
        <v>712</v>
      </c>
      <c r="J5910">
        <f>GS95/277.5</f>
        <v>0</v>
      </c>
      <c r="M5910" t="inlineStr">
        <is>
          <t>-277Q486.7</t>
        </is>
      </c>
    </row>
    <row r="5911">
      <c r="A5911">
        <v>5910</v>
      </c>
      <c r="B5911">
        <f>GS97</f>
        <v>0</v>
      </c>
      <c r="C5911" t="inlineStr">
        <is>
          <t>+LS18</t>
        </is>
      </c>
      <c r="D5911" t="inlineStr">
        <is>
          <t>-277Q486.7</t>
        </is>
      </c>
      <c r="E5911" t="inlineStr">
        <is>
          <t>DILM-9-10</t>
        </is>
      </c>
      <c r="F5911" t="inlineStr">
        <is>
          <t>#KALK!</t>
        </is>
      </c>
      <c r="G5911" t="inlineStr">
        <is>
          <t>LASTSCHUETZ</t>
        </is>
      </c>
      <c r="H5911" t="inlineStr">
        <is>
          <t>4kW 1S Federzugkl.</t>
        </is>
      </c>
      <c r="I5911">
        <v>712</v>
      </c>
      <c r="J5911">
        <f>GS97/277.5</f>
        <v>0</v>
      </c>
      <c r="M5911" t="inlineStr">
        <is>
          <t>-277Q486.7</t>
        </is>
      </c>
    </row>
    <row r="5912">
      <c r="A5912">
        <v>5911</v>
      </c>
      <c r="B5912">
        <f>GS21</f>
        <v>0</v>
      </c>
      <c r="C5912" t="inlineStr">
        <is>
          <t>+LS6</t>
        </is>
      </c>
      <c r="D5912" t="inlineStr">
        <is>
          <t>-278K14.2</t>
        </is>
      </c>
      <c r="E5912" t="inlineStr">
        <is>
          <t>DIL_EM-10-G</t>
        </is>
      </c>
      <c r="F5912" t="inlineStr">
        <is>
          <t>#KALK!</t>
        </is>
      </c>
      <c r="G5912" t="inlineStr">
        <is>
          <t>LASTSCHUETZ</t>
        </is>
      </c>
      <c r="H5912" t="inlineStr">
        <is>
          <t>4kW 1S</t>
        </is>
      </c>
      <c r="I5912">
        <v>366</v>
      </c>
      <c r="J5912">
        <f>GS21/278.6</f>
        <v>0</v>
      </c>
      <c r="M5912" t="inlineStr">
        <is>
          <t>-278K14.2</t>
        </is>
      </c>
    </row>
    <row r="5913">
      <c r="A5913">
        <v>5912</v>
      </c>
      <c r="B5913">
        <f>GS36</f>
        <v>0</v>
      </c>
      <c r="C5913" t="inlineStr">
        <is>
          <t>+LS06</t>
        </is>
      </c>
      <c r="D5913" t="inlineStr">
        <is>
          <t>-298K2</t>
        </is>
      </c>
      <c r="E5913" t="inlineStr">
        <is>
          <t>DILM-9-01</t>
        </is>
      </c>
      <c r="F5913" t="inlineStr">
        <is>
          <t>#KALK!</t>
        </is>
      </c>
      <c r="G5913" t="inlineStr">
        <is>
          <t>LASTSCHUETZ</t>
        </is>
      </c>
      <c r="H5913" t="inlineStr">
        <is>
          <t>4kW 1Oe Federzugkl.</t>
        </is>
      </c>
      <c r="I5913">
        <v>471</v>
      </c>
      <c r="J5913">
        <f>GS36/298.7</f>
        <v>0</v>
      </c>
      <c r="L5913" t="inlineStr">
        <is>
          <t>Lichtvorhang KF</t>
        </is>
      </c>
      <c r="M5913" t="inlineStr">
        <is>
          <t>Lichtvorhang KF
-298K2</t>
        </is>
      </c>
    </row>
    <row r="5914">
      <c r="A5914">
        <v>5913</v>
      </c>
      <c r="B5914">
        <f>GS33</f>
        <v>0</v>
      </c>
      <c r="C5914" t="inlineStr">
        <is>
          <t>+LS6</t>
        </is>
      </c>
      <c r="D5914" t="inlineStr">
        <is>
          <t>-278K42.2</t>
        </is>
      </c>
      <c r="E5914" t="inlineStr">
        <is>
          <t>DIL_EM-10-G</t>
        </is>
      </c>
      <c r="F5914" t="inlineStr">
        <is>
          <t>#KALK!</t>
        </is>
      </c>
      <c r="G5914" t="inlineStr">
        <is>
          <t>LASTSCHUETZ</t>
        </is>
      </c>
      <c r="H5914" t="inlineStr">
        <is>
          <t>4kW 1S</t>
        </is>
      </c>
      <c r="I5914">
        <v>725</v>
      </c>
      <c r="J5914">
        <f>GS33/278.6</f>
        <v>0</v>
      </c>
      <c r="M5914" t="inlineStr">
        <is>
          <t>-278K42.2</t>
        </is>
      </c>
    </row>
    <row r="5915">
      <c r="A5915">
        <v>5914</v>
      </c>
      <c r="B5915">
        <f>GS33</f>
        <v>0</v>
      </c>
      <c r="C5915" t="inlineStr">
        <is>
          <t>+LS6</t>
        </is>
      </c>
      <c r="D5915" t="inlineStr">
        <is>
          <t>-278K42.3</t>
        </is>
      </c>
      <c r="E5915" t="inlineStr">
        <is>
          <t>DIL_EM-10-G</t>
        </is>
      </c>
      <c r="F5915" t="inlineStr">
        <is>
          <t>#KALK!</t>
        </is>
      </c>
      <c r="G5915" t="inlineStr">
        <is>
          <t>LASTSCHUETZ</t>
        </is>
      </c>
      <c r="H5915" t="inlineStr">
        <is>
          <t>4kW 1S</t>
        </is>
      </c>
      <c r="I5915">
        <v>725</v>
      </c>
      <c r="J5915">
        <f>GS33/278.6</f>
        <v>0</v>
      </c>
      <c r="M5915" t="inlineStr">
        <is>
          <t>-278K42.3</t>
        </is>
      </c>
    </row>
    <row r="5916">
      <c r="A5916">
        <v>5915</v>
      </c>
      <c r="B5916">
        <f>GS02</f>
        <v>0</v>
      </c>
      <c r="C5916" t="inlineStr">
        <is>
          <t>+LS5</t>
        </is>
      </c>
      <c r="D5916" t="inlineStr">
        <is>
          <t>-278K47.0</t>
        </is>
      </c>
      <c r="E5916" t="inlineStr">
        <is>
          <t>DIL_EM-10-G</t>
        </is>
      </c>
      <c r="F5916" t="inlineStr">
        <is>
          <t>#KALK!</t>
        </is>
      </c>
      <c r="G5916" t="inlineStr">
        <is>
          <t>LASTSCHUETZ</t>
        </is>
      </c>
      <c r="H5916" t="inlineStr">
        <is>
          <t>4kW 1S</t>
        </is>
      </c>
      <c r="I5916">
        <v>684</v>
      </c>
      <c r="J5916">
        <f>GS02/278.6</f>
        <v>0</v>
      </c>
      <c r="M5916" t="inlineStr">
        <is>
          <t>-278K47.0</t>
        </is>
      </c>
    </row>
    <row r="5917">
      <c r="A5917">
        <v>5916</v>
      </c>
      <c r="B5917">
        <f>GS02</f>
        <v>0</v>
      </c>
      <c r="C5917" t="inlineStr">
        <is>
          <t>+LS5</t>
        </is>
      </c>
      <c r="D5917" t="inlineStr">
        <is>
          <t>-278K47.1</t>
        </is>
      </c>
      <c r="E5917" t="inlineStr">
        <is>
          <t>DIL_EM-10-G</t>
        </is>
      </c>
      <c r="F5917" t="inlineStr">
        <is>
          <t>#KALK!</t>
        </is>
      </c>
      <c r="G5917" t="inlineStr">
        <is>
          <t>LASTSCHUETZ</t>
        </is>
      </c>
      <c r="H5917" t="inlineStr">
        <is>
          <t>4kW 1S</t>
        </is>
      </c>
      <c r="I5917">
        <v>684</v>
      </c>
      <c r="J5917">
        <f>GS02/278.6</f>
        <v>0</v>
      </c>
      <c r="M5917" t="inlineStr">
        <is>
          <t>-278K47.1</t>
        </is>
      </c>
    </row>
    <row r="5918">
      <c r="A5918">
        <v>5917</v>
      </c>
      <c r="B5918">
        <f>GS01</f>
        <v>0</v>
      </c>
      <c r="C5918" t="inlineStr">
        <is>
          <t>+LS6</t>
        </is>
      </c>
      <c r="D5918" t="inlineStr">
        <is>
          <t>-278K54.1</t>
        </is>
      </c>
      <c r="E5918" t="inlineStr">
        <is>
          <t>DIL_EM-10-G</t>
        </is>
      </c>
      <c r="F5918" t="inlineStr">
        <is>
          <t>#KALK!</t>
        </is>
      </c>
      <c r="G5918" t="inlineStr">
        <is>
          <t>LASTSCHUETZ</t>
        </is>
      </c>
      <c r="H5918" t="inlineStr">
        <is>
          <t>4kW 1S</t>
        </is>
      </c>
      <c r="I5918">
        <v>441</v>
      </c>
      <c r="J5918">
        <f>GS01/278.7</f>
        <v>0</v>
      </c>
      <c r="M5918" t="inlineStr">
        <is>
          <t>-278K54.1</t>
        </is>
      </c>
    </row>
    <row r="5919">
      <c r="A5919">
        <v>5918</v>
      </c>
      <c r="B5919">
        <f>GS04</f>
        <v>0</v>
      </c>
      <c r="C5919" t="inlineStr">
        <is>
          <t>+LS6</t>
        </is>
      </c>
      <c r="D5919" t="inlineStr">
        <is>
          <t>-278K55.6</t>
        </is>
      </c>
      <c r="E5919" t="inlineStr">
        <is>
          <t>DIL_EM-10-G</t>
        </is>
      </c>
      <c r="F5919" t="inlineStr">
        <is>
          <t>#KALK!</t>
        </is>
      </c>
      <c r="G5919" t="inlineStr">
        <is>
          <t>LASTSCHUETZ</t>
        </is>
      </c>
      <c r="H5919" t="inlineStr">
        <is>
          <t>4kW 1S</t>
        </is>
      </c>
      <c r="I5919">
        <v>529</v>
      </c>
      <c r="J5919">
        <f>GS04/278.7</f>
        <v>0</v>
      </c>
      <c r="M5919" t="inlineStr">
        <is>
          <t>-278K55.6</t>
        </is>
      </c>
    </row>
    <row r="5920">
      <c r="A5920">
        <v>5919</v>
      </c>
      <c r="B5920">
        <f>GC03</f>
        <v>0</v>
      </c>
      <c r="C5920" t="inlineStr">
        <is>
          <t>+LS7</t>
        </is>
      </c>
      <c r="D5920" t="inlineStr">
        <is>
          <t>-278K76.2</t>
        </is>
      </c>
      <c r="E5920" t="inlineStr">
        <is>
          <t>DIL_EM-10-G</t>
        </is>
      </c>
      <c r="F5920" t="inlineStr">
        <is>
          <t>#KALK!</t>
        </is>
      </c>
      <c r="G5920" t="inlineStr">
        <is>
          <t>LASTSCHUETZ</t>
        </is>
      </c>
      <c r="H5920" t="inlineStr">
        <is>
          <t>4kW 1S</t>
        </is>
      </c>
      <c r="I5920">
        <v>3375</v>
      </c>
      <c r="J5920">
        <f>GC03/278.7</f>
        <v>0</v>
      </c>
      <c r="M5920" t="inlineStr">
        <is>
          <t>-278K76.2</t>
        </is>
      </c>
    </row>
    <row r="5921">
      <c r="A5921">
        <v>5920</v>
      </c>
      <c r="B5921">
        <f>GS92</f>
        <v>0</v>
      </c>
      <c r="C5921" t="inlineStr">
        <is>
          <t>+LS04</t>
        </is>
      </c>
      <c r="D5921" t="inlineStr">
        <is>
          <t>-278Q184.2</t>
        </is>
      </c>
      <c r="E5921" t="inlineStr">
        <is>
          <t>DILA-XHI22</t>
        </is>
      </c>
      <c r="F5921" t="inlineStr">
        <is>
          <t>DILA-XHI22</t>
        </is>
      </c>
      <c r="G5921" t="inlineStr">
        <is>
          <t>HILFSKONTAKTBLOCK</t>
        </is>
      </c>
      <c r="H5921" t="inlineStr">
        <is>
          <t>2S 2OE Last+Hilfssch. Cage</t>
        </is>
      </c>
      <c r="I5921">
        <v>425</v>
      </c>
      <c r="J5921">
        <f>GS92/278.5</f>
        <v>0</v>
      </c>
      <c r="M5921" t="inlineStr">
        <is>
          <t>-278Q184.2</t>
        </is>
      </c>
    </row>
    <row r="5922">
      <c r="A5922">
        <v>5921</v>
      </c>
      <c r="B5922">
        <f>GS92</f>
        <v>0</v>
      </c>
      <c r="C5922" t="inlineStr">
        <is>
          <t>+LS04</t>
        </is>
      </c>
      <c r="D5922" t="inlineStr">
        <is>
          <t>-278Q184.2</t>
        </is>
      </c>
      <c r="E5922" t="inlineStr">
        <is>
          <t>DILM-9-10</t>
        </is>
      </c>
      <c r="F5922" t="inlineStr">
        <is>
          <t>DILA-XHI22</t>
        </is>
      </c>
      <c r="G5922" t="inlineStr">
        <is>
          <t>LASTSCHUETZ</t>
        </is>
      </c>
      <c r="H5922" t="inlineStr">
        <is>
          <t>4kW 1S Federzugkl.</t>
        </is>
      </c>
      <c r="I5922">
        <v>425</v>
      </c>
      <c r="J5922">
        <f>GS92/278.5</f>
        <v>0</v>
      </c>
      <c r="M5922" t="inlineStr">
        <is>
          <t>-278Q184.2</t>
        </is>
      </c>
    </row>
    <row r="5923">
      <c r="A5923">
        <v>5922</v>
      </c>
      <c r="B5923">
        <f>GS92</f>
        <v>0</v>
      </c>
      <c r="C5923" t="inlineStr">
        <is>
          <t>+LS04</t>
        </is>
      </c>
      <c r="D5923" t="inlineStr">
        <is>
          <t>-278Q184.3</t>
        </is>
      </c>
      <c r="E5923" t="inlineStr">
        <is>
          <t>DILA-XHI22</t>
        </is>
      </c>
      <c r="F5923" t="inlineStr">
        <is>
          <t>DILA-XHI22</t>
        </is>
      </c>
      <c r="G5923" t="inlineStr">
        <is>
          <t>HILFSKONTAKTBLOCK</t>
        </is>
      </c>
      <c r="H5923" t="inlineStr">
        <is>
          <t>2S 2OE Last+Hilfssch. Cage</t>
        </is>
      </c>
      <c r="I5923">
        <v>425</v>
      </c>
      <c r="J5923">
        <f>GS92/278.6</f>
        <v>0</v>
      </c>
      <c r="M5923" t="inlineStr">
        <is>
          <t>-278Q184.3</t>
        </is>
      </c>
    </row>
    <row r="5924">
      <c r="A5924">
        <v>5923</v>
      </c>
      <c r="B5924">
        <f>GS92</f>
        <v>0</v>
      </c>
      <c r="C5924" t="inlineStr">
        <is>
          <t>+LS04</t>
        </is>
      </c>
      <c r="D5924" t="inlineStr">
        <is>
          <t>-278Q184.3</t>
        </is>
      </c>
      <c r="E5924" t="inlineStr">
        <is>
          <t>DILM-9-10</t>
        </is>
      </c>
      <c r="F5924" t="inlineStr">
        <is>
          <t>DILA-XHI22</t>
        </is>
      </c>
      <c r="G5924" t="inlineStr">
        <is>
          <t>LASTSCHUETZ</t>
        </is>
      </c>
      <c r="H5924" t="inlineStr">
        <is>
          <t>4kW 1S Federzugkl.</t>
        </is>
      </c>
      <c r="I5924">
        <v>425</v>
      </c>
      <c r="J5924">
        <f>GS92/278.6</f>
        <v>0</v>
      </c>
      <c r="M5924" t="inlineStr">
        <is>
          <t>-278Q184.3</t>
        </is>
      </c>
    </row>
    <row r="5925">
      <c r="A5925">
        <v>5924</v>
      </c>
      <c r="B5925">
        <f>GS94</f>
        <v>0</v>
      </c>
      <c r="C5925" t="inlineStr">
        <is>
          <t>+LS18</t>
        </is>
      </c>
      <c r="D5925" t="inlineStr">
        <is>
          <t>-278Q484.5</t>
        </is>
      </c>
      <c r="E5925" t="inlineStr">
        <is>
          <t>DILM-9-10</t>
        </is>
      </c>
      <c r="F5925" t="inlineStr">
        <is>
          <t>#KALK!</t>
        </is>
      </c>
      <c r="G5925" t="inlineStr">
        <is>
          <t>LASTSCHUETZ</t>
        </is>
      </c>
      <c r="H5925" t="inlineStr">
        <is>
          <t>4kW 1S Federzugkl.</t>
        </is>
      </c>
      <c r="I5925">
        <v>368</v>
      </c>
      <c r="J5925">
        <f>GS94/278.5</f>
        <v>0</v>
      </c>
      <c r="M5925" t="inlineStr">
        <is>
          <t>-278Q484.5</t>
        </is>
      </c>
    </row>
    <row r="5926">
      <c r="A5926">
        <v>5925</v>
      </c>
      <c r="B5926">
        <f>GS96</f>
        <v>0</v>
      </c>
      <c r="C5926" t="inlineStr">
        <is>
          <t>+LS18</t>
        </is>
      </c>
      <c r="D5926" t="inlineStr">
        <is>
          <t>-278Q484.5</t>
        </is>
      </c>
      <c r="E5926" t="inlineStr">
        <is>
          <t>DILM-9-10</t>
        </is>
      </c>
      <c r="F5926" t="inlineStr">
        <is>
          <t>#KALK!</t>
        </is>
      </c>
      <c r="G5926" t="inlineStr">
        <is>
          <t>LASTSCHUETZ</t>
        </is>
      </c>
      <c r="H5926" t="inlineStr">
        <is>
          <t>4kW 1S Federzugkl.</t>
        </is>
      </c>
      <c r="I5926">
        <v>368</v>
      </c>
      <c r="J5926">
        <f>GS96/278.5</f>
        <v>0</v>
      </c>
      <c r="M5926" t="inlineStr">
        <is>
          <t>-278Q484.5</t>
        </is>
      </c>
    </row>
    <row r="5927">
      <c r="A5927">
        <v>5926</v>
      </c>
      <c r="B5927">
        <f>GS36</f>
        <v>0</v>
      </c>
      <c r="C5927" t="inlineStr">
        <is>
          <t>+LS06</t>
        </is>
      </c>
      <c r="D5927" t="inlineStr">
        <is>
          <t>-300K1</t>
        </is>
      </c>
      <c r="E5927" t="inlineStr">
        <is>
          <t>DILA-40</t>
        </is>
      </c>
      <c r="F5927" t="inlineStr">
        <is>
          <t>DILA-XHIC40</t>
        </is>
      </c>
      <c r="G5927" t="inlineStr">
        <is>
          <t>HILFSSCHUETZ</t>
        </is>
      </c>
      <c r="H5927" t="inlineStr">
        <is>
          <t>4S Federzugkl.</t>
        </is>
      </c>
      <c r="I5927">
        <v>473</v>
      </c>
      <c r="J5927">
        <f>GS36/300.4</f>
        <v>0</v>
      </c>
      <c r="M5927" t="inlineStr">
        <is>
          <t>-300K1</t>
        </is>
      </c>
    </row>
    <row r="5928">
      <c r="A5928">
        <v>5927</v>
      </c>
      <c r="B5928">
        <f>GS36</f>
        <v>0</v>
      </c>
      <c r="C5928" t="inlineStr">
        <is>
          <t>+LS05</t>
        </is>
      </c>
      <c r="D5928" t="inlineStr">
        <is>
          <t>-279.1Q1</t>
        </is>
      </c>
      <c r="E5928" t="inlineStr">
        <is>
          <t>DILMC25-10(RDC24)</t>
        </is>
      </c>
      <c r="F5928" t="inlineStr">
        <is>
          <t>DILA-XHI22</t>
        </is>
      </c>
      <c r="G5928" t="inlineStr">
        <is>
          <t>LASTSCHUETZ</t>
        </is>
      </c>
      <c r="H5928" t="inlineStr">
        <is>
          <t>11kW 1S Federzugkl.</t>
        </is>
      </c>
      <c r="I5928">
        <v>1360</v>
      </c>
      <c r="J5928">
        <f>GS36/279.1.4</f>
        <v>0</v>
      </c>
      <c r="K5928" t="inlineStr">
        <is>
          <t>DIL MC25</t>
        </is>
      </c>
      <c r="L5928" t="inlineStr">
        <is>
          <t>HVO 01</t>
        </is>
      </c>
      <c r="M5928" t="inlineStr">
        <is>
          <t>HVO 01
-279.1Q1</t>
        </is>
      </c>
      <c r="N5928" t="inlineStr">
        <is>
          <t>P</t>
        </is>
      </c>
    </row>
    <row r="5929">
      <c r="A5929">
        <v>5928</v>
      </c>
      <c r="B5929">
        <f>GS36</f>
        <v>0</v>
      </c>
      <c r="C5929" t="inlineStr">
        <is>
          <t>+LS05</t>
        </is>
      </c>
      <c r="D5929" t="inlineStr">
        <is>
          <t>-279.1Q1</t>
        </is>
      </c>
      <c r="E5929" t="inlineStr">
        <is>
          <t>DILA-XHI22</t>
        </is>
      </c>
      <c r="F5929" t="inlineStr">
        <is>
          <t>DILA-XHI22</t>
        </is>
      </c>
      <c r="G5929" t="inlineStr">
        <is>
          <t>HILFSKONTAKTBLOCK</t>
        </is>
      </c>
      <c r="H5929" t="inlineStr">
        <is>
          <t>2S 2OE Last+Hilfssch. Cage</t>
        </is>
      </c>
      <c r="I5929">
        <v>1360</v>
      </c>
      <c r="J5929">
        <f>GS36/279.1.4</f>
        <v>0</v>
      </c>
      <c r="K5929" t="inlineStr">
        <is>
          <t>DIL MC25</t>
        </is>
      </c>
      <c r="L5929" t="inlineStr">
        <is>
          <t>HVO 01</t>
        </is>
      </c>
      <c r="M5929" t="inlineStr">
        <is>
          <t>HVO 01
-279.1Q1</t>
        </is>
      </c>
      <c r="N5929" t="inlineStr">
        <is>
          <t>P</t>
        </is>
      </c>
    </row>
    <row r="5930">
      <c r="A5930">
        <v>5929</v>
      </c>
      <c r="B5930">
        <f>GS36</f>
        <v>0</v>
      </c>
      <c r="C5930" t="inlineStr">
        <is>
          <t>+LS05</t>
        </is>
      </c>
      <c r="D5930" t="inlineStr">
        <is>
          <t>-279.1Q2</t>
        </is>
      </c>
      <c r="E5930" t="inlineStr">
        <is>
          <t>DILMC25-10(RDC24)</t>
        </is>
      </c>
      <c r="F5930" t="inlineStr">
        <is>
          <t>DILA-XHI22</t>
        </is>
      </c>
      <c r="G5930" t="inlineStr">
        <is>
          <t>LASTSCHUETZ</t>
        </is>
      </c>
      <c r="H5930" t="inlineStr">
        <is>
          <t>11kW 1S Federzugkl.</t>
        </is>
      </c>
      <c r="I5930">
        <v>1360</v>
      </c>
      <c r="J5930">
        <f>GS36/279.1.4</f>
        <v>0</v>
      </c>
      <c r="K5930" t="inlineStr">
        <is>
          <t>DIL MC25</t>
        </is>
      </c>
      <c r="L5930" t="inlineStr">
        <is>
          <t>HVO 01</t>
        </is>
      </c>
      <c r="M5930" t="inlineStr">
        <is>
          <t>HVO 01
-279.1Q2</t>
        </is>
      </c>
      <c r="N5930" t="inlineStr">
        <is>
          <t>P</t>
        </is>
      </c>
    </row>
    <row r="5931">
      <c r="A5931">
        <v>5930</v>
      </c>
      <c r="B5931">
        <f>GS36</f>
        <v>0</v>
      </c>
      <c r="C5931" t="inlineStr">
        <is>
          <t>+LS05</t>
        </is>
      </c>
      <c r="D5931" t="inlineStr">
        <is>
          <t>-279.1Q2</t>
        </is>
      </c>
      <c r="E5931" t="inlineStr">
        <is>
          <t>DILA-XHI22</t>
        </is>
      </c>
      <c r="F5931" t="inlineStr">
        <is>
          <t>DILA-XHI22</t>
        </is>
      </c>
      <c r="G5931" t="inlineStr">
        <is>
          <t>HILFSKONTAKTBLOCK</t>
        </is>
      </c>
      <c r="H5931" t="inlineStr">
        <is>
          <t>2S 2OE Last+Hilfssch. Cage</t>
        </is>
      </c>
      <c r="I5931">
        <v>1360</v>
      </c>
      <c r="J5931">
        <f>GS36/279.1.4</f>
        <v>0</v>
      </c>
      <c r="K5931" t="inlineStr">
        <is>
          <t>DIL MC25</t>
        </is>
      </c>
      <c r="L5931" t="inlineStr">
        <is>
          <t>HVO 01</t>
        </is>
      </c>
      <c r="M5931" t="inlineStr">
        <is>
          <t>HVO 01
-279.1Q2</t>
        </is>
      </c>
      <c r="N5931" t="inlineStr">
        <is>
          <t>P</t>
        </is>
      </c>
    </row>
    <row r="5932">
      <c r="A5932">
        <v>5931</v>
      </c>
      <c r="B5932">
        <f>GS38</f>
        <v>0</v>
      </c>
      <c r="C5932" t="inlineStr">
        <is>
          <t>+LS05</t>
        </is>
      </c>
      <c r="D5932" t="inlineStr">
        <is>
          <t>-279.1Q415.6</t>
        </is>
      </c>
      <c r="E5932" t="inlineStr">
        <is>
          <t>DILM-9-10</t>
        </is>
      </c>
      <c r="F5932" t="inlineStr">
        <is>
          <t>DILA-XHI22</t>
        </is>
      </c>
      <c r="G5932" t="inlineStr">
        <is>
          <t>LASTSCHUETZ</t>
        </is>
      </c>
      <c r="H5932" t="inlineStr">
        <is>
          <t>4kW 1S Federzugkl.</t>
        </is>
      </c>
      <c r="I5932">
        <v>1427</v>
      </c>
      <c r="J5932">
        <f>GS38/279.1.5</f>
        <v>0</v>
      </c>
      <c r="M5932" t="inlineStr">
        <is>
          <t>-279.1Q415.6</t>
        </is>
      </c>
    </row>
    <row r="5933">
      <c r="A5933">
        <v>5932</v>
      </c>
      <c r="B5933">
        <f>GS38</f>
        <v>0</v>
      </c>
      <c r="C5933" t="inlineStr">
        <is>
          <t>+LS05</t>
        </is>
      </c>
      <c r="D5933" t="inlineStr">
        <is>
          <t>-279.1Q415.6</t>
        </is>
      </c>
      <c r="E5933" t="inlineStr">
        <is>
          <t>DILA-XHI22</t>
        </is>
      </c>
      <c r="F5933" t="inlineStr">
        <is>
          <t>DILA-XHI22</t>
        </is>
      </c>
      <c r="G5933" t="inlineStr">
        <is>
          <t>HILFSKONTAKTBLOCK</t>
        </is>
      </c>
      <c r="H5933" t="inlineStr">
        <is>
          <t>2S 2OE Last+Hilfssch. Cage</t>
        </is>
      </c>
      <c r="I5933">
        <v>1427</v>
      </c>
      <c r="J5933">
        <f>GS38/279.1.5</f>
        <v>0</v>
      </c>
      <c r="M5933" t="inlineStr">
        <is>
          <t>-279.1Q415.6</t>
        </is>
      </c>
    </row>
    <row r="5934">
      <c r="A5934">
        <v>5933</v>
      </c>
      <c r="B5934">
        <f>GS39</f>
        <v>0</v>
      </c>
      <c r="C5934" t="inlineStr">
        <is>
          <t>+LS05</t>
        </is>
      </c>
      <c r="D5934" t="inlineStr">
        <is>
          <t>-279.1Q415.6</t>
        </is>
      </c>
      <c r="E5934" t="inlineStr">
        <is>
          <t>DILA-XHI22</t>
        </is>
      </c>
      <c r="F5934" t="inlineStr">
        <is>
          <t>DILA-XHI22</t>
        </is>
      </c>
      <c r="G5934" t="inlineStr">
        <is>
          <t>HILFSKONTAKTBLOCK</t>
        </is>
      </c>
      <c r="H5934" t="inlineStr">
        <is>
          <t>2S 2OE Last+Hilfssch. Cage</t>
        </is>
      </c>
      <c r="I5934">
        <v>445</v>
      </c>
      <c r="J5934">
        <f>GS39/279.1.5</f>
        <v>0</v>
      </c>
      <c r="M5934" t="inlineStr">
        <is>
          <t>-279.1Q415.6</t>
        </is>
      </c>
    </row>
    <row r="5935">
      <c r="A5935">
        <v>5934</v>
      </c>
      <c r="B5935">
        <f>GS39</f>
        <v>0</v>
      </c>
      <c r="C5935" t="inlineStr">
        <is>
          <t>+LS05</t>
        </is>
      </c>
      <c r="D5935" t="inlineStr">
        <is>
          <t>-279.1Q415.6</t>
        </is>
      </c>
      <c r="E5935" t="inlineStr">
        <is>
          <t>DILM-9-10</t>
        </is>
      </c>
      <c r="F5935" t="inlineStr">
        <is>
          <t>DILA-XHI22</t>
        </is>
      </c>
      <c r="G5935" t="inlineStr">
        <is>
          <t>LASTSCHUETZ</t>
        </is>
      </c>
      <c r="H5935" t="inlineStr">
        <is>
          <t>4kW 1S Federzugkl.</t>
        </is>
      </c>
      <c r="I5935">
        <v>445</v>
      </c>
      <c r="J5935">
        <f>GS39/279.1.5</f>
        <v>0</v>
      </c>
      <c r="M5935" t="inlineStr">
        <is>
          <t>-279.1Q415.6</t>
        </is>
      </c>
    </row>
    <row r="5936">
      <c r="A5936">
        <v>5935</v>
      </c>
      <c r="B5936">
        <f>GS38</f>
        <v>0</v>
      </c>
      <c r="C5936" t="inlineStr">
        <is>
          <t>+LS05</t>
        </is>
      </c>
      <c r="D5936" t="inlineStr">
        <is>
          <t>-279.1Q415.7</t>
        </is>
      </c>
      <c r="E5936" t="inlineStr">
        <is>
          <t>DILM-9-10</t>
        </is>
      </c>
      <c r="F5936" t="inlineStr">
        <is>
          <t>DILA-XHI22</t>
        </is>
      </c>
      <c r="G5936" t="inlineStr">
        <is>
          <t>LASTSCHUETZ</t>
        </is>
      </c>
      <c r="H5936" t="inlineStr">
        <is>
          <t>4kW 1S Federzugkl.</t>
        </is>
      </c>
      <c r="I5936">
        <v>1427</v>
      </c>
      <c r="J5936">
        <f>GS38/279.1.6</f>
        <v>0</v>
      </c>
      <c r="M5936" t="inlineStr">
        <is>
          <t>-279.1Q415.7</t>
        </is>
      </c>
    </row>
    <row r="5937">
      <c r="A5937">
        <v>5936</v>
      </c>
      <c r="B5937">
        <f>GS38</f>
        <v>0</v>
      </c>
      <c r="C5937" t="inlineStr">
        <is>
          <t>+LS05</t>
        </is>
      </c>
      <c r="D5937" t="inlineStr">
        <is>
          <t>-279.1Q415.7</t>
        </is>
      </c>
      <c r="E5937" t="inlineStr">
        <is>
          <t>DILA-XHI22</t>
        </is>
      </c>
      <c r="F5937" t="inlineStr">
        <is>
          <t>DILA-XHI22</t>
        </is>
      </c>
      <c r="G5937" t="inlineStr">
        <is>
          <t>HILFSKONTAKTBLOCK</t>
        </is>
      </c>
      <c r="H5937" t="inlineStr">
        <is>
          <t>2S 2OE Last+Hilfssch. Cage</t>
        </is>
      </c>
      <c r="I5937">
        <v>1427</v>
      </c>
      <c r="J5937">
        <f>GS38/279.1.6</f>
        <v>0</v>
      </c>
      <c r="M5937" t="inlineStr">
        <is>
          <t>-279.1Q415.7</t>
        </is>
      </c>
    </row>
    <row r="5938">
      <c r="A5938">
        <v>5937</v>
      </c>
      <c r="B5938">
        <f>GS39</f>
        <v>0</v>
      </c>
      <c r="C5938" t="inlineStr">
        <is>
          <t>+LS05</t>
        </is>
      </c>
      <c r="D5938" t="inlineStr">
        <is>
          <t>-279.1Q415.7</t>
        </is>
      </c>
      <c r="E5938" t="inlineStr">
        <is>
          <t>DILA-XHI22</t>
        </is>
      </c>
      <c r="F5938" t="inlineStr">
        <is>
          <t>DILA-XHI22</t>
        </is>
      </c>
      <c r="G5938" t="inlineStr">
        <is>
          <t>HILFSKONTAKTBLOCK</t>
        </is>
      </c>
      <c r="H5938" t="inlineStr">
        <is>
          <t>2S 2OE Last+Hilfssch. Cage</t>
        </is>
      </c>
      <c r="I5938">
        <v>445</v>
      </c>
      <c r="J5938">
        <f>GS39/279.1.6</f>
        <v>0</v>
      </c>
      <c r="M5938" t="inlineStr">
        <is>
          <t>-279.1Q415.7</t>
        </is>
      </c>
    </row>
    <row r="5939">
      <c r="A5939">
        <v>5938</v>
      </c>
      <c r="B5939">
        <f>GS39</f>
        <v>0</v>
      </c>
      <c r="C5939" t="inlineStr">
        <is>
          <t>+LS05</t>
        </is>
      </c>
      <c r="D5939" t="inlineStr">
        <is>
          <t>-279.1Q415.7</t>
        </is>
      </c>
      <c r="E5939" t="inlineStr">
        <is>
          <t>DILM-9-10</t>
        </is>
      </c>
      <c r="F5939" t="inlineStr">
        <is>
          <t>DILA-XHI22</t>
        </is>
      </c>
      <c r="G5939" t="inlineStr">
        <is>
          <t>LASTSCHUETZ</t>
        </is>
      </c>
      <c r="H5939" t="inlineStr">
        <is>
          <t>4kW 1S Federzugkl.</t>
        </is>
      </c>
      <c r="I5939">
        <v>445</v>
      </c>
      <c r="J5939">
        <f>GS39/279.1.6</f>
        <v>0</v>
      </c>
      <c r="M5939" t="inlineStr">
        <is>
          <t>-279.1Q415.7</t>
        </is>
      </c>
    </row>
    <row r="5940">
      <c r="A5940">
        <v>5939</v>
      </c>
      <c r="B5940">
        <f>GS36</f>
        <v>0</v>
      </c>
      <c r="C5940" t="inlineStr">
        <is>
          <t>+LS06</t>
        </is>
      </c>
      <c r="D5940" t="inlineStr">
        <is>
          <t>-300K408.0</t>
        </is>
      </c>
      <c r="E5940" t="inlineStr">
        <is>
          <t>DILA-40</t>
        </is>
      </c>
      <c r="F5940" t="inlineStr">
        <is>
          <t>#KALK!</t>
        </is>
      </c>
      <c r="G5940" t="inlineStr">
        <is>
          <t>HILFSSCHUETZ</t>
        </is>
      </c>
      <c r="H5940" t="inlineStr">
        <is>
          <t>4S Federzugkl.</t>
        </is>
      </c>
      <c r="I5940">
        <v>473</v>
      </c>
      <c r="J5940">
        <f>GS36/300.7</f>
        <v>0</v>
      </c>
      <c r="M5940" t="inlineStr">
        <is>
          <t>-300K408.0</t>
        </is>
      </c>
    </row>
    <row r="5941">
      <c r="A5941">
        <v>5940</v>
      </c>
      <c r="B5941">
        <f>GS36</f>
        <v>0</v>
      </c>
      <c r="C5941" t="inlineStr">
        <is>
          <t>+LS06</t>
        </is>
      </c>
      <c r="D5941" t="inlineStr">
        <is>
          <t>-305K1</t>
        </is>
      </c>
      <c r="E5941" t="inlineStr">
        <is>
          <t>DILM-9-01</t>
        </is>
      </c>
      <c r="F5941" t="inlineStr">
        <is>
          <t>#KALK!</t>
        </is>
      </c>
      <c r="G5941" t="inlineStr">
        <is>
          <t>LASTSCHUETZ</t>
        </is>
      </c>
      <c r="H5941" t="inlineStr">
        <is>
          <t>4kW 1Oe Federzugkl.</t>
        </is>
      </c>
      <c r="I5941">
        <v>478</v>
      </c>
      <c r="J5941">
        <f>GS36/305.6</f>
        <v>0</v>
      </c>
      <c r="L5941" t="inlineStr">
        <is>
          <t>Lichtvorhang KF</t>
        </is>
      </c>
      <c r="M5941" t="inlineStr">
        <is>
          <t>Lichtvorhang KF
-305K1</t>
        </is>
      </c>
    </row>
    <row r="5942">
      <c r="A5942">
        <v>5941</v>
      </c>
      <c r="B5942">
        <f>GS38</f>
        <v>0</v>
      </c>
      <c r="C5942" t="inlineStr">
        <is>
          <t>+LS05</t>
        </is>
      </c>
      <c r="D5942" t="inlineStr">
        <is>
          <t>-279.3Q419.1</t>
        </is>
      </c>
      <c r="E5942" t="inlineStr">
        <is>
          <t>DILMC12-10(24VDC)</t>
        </is>
      </c>
      <c r="F5942" t="inlineStr">
        <is>
          <t>#KALK!</t>
        </is>
      </c>
      <c r="G5942" t="inlineStr">
        <is>
          <t>LASTSCHUETZ</t>
        </is>
      </c>
      <c r="H5942" t="inlineStr">
        <is>
          <t>5,5kW 1S Federzugkl.</t>
        </is>
      </c>
      <c r="I5942">
        <v>1429</v>
      </c>
      <c r="J5942">
        <f>GS38/279.3.5</f>
        <v>0</v>
      </c>
      <c r="K5942" t="inlineStr">
        <is>
          <t>DIL MC12</t>
        </is>
      </c>
      <c r="M5942" t="inlineStr">
        <is>
          <t>-279.3Q419.1</t>
        </is>
      </c>
    </row>
    <row r="5943">
      <c r="A5943">
        <v>5942</v>
      </c>
      <c r="B5943">
        <f>GS39</f>
        <v>0</v>
      </c>
      <c r="C5943" t="inlineStr">
        <is>
          <t>+LS05</t>
        </is>
      </c>
      <c r="D5943" t="inlineStr">
        <is>
          <t>-279.3Q419.1</t>
        </is>
      </c>
      <c r="E5943" t="inlineStr">
        <is>
          <t>DILMC12-10(24VDC)</t>
        </is>
      </c>
      <c r="F5943" t="inlineStr">
        <is>
          <t>#KALK!</t>
        </is>
      </c>
      <c r="G5943" t="inlineStr">
        <is>
          <t>LASTSCHUETZ</t>
        </is>
      </c>
      <c r="H5943" t="inlineStr">
        <is>
          <t>5,5kW 1S Federzugkl.</t>
        </is>
      </c>
      <c r="I5943">
        <v>447</v>
      </c>
      <c r="J5943">
        <f>GS39/279.3.5</f>
        <v>0</v>
      </c>
      <c r="K5943" t="inlineStr">
        <is>
          <t>DIL MC12</t>
        </is>
      </c>
      <c r="M5943" t="inlineStr">
        <is>
          <t>-279.3Q419.1</t>
        </is>
      </c>
    </row>
    <row r="5944">
      <c r="A5944">
        <v>5943</v>
      </c>
      <c r="B5944">
        <f>GS36</f>
        <v>0</v>
      </c>
      <c r="C5944" t="inlineStr">
        <is>
          <t>+LS06</t>
        </is>
      </c>
      <c r="D5944" t="inlineStr">
        <is>
          <t>-305K2</t>
        </is>
      </c>
      <c r="E5944" t="inlineStr">
        <is>
          <t>DILM-9-01</t>
        </is>
      </c>
      <c r="F5944" t="inlineStr">
        <is>
          <t>#KALK!</t>
        </is>
      </c>
      <c r="G5944" t="inlineStr">
        <is>
          <t>LASTSCHUETZ</t>
        </is>
      </c>
      <c r="H5944" t="inlineStr">
        <is>
          <t>4kW 1Oe Federzugkl.</t>
        </is>
      </c>
      <c r="I5944">
        <v>478</v>
      </c>
      <c r="J5944">
        <f>GS36/305.7</f>
        <v>0</v>
      </c>
      <c r="L5944" t="inlineStr">
        <is>
          <t>Lichtvorhang KF</t>
        </is>
      </c>
      <c r="M5944" t="inlineStr">
        <is>
          <t>Lichtvorhang KF
-305K2</t>
        </is>
      </c>
    </row>
    <row r="5945">
      <c r="A5945">
        <v>5944</v>
      </c>
      <c r="B5945">
        <f>GS36</f>
        <v>0</v>
      </c>
      <c r="C5945" t="inlineStr">
        <is>
          <t>+LS06</t>
        </is>
      </c>
      <c r="D5945" t="inlineStr">
        <is>
          <t>-306K1</t>
        </is>
      </c>
      <c r="E5945" t="inlineStr">
        <is>
          <t>DILM-9-01</t>
        </is>
      </c>
      <c r="F5945" t="inlineStr">
        <is>
          <t>#KALK!</t>
        </is>
      </c>
      <c r="G5945" t="inlineStr">
        <is>
          <t>LASTSCHUETZ</t>
        </is>
      </c>
      <c r="H5945" t="inlineStr">
        <is>
          <t>4kW 1Oe Federzugkl.</t>
        </is>
      </c>
      <c r="I5945">
        <v>479</v>
      </c>
      <c r="J5945">
        <f>GS36/306.6</f>
        <v>0</v>
      </c>
      <c r="L5945" t="inlineStr">
        <is>
          <t>Lichtvorhang KF</t>
        </is>
      </c>
      <c r="M5945" t="inlineStr">
        <is>
          <t>Lichtvorhang KF
-306K1</t>
        </is>
      </c>
    </row>
    <row r="5946">
      <c r="A5946">
        <v>5945</v>
      </c>
      <c r="B5946">
        <f>GS36</f>
        <v>0</v>
      </c>
      <c r="C5946" t="inlineStr">
        <is>
          <t>+LS06</t>
        </is>
      </c>
      <c r="D5946" t="inlineStr">
        <is>
          <t>-306K2</t>
        </is>
      </c>
      <c r="E5946" t="inlineStr">
        <is>
          <t>DILM-9-01</t>
        </is>
      </c>
      <c r="F5946" t="inlineStr">
        <is>
          <t>#KALK!</t>
        </is>
      </c>
      <c r="G5946" t="inlineStr">
        <is>
          <t>LASTSCHUETZ</t>
        </is>
      </c>
      <c r="H5946" t="inlineStr">
        <is>
          <t>4kW 1Oe Federzugkl.</t>
        </is>
      </c>
      <c r="I5946">
        <v>479</v>
      </c>
      <c r="J5946">
        <f>GS36/306.7</f>
        <v>0</v>
      </c>
      <c r="L5946" t="inlineStr">
        <is>
          <t>Lichtvorhang KF</t>
        </is>
      </c>
      <c r="M5946" t="inlineStr">
        <is>
          <t>Lichtvorhang KF
-306K2</t>
        </is>
      </c>
    </row>
    <row r="5947">
      <c r="A5947">
        <v>5946</v>
      </c>
      <c r="B5947">
        <f>GS15</f>
        <v>0</v>
      </c>
      <c r="C5947" t="inlineStr">
        <is>
          <t>+ES2</t>
        </is>
      </c>
      <c r="D5947" t="inlineStr">
        <is>
          <t>-279K120.0</t>
        </is>
      </c>
      <c r="E5947" t="inlineStr">
        <is>
          <t>DIL_ER-40-G</t>
        </is>
      </c>
      <c r="F5947" t="inlineStr">
        <is>
          <t>40_DIL-E</t>
        </is>
      </c>
      <c r="G5947" t="inlineStr">
        <is>
          <t>HILFSSCHUETZ</t>
        </is>
      </c>
      <c r="H5947" t="inlineStr">
        <is>
          <t>4S</t>
        </is>
      </c>
      <c r="I5947">
        <v>775</v>
      </c>
      <c r="J5947">
        <f>GS15/279.6</f>
        <v>0</v>
      </c>
      <c r="M5947" t="inlineStr">
        <is>
          <t>-279K120.0</t>
        </is>
      </c>
    </row>
    <row r="5948">
      <c r="A5948">
        <v>5947</v>
      </c>
      <c r="B5948">
        <f>GS15</f>
        <v>0</v>
      </c>
      <c r="C5948" t="inlineStr">
        <is>
          <t>+ES2</t>
        </is>
      </c>
      <c r="D5948" t="inlineStr">
        <is>
          <t>-279K120.0</t>
        </is>
      </c>
      <c r="E5948" t="inlineStr">
        <is>
          <t>40_DIL-E</t>
        </is>
      </c>
      <c r="F5948" t="inlineStr">
        <is>
          <t>40_DIL-E</t>
        </is>
      </c>
      <c r="G5948" t="inlineStr">
        <is>
          <t>HILFSKONTAKTBLOCK</t>
        </is>
      </c>
      <c r="H5948" t="inlineStr">
        <is>
          <t>4S Last+Hilfsschuetz</t>
        </is>
      </c>
      <c r="I5948">
        <v>775</v>
      </c>
      <c r="J5948">
        <f>GS15/279.6</f>
        <v>0</v>
      </c>
      <c r="M5948" t="inlineStr">
        <is>
          <t>-279K120.0</t>
        </is>
      </c>
    </row>
    <row r="5949">
      <c r="A5949">
        <v>5948</v>
      </c>
      <c r="B5949">
        <f>GS15</f>
        <v>0</v>
      </c>
      <c r="C5949" t="inlineStr">
        <is>
          <t>+ES2</t>
        </is>
      </c>
      <c r="D5949" t="inlineStr">
        <is>
          <t>-279K120.1</t>
        </is>
      </c>
      <c r="E5949" t="inlineStr">
        <is>
          <t>DIL_ER-40-G</t>
        </is>
      </c>
      <c r="F5949" t="inlineStr">
        <is>
          <t>40_DIL-E</t>
        </is>
      </c>
      <c r="G5949" t="inlineStr">
        <is>
          <t>HILFSSCHUETZ</t>
        </is>
      </c>
      <c r="H5949" t="inlineStr">
        <is>
          <t>4S</t>
        </is>
      </c>
      <c r="I5949">
        <v>775</v>
      </c>
      <c r="J5949">
        <f>GS15/279.6</f>
        <v>0</v>
      </c>
      <c r="M5949" t="inlineStr">
        <is>
          <t>-279K120.1</t>
        </is>
      </c>
    </row>
    <row r="5950">
      <c r="A5950">
        <v>5949</v>
      </c>
      <c r="B5950">
        <f>GS15</f>
        <v>0</v>
      </c>
      <c r="C5950" t="inlineStr">
        <is>
          <t>+ES2</t>
        </is>
      </c>
      <c r="D5950" t="inlineStr">
        <is>
          <t>-279K120.1</t>
        </is>
      </c>
      <c r="E5950" t="inlineStr">
        <is>
          <t>40_DIL-E</t>
        </is>
      </c>
      <c r="F5950" t="inlineStr">
        <is>
          <t>40_DIL-E</t>
        </is>
      </c>
      <c r="G5950" t="inlineStr">
        <is>
          <t>HILFSKONTAKTBLOCK</t>
        </is>
      </c>
      <c r="H5950" t="inlineStr">
        <is>
          <t>4S Last+Hilfsschuetz</t>
        </is>
      </c>
      <c r="I5950">
        <v>775</v>
      </c>
      <c r="J5950">
        <f>GS15/279.6</f>
        <v>0</v>
      </c>
      <c r="M5950" t="inlineStr">
        <is>
          <t>-279K120.1</t>
        </is>
      </c>
    </row>
    <row r="5951">
      <c r="A5951">
        <v>5950</v>
      </c>
      <c r="B5951">
        <f>GS11</f>
        <v>0</v>
      </c>
      <c r="C5951" t="inlineStr">
        <is>
          <t>+LS6</t>
        </is>
      </c>
      <c r="D5951" t="inlineStr">
        <is>
          <t>-279K14.4</t>
        </is>
      </c>
      <c r="E5951" t="inlineStr">
        <is>
          <t>DIL_EM-01-G</t>
        </is>
      </c>
      <c r="F5951" t="inlineStr">
        <is>
          <t>#KALK!</t>
        </is>
      </c>
      <c r="G5951" t="inlineStr">
        <is>
          <t>LASTSCHUETZ</t>
        </is>
      </c>
      <c r="H5951" t="inlineStr">
        <is>
          <t>4kW 1OE</t>
        </is>
      </c>
      <c r="I5951">
        <v>390</v>
      </c>
      <c r="J5951">
        <f>GS11/279.6</f>
        <v>0</v>
      </c>
      <c r="M5951" t="inlineStr">
        <is>
          <t>-279K14.4</t>
        </is>
      </c>
    </row>
    <row r="5952">
      <c r="A5952">
        <v>5951</v>
      </c>
      <c r="B5952">
        <f>GS21</f>
        <v>0</v>
      </c>
      <c r="C5952" t="inlineStr">
        <is>
          <t>+LS6</t>
        </is>
      </c>
      <c r="D5952" t="inlineStr">
        <is>
          <t>-279K14.4</t>
        </is>
      </c>
      <c r="E5952" t="inlineStr">
        <is>
          <t>DIL_EM-01-G</t>
        </is>
      </c>
      <c r="F5952" t="inlineStr">
        <is>
          <t>#KALK!</t>
        </is>
      </c>
      <c r="G5952" t="inlineStr">
        <is>
          <t>LASTSCHUETZ</t>
        </is>
      </c>
      <c r="H5952" t="inlineStr">
        <is>
          <t>4kW 1OE</t>
        </is>
      </c>
      <c r="I5952">
        <v>367</v>
      </c>
      <c r="J5952">
        <f>GS21/279.6</f>
        <v>0</v>
      </c>
      <c r="M5952" t="inlineStr">
        <is>
          <t>-279K14.4</t>
        </is>
      </c>
    </row>
    <row r="5953">
      <c r="A5953">
        <v>5952</v>
      </c>
      <c r="B5953">
        <f>GS11</f>
        <v>0</v>
      </c>
      <c r="C5953" t="inlineStr">
        <is>
          <t>+LS6</t>
        </is>
      </c>
      <c r="D5953" t="inlineStr">
        <is>
          <t>-279K17.6</t>
        </is>
      </c>
      <c r="E5953" t="inlineStr">
        <is>
          <t>DIL_EM-01-G</t>
        </is>
      </c>
      <c r="F5953" t="inlineStr">
        <is>
          <t>#KALK!</t>
        </is>
      </c>
      <c r="G5953" t="inlineStr">
        <is>
          <t>LASTSCHUETZ</t>
        </is>
      </c>
      <c r="H5953" t="inlineStr">
        <is>
          <t>4kW 1OE</t>
        </is>
      </c>
      <c r="I5953">
        <v>390</v>
      </c>
      <c r="J5953">
        <f>GS11/279.6</f>
        <v>0</v>
      </c>
      <c r="M5953" t="inlineStr">
        <is>
          <t>-279K17.6</t>
        </is>
      </c>
    </row>
    <row r="5954">
      <c r="A5954">
        <v>5953</v>
      </c>
      <c r="B5954">
        <f>GS21</f>
        <v>0</v>
      </c>
      <c r="C5954" t="inlineStr">
        <is>
          <t>+LS6</t>
        </is>
      </c>
      <c r="D5954" t="inlineStr">
        <is>
          <t>-279K17.6</t>
        </is>
      </c>
      <c r="E5954" t="inlineStr">
        <is>
          <t>DIL_EM-01-G</t>
        </is>
      </c>
      <c r="F5954" t="inlineStr">
        <is>
          <t>#KALK!</t>
        </is>
      </c>
      <c r="G5954" t="inlineStr">
        <is>
          <t>LASTSCHUETZ</t>
        </is>
      </c>
      <c r="H5954" t="inlineStr">
        <is>
          <t>4kW 1OE</t>
        </is>
      </c>
      <c r="I5954">
        <v>367</v>
      </c>
      <c r="J5954">
        <f>GS21/279.6</f>
        <v>0</v>
      </c>
      <c r="M5954" t="inlineStr">
        <is>
          <t>-279K17.6</t>
        </is>
      </c>
    </row>
    <row r="5955">
      <c r="A5955">
        <v>5954</v>
      </c>
      <c r="B5955">
        <f>GS34</f>
        <v>0</v>
      </c>
      <c r="C5955" t="inlineStr">
        <is>
          <t>+LS6</t>
        </is>
      </c>
      <c r="D5955" t="inlineStr">
        <is>
          <t>-279K3602.0</t>
        </is>
      </c>
      <c r="E5955" t="inlineStr">
        <is>
          <t>DIL_ER-22-G</t>
        </is>
      </c>
      <c r="F5955" t="inlineStr">
        <is>
          <t>#KALK!</t>
        </is>
      </c>
      <c r="G5955" t="inlineStr">
        <is>
          <t>HILFSSCHUETZ</t>
        </is>
      </c>
      <c r="H5955" t="inlineStr">
        <is>
          <t>2S 2OE</t>
        </is>
      </c>
      <c r="I5955">
        <v>404</v>
      </c>
      <c r="J5955">
        <f>GS34/279.5</f>
        <v>0</v>
      </c>
      <c r="M5955" t="inlineStr">
        <is>
          <t>-279K3602.0</t>
        </is>
      </c>
    </row>
    <row r="5956">
      <c r="A5956">
        <v>5955</v>
      </c>
      <c r="B5956">
        <f>GS34</f>
        <v>0</v>
      </c>
      <c r="C5956" t="inlineStr">
        <is>
          <t>+LS6</t>
        </is>
      </c>
      <c r="D5956" t="inlineStr">
        <is>
          <t>-279K3602.1</t>
        </is>
      </c>
      <c r="E5956" t="inlineStr">
        <is>
          <t>DIL_ER-22-G</t>
        </is>
      </c>
      <c r="F5956" t="inlineStr">
        <is>
          <t>#KALK!</t>
        </is>
      </c>
      <c r="G5956" t="inlineStr">
        <is>
          <t>HILFSSCHUETZ</t>
        </is>
      </c>
      <c r="H5956" t="inlineStr">
        <is>
          <t>2S 2OE</t>
        </is>
      </c>
      <c r="I5956">
        <v>404</v>
      </c>
      <c r="J5956">
        <f>GS34/279.6</f>
        <v>0</v>
      </c>
      <c r="M5956" t="inlineStr">
        <is>
          <t>-279K3602.1</t>
        </is>
      </c>
    </row>
    <row r="5957">
      <c r="A5957">
        <v>5956</v>
      </c>
      <c r="B5957">
        <f>GS34</f>
        <v>0</v>
      </c>
      <c r="C5957" t="inlineStr">
        <is>
          <t>+LS6</t>
        </is>
      </c>
      <c r="D5957" t="inlineStr">
        <is>
          <t>-279K3602.2</t>
        </is>
      </c>
      <c r="E5957" t="inlineStr">
        <is>
          <t>DIL_ER-22-G</t>
        </is>
      </c>
      <c r="F5957" t="inlineStr">
        <is>
          <t>#KALK!</t>
        </is>
      </c>
      <c r="G5957" t="inlineStr">
        <is>
          <t>HILFSSCHUETZ</t>
        </is>
      </c>
      <c r="H5957" t="inlineStr">
        <is>
          <t>2S 2OE</t>
        </is>
      </c>
      <c r="I5957">
        <v>404</v>
      </c>
      <c r="J5957">
        <f>GS34/279.7</f>
        <v>0</v>
      </c>
      <c r="M5957" t="inlineStr">
        <is>
          <t>-279K3602.2</t>
        </is>
      </c>
    </row>
    <row r="5958">
      <c r="A5958">
        <v>5957</v>
      </c>
      <c r="B5958">
        <f>GS34</f>
        <v>0</v>
      </c>
      <c r="C5958" t="inlineStr">
        <is>
          <t>+LS6</t>
        </is>
      </c>
      <c r="D5958" t="inlineStr">
        <is>
          <t>-279K3602.4</t>
        </is>
      </c>
      <c r="E5958" t="inlineStr">
        <is>
          <t>DIL_EM-10-G</t>
        </is>
      </c>
      <c r="F5958" t="inlineStr">
        <is>
          <t>#KALK!</t>
        </is>
      </c>
      <c r="G5958" t="inlineStr">
        <is>
          <t>LASTSCHUETZ</t>
        </is>
      </c>
      <c r="H5958" t="inlineStr">
        <is>
          <t>4kW 1S</t>
        </is>
      </c>
      <c r="I5958">
        <v>404</v>
      </c>
      <c r="J5958">
        <f>GS34/279.7</f>
        <v>0</v>
      </c>
      <c r="M5958" t="inlineStr">
        <is>
          <t>-279K3602.4</t>
        </is>
      </c>
    </row>
    <row r="5959">
      <c r="A5959">
        <v>5958</v>
      </c>
      <c r="B5959">
        <f>GS33</f>
        <v>0</v>
      </c>
      <c r="C5959" t="inlineStr">
        <is>
          <t>+LS6</t>
        </is>
      </c>
      <c r="D5959" t="inlineStr">
        <is>
          <t>-279K42.4</t>
        </is>
      </c>
      <c r="E5959" t="inlineStr">
        <is>
          <t>DIL_EM-10-G</t>
        </is>
      </c>
      <c r="F5959" t="inlineStr">
        <is>
          <t>#KALK!</t>
        </is>
      </c>
      <c r="G5959" t="inlineStr">
        <is>
          <t>LASTSCHUETZ</t>
        </is>
      </c>
      <c r="H5959" t="inlineStr">
        <is>
          <t>4kW 1S</t>
        </is>
      </c>
      <c r="I5959">
        <v>726</v>
      </c>
      <c r="J5959">
        <f>GS33/279.6</f>
        <v>0</v>
      </c>
      <c r="M5959" t="inlineStr">
        <is>
          <t>-279K42.4</t>
        </is>
      </c>
    </row>
    <row r="5960">
      <c r="A5960">
        <v>5959</v>
      </c>
      <c r="B5960">
        <f>GS01</f>
        <v>0</v>
      </c>
      <c r="C5960" t="inlineStr">
        <is>
          <t>+LS6</t>
        </is>
      </c>
      <c r="D5960" t="inlineStr">
        <is>
          <t>-279K54.2</t>
        </is>
      </c>
      <c r="E5960" t="inlineStr">
        <is>
          <t>DIL_EM-10-G</t>
        </is>
      </c>
      <c r="F5960" t="inlineStr">
        <is>
          <t>#KALK!</t>
        </is>
      </c>
      <c r="G5960" t="inlineStr">
        <is>
          <t>LASTSCHUETZ</t>
        </is>
      </c>
      <c r="H5960" t="inlineStr">
        <is>
          <t>4kW 1S</t>
        </is>
      </c>
      <c r="I5960">
        <v>442</v>
      </c>
      <c r="J5960">
        <f>GS01/279.6</f>
        <v>0</v>
      </c>
      <c r="M5960" t="inlineStr">
        <is>
          <t>-279K54.2</t>
        </is>
      </c>
    </row>
    <row r="5961">
      <c r="A5961">
        <v>5960</v>
      </c>
      <c r="B5961">
        <f>GS33</f>
        <v>0</v>
      </c>
      <c r="C5961" t="inlineStr">
        <is>
          <t>+LS6</t>
        </is>
      </c>
      <c r="D5961" t="inlineStr">
        <is>
          <t>-279K56.0</t>
        </is>
      </c>
      <c r="E5961" t="inlineStr">
        <is>
          <t>DIL_EM-10-G</t>
        </is>
      </c>
      <c r="F5961" t="inlineStr">
        <is>
          <t>#KALK!</t>
        </is>
      </c>
      <c r="G5961" t="inlineStr">
        <is>
          <t>LASTSCHUETZ</t>
        </is>
      </c>
      <c r="H5961" t="inlineStr">
        <is>
          <t>4kW 1S</t>
        </is>
      </c>
      <c r="I5961">
        <v>726</v>
      </c>
      <c r="J5961">
        <f>GS33/279.6</f>
        <v>0</v>
      </c>
      <c r="M5961" t="inlineStr">
        <is>
          <t>-279K56.0</t>
        </is>
      </c>
    </row>
    <row r="5962">
      <c r="A5962">
        <v>5961</v>
      </c>
      <c r="B5962">
        <f>GS04</f>
        <v>0</v>
      </c>
      <c r="C5962" t="inlineStr">
        <is>
          <t>+LS6</t>
        </is>
      </c>
      <c r="D5962" t="inlineStr">
        <is>
          <t>-279K56.3</t>
        </is>
      </c>
      <c r="E5962" t="inlineStr">
        <is>
          <t>DIL_EM-10-G</t>
        </is>
      </c>
      <c r="F5962" t="inlineStr">
        <is>
          <t>#KALK!</t>
        </is>
      </c>
      <c r="G5962" t="inlineStr">
        <is>
          <t>LASTSCHUETZ</t>
        </is>
      </c>
      <c r="H5962" t="inlineStr">
        <is>
          <t>4kW 1S</t>
        </is>
      </c>
      <c r="I5962">
        <v>530</v>
      </c>
      <c r="J5962">
        <f>GS04/279.7</f>
        <v>0</v>
      </c>
      <c r="M5962" t="inlineStr">
        <is>
          <t>-279K56.3</t>
        </is>
      </c>
    </row>
    <row r="5963">
      <c r="A5963">
        <v>5962</v>
      </c>
      <c r="B5963">
        <f>GS11</f>
        <v>0</v>
      </c>
      <c r="C5963" t="inlineStr">
        <is>
          <t>+LS6</t>
        </is>
      </c>
      <c r="D5963" t="inlineStr">
        <is>
          <t>-279K74.0</t>
        </is>
      </c>
      <c r="E5963" t="inlineStr">
        <is>
          <t>DIL_EM-10-G</t>
        </is>
      </c>
      <c r="F5963" t="inlineStr">
        <is>
          <t>#KALK!</t>
        </is>
      </c>
      <c r="G5963" t="inlineStr">
        <is>
          <t>LASTSCHUETZ</t>
        </is>
      </c>
      <c r="H5963" t="inlineStr">
        <is>
          <t>4kW 1S</t>
        </is>
      </c>
      <c r="I5963">
        <v>390</v>
      </c>
      <c r="J5963">
        <f>GS11/279.7</f>
        <v>0</v>
      </c>
      <c r="M5963" t="inlineStr">
        <is>
          <t>-279K74.0</t>
        </is>
      </c>
    </row>
    <row r="5964">
      <c r="A5964">
        <v>5963</v>
      </c>
      <c r="B5964">
        <f>GS21</f>
        <v>0</v>
      </c>
      <c r="C5964" t="inlineStr">
        <is>
          <t>+LS6</t>
        </is>
      </c>
      <c r="D5964" t="inlineStr">
        <is>
          <t>-279K74.0</t>
        </is>
      </c>
      <c r="E5964" t="inlineStr">
        <is>
          <t>DIL_EM-10-G</t>
        </is>
      </c>
      <c r="F5964" t="inlineStr">
        <is>
          <t>#KALK!</t>
        </is>
      </c>
      <c r="G5964" t="inlineStr">
        <is>
          <t>LASTSCHUETZ</t>
        </is>
      </c>
      <c r="H5964" t="inlineStr">
        <is>
          <t>4kW 1S</t>
        </is>
      </c>
      <c r="I5964">
        <v>367</v>
      </c>
      <c r="J5964">
        <f>GS21/279.7</f>
        <v>0</v>
      </c>
      <c r="M5964" t="inlineStr">
        <is>
          <t>-279K74.0</t>
        </is>
      </c>
    </row>
    <row r="5965">
      <c r="A5965">
        <v>5964</v>
      </c>
      <c r="B5965">
        <f>GC03</f>
        <v>0</v>
      </c>
      <c r="C5965" t="inlineStr">
        <is>
          <t>+LS7</t>
        </is>
      </c>
      <c r="D5965" t="inlineStr">
        <is>
          <t>-279K76.7</t>
        </is>
      </c>
      <c r="E5965" t="inlineStr">
        <is>
          <t>DIL_EM-10-G</t>
        </is>
      </c>
      <c r="F5965" t="inlineStr">
        <is>
          <t>#KALK!</t>
        </is>
      </c>
      <c r="G5965" t="inlineStr">
        <is>
          <t>LASTSCHUETZ</t>
        </is>
      </c>
      <c r="H5965" t="inlineStr">
        <is>
          <t>4kW 1S</t>
        </is>
      </c>
      <c r="I5965">
        <v>3376</v>
      </c>
      <c r="J5965">
        <f>GC03/279.6</f>
        <v>0</v>
      </c>
      <c r="M5965" t="inlineStr">
        <is>
          <t>-279K76.7</t>
        </is>
      </c>
    </row>
    <row r="5966">
      <c r="A5966">
        <v>5965</v>
      </c>
      <c r="B5966">
        <f>GS92</f>
        <v>0</v>
      </c>
      <c r="C5966" t="inlineStr">
        <is>
          <t>+LS04</t>
        </is>
      </c>
      <c r="D5966" t="inlineStr">
        <is>
          <t>-279Q184.4</t>
        </is>
      </c>
      <c r="E5966" t="inlineStr">
        <is>
          <t>DILM-9-10</t>
        </is>
      </c>
      <c r="F5966" t="inlineStr">
        <is>
          <t>#KALK!</t>
        </is>
      </c>
      <c r="G5966" t="inlineStr">
        <is>
          <t>LASTSCHUETZ</t>
        </is>
      </c>
      <c r="H5966" t="inlineStr">
        <is>
          <t>4kW 1S Federzugkl.</t>
        </is>
      </c>
      <c r="I5966">
        <v>426</v>
      </c>
      <c r="J5966">
        <f>GS92/279.5</f>
        <v>0</v>
      </c>
      <c r="M5966" t="inlineStr">
        <is>
          <t>-279Q184.4</t>
        </is>
      </c>
    </row>
    <row r="5967">
      <c r="A5967">
        <v>5966</v>
      </c>
      <c r="B5967">
        <f>EPM</f>
        <v>0</v>
      </c>
      <c r="C5967" t="inlineStr">
        <is>
          <t>+LS</t>
        </is>
      </c>
      <c r="D5967" t="inlineStr">
        <is>
          <t>-27K1</t>
        </is>
      </c>
      <c r="E5967" t="inlineStr">
        <is>
          <t>DIL_ER-22-G</t>
        </is>
      </c>
      <c r="F5967" t="inlineStr">
        <is>
          <t>#KALK!</t>
        </is>
      </c>
      <c r="G5967" t="inlineStr">
        <is>
          <t>HILFSSCHUETZ</t>
        </is>
      </c>
      <c r="H5967" t="inlineStr">
        <is>
          <t>2S 2OE</t>
        </is>
      </c>
      <c r="I5967">
        <v>126</v>
      </c>
      <c r="J5967">
        <f>EPM/27.2</f>
        <v>0</v>
      </c>
      <c r="M5967" t="inlineStr">
        <is>
          <t>-27K1</t>
        </is>
      </c>
    </row>
    <row r="5968">
      <c r="A5968">
        <v>5967</v>
      </c>
      <c r="B5968">
        <f>EPM</f>
        <v>0</v>
      </c>
      <c r="C5968" t="inlineStr">
        <is>
          <t>+LS</t>
        </is>
      </c>
      <c r="D5968" t="inlineStr">
        <is>
          <t>-27K2</t>
        </is>
      </c>
      <c r="E5968" t="inlineStr">
        <is>
          <t>DIL_ER-22-G</t>
        </is>
      </c>
      <c r="F5968" t="inlineStr">
        <is>
          <t>#KALK!</t>
        </is>
      </c>
      <c r="G5968" t="inlineStr">
        <is>
          <t>HILFSSCHUETZ</t>
        </is>
      </c>
      <c r="H5968" t="inlineStr">
        <is>
          <t>2S 2OE</t>
        </is>
      </c>
      <c r="I5968">
        <v>126</v>
      </c>
      <c r="J5968">
        <f>EPM/27.3</f>
        <v>0</v>
      </c>
      <c r="M5968" t="inlineStr">
        <is>
          <t>-27K2</t>
        </is>
      </c>
    </row>
    <row r="5969">
      <c r="A5969">
        <v>5968</v>
      </c>
      <c r="B5969">
        <f>EPM</f>
        <v>0</v>
      </c>
      <c r="C5969" t="inlineStr">
        <is>
          <t>+LS</t>
        </is>
      </c>
      <c r="D5969" t="inlineStr">
        <is>
          <t>-27K3</t>
        </is>
      </c>
      <c r="E5969" t="inlineStr">
        <is>
          <t>DIL_ER-22-G</t>
        </is>
      </c>
      <c r="F5969" t="inlineStr">
        <is>
          <t>#KALK!</t>
        </is>
      </c>
      <c r="G5969" t="inlineStr">
        <is>
          <t>HILFSSCHUETZ</t>
        </is>
      </c>
      <c r="H5969" t="inlineStr">
        <is>
          <t>2S 2OE</t>
        </is>
      </c>
      <c r="I5969">
        <v>126</v>
      </c>
      <c r="J5969">
        <f>EPM/27.4</f>
        <v>0</v>
      </c>
      <c r="M5969" t="inlineStr">
        <is>
          <t>-27K3</t>
        </is>
      </c>
    </row>
    <row r="5970">
      <c r="A5970">
        <v>5969</v>
      </c>
      <c r="B5970">
        <f>EPM</f>
        <v>0</v>
      </c>
      <c r="C5970" t="inlineStr">
        <is>
          <t>+LS</t>
        </is>
      </c>
      <c r="D5970" t="inlineStr">
        <is>
          <t>-27K5</t>
        </is>
      </c>
      <c r="E5970" t="inlineStr">
        <is>
          <t>DIL_EM-10-G</t>
        </is>
      </c>
      <c r="F5970" t="inlineStr">
        <is>
          <t>22_DIL-E</t>
        </is>
      </c>
      <c r="G5970" t="inlineStr">
        <is>
          <t>LASTSCHUETZ</t>
        </is>
      </c>
      <c r="H5970" t="inlineStr">
        <is>
          <t>4kW 1S</t>
        </is>
      </c>
      <c r="I5970">
        <v>126</v>
      </c>
      <c r="J5970">
        <f>EPM/27.5</f>
        <v>0</v>
      </c>
      <c r="M5970" t="inlineStr">
        <is>
          <t>-27K5</t>
        </is>
      </c>
    </row>
    <row r="5971">
      <c r="A5971">
        <v>5970</v>
      </c>
      <c r="B5971">
        <f>EPM</f>
        <v>0</v>
      </c>
      <c r="C5971" t="inlineStr">
        <is>
          <t>+LS</t>
        </is>
      </c>
      <c r="D5971" t="inlineStr">
        <is>
          <t>-27K5</t>
        </is>
      </c>
      <c r="E5971" t="inlineStr">
        <is>
          <t>22_DIL-E</t>
        </is>
      </c>
      <c r="F5971" t="inlineStr">
        <is>
          <t>22_DIL-E</t>
        </is>
      </c>
      <c r="G5971" t="inlineStr">
        <is>
          <t>HILFSKONTAKTBLOCK</t>
        </is>
      </c>
      <c r="H5971" t="inlineStr">
        <is>
          <t>2S 2OE Last+Hilfsschuetz</t>
        </is>
      </c>
      <c r="I5971">
        <v>126</v>
      </c>
      <c r="J5971">
        <f>EPM/27.5</f>
        <v>0</v>
      </c>
      <c r="M5971" t="inlineStr">
        <is>
          <t>-27K5</t>
        </is>
      </c>
    </row>
    <row r="5972">
      <c r="A5972">
        <v>5971</v>
      </c>
      <c r="B5972">
        <f>EPM</f>
        <v>0</v>
      </c>
      <c r="C5972" t="inlineStr">
        <is>
          <t>+LS</t>
        </is>
      </c>
      <c r="D5972" t="inlineStr">
        <is>
          <t>-27K6</t>
        </is>
      </c>
      <c r="E5972" t="inlineStr">
        <is>
          <t>DIL_EM-10-G</t>
        </is>
      </c>
      <c r="F5972" t="inlineStr">
        <is>
          <t>22_DIL-E</t>
        </is>
      </c>
      <c r="G5972" t="inlineStr">
        <is>
          <t>LASTSCHUETZ</t>
        </is>
      </c>
      <c r="H5972" t="inlineStr">
        <is>
          <t>4kW 1S</t>
        </is>
      </c>
      <c r="I5972">
        <v>126</v>
      </c>
      <c r="J5972">
        <f>EPM/27.6</f>
        <v>0</v>
      </c>
      <c r="M5972" t="inlineStr">
        <is>
          <t>-27K6</t>
        </is>
      </c>
    </row>
    <row r="5973">
      <c r="A5973">
        <v>5972</v>
      </c>
      <c r="B5973">
        <f>EPM</f>
        <v>0</v>
      </c>
      <c r="C5973" t="inlineStr">
        <is>
          <t>+LS</t>
        </is>
      </c>
      <c r="D5973" t="inlineStr">
        <is>
          <t>-27K6</t>
        </is>
      </c>
      <c r="E5973" t="inlineStr">
        <is>
          <t>22_DIL-E</t>
        </is>
      </c>
      <c r="F5973" t="inlineStr">
        <is>
          <t>22_DIL-E</t>
        </is>
      </c>
      <c r="G5973" t="inlineStr">
        <is>
          <t>HILFSKONTAKTBLOCK</t>
        </is>
      </c>
      <c r="H5973" t="inlineStr">
        <is>
          <t>2S 2OE Last+Hilfsschuetz</t>
        </is>
      </c>
      <c r="I5973">
        <v>126</v>
      </c>
      <c r="J5973">
        <f>EPM/27.6</f>
        <v>0</v>
      </c>
      <c r="M5973" t="inlineStr">
        <is>
          <t>-27K6</t>
        </is>
      </c>
    </row>
    <row r="5974">
      <c r="A5974">
        <v>5973</v>
      </c>
      <c r="B5974">
        <f>EPM</f>
        <v>0</v>
      </c>
      <c r="C5974" t="inlineStr">
        <is>
          <t>+LS</t>
        </is>
      </c>
      <c r="D5974" t="inlineStr">
        <is>
          <t>-27K7</t>
        </is>
      </c>
      <c r="E5974" t="inlineStr">
        <is>
          <t>DIL_EM-10-G</t>
        </is>
      </c>
      <c r="F5974" t="inlineStr">
        <is>
          <t>22_DIL-E</t>
        </is>
      </c>
      <c r="G5974" t="inlineStr">
        <is>
          <t>LASTSCHUETZ</t>
        </is>
      </c>
      <c r="H5974" t="inlineStr">
        <is>
          <t>4kW 1S</t>
        </is>
      </c>
      <c r="I5974">
        <v>126</v>
      </c>
      <c r="J5974">
        <f>EPM/27.7</f>
        <v>0</v>
      </c>
      <c r="M5974" t="inlineStr">
        <is>
          <t>-27K7</t>
        </is>
      </c>
    </row>
    <row r="5975">
      <c r="A5975">
        <v>5974</v>
      </c>
      <c r="B5975">
        <f>EPM</f>
        <v>0</v>
      </c>
      <c r="C5975" t="inlineStr">
        <is>
          <t>+LS</t>
        </is>
      </c>
      <c r="D5975" t="inlineStr">
        <is>
          <t>-27K7</t>
        </is>
      </c>
      <c r="E5975" t="inlineStr">
        <is>
          <t>22_DIL-E</t>
        </is>
      </c>
      <c r="F5975" t="inlineStr">
        <is>
          <t>22_DIL-E</t>
        </is>
      </c>
      <c r="G5975" t="inlineStr">
        <is>
          <t>HILFSKONTAKTBLOCK</t>
        </is>
      </c>
      <c r="H5975" t="inlineStr">
        <is>
          <t>2S 2OE Last+Hilfsschuetz</t>
        </is>
      </c>
      <c r="I5975">
        <v>126</v>
      </c>
      <c r="J5975">
        <f>EPM/27.7</f>
        <v>0</v>
      </c>
      <c r="M5975" t="inlineStr">
        <is>
          <t>-27K7</t>
        </is>
      </c>
    </row>
    <row r="5976">
      <c r="A5976">
        <v>5975</v>
      </c>
      <c r="B5976">
        <f>EPM</f>
        <v>0</v>
      </c>
      <c r="C5976" t="inlineStr">
        <is>
          <t>+LS</t>
        </is>
      </c>
      <c r="D5976" t="inlineStr">
        <is>
          <t>-27K8</t>
        </is>
      </c>
      <c r="E5976" t="inlineStr">
        <is>
          <t>DIL_EM-10-G</t>
        </is>
      </c>
      <c r="F5976" t="inlineStr">
        <is>
          <t>22_DIL-E</t>
        </is>
      </c>
      <c r="G5976" t="inlineStr">
        <is>
          <t>LASTSCHUETZ</t>
        </is>
      </c>
      <c r="H5976" t="inlineStr">
        <is>
          <t>4kW 1S</t>
        </is>
      </c>
      <c r="I5976">
        <v>126</v>
      </c>
      <c r="J5976">
        <f>EPM/27.7</f>
        <v>0</v>
      </c>
      <c r="M5976" t="inlineStr">
        <is>
          <t>-27K8</t>
        </is>
      </c>
    </row>
    <row r="5977">
      <c r="A5977">
        <v>5976</v>
      </c>
      <c r="B5977">
        <f>EPM</f>
        <v>0</v>
      </c>
      <c r="C5977" t="inlineStr">
        <is>
          <t>+LS</t>
        </is>
      </c>
      <c r="D5977" t="inlineStr">
        <is>
          <t>-27K8</t>
        </is>
      </c>
      <c r="E5977" t="inlineStr">
        <is>
          <t>22_DIL-E</t>
        </is>
      </c>
      <c r="F5977" t="inlineStr">
        <is>
          <t>22_DIL-E</t>
        </is>
      </c>
      <c r="G5977" t="inlineStr">
        <is>
          <t>HILFSKONTAKTBLOCK</t>
        </is>
      </c>
      <c r="H5977" t="inlineStr">
        <is>
          <t>2S 2OE Last+Hilfsschuetz</t>
        </is>
      </c>
      <c r="I5977">
        <v>126</v>
      </c>
      <c r="J5977">
        <f>EPM/27.7</f>
        <v>0</v>
      </c>
      <c r="M5977" t="inlineStr">
        <is>
          <t>-27K8</t>
        </is>
      </c>
    </row>
    <row r="5978">
      <c r="A5978">
        <v>5977</v>
      </c>
      <c r="B5978">
        <f>GS08</f>
        <v>0</v>
      </c>
      <c r="C5978" t="inlineStr">
        <is>
          <t>+ES02</t>
        </is>
      </c>
      <c r="D5978" t="inlineStr">
        <is>
          <t>-28.1K1</t>
        </is>
      </c>
      <c r="E5978" t="inlineStr">
        <is>
          <t>DILA-XHIC31</t>
        </is>
      </c>
      <c r="F5978" t="inlineStr">
        <is>
          <t>DILA-XHIC31</t>
        </is>
      </c>
      <c r="G5978" t="inlineStr">
        <is>
          <t>HILFSKONTAKTBLOCK</t>
        </is>
      </c>
      <c r="H5978" t="inlineStr">
        <is>
          <t>3S 1OE Last+Hilfssch. Cage</t>
        </is>
      </c>
      <c r="I5978">
        <v>425</v>
      </c>
      <c r="J5978">
        <f>GS08/28.1.4</f>
        <v>0</v>
      </c>
      <c r="M5978" t="inlineStr">
        <is>
          <t>-28.1K1</t>
        </is>
      </c>
    </row>
    <row r="5979">
      <c r="A5979">
        <v>5978</v>
      </c>
      <c r="B5979">
        <f>GS08</f>
        <v>0</v>
      </c>
      <c r="C5979" t="inlineStr">
        <is>
          <t>+ES02</t>
        </is>
      </c>
      <c r="D5979" t="inlineStr">
        <is>
          <t>-28.1K1</t>
        </is>
      </c>
      <c r="E5979" t="inlineStr">
        <is>
          <t>DILA-40</t>
        </is>
      </c>
      <c r="F5979" t="inlineStr">
        <is>
          <t>DILA-XHIC31</t>
        </is>
      </c>
      <c r="G5979" t="inlineStr">
        <is>
          <t>HILFSSCHUETZ</t>
        </is>
      </c>
      <c r="H5979" t="inlineStr">
        <is>
          <t>4S Federzugkl.</t>
        </is>
      </c>
      <c r="I5979">
        <v>425</v>
      </c>
      <c r="J5979">
        <f>GS08/28.1.4</f>
        <v>0</v>
      </c>
      <c r="M5979" t="inlineStr">
        <is>
          <t>-28.1K1</t>
        </is>
      </c>
    </row>
    <row r="5980">
      <c r="A5980">
        <v>5979</v>
      </c>
      <c r="B5980">
        <f>GS20</f>
        <v>0</v>
      </c>
      <c r="C5980" t="inlineStr">
        <is>
          <t>+ES02</t>
        </is>
      </c>
      <c r="D5980" t="inlineStr">
        <is>
          <t>-28.1K1</t>
        </is>
      </c>
      <c r="E5980" t="inlineStr">
        <is>
          <t>DILA-40</t>
        </is>
      </c>
      <c r="F5980" t="inlineStr">
        <is>
          <t>DILA-XHI22</t>
        </is>
      </c>
      <c r="G5980" t="inlineStr">
        <is>
          <t>HILFSSCHUETZ</t>
        </is>
      </c>
      <c r="H5980" t="inlineStr">
        <is>
          <t>4S Federzugkl.</t>
        </is>
      </c>
      <c r="I5980">
        <v>433</v>
      </c>
      <c r="J5980">
        <f>GS20/28.1.3</f>
        <v>0</v>
      </c>
      <c r="M5980" t="inlineStr">
        <is>
          <t>-28.1K1</t>
        </is>
      </c>
    </row>
    <row r="5981">
      <c r="A5981">
        <v>5980</v>
      </c>
      <c r="B5981">
        <f>GS20</f>
        <v>0</v>
      </c>
      <c r="C5981" t="inlineStr">
        <is>
          <t>+ES02</t>
        </is>
      </c>
      <c r="D5981" t="inlineStr">
        <is>
          <t>-28.1K1</t>
        </is>
      </c>
      <c r="E5981" t="inlineStr">
        <is>
          <t>DILA-XHI22</t>
        </is>
      </c>
      <c r="F5981" t="inlineStr">
        <is>
          <t>DILA-XHI22</t>
        </is>
      </c>
      <c r="G5981" t="inlineStr">
        <is>
          <t>HILFSKONTAKTBLOCK</t>
        </is>
      </c>
      <c r="H5981" t="inlineStr">
        <is>
          <t>2S 2OE Last+Hilfssch. Cage</t>
        </is>
      </c>
      <c r="I5981">
        <v>433</v>
      </c>
      <c r="J5981">
        <f>GS20/28.1.3</f>
        <v>0</v>
      </c>
      <c r="M5981" t="inlineStr">
        <is>
          <t>-28.1K1</t>
        </is>
      </c>
    </row>
    <row r="5982">
      <c r="A5982">
        <v>5981</v>
      </c>
      <c r="B5982">
        <f>GS30</f>
        <v>0</v>
      </c>
      <c r="C5982" t="inlineStr">
        <is>
          <t>+ES02</t>
        </is>
      </c>
      <c r="D5982" t="inlineStr">
        <is>
          <t>-28.1K1</t>
        </is>
      </c>
      <c r="E5982" t="inlineStr">
        <is>
          <t>DILA-XHI22</t>
        </is>
      </c>
      <c r="F5982" t="inlineStr">
        <is>
          <t>DILA-XHI22</t>
        </is>
      </c>
      <c r="G5982" t="inlineStr">
        <is>
          <t>HILFSKONTAKTBLOCK</t>
        </is>
      </c>
      <c r="H5982" t="inlineStr">
        <is>
          <t>2S 2OE Last+Hilfssch. Cage</t>
        </is>
      </c>
      <c r="I5982">
        <v>433</v>
      </c>
      <c r="J5982">
        <f>GS30/28.1.3</f>
        <v>0</v>
      </c>
      <c r="M5982" t="inlineStr">
        <is>
          <t>-28.1K1</t>
        </is>
      </c>
    </row>
    <row r="5983">
      <c r="A5983">
        <v>5982</v>
      </c>
      <c r="B5983">
        <f>GS30</f>
        <v>0</v>
      </c>
      <c r="C5983" t="inlineStr">
        <is>
          <t>+ES02</t>
        </is>
      </c>
      <c r="D5983" t="inlineStr">
        <is>
          <t>-28.1K1</t>
        </is>
      </c>
      <c r="E5983" t="inlineStr">
        <is>
          <t>DILA-40</t>
        </is>
      </c>
      <c r="F5983" t="inlineStr">
        <is>
          <t>DILA-XHI22</t>
        </is>
      </c>
      <c r="G5983" t="inlineStr">
        <is>
          <t>HILFSSCHUETZ</t>
        </is>
      </c>
      <c r="H5983" t="inlineStr">
        <is>
          <t>4S Federzugkl.</t>
        </is>
      </c>
      <c r="I5983">
        <v>433</v>
      </c>
      <c r="J5983">
        <f>GS30/28.1.3</f>
        <v>0</v>
      </c>
      <c r="M5983" t="inlineStr">
        <is>
          <t>-28.1K1</t>
        </is>
      </c>
    </row>
    <row r="5984">
      <c r="A5984">
        <v>5983</v>
      </c>
      <c r="B5984">
        <f>GS38</f>
        <v>0</v>
      </c>
      <c r="C5984" t="inlineStr">
        <is>
          <t>+ES02</t>
        </is>
      </c>
      <c r="D5984" t="inlineStr">
        <is>
          <t>-28.1K1</t>
        </is>
      </c>
      <c r="E5984" t="inlineStr">
        <is>
          <t>DILA-XHIC31</t>
        </is>
      </c>
      <c r="F5984" t="inlineStr">
        <is>
          <t>DILA-XHIC31</t>
        </is>
      </c>
      <c r="G5984" t="inlineStr">
        <is>
          <t>HILFSKONTAKTBLOCK</t>
        </is>
      </c>
      <c r="H5984" t="inlineStr">
        <is>
          <t>3S 1OE Last+Hilfssch. Cage</t>
        </is>
      </c>
      <c r="I5984">
        <v>169</v>
      </c>
      <c r="J5984">
        <f>GS38/28.1.2</f>
        <v>0</v>
      </c>
      <c r="M5984" t="inlineStr">
        <is>
          <t>-28.1K1</t>
        </is>
      </c>
    </row>
    <row r="5985">
      <c r="A5985">
        <v>5984</v>
      </c>
      <c r="B5985">
        <f>GS38</f>
        <v>0</v>
      </c>
      <c r="C5985" t="inlineStr">
        <is>
          <t>+ES02</t>
        </is>
      </c>
      <c r="D5985" t="inlineStr">
        <is>
          <t>-28.1K1</t>
        </is>
      </c>
      <c r="E5985" t="inlineStr">
        <is>
          <t>DILA-40</t>
        </is>
      </c>
      <c r="F5985" t="inlineStr">
        <is>
          <t>DILA-XHIC31</t>
        </is>
      </c>
      <c r="G5985" t="inlineStr">
        <is>
          <t>HILFSSCHUETZ</t>
        </is>
      </c>
      <c r="H5985" t="inlineStr">
        <is>
          <t>4S Federzugkl.</t>
        </is>
      </c>
      <c r="I5985">
        <v>169</v>
      </c>
      <c r="J5985">
        <f>GS38/28.1.2</f>
        <v>0</v>
      </c>
      <c r="M5985" t="inlineStr">
        <is>
          <t>-28.1K1</t>
        </is>
      </c>
    </row>
    <row r="5986">
      <c r="A5986">
        <v>5985</v>
      </c>
      <c r="B5986">
        <f>GS39</f>
        <v>0</v>
      </c>
      <c r="C5986" t="inlineStr">
        <is>
          <t>+ES02</t>
        </is>
      </c>
      <c r="D5986" t="inlineStr">
        <is>
          <t>-28.1K1</t>
        </is>
      </c>
      <c r="E5986" t="inlineStr">
        <is>
          <t>DILA-40</t>
        </is>
      </c>
      <c r="F5986" t="inlineStr">
        <is>
          <t>DILA-XHIC31</t>
        </is>
      </c>
      <c r="G5986" t="inlineStr">
        <is>
          <t>HILFSSCHUETZ</t>
        </is>
      </c>
      <c r="H5986" t="inlineStr">
        <is>
          <t>4S Federzugkl.</t>
        </is>
      </c>
      <c r="I5986">
        <v>211</v>
      </c>
      <c r="J5986">
        <f>GS39/28.1.2</f>
        <v>0</v>
      </c>
      <c r="M5986" t="inlineStr">
        <is>
          <t>-28.1K1</t>
        </is>
      </c>
    </row>
    <row r="5987">
      <c r="A5987">
        <v>5986</v>
      </c>
      <c r="B5987">
        <f>GS39</f>
        <v>0</v>
      </c>
      <c r="C5987" t="inlineStr">
        <is>
          <t>+ES02</t>
        </is>
      </c>
      <c r="D5987" t="inlineStr">
        <is>
          <t>-28.1K1</t>
        </is>
      </c>
      <c r="E5987" t="inlineStr">
        <is>
          <t>DILA-XHIC31</t>
        </is>
      </c>
      <c r="F5987" t="inlineStr">
        <is>
          <t>DILA-XHIC31</t>
        </is>
      </c>
      <c r="G5987" t="inlineStr">
        <is>
          <t>HILFSKONTAKTBLOCK</t>
        </is>
      </c>
      <c r="H5987" t="inlineStr">
        <is>
          <t>3S 1OE Last+Hilfssch. Cage</t>
        </is>
      </c>
      <c r="I5987">
        <v>211</v>
      </c>
      <c r="J5987">
        <f>GS39/28.1.2</f>
        <v>0</v>
      </c>
      <c r="M5987" t="inlineStr">
        <is>
          <t>-28.1K1</t>
        </is>
      </c>
    </row>
    <row r="5988">
      <c r="A5988">
        <v>5987</v>
      </c>
      <c r="B5988">
        <f>GS51</f>
        <v>0</v>
      </c>
      <c r="C5988" t="inlineStr">
        <is>
          <t>+ES02</t>
        </is>
      </c>
      <c r="D5988" t="inlineStr">
        <is>
          <t>-28.1K1</t>
        </is>
      </c>
      <c r="E5988" t="inlineStr">
        <is>
          <t>DILA-XHIC31</t>
        </is>
      </c>
      <c r="F5988" t="inlineStr">
        <is>
          <t>DILA-XHIC31</t>
        </is>
      </c>
      <c r="G5988" t="inlineStr">
        <is>
          <t>HILFSKONTAKTBLOCK</t>
        </is>
      </c>
      <c r="H5988" t="inlineStr">
        <is>
          <t>3S 1OE Last+Hilfssch. Cage</t>
        </is>
      </c>
      <c r="I5988">
        <v>244</v>
      </c>
      <c r="J5988">
        <f>GS51/28.1.4</f>
        <v>0</v>
      </c>
      <c r="M5988" t="inlineStr">
        <is>
          <t>-28.1K1</t>
        </is>
      </c>
    </row>
    <row r="5989">
      <c r="A5989">
        <v>5988</v>
      </c>
      <c r="B5989">
        <f>GS51</f>
        <v>0</v>
      </c>
      <c r="C5989" t="inlineStr">
        <is>
          <t>+ES02</t>
        </is>
      </c>
      <c r="D5989" t="inlineStr">
        <is>
          <t>-28.1K1</t>
        </is>
      </c>
      <c r="E5989" t="inlineStr">
        <is>
          <t>DILA-40</t>
        </is>
      </c>
      <c r="F5989" t="inlineStr">
        <is>
          <t>DILA-XHIC31</t>
        </is>
      </c>
      <c r="G5989" t="inlineStr">
        <is>
          <t>HILFSSCHUETZ</t>
        </is>
      </c>
      <c r="H5989" t="inlineStr">
        <is>
          <t>4S Federzugkl.</t>
        </is>
      </c>
      <c r="I5989">
        <v>244</v>
      </c>
      <c r="J5989">
        <f>GS51/28.1.4</f>
        <v>0</v>
      </c>
      <c r="M5989" t="inlineStr">
        <is>
          <t>-28.1K1</t>
        </is>
      </c>
    </row>
    <row r="5990">
      <c r="A5990">
        <v>5989</v>
      </c>
      <c r="B5990">
        <f>GS55</f>
        <v>0</v>
      </c>
      <c r="C5990" t="inlineStr">
        <is>
          <t>+ES02</t>
        </is>
      </c>
      <c r="D5990" t="inlineStr">
        <is>
          <t>-28.1K1</t>
        </is>
      </c>
      <c r="E5990" t="inlineStr">
        <is>
          <t>DILA-40</t>
        </is>
      </c>
      <c r="F5990" t="inlineStr">
        <is>
          <t>DILA-XHIC31</t>
        </is>
      </c>
      <c r="G5990" t="inlineStr">
        <is>
          <t>HILFSSCHUETZ</t>
        </is>
      </c>
      <c r="H5990" t="inlineStr">
        <is>
          <t>4S Federzugkl.</t>
        </is>
      </c>
      <c r="I5990">
        <v>264</v>
      </c>
      <c r="J5990">
        <f>GS55/28.1.4</f>
        <v>0</v>
      </c>
      <c r="M5990" t="inlineStr">
        <is>
          <t>-28.1K1</t>
        </is>
      </c>
    </row>
    <row r="5991">
      <c r="A5991">
        <v>5990</v>
      </c>
      <c r="B5991">
        <f>GS55</f>
        <v>0</v>
      </c>
      <c r="C5991" t="inlineStr">
        <is>
          <t>+ES02</t>
        </is>
      </c>
      <c r="D5991" t="inlineStr">
        <is>
          <t>-28.1K1</t>
        </is>
      </c>
      <c r="E5991" t="inlineStr">
        <is>
          <t>DILA-XHIC31</t>
        </is>
      </c>
      <c r="F5991" t="inlineStr">
        <is>
          <t>DILA-XHIC31</t>
        </is>
      </c>
      <c r="G5991" t="inlineStr">
        <is>
          <t>HILFSKONTAKTBLOCK</t>
        </is>
      </c>
      <c r="H5991" t="inlineStr">
        <is>
          <t>3S 1OE Last+Hilfssch. Cage</t>
        </is>
      </c>
      <c r="I5991">
        <v>264</v>
      </c>
      <c r="J5991">
        <f>GS55/28.1.4</f>
        <v>0</v>
      </c>
      <c r="M5991" t="inlineStr">
        <is>
          <t>-28.1K1</t>
        </is>
      </c>
    </row>
    <row r="5992">
      <c r="A5992">
        <v>5991</v>
      </c>
      <c r="B5992">
        <f>GS90</f>
        <v>0</v>
      </c>
      <c r="C5992" t="inlineStr">
        <is>
          <t>+ES02</t>
        </is>
      </c>
      <c r="D5992" t="inlineStr">
        <is>
          <t>-28.1K1</t>
        </is>
      </c>
      <c r="E5992" t="inlineStr">
        <is>
          <t>DILA-XHIC31</t>
        </is>
      </c>
      <c r="F5992" t="inlineStr">
        <is>
          <t>DILA-XHIC31</t>
        </is>
      </c>
      <c r="G5992" t="inlineStr">
        <is>
          <t>HILFSKONTAKTBLOCK</t>
        </is>
      </c>
      <c r="H5992" t="inlineStr">
        <is>
          <t>3S 1OE Last+Hilfssch. Cage</t>
        </is>
      </c>
      <c r="I5992">
        <v>163</v>
      </c>
      <c r="J5992">
        <f>GS90/28.1.2</f>
        <v>0</v>
      </c>
      <c r="M5992" t="inlineStr">
        <is>
          <t>-28.1K1</t>
        </is>
      </c>
    </row>
    <row r="5993">
      <c r="A5993">
        <v>5992</v>
      </c>
      <c r="B5993">
        <f>GS90</f>
        <v>0</v>
      </c>
      <c r="C5993" t="inlineStr">
        <is>
          <t>+ES02</t>
        </is>
      </c>
      <c r="D5993" t="inlineStr">
        <is>
          <t>-28.1K1</t>
        </is>
      </c>
      <c r="E5993" t="inlineStr">
        <is>
          <t>DILM-9-01</t>
        </is>
      </c>
      <c r="F5993" t="inlineStr">
        <is>
          <t>DILA-XHIC31</t>
        </is>
      </c>
      <c r="G5993" t="inlineStr">
        <is>
          <t>LASTSCHUETZ</t>
        </is>
      </c>
      <c r="H5993" t="inlineStr">
        <is>
          <t>4kW 1Oe Federzugkl.</t>
        </is>
      </c>
      <c r="I5993">
        <v>163</v>
      </c>
      <c r="J5993">
        <f>GS90/28.1.2</f>
        <v>0</v>
      </c>
      <c r="M5993" t="inlineStr">
        <is>
          <t>-28.1K1</t>
        </is>
      </c>
    </row>
    <row r="5994">
      <c r="A5994">
        <v>5993</v>
      </c>
      <c r="B5994">
        <f>GS91</f>
        <v>0</v>
      </c>
      <c r="C5994" t="inlineStr">
        <is>
          <t>+ES02</t>
        </is>
      </c>
      <c r="D5994" t="inlineStr">
        <is>
          <t>-28.1K1</t>
        </is>
      </c>
      <c r="E5994" t="inlineStr">
        <is>
          <t>DILA-40</t>
        </is>
      </c>
      <c r="F5994" t="inlineStr">
        <is>
          <t>DILA-XHIC31</t>
        </is>
      </c>
      <c r="G5994" t="inlineStr">
        <is>
          <t>HILFSSCHUETZ</t>
        </is>
      </c>
      <c r="H5994" t="inlineStr">
        <is>
          <t>4S Federzugkl.</t>
        </is>
      </c>
      <c r="I5994">
        <v>173</v>
      </c>
      <c r="J5994">
        <f>GS91/28.1.2</f>
        <v>0</v>
      </c>
      <c r="M5994" t="inlineStr">
        <is>
          <t>-28.1K1</t>
        </is>
      </c>
    </row>
    <row r="5995">
      <c r="A5995">
        <v>5994</v>
      </c>
      <c r="B5995">
        <f>GS91</f>
        <v>0</v>
      </c>
      <c r="C5995" t="inlineStr">
        <is>
          <t>+ES02</t>
        </is>
      </c>
      <c r="D5995" t="inlineStr">
        <is>
          <t>-28.1K1</t>
        </is>
      </c>
      <c r="E5995" t="inlineStr">
        <is>
          <t>DILA-XHIC31</t>
        </is>
      </c>
      <c r="F5995" t="inlineStr">
        <is>
          <t>DILA-XHIC31</t>
        </is>
      </c>
      <c r="G5995" t="inlineStr">
        <is>
          <t>HILFSKONTAKTBLOCK</t>
        </is>
      </c>
      <c r="H5995" t="inlineStr">
        <is>
          <t>3S 1OE Last+Hilfssch. Cage</t>
        </is>
      </c>
      <c r="I5995">
        <v>173</v>
      </c>
      <c r="J5995">
        <f>GS91/28.1.2</f>
        <v>0</v>
      </c>
      <c r="M5995" t="inlineStr">
        <is>
          <t>-28.1K1</t>
        </is>
      </c>
    </row>
    <row r="5996">
      <c r="A5996">
        <v>5995</v>
      </c>
      <c r="B5996">
        <f>GS08</f>
        <v>0</v>
      </c>
      <c r="C5996" t="inlineStr">
        <is>
          <t>+ES02</t>
        </is>
      </c>
      <c r="D5996" t="inlineStr">
        <is>
          <t>-28.1K2</t>
        </is>
      </c>
      <c r="E5996" t="inlineStr">
        <is>
          <t>DILA-XHIC31</t>
        </is>
      </c>
      <c r="F5996" t="inlineStr">
        <is>
          <t>DILA-XHIC31</t>
        </is>
      </c>
      <c r="G5996" t="inlineStr">
        <is>
          <t>HILFSKONTAKTBLOCK</t>
        </is>
      </c>
      <c r="H5996" t="inlineStr">
        <is>
          <t>3S 1OE Last+Hilfssch. Cage</t>
        </is>
      </c>
      <c r="I5996">
        <v>425</v>
      </c>
      <c r="J5996">
        <f>GS08/28.1.5</f>
        <v>0</v>
      </c>
      <c r="M5996" t="inlineStr">
        <is>
          <t>-28.1K2</t>
        </is>
      </c>
    </row>
    <row r="5997">
      <c r="A5997">
        <v>5996</v>
      </c>
      <c r="B5997">
        <f>GS08</f>
        <v>0</v>
      </c>
      <c r="C5997" t="inlineStr">
        <is>
          <t>+ES02</t>
        </is>
      </c>
      <c r="D5997" t="inlineStr">
        <is>
          <t>-28.1K2</t>
        </is>
      </c>
      <c r="E5997" t="inlineStr">
        <is>
          <t>DILA-40</t>
        </is>
      </c>
      <c r="F5997" t="inlineStr">
        <is>
          <t>DILA-XHIC31</t>
        </is>
      </c>
      <c r="G5997" t="inlineStr">
        <is>
          <t>HILFSSCHUETZ</t>
        </is>
      </c>
      <c r="H5997" t="inlineStr">
        <is>
          <t>4S Federzugkl.</t>
        </is>
      </c>
      <c r="I5997">
        <v>425</v>
      </c>
      <c r="J5997">
        <f>GS08/28.1.5</f>
        <v>0</v>
      </c>
      <c r="M5997" t="inlineStr">
        <is>
          <t>-28.1K2</t>
        </is>
      </c>
    </row>
    <row r="5998">
      <c r="A5998">
        <v>5997</v>
      </c>
      <c r="B5998">
        <f>GS20</f>
        <v>0</v>
      </c>
      <c r="C5998" t="inlineStr">
        <is>
          <t>+ES02</t>
        </is>
      </c>
      <c r="D5998" t="inlineStr">
        <is>
          <t>-28.1K2</t>
        </is>
      </c>
      <c r="E5998" t="inlineStr">
        <is>
          <t>DILA-40</t>
        </is>
      </c>
      <c r="F5998" t="inlineStr">
        <is>
          <t>DILA-XHI22</t>
        </is>
      </c>
      <c r="G5998" t="inlineStr">
        <is>
          <t>HILFSSCHUETZ</t>
        </is>
      </c>
      <c r="H5998" t="inlineStr">
        <is>
          <t>4S Federzugkl.</t>
        </is>
      </c>
      <c r="I5998">
        <v>433</v>
      </c>
      <c r="J5998">
        <f>GS20/28.1.3</f>
        <v>0</v>
      </c>
      <c r="M5998" t="inlineStr">
        <is>
          <t>-28.1K2</t>
        </is>
      </c>
    </row>
    <row r="5999">
      <c r="A5999">
        <v>5998</v>
      </c>
      <c r="B5999">
        <f>GS20</f>
        <v>0</v>
      </c>
      <c r="C5999" t="inlineStr">
        <is>
          <t>+ES02</t>
        </is>
      </c>
      <c r="D5999" t="inlineStr">
        <is>
          <t>-28.1K2</t>
        </is>
      </c>
      <c r="E5999" t="inlineStr">
        <is>
          <t>DILA-XHI22</t>
        </is>
      </c>
      <c r="F5999" t="inlineStr">
        <is>
          <t>DILA-XHI22</t>
        </is>
      </c>
      <c r="G5999" t="inlineStr">
        <is>
          <t>HILFSKONTAKTBLOCK</t>
        </is>
      </c>
      <c r="H5999" t="inlineStr">
        <is>
          <t>2S 2OE Last+Hilfssch. Cage</t>
        </is>
      </c>
      <c r="I5999">
        <v>433</v>
      </c>
      <c r="J5999">
        <f>GS20/28.1.3</f>
        <v>0</v>
      </c>
      <c r="M5999" t="inlineStr">
        <is>
          <t>-28.1K2</t>
        </is>
      </c>
    </row>
    <row r="6000">
      <c r="A6000">
        <v>5999</v>
      </c>
      <c r="B6000">
        <f>GS30</f>
        <v>0</v>
      </c>
      <c r="C6000" t="inlineStr">
        <is>
          <t>+ES02</t>
        </is>
      </c>
      <c r="D6000" t="inlineStr">
        <is>
          <t>-28.1K2</t>
        </is>
      </c>
      <c r="E6000" t="inlineStr">
        <is>
          <t>DILA-XHI22</t>
        </is>
      </c>
      <c r="F6000" t="inlineStr">
        <is>
          <t>DILA-XHI22</t>
        </is>
      </c>
      <c r="G6000" t="inlineStr">
        <is>
          <t>HILFSKONTAKTBLOCK</t>
        </is>
      </c>
      <c r="H6000" t="inlineStr">
        <is>
          <t>2S 2OE Last+Hilfssch. Cage</t>
        </is>
      </c>
      <c r="I6000">
        <v>433</v>
      </c>
      <c r="J6000">
        <f>GS30/28.1.3</f>
        <v>0</v>
      </c>
      <c r="M6000" t="inlineStr">
        <is>
          <t>-28.1K2</t>
        </is>
      </c>
    </row>
    <row r="6001">
      <c r="A6001">
        <v>6000</v>
      </c>
      <c r="B6001">
        <f>GS30</f>
        <v>0</v>
      </c>
      <c r="C6001" t="inlineStr">
        <is>
          <t>+ES02</t>
        </is>
      </c>
      <c r="D6001" t="inlineStr">
        <is>
          <t>-28.1K2</t>
        </is>
      </c>
      <c r="E6001" t="inlineStr">
        <is>
          <t>DILA-40</t>
        </is>
      </c>
      <c r="F6001" t="inlineStr">
        <is>
          <t>DILA-XHI22</t>
        </is>
      </c>
      <c r="G6001" t="inlineStr">
        <is>
          <t>HILFSSCHUETZ</t>
        </is>
      </c>
      <c r="H6001" t="inlineStr">
        <is>
          <t>4S Federzugkl.</t>
        </is>
      </c>
      <c r="I6001">
        <v>433</v>
      </c>
      <c r="J6001">
        <f>GS30/28.1.3</f>
        <v>0</v>
      </c>
      <c r="M6001" t="inlineStr">
        <is>
          <t>-28.1K2</t>
        </is>
      </c>
    </row>
    <row r="6002">
      <c r="A6002">
        <v>6001</v>
      </c>
      <c r="B6002">
        <f>GS38</f>
        <v>0</v>
      </c>
      <c r="C6002" t="inlineStr">
        <is>
          <t>+ES02</t>
        </is>
      </c>
      <c r="D6002" t="inlineStr">
        <is>
          <t>-28.1K2</t>
        </is>
      </c>
      <c r="E6002" t="inlineStr">
        <is>
          <t>DILA-XHIC31</t>
        </is>
      </c>
      <c r="F6002" t="inlineStr">
        <is>
          <t>DILA-XHIC31</t>
        </is>
      </c>
      <c r="G6002" t="inlineStr">
        <is>
          <t>HILFSKONTAKTBLOCK</t>
        </is>
      </c>
      <c r="H6002" t="inlineStr">
        <is>
          <t>3S 1OE Last+Hilfssch. Cage</t>
        </is>
      </c>
      <c r="I6002">
        <v>169</v>
      </c>
      <c r="J6002">
        <f>GS38/28.1.3</f>
        <v>0</v>
      </c>
      <c r="M6002" t="inlineStr">
        <is>
          <t>-28.1K2</t>
        </is>
      </c>
    </row>
    <row r="6003">
      <c r="A6003">
        <v>6002</v>
      </c>
      <c r="B6003">
        <f>GS38</f>
        <v>0</v>
      </c>
      <c r="C6003" t="inlineStr">
        <is>
          <t>+ES02</t>
        </is>
      </c>
      <c r="D6003" t="inlineStr">
        <is>
          <t>-28.1K2</t>
        </is>
      </c>
      <c r="E6003" t="inlineStr">
        <is>
          <t>DILA-40</t>
        </is>
      </c>
      <c r="F6003" t="inlineStr">
        <is>
          <t>DILA-XHIC31</t>
        </is>
      </c>
      <c r="G6003" t="inlineStr">
        <is>
          <t>HILFSSCHUETZ</t>
        </is>
      </c>
      <c r="H6003" t="inlineStr">
        <is>
          <t>4S Federzugkl.</t>
        </is>
      </c>
      <c r="I6003">
        <v>169</v>
      </c>
      <c r="J6003">
        <f>GS38/28.1.3</f>
        <v>0</v>
      </c>
      <c r="M6003" t="inlineStr">
        <is>
          <t>-28.1K2</t>
        </is>
      </c>
    </row>
    <row r="6004">
      <c r="A6004">
        <v>6003</v>
      </c>
      <c r="B6004">
        <f>GS39</f>
        <v>0</v>
      </c>
      <c r="C6004" t="inlineStr">
        <is>
          <t>+ES02</t>
        </is>
      </c>
      <c r="D6004" t="inlineStr">
        <is>
          <t>-28.1K2</t>
        </is>
      </c>
      <c r="E6004" t="inlineStr">
        <is>
          <t>DILA-40</t>
        </is>
      </c>
      <c r="F6004" t="inlineStr">
        <is>
          <t>DILA-XHIC31</t>
        </is>
      </c>
      <c r="G6004" t="inlineStr">
        <is>
          <t>HILFSSCHUETZ</t>
        </is>
      </c>
      <c r="H6004" t="inlineStr">
        <is>
          <t>4S Federzugkl.</t>
        </is>
      </c>
      <c r="I6004">
        <v>211</v>
      </c>
      <c r="J6004">
        <f>GS39/28.1.3</f>
        <v>0</v>
      </c>
      <c r="M6004" t="inlineStr">
        <is>
          <t>-28.1K2</t>
        </is>
      </c>
    </row>
    <row r="6005">
      <c r="A6005">
        <v>6004</v>
      </c>
      <c r="B6005">
        <f>GS39</f>
        <v>0</v>
      </c>
      <c r="C6005" t="inlineStr">
        <is>
          <t>+ES02</t>
        </is>
      </c>
      <c r="D6005" t="inlineStr">
        <is>
          <t>-28.1K2</t>
        </is>
      </c>
      <c r="E6005" t="inlineStr">
        <is>
          <t>DILA-XHIC31</t>
        </is>
      </c>
      <c r="F6005" t="inlineStr">
        <is>
          <t>DILA-XHIC31</t>
        </is>
      </c>
      <c r="G6005" t="inlineStr">
        <is>
          <t>HILFSKONTAKTBLOCK</t>
        </is>
      </c>
      <c r="H6005" t="inlineStr">
        <is>
          <t>3S 1OE Last+Hilfssch. Cage</t>
        </is>
      </c>
      <c r="I6005">
        <v>211</v>
      </c>
      <c r="J6005">
        <f>GS39/28.1.3</f>
        <v>0</v>
      </c>
      <c r="M6005" t="inlineStr">
        <is>
          <t>-28.1K2</t>
        </is>
      </c>
    </row>
    <row r="6006">
      <c r="A6006">
        <v>6005</v>
      </c>
      <c r="B6006">
        <f>GS51</f>
        <v>0</v>
      </c>
      <c r="C6006" t="inlineStr">
        <is>
          <t>+ES02</t>
        </is>
      </c>
      <c r="D6006" t="inlineStr">
        <is>
          <t>-28.1K2</t>
        </is>
      </c>
      <c r="E6006" t="inlineStr">
        <is>
          <t>DILA-XHIC31</t>
        </is>
      </c>
      <c r="F6006" t="inlineStr">
        <is>
          <t>DILA-XHIC31</t>
        </is>
      </c>
      <c r="G6006" t="inlineStr">
        <is>
          <t>HILFSKONTAKTBLOCK</t>
        </is>
      </c>
      <c r="H6006" t="inlineStr">
        <is>
          <t>3S 1OE Last+Hilfssch. Cage</t>
        </is>
      </c>
      <c r="I6006">
        <v>244</v>
      </c>
      <c r="J6006">
        <f>GS51/28.1.5</f>
        <v>0</v>
      </c>
      <c r="M6006" t="inlineStr">
        <is>
          <t>-28.1K2</t>
        </is>
      </c>
    </row>
    <row r="6007">
      <c r="A6007">
        <v>6006</v>
      </c>
      <c r="B6007">
        <f>GS51</f>
        <v>0</v>
      </c>
      <c r="C6007" t="inlineStr">
        <is>
          <t>+ES02</t>
        </is>
      </c>
      <c r="D6007" t="inlineStr">
        <is>
          <t>-28.1K2</t>
        </is>
      </c>
      <c r="E6007" t="inlineStr">
        <is>
          <t>DILA-40</t>
        </is>
      </c>
      <c r="F6007" t="inlineStr">
        <is>
          <t>DILA-XHIC31</t>
        </is>
      </c>
      <c r="G6007" t="inlineStr">
        <is>
          <t>HILFSSCHUETZ</t>
        </is>
      </c>
      <c r="H6007" t="inlineStr">
        <is>
          <t>4S Federzugkl.</t>
        </is>
      </c>
      <c r="I6007">
        <v>244</v>
      </c>
      <c r="J6007">
        <f>GS51/28.1.5</f>
        <v>0</v>
      </c>
      <c r="M6007" t="inlineStr">
        <is>
          <t>-28.1K2</t>
        </is>
      </c>
    </row>
    <row r="6008">
      <c r="A6008">
        <v>6007</v>
      </c>
      <c r="B6008">
        <f>GS55</f>
        <v>0</v>
      </c>
      <c r="C6008" t="inlineStr">
        <is>
          <t>+ES02</t>
        </is>
      </c>
      <c r="D6008" t="inlineStr">
        <is>
          <t>-28.1K2</t>
        </is>
      </c>
      <c r="E6008" t="inlineStr">
        <is>
          <t>DILA-40</t>
        </is>
      </c>
      <c r="F6008" t="inlineStr">
        <is>
          <t>DILA-XHIC31</t>
        </is>
      </c>
      <c r="G6008" t="inlineStr">
        <is>
          <t>HILFSSCHUETZ</t>
        </is>
      </c>
      <c r="H6008" t="inlineStr">
        <is>
          <t>4S Federzugkl.</t>
        </is>
      </c>
      <c r="I6008">
        <v>264</v>
      </c>
      <c r="J6008">
        <f>GS55/28.1.5</f>
        <v>0</v>
      </c>
      <c r="M6008" t="inlineStr">
        <is>
          <t>-28.1K2</t>
        </is>
      </c>
    </row>
    <row r="6009">
      <c r="A6009">
        <v>6008</v>
      </c>
      <c r="B6009">
        <f>GS55</f>
        <v>0</v>
      </c>
      <c r="C6009" t="inlineStr">
        <is>
          <t>+ES02</t>
        </is>
      </c>
      <c r="D6009" t="inlineStr">
        <is>
          <t>-28.1K2</t>
        </is>
      </c>
      <c r="E6009" t="inlineStr">
        <is>
          <t>DILA-XHIC31</t>
        </is>
      </c>
      <c r="F6009" t="inlineStr">
        <is>
          <t>DILA-XHIC31</t>
        </is>
      </c>
      <c r="G6009" t="inlineStr">
        <is>
          <t>HILFSKONTAKTBLOCK</t>
        </is>
      </c>
      <c r="H6009" t="inlineStr">
        <is>
          <t>3S 1OE Last+Hilfssch. Cage</t>
        </is>
      </c>
      <c r="I6009">
        <v>264</v>
      </c>
      <c r="J6009">
        <f>GS55/28.1.5</f>
        <v>0</v>
      </c>
      <c r="M6009" t="inlineStr">
        <is>
          <t>-28.1K2</t>
        </is>
      </c>
    </row>
    <row r="6010">
      <c r="A6010">
        <v>6009</v>
      </c>
      <c r="B6010">
        <f>GS90</f>
        <v>0</v>
      </c>
      <c r="C6010" t="inlineStr">
        <is>
          <t>+ES02</t>
        </is>
      </c>
      <c r="D6010" t="inlineStr">
        <is>
          <t>-28.1K2</t>
        </is>
      </c>
      <c r="E6010" t="inlineStr">
        <is>
          <t>DILA-XHIC31</t>
        </is>
      </c>
      <c r="F6010" t="inlineStr">
        <is>
          <t>DILA-XHIC31</t>
        </is>
      </c>
      <c r="G6010" t="inlineStr">
        <is>
          <t>HILFSKONTAKTBLOCK</t>
        </is>
      </c>
      <c r="H6010" t="inlineStr">
        <is>
          <t>3S 1OE Last+Hilfssch. Cage</t>
        </is>
      </c>
      <c r="I6010">
        <v>163</v>
      </c>
      <c r="J6010">
        <f>GS90/28.1.3</f>
        <v>0</v>
      </c>
      <c r="M6010" t="inlineStr">
        <is>
          <t>-28.1K2</t>
        </is>
      </c>
    </row>
    <row r="6011">
      <c r="A6011">
        <v>6010</v>
      </c>
      <c r="B6011">
        <f>GS90</f>
        <v>0</v>
      </c>
      <c r="C6011" t="inlineStr">
        <is>
          <t>+ES02</t>
        </is>
      </c>
      <c r="D6011" t="inlineStr">
        <is>
          <t>-28.1K2</t>
        </is>
      </c>
      <c r="E6011" t="inlineStr">
        <is>
          <t>DILM-9-01</t>
        </is>
      </c>
      <c r="F6011" t="inlineStr">
        <is>
          <t>DILA-XHIC31</t>
        </is>
      </c>
      <c r="G6011" t="inlineStr">
        <is>
          <t>LASTSCHUETZ</t>
        </is>
      </c>
      <c r="H6011" t="inlineStr">
        <is>
          <t>4kW 1Oe Federzugkl.</t>
        </is>
      </c>
      <c r="I6011">
        <v>163</v>
      </c>
      <c r="J6011">
        <f>GS90/28.1.3</f>
        <v>0</v>
      </c>
      <c r="M6011" t="inlineStr">
        <is>
          <t>-28.1K2</t>
        </is>
      </c>
    </row>
    <row r="6012">
      <c r="A6012">
        <v>6011</v>
      </c>
      <c r="B6012">
        <f>GS91</f>
        <v>0</v>
      </c>
      <c r="C6012" t="inlineStr">
        <is>
          <t>+ES02</t>
        </is>
      </c>
      <c r="D6012" t="inlineStr">
        <is>
          <t>-28.1K2</t>
        </is>
      </c>
      <c r="E6012" t="inlineStr">
        <is>
          <t>DILA-40</t>
        </is>
      </c>
      <c r="F6012" t="inlineStr">
        <is>
          <t>DILA-XHIC31</t>
        </is>
      </c>
      <c r="G6012" t="inlineStr">
        <is>
          <t>HILFSSCHUETZ</t>
        </is>
      </c>
      <c r="H6012" t="inlineStr">
        <is>
          <t>4S Federzugkl.</t>
        </is>
      </c>
      <c r="I6012">
        <v>173</v>
      </c>
      <c r="J6012">
        <f>GS91/28.1.3</f>
        <v>0</v>
      </c>
      <c r="M6012" t="inlineStr">
        <is>
          <t>-28.1K2</t>
        </is>
      </c>
    </row>
    <row r="6013">
      <c r="A6013">
        <v>6012</v>
      </c>
      <c r="B6013">
        <f>GS91</f>
        <v>0</v>
      </c>
      <c r="C6013" t="inlineStr">
        <is>
          <t>+ES02</t>
        </is>
      </c>
      <c r="D6013" t="inlineStr">
        <is>
          <t>-28.1K2</t>
        </is>
      </c>
      <c r="E6013" t="inlineStr">
        <is>
          <t>DILA-XHIC31</t>
        </is>
      </c>
      <c r="F6013" t="inlineStr">
        <is>
          <t>DILA-XHIC31</t>
        </is>
      </c>
      <c r="G6013" t="inlineStr">
        <is>
          <t>HILFSKONTAKTBLOCK</t>
        </is>
      </c>
      <c r="H6013" t="inlineStr">
        <is>
          <t>3S 1OE Last+Hilfssch. Cage</t>
        </is>
      </c>
      <c r="I6013">
        <v>173</v>
      </c>
      <c r="J6013">
        <f>GS91/28.1.3</f>
        <v>0</v>
      </c>
      <c r="M6013" t="inlineStr">
        <is>
          <t>-28.1K2</t>
        </is>
      </c>
    </row>
    <row r="6014">
      <c r="A6014">
        <v>6013</v>
      </c>
      <c r="B6014">
        <f>GS38</f>
        <v>0</v>
      </c>
      <c r="C6014" t="inlineStr">
        <is>
          <t>+ES02</t>
        </is>
      </c>
      <c r="D6014" t="inlineStr">
        <is>
          <t>-28.1K3</t>
        </is>
      </c>
      <c r="E6014" t="inlineStr">
        <is>
          <t>DILA-XHIC31</t>
        </is>
      </c>
      <c r="F6014" t="inlineStr">
        <is>
          <t>DILA-XHIC31</t>
        </is>
      </c>
      <c r="G6014" t="inlineStr">
        <is>
          <t>HILFSKONTAKTBLOCK</t>
        </is>
      </c>
      <c r="H6014" t="inlineStr">
        <is>
          <t>3S 1OE Last+Hilfssch. Cage</t>
        </is>
      </c>
      <c r="I6014">
        <v>169</v>
      </c>
      <c r="J6014">
        <f>GS38/28.1.3</f>
        <v>0</v>
      </c>
      <c r="M6014" t="inlineStr">
        <is>
          <t>-28.1K3</t>
        </is>
      </c>
    </row>
    <row r="6015">
      <c r="A6015">
        <v>6014</v>
      </c>
      <c r="B6015">
        <f>GS38</f>
        <v>0</v>
      </c>
      <c r="C6015" t="inlineStr">
        <is>
          <t>+ES02</t>
        </is>
      </c>
      <c r="D6015" t="inlineStr">
        <is>
          <t>-28.1K3</t>
        </is>
      </c>
      <c r="E6015" t="inlineStr">
        <is>
          <t>DILA-40</t>
        </is>
      </c>
      <c r="F6015" t="inlineStr">
        <is>
          <t>DILA-XHIC31</t>
        </is>
      </c>
      <c r="G6015" t="inlineStr">
        <is>
          <t>HILFSSCHUETZ</t>
        </is>
      </c>
      <c r="H6015" t="inlineStr">
        <is>
          <t>4S Federzugkl.</t>
        </is>
      </c>
      <c r="I6015">
        <v>169</v>
      </c>
      <c r="J6015">
        <f>GS38/28.1.3</f>
        <v>0</v>
      </c>
      <c r="M6015" t="inlineStr">
        <is>
          <t>-28.1K3</t>
        </is>
      </c>
    </row>
    <row r="6016">
      <c r="A6016">
        <v>6015</v>
      </c>
      <c r="B6016">
        <f>GS39</f>
        <v>0</v>
      </c>
      <c r="C6016" t="inlineStr">
        <is>
          <t>+ES02</t>
        </is>
      </c>
      <c r="D6016" t="inlineStr">
        <is>
          <t>-28.1K3</t>
        </is>
      </c>
      <c r="E6016" t="inlineStr">
        <is>
          <t>DILA-40</t>
        </is>
      </c>
      <c r="F6016" t="inlineStr">
        <is>
          <t>DILA-XHIC31</t>
        </is>
      </c>
      <c r="G6016" t="inlineStr">
        <is>
          <t>HILFSSCHUETZ</t>
        </is>
      </c>
      <c r="H6016" t="inlineStr">
        <is>
          <t>4S Federzugkl.</t>
        </is>
      </c>
      <c r="I6016">
        <v>211</v>
      </c>
      <c r="J6016">
        <f>GS39/28.1.3</f>
        <v>0</v>
      </c>
      <c r="M6016" t="inlineStr">
        <is>
          <t>-28.1K3</t>
        </is>
      </c>
    </row>
    <row r="6017">
      <c r="A6017">
        <v>6016</v>
      </c>
      <c r="B6017">
        <f>GS39</f>
        <v>0</v>
      </c>
      <c r="C6017" t="inlineStr">
        <is>
          <t>+ES02</t>
        </is>
      </c>
      <c r="D6017" t="inlineStr">
        <is>
          <t>-28.1K3</t>
        </is>
      </c>
      <c r="E6017" t="inlineStr">
        <is>
          <t>DILA-XHIC31</t>
        </is>
      </c>
      <c r="F6017" t="inlineStr">
        <is>
          <t>DILA-XHIC31</t>
        </is>
      </c>
      <c r="G6017" t="inlineStr">
        <is>
          <t>HILFSKONTAKTBLOCK</t>
        </is>
      </c>
      <c r="H6017" t="inlineStr">
        <is>
          <t>3S 1OE Last+Hilfssch. Cage</t>
        </is>
      </c>
      <c r="I6017">
        <v>211</v>
      </c>
      <c r="J6017">
        <f>GS39/28.1.3</f>
        <v>0</v>
      </c>
      <c r="M6017" t="inlineStr">
        <is>
          <t>-28.1K3</t>
        </is>
      </c>
    </row>
    <row r="6018">
      <c r="A6018">
        <v>6017</v>
      </c>
      <c r="B6018">
        <f>GS38</f>
        <v>0</v>
      </c>
      <c r="C6018" t="inlineStr">
        <is>
          <t>+ES02</t>
        </is>
      </c>
      <c r="D6018" t="inlineStr">
        <is>
          <t>-28.1K4</t>
        </is>
      </c>
      <c r="E6018" t="inlineStr">
        <is>
          <t>DILA-XHIC31</t>
        </is>
      </c>
      <c r="F6018" t="inlineStr">
        <is>
          <t>DILA-XHIC31</t>
        </is>
      </c>
      <c r="G6018" t="inlineStr">
        <is>
          <t>HILFSKONTAKTBLOCK</t>
        </is>
      </c>
      <c r="H6018" t="inlineStr">
        <is>
          <t>3S 1OE Last+Hilfssch. Cage</t>
        </is>
      </c>
      <c r="I6018">
        <v>169</v>
      </c>
      <c r="J6018">
        <f>GS38/28.1.4</f>
        <v>0</v>
      </c>
      <c r="M6018" t="inlineStr">
        <is>
          <t>-28.1K4</t>
        </is>
      </c>
    </row>
    <row r="6019">
      <c r="A6019">
        <v>6018</v>
      </c>
      <c r="B6019">
        <f>GS38</f>
        <v>0</v>
      </c>
      <c r="C6019" t="inlineStr">
        <is>
          <t>+ES02</t>
        </is>
      </c>
      <c r="D6019" t="inlineStr">
        <is>
          <t>-28.1K4</t>
        </is>
      </c>
      <c r="E6019" t="inlineStr">
        <is>
          <t>DILA-40</t>
        </is>
      </c>
      <c r="F6019" t="inlineStr">
        <is>
          <t>DILA-XHIC31</t>
        </is>
      </c>
      <c r="G6019" t="inlineStr">
        <is>
          <t>HILFSSCHUETZ</t>
        </is>
      </c>
      <c r="H6019" t="inlineStr">
        <is>
          <t>4S Federzugkl.</t>
        </is>
      </c>
      <c r="I6019">
        <v>169</v>
      </c>
      <c r="J6019">
        <f>GS38/28.1.4</f>
        <v>0</v>
      </c>
      <c r="M6019" t="inlineStr">
        <is>
          <t>-28.1K4</t>
        </is>
      </c>
    </row>
    <row r="6020">
      <c r="A6020">
        <v>6019</v>
      </c>
      <c r="B6020">
        <f>GS39</f>
        <v>0</v>
      </c>
      <c r="C6020" t="inlineStr">
        <is>
          <t>+ES02</t>
        </is>
      </c>
      <c r="D6020" t="inlineStr">
        <is>
          <t>-28.1K4</t>
        </is>
      </c>
      <c r="E6020" t="inlineStr">
        <is>
          <t>DILA-40</t>
        </is>
      </c>
      <c r="F6020" t="inlineStr">
        <is>
          <t>DILA-XHIC31</t>
        </is>
      </c>
      <c r="G6020" t="inlineStr">
        <is>
          <t>HILFSSCHUETZ</t>
        </is>
      </c>
      <c r="H6020" t="inlineStr">
        <is>
          <t>4S Federzugkl.</t>
        </is>
      </c>
      <c r="I6020">
        <v>211</v>
      </c>
      <c r="J6020">
        <f>GS39/28.1.4</f>
        <v>0</v>
      </c>
      <c r="M6020" t="inlineStr">
        <is>
          <t>-28.1K4</t>
        </is>
      </c>
    </row>
    <row r="6021">
      <c r="A6021">
        <v>6020</v>
      </c>
      <c r="B6021">
        <f>GS39</f>
        <v>0</v>
      </c>
      <c r="C6021" t="inlineStr">
        <is>
          <t>+ES02</t>
        </is>
      </c>
      <c r="D6021" t="inlineStr">
        <is>
          <t>-28.1K4</t>
        </is>
      </c>
      <c r="E6021" t="inlineStr">
        <is>
          <t>DILA-XHIC31</t>
        </is>
      </c>
      <c r="F6021" t="inlineStr">
        <is>
          <t>DILA-XHIC31</t>
        </is>
      </c>
      <c r="G6021" t="inlineStr">
        <is>
          <t>HILFSKONTAKTBLOCK</t>
        </is>
      </c>
      <c r="H6021" t="inlineStr">
        <is>
          <t>3S 1OE Last+Hilfssch. Cage</t>
        </is>
      </c>
      <c r="I6021">
        <v>211</v>
      </c>
      <c r="J6021">
        <f>GS39/28.1.4</f>
        <v>0</v>
      </c>
      <c r="M6021" t="inlineStr">
        <is>
          <t>-28.1K4</t>
        </is>
      </c>
    </row>
    <row r="6022">
      <c r="A6022">
        <v>6021</v>
      </c>
      <c r="B6022">
        <f>GS38</f>
        <v>0</v>
      </c>
      <c r="C6022" t="inlineStr">
        <is>
          <t>+LS05</t>
        </is>
      </c>
      <c r="D6022" t="inlineStr">
        <is>
          <t>-280K1</t>
        </is>
      </c>
      <c r="E6022" t="inlineStr">
        <is>
          <t>DILM-9-10</t>
        </is>
      </c>
      <c r="F6022" t="inlineStr">
        <is>
          <t>DILA-XHI22</t>
        </is>
      </c>
      <c r="G6022" t="inlineStr">
        <is>
          <t>LASTSCHUETZ</t>
        </is>
      </c>
      <c r="H6022" t="inlineStr">
        <is>
          <t>4kW 1S Federzugkl.</t>
        </is>
      </c>
      <c r="I6022">
        <v>450</v>
      </c>
      <c r="J6022">
        <f>GS38/280.5</f>
        <v>0</v>
      </c>
      <c r="M6022" t="inlineStr">
        <is>
          <t>-280K1</t>
        </is>
      </c>
    </row>
    <row r="6023">
      <c r="A6023">
        <v>6022</v>
      </c>
      <c r="B6023">
        <f>GS38</f>
        <v>0</v>
      </c>
      <c r="C6023" t="inlineStr">
        <is>
          <t>+LS05</t>
        </is>
      </c>
      <c r="D6023" t="inlineStr">
        <is>
          <t>-280K1</t>
        </is>
      </c>
      <c r="E6023" t="inlineStr">
        <is>
          <t>DILA-XHI22</t>
        </is>
      </c>
      <c r="F6023" t="inlineStr">
        <is>
          <t>DILA-XHI22</t>
        </is>
      </c>
      <c r="G6023" t="inlineStr">
        <is>
          <t>HILFSKONTAKTBLOCK</t>
        </is>
      </c>
      <c r="H6023" t="inlineStr">
        <is>
          <t>2S 2OE Last+Hilfssch. Cage</t>
        </is>
      </c>
      <c r="I6023">
        <v>450</v>
      </c>
      <c r="J6023">
        <f>GS38/280.5</f>
        <v>0</v>
      </c>
      <c r="M6023" t="inlineStr">
        <is>
          <t>-280K1</t>
        </is>
      </c>
    </row>
    <row r="6024">
      <c r="A6024">
        <v>6023</v>
      </c>
      <c r="B6024">
        <f>GS39</f>
        <v>0</v>
      </c>
      <c r="C6024" t="inlineStr">
        <is>
          <t>+LS05</t>
        </is>
      </c>
      <c r="D6024" t="inlineStr">
        <is>
          <t>-280K1</t>
        </is>
      </c>
      <c r="E6024" t="inlineStr">
        <is>
          <t>DILA-XHI22</t>
        </is>
      </c>
      <c r="F6024" t="inlineStr">
        <is>
          <t>DILA-XHI22</t>
        </is>
      </c>
      <c r="G6024" t="inlineStr">
        <is>
          <t>HILFSKONTAKTBLOCK</t>
        </is>
      </c>
      <c r="H6024" t="inlineStr">
        <is>
          <t>2S 2OE Last+Hilfssch. Cage</t>
        </is>
      </c>
      <c r="I6024">
        <v>451</v>
      </c>
      <c r="J6024">
        <f>GS39/280.5</f>
        <v>0</v>
      </c>
      <c r="M6024" t="inlineStr">
        <is>
          <t>-280K1</t>
        </is>
      </c>
    </row>
    <row r="6025">
      <c r="A6025">
        <v>6024</v>
      </c>
      <c r="B6025">
        <f>GS39</f>
        <v>0</v>
      </c>
      <c r="C6025" t="inlineStr">
        <is>
          <t>+LS05</t>
        </is>
      </c>
      <c r="D6025" t="inlineStr">
        <is>
          <t>-280K1</t>
        </is>
      </c>
      <c r="E6025" t="inlineStr">
        <is>
          <t>DILM-9-10</t>
        </is>
      </c>
      <c r="F6025" t="inlineStr">
        <is>
          <t>DILA-XHI22</t>
        </is>
      </c>
      <c r="G6025" t="inlineStr">
        <is>
          <t>LASTSCHUETZ</t>
        </is>
      </c>
      <c r="H6025" t="inlineStr">
        <is>
          <t>4kW 1S Federzugkl.</t>
        </is>
      </c>
      <c r="I6025">
        <v>451</v>
      </c>
      <c r="J6025">
        <f>GS39/280.5</f>
        <v>0</v>
      </c>
      <c r="M6025" t="inlineStr">
        <is>
          <t>-280K1</t>
        </is>
      </c>
    </row>
    <row r="6026">
      <c r="A6026">
        <v>6025</v>
      </c>
      <c r="B6026">
        <f>GS11</f>
        <v>0</v>
      </c>
      <c r="C6026" t="inlineStr">
        <is>
          <t>+LS6</t>
        </is>
      </c>
      <c r="D6026" t="inlineStr">
        <is>
          <t>-280K14.5</t>
        </is>
      </c>
      <c r="E6026" t="inlineStr">
        <is>
          <t>DIL_EM-10-G</t>
        </is>
      </c>
      <c r="F6026" t="inlineStr">
        <is>
          <t>#KALK!</t>
        </is>
      </c>
      <c r="G6026" t="inlineStr">
        <is>
          <t>LASTSCHUETZ</t>
        </is>
      </c>
      <c r="H6026" t="inlineStr">
        <is>
          <t>4kW 1S</t>
        </is>
      </c>
      <c r="I6026">
        <v>391</v>
      </c>
      <c r="J6026">
        <f>GS11/280.6</f>
        <v>0</v>
      </c>
      <c r="M6026" t="inlineStr">
        <is>
          <t>-280K14.5</t>
        </is>
      </c>
    </row>
    <row r="6027">
      <c r="A6027">
        <v>6026</v>
      </c>
      <c r="B6027">
        <f>GS21</f>
        <v>0</v>
      </c>
      <c r="C6027" t="inlineStr">
        <is>
          <t>+LS6</t>
        </is>
      </c>
      <c r="D6027" t="inlineStr">
        <is>
          <t>-280K14.5</t>
        </is>
      </c>
      <c r="E6027" t="inlineStr">
        <is>
          <t>DIL_EM-10-G</t>
        </is>
      </c>
      <c r="F6027" t="inlineStr">
        <is>
          <t>#KALK!</t>
        </is>
      </c>
      <c r="G6027" t="inlineStr">
        <is>
          <t>LASTSCHUETZ</t>
        </is>
      </c>
      <c r="H6027" t="inlineStr">
        <is>
          <t>4kW 1S</t>
        </is>
      </c>
      <c r="I6027">
        <v>368</v>
      </c>
      <c r="J6027">
        <f>GS21/280.6</f>
        <v>0</v>
      </c>
      <c r="M6027" t="inlineStr">
        <is>
          <t>-280K14.5</t>
        </is>
      </c>
    </row>
    <row r="6028">
      <c r="A6028">
        <v>6027</v>
      </c>
      <c r="B6028">
        <f>GS38</f>
        <v>0</v>
      </c>
      <c r="C6028" t="inlineStr">
        <is>
          <t>+LS05</t>
        </is>
      </c>
      <c r="D6028" t="inlineStr">
        <is>
          <t>-280K2</t>
        </is>
      </c>
      <c r="E6028" t="inlineStr">
        <is>
          <t>DILM-9-10</t>
        </is>
      </c>
      <c r="F6028" t="inlineStr">
        <is>
          <t>DILA-XHI22</t>
        </is>
      </c>
      <c r="G6028" t="inlineStr">
        <is>
          <t>LASTSCHUETZ</t>
        </is>
      </c>
      <c r="H6028" t="inlineStr">
        <is>
          <t>4kW 1S Federzugkl.</t>
        </is>
      </c>
      <c r="I6028">
        <v>450</v>
      </c>
      <c r="J6028">
        <f>GS38/280.6</f>
        <v>0</v>
      </c>
      <c r="M6028" t="inlineStr">
        <is>
          <t>-280K2</t>
        </is>
      </c>
    </row>
    <row r="6029">
      <c r="A6029">
        <v>6028</v>
      </c>
      <c r="B6029">
        <f>GS38</f>
        <v>0</v>
      </c>
      <c r="C6029" t="inlineStr">
        <is>
          <t>+LS05</t>
        </is>
      </c>
      <c r="D6029" t="inlineStr">
        <is>
          <t>-280K2</t>
        </is>
      </c>
      <c r="E6029" t="inlineStr">
        <is>
          <t>DILA-XHI22</t>
        </is>
      </c>
      <c r="F6029" t="inlineStr">
        <is>
          <t>DILA-XHI22</t>
        </is>
      </c>
      <c r="G6029" t="inlineStr">
        <is>
          <t>HILFSKONTAKTBLOCK</t>
        </is>
      </c>
      <c r="H6029" t="inlineStr">
        <is>
          <t>2S 2OE Last+Hilfssch. Cage</t>
        </is>
      </c>
      <c r="I6029">
        <v>450</v>
      </c>
      <c r="J6029">
        <f>GS38/280.6</f>
        <v>0</v>
      </c>
      <c r="M6029" t="inlineStr">
        <is>
          <t>-280K2</t>
        </is>
      </c>
    </row>
    <row r="6030">
      <c r="A6030">
        <v>6029</v>
      </c>
      <c r="B6030">
        <f>GS39</f>
        <v>0</v>
      </c>
      <c r="C6030" t="inlineStr">
        <is>
          <t>+LS05</t>
        </is>
      </c>
      <c r="D6030" t="inlineStr">
        <is>
          <t>-280K2</t>
        </is>
      </c>
      <c r="E6030" t="inlineStr">
        <is>
          <t>DILA-XHI22</t>
        </is>
      </c>
      <c r="F6030" t="inlineStr">
        <is>
          <t>DILA-XHI22</t>
        </is>
      </c>
      <c r="G6030" t="inlineStr">
        <is>
          <t>HILFSKONTAKTBLOCK</t>
        </is>
      </c>
      <c r="H6030" t="inlineStr">
        <is>
          <t>2S 2OE Last+Hilfssch. Cage</t>
        </is>
      </c>
      <c r="I6030">
        <v>451</v>
      </c>
      <c r="J6030">
        <f>GS39/280.6</f>
        <v>0</v>
      </c>
      <c r="M6030" t="inlineStr">
        <is>
          <t>-280K2</t>
        </is>
      </c>
    </row>
    <row r="6031">
      <c r="A6031">
        <v>6030</v>
      </c>
      <c r="B6031">
        <f>GS39</f>
        <v>0</v>
      </c>
      <c r="C6031" t="inlineStr">
        <is>
          <t>+LS05</t>
        </is>
      </c>
      <c r="D6031" t="inlineStr">
        <is>
          <t>-280K2</t>
        </is>
      </c>
      <c r="E6031" t="inlineStr">
        <is>
          <t>DILM-9-10</t>
        </is>
      </c>
      <c r="F6031" t="inlineStr">
        <is>
          <t>DILA-XHI22</t>
        </is>
      </c>
      <c r="G6031" t="inlineStr">
        <is>
          <t>LASTSCHUETZ</t>
        </is>
      </c>
      <c r="H6031" t="inlineStr">
        <is>
          <t>4kW 1S Federzugkl.</t>
        </is>
      </c>
      <c r="I6031">
        <v>451</v>
      </c>
      <c r="J6031">
        <f>GS39/280.6</f>
        <v>0</v>
      </c>
      <c r="M6031" t="inlineStr">
        <is>
          <t>-280K2</t>
        </is>
      </c>
    </row>
    <row r="6032">
      <c r="A6032">
        <v>6031</v>
      </c>
      <c r="B6032">
        <f>GS33</f>
        <v>0</v>
      </c>
      <c r="C6032" t="inlineStr">
        <is>
          <t>+LS6</t>
        </is>
      </c>
      <c r="D6032" t="inlineStr">
        <is>
          <t>-280K42.5</t>
        </is>
      </c>
      <c r="E6032" t="inlineStr">
        <is>
          <t>DIL_EM-10-G</t>
        </is>
      </c>
      <c r="F6032" t="inlineStr">
        <is>
          <t>#KALK!</t>
        </is>
      </c>
      <c r="G6032" t="inlineStr">
        <is>
          <t>LASTSCHUETZ</t>
        </is>
      </c>
      <c r="H6032" t="inlineStr">
        <is>
          <t>4kW 1S</t>
        </is>
      </c>
      <c r="I6032">
        <v>727</v>
      </c>
      <c r="J6032">
        <f>GS33/280.6</f>
        <v>0</v>
      </c>
      <c r="M6032" t="inlineStr">
        <is>
          <t>-280K42.5</t>
        </is>
      </c>
    </row>
    <row r="6033">
      <c r="A6033">
        <v>6032</v>
      </c>
      <c r="B6033">
        <f>GS33</f>
        <v>0</v>
      </c>
      <c r="C6033" t="inlineStr">
        <is>
          <t>+LS6</t>
        </is>
      </c>
      <c r="D6033" t="inlineStr">
        <is>
          <t>-280K56.1</t>
        </is>
      </c>
      <c r="E6033" t="inlineStr">
        <is>
          <t>DIL_EM-10-G</t>
        </is>
      </c>
      <c r="F6033" t="inlineStr">
        <is>
          <t>#KALK!</t>
        </is>
      </c>
      <c r="G6033" t="inlineStr">
        <is>
          <t>LASTSCHUETZ</t>
        </is>
      </c>
      <c r="H6033" t="inlineStr">
        <is>
          <t>4kW 1S</t>
        </is>
      </c>
      <c r="I6033">
        <v>727</v>
      </c>
      <c r="J6033">
        <f>GS33/280.6</f>
        <v>0</v>
      </c>
      <c r="M6033" t="inlineStr">
        <is>
          <t>-280K56.1</t>
        </is>
      </c>
    </row>
    <row r="6034">
      <c r="A6034">
        <v>6033</v>
      </c>
      <c r="B6034">
        <f>GS04</f>
        <v>0</v>
      </c>
      <c r="C6034" t="inlineStr">
        <is>
          <t>+LS6</t>
        </is>
      </c>
      <c r="D6034" t="inlineStr">
        <is>
          <t>-280K57.0</t>
        </is>
      </c>
      <c r="E6034" t="inlineStr">
        <is>
          <t>DIL_EM-10-G</t>
        </is>
      </c>
      <c r="F6034" t="inlineStr">
        <is>
          <t>#KALK!</t>
        </is>
      </c>
      <c r="G6034" t="inlineStr">
        <is>
          <t>LASTSCHUETZ</t>
        </is>
      </c>
      <c r="H6034" t="inlineStr">
        <is>
          <t>4kW 1S</t>
        </is>
      </c>
      <c r="I6034">
        <v>531</v>
      </c>
      <c r="J6034">
        <f>GS04/280.6</f>
        <v>0</v>
      </c>
      <c r="M6034" t="inlineStr">
        <is>
          <t>-280K57.0</t>
        </is>
      </c>
    </row>
    <row r="6035">
      <c r="A6035">
        <v>6034</v>
      </c>
      <c r="B6035">
        <f>GS11</f>
        <v>0</v>
      </c>
      <c r="C6035" t="inlineStr">
        <is>
          <t>+LS6</t>
        </is>
      </c>
      <c r="D6035" t="inlineStr">
        <is>
          <t>-280K74.1</t>
        </is>
      </c>
      <c r="E6035" t="inlineStr">
        <is>
          <t>DIL_EM-10-G</t>
        </is>
      </c>
      <c r="F6035" t="inlineStr">
        <is>
          <t>#KALK!</t>
        </is>
      </c>
      <c r="G6035" t="inlineStr">
        <is>
          <t>LASTSCHUETZ</t>
        </is>
      </c>
      <c r="H6035" t="inlineStr">
        <is>
          <t>4kW 1S</t>
        </is>
      </c>
      <c r="I6035">
        <v>391</v>
      </c>
      <c r="J6035">
        <f>GS11/280.6</f>
        <v>0</v>
      </c>
      <c r="M6035" t="inlineStr">
        <is>
          <t>-280K74.1</t>
        </is>
      </c>
    </row>
    <row r="6036">
      <c r="A6036">
        <v>6035</v>
      </c>
      <c r="B6036">
        <f>GS21</f>
        <v>0</v>
      </c>
      <c r="C6036" t="inlineStr">
        <is>
          <t>+LS6</t>
        </is>
      </c>
      <c r="D6036" t="inlineStr">
        <is>
          <t>-280K74.1</t>
        </is>
      </c>
      <c r="E6036" t="inlineStr">
        <is>
          <t>DIL_EM-10-G</t>
        </is>
      </c>
      <c r="F6036" t="inlineStr">
        <is>
          <t>#KALK!</t>
        </is>
      </c>
      <c r="G6036" t="inlineStr">
        <is>
          <t>LASTSCHUETZ</t>
        </is>
      </c>
      <c r="H6036" t="inlineStr">
        <is>
          <t>4kW 1S</t>
        </is>
      </c>
      <c r="I6036">
        <v>368</v>
      </c>
      <c r="J6036">
        <f>GS21/280.6</f>
        <v>0</v>
      </c>
      <c r="M6036" t="inlineStr">
        <is>
          <t>-280K74.1</t>
        </is>
      </c>
    </row>
    <row r="6037">
      <c r="A6037">
        <v>6036</v>
      </c>
      <c r="B6037">
        <f>GC03</f>
        <v>0</v>
      </c>
      <c r="C6037" t="inlineStr">
        <is>
          <t>+LS7</t>
        </is>
      </c>
      <c r="D6037" t="inlineStr">
        <is>
          <t>-280K77.3</t>
        </is>
      </c>
      <c r="E6037" t="inlineStr">
        <is>
          <t>DIL_EM-10-G</t>
        </is>
      </c>
      <c r="F6037" t="inlineStr">
        <is>
          <t>#KALK!</t>
        </is>
      </c>
      <c r="G6037" t="inlineStr">
        <is>
          <t>LASTSCHUETZ</t>
        </is>
      </c>
      <c r="H6037" t="inlineStr">
        <is>
          <t>4kW 1S</t>
        </is>
      </c>
      <c r="I6037">
        <v>3377</v>
      </c>
      <c r="J6037">
        <f>GC03/280.7</f>
        <v>0</v>
      </c>
      <c r="M6037" t="inlineStr">
        <is>
          <t>-280K77.3</t>
        </is>
      </c>
    </row>
    <row r="6038">
      <c r="A6038">
        <v>6037</v>
      </c>
      <c r="B6038">
        <f>GS79</f>
        <v>0</v>
      </c>
      <c r="C6038" t="inlineStr">
        <is>
          <t>+LS[l1]</t>
        </is>
      </c>
      <c r="D6038" t="inlineStr">
        <is>
          <t>-280Q1</t>
        </is>
      </c>
      <c r="E6038" t="inlineStr">
        <is>
          <t>DILA-XHI22</t>
        </is>
      </c>
      <c r="F6038" t="inlineStr">
        <is>
          <t>#ÜBERLAUF!</t>
        </is>
      </c>
      <c r="G6038" t="inlineStr">
        <is>
          <t>HILFSKONTAKTBLOCK</t>
        </is>
      </c>
      <c r="H6038" t="inlineStr">
        <is>
          <t>2S 2OE Last+Hilfssch. Cage</t>
        </is>
      </c>
      <c r="I6038">
        <v>181</v>
      </c>
      <c r="J6038">
        <f>GS79/280.7</f>
        <v>0</v>
      </c>
      <c r="K6038" t="inlineStr">
        <is>
          <t>DIL MC25</t>
        </is>
      </c>
      <c r="M6038" t="inlineStr">
        <is>
          <t>-280Q1</t>
        </is>
      </c>
    </row>
    <row r="6039">
      <c r="A6039">
        <v>6038</v>
      </c>
      <c r="B6039">
        <f>GS79</f>
        <v>0</v>
      </c>
      <c r="C6039" t="inlineStr">
        <is>
          <t>+LS[l1]</t>
        </is>
      </c>
      <c r="D6039" t="inlineStr">
        <is>
          <t>-280Q1</t>
        </is>
      </c>
      <c r="E6039" t="inlineStr">
        <is>
          <t>DILA-XHI22</t>
        </is>
      </c>
      <c r="F6039" t="inlineStr">
        <is>
          <t>#ÜBERLAUF!</t>
        </is>
      </c>
      <c r="G6039" t="inlineStr">
        <is>
          <t>HILFSKONTAKTBLOCK</t>
        </is>
      </c>
      <c r="H6039" t="inlineStr">
        <is>
          <t>2S 2OE Last+Hilfssch. Cage</t>
        </is>
      </c>
      <c r="I6039">
        <v>196</v>
      </c>
      <c r="J6039">
        <f>GS79/280.7</f>
        <v>0</v>
      </c>
      <c r="K6039" t="inlineStr">
        <is>
          <t>DIL MC25</t>
        </is>
      </c>
      <c r="M6039" t="inlineStr">
        <is>
          <t>-280Q1</t>
        </is>
      </c>
    </row>
    <row r="6040">
      <c r="A6040">
        <v>6039</v>
      </c>
      <c r="B6040">
        <f>GS79</f>
        <v>0</v>
      </c>
      <c r="C6040" t="inlineStr">
        <is>
          <t>+LS[l1]</t>
        </is>
      </c>
      <c r="D6040" t="inlineStr">
        <is>
          <t>-280Q1</t>
        </is>
      </c>
      <c r="E6040" t="inlineStr">
        <is>
          <t>DILA-XHI22</t>
        </is>
      </c>
      <c r="F6040" t="inlineStr">
        <is>
          <t>#ÜBERLAUF!</t>
        </is>
      </c>
      <c r="G6040" t="inlineStr">
        <is>
          <t>HILFSKONTAKTBLOCK</t>
        </is>
      </c>
      <c r="H6040" t="inlineStr">
        <is>
          <t>2S 2OE Last+Hilfssch. Cage</t>
        </is>
      </c>
      <c r="I6040">
        <v>166</v>
      </c>
      <c r="J6040">
        <f>GS79/280.7</f>
        <v>0</v>
      </c>
      <c r="K6040" t="inlineStr">
        <is>
          <t>DIL MC25</t>
        </is>
      </c>
      <c r="M6040" t="inlineStr">
        <is>
          <t>-280Q1</t>
        </is>
      </c>
    </row>
    <row r="6041">
      <c r="A6041">
        <v>6040</v>
      </c>
      <c r="B6041">
        <f>GS79</f>
        <v>0</v>
      </c>
      <c r="C6041" t="inlineStr">
        <is>
          <t>+LS[l1]</t>
        </is>
      </c>
      <c r="D6041" t="inlineStr">
        <is>
          <t>-280Q1</t>
        </is>
      </c>
      <c r="E6041" t="inlineStr">
        <is>
          <t>DILMC25-10(RDC24)</t>
        </is>
      </c>
      <c r="F6041" t="inlineStr">
        <is>
          <t>#ÜBERLAUF!</t>
        </is>
      </c>
      <c r="G6041" t="inlineStr">
        <is>
          <t>LASTSCHUETZ</t>
        </is>
      </c>
      <c r="H6041" t="inlineStr">
        <is>
          <t>11kW 1S Federzugkl.</t>
        </is>
      </c>
      <c r="I6041">
        <v>196</v>
      </c>
      <c r="J6041">
        <f>GS79/280.7</f>
        <v>0</v>
      </c>
      <c r="K6041" t="inlineStr">
        <is>
          <t>DIL MC25</t>
        </is>
      </c>
      <c r="M6041" t="inlineStr">
        <is>
          <t>-280Q1</t>
        </is>
      </c>
    </row>
    <row r="6042">
      <c r="A6042">
        <v>6041</v>
      </c>
      <c r="B6042">
        <f>GS79</f>
        <v>0</v>
      </c>
      <c r="C6042" t="inlineStr">
        <is>
          <t>+LS[l1]</t>
        </is>
      </c>
      <c r="D6042" t="inlineStr">
        <is>
          <t>-280Q1</t>
        </is>
      </c>
      <c r="E6042" t="inlineStr">
        <is>
          <t>DILMC25-10(RDC24)</t>
        </is>
      </c>
      <c r="F6042" t="inlineStr">
        <is>
          <t>#ÜBERLAUF!</t>
        </is>
      </c>
      <c r="G6042" t="inlineStr">
        <is>
          <t>LASTSCHUETZ</t>
        </is>
      </c>
      <c r="H6042" t="inlineStr">
        <is>
          <t>11kW 1S Federzugkl.</t>
        </is>
      </c>
      <c r="I6042">
        <v>166</v>
      </c>
      <c r="J6042">
        <f>GS79/280.7</f>
        <v>0</v>
      </c>
      <c r="K6042" t="inlineStr">
        <is>
          <t>DIL MC25</t>
        </is>
      </c>
      <c r="M6042" t="inlineStr">
        <is>
          <t>-280Q1</t>
        </is>
      </c>
    </row>
    <row r="6043">
      <c r="A6043">
        <v>6042</v>
      </c>
      <c r="B6043">
        <f>GS79</f>
        <v>0</v>
      </c>
      <c r="C6043" t="inlineStr">
        <is>
          <t>+LS[l1]</t>
        </is>
      </c>
      <c r="D6043" t="inlineStr">
        <is>
          <t>-280Q1</t>
        </is>
      </c>
      <c r="E6043" t="inlineStr">
        <is>
          <t>DILMC25-10(RDC24)</t>
        </is>
      </c>
      <c r="F6043" t="inlineStr">
        <is>
          <t>#ÜBERLAUF!</t>
        </is>
      </c>
      <c r="G6043" t="inlineStr">
        <is>
          <t>LASTSCHUETZ</t>
        </is>
      </c>
      <c r="H6043" t="inlineStr">
        <is>
          <t>11kW 1S Federzugkl.</t>
        </is>
      </c>
      <c r="I6043">
        <v>181</v>
      </c>
      <c r="J6043">
        <f>GS79/280.7</f>
        <v>0</v>
      </c>
      <c r="K6043" t="inlineStr">
        <is>
          <t>DIL MC25</t>
        </is>
      </c>
      <c r="M6043" t="inlineStr">
        <is>
          <t>-280Q1</t>
        </is>
      </c>
    </row>
    <row r="6044">
      <c r="A6044">
        <v>6043</v>
      </c>
      <c r="B6044">
        <f>GS92</f>
        <v>0</v>
      </c>
      <c r="C6044" t="inlineStr">
        <is>
          <t>+LS04</t>
        </is>
      </c>
      <c r="D6044" t="inlineStr">
        <is>
          <t>-280Q184.5</t>
        </is>
      </c>
      <c r="E6044" t="inlineStr">
        <is>
          <t>DILM-9-10</t>
        </is>
      </c>
      <c r="F6044" t="inlineStr">
        <is>
          <t>#KALK!</t>
        </is>
      </c>
      <c r="G6044" t="inlineStr">
        <is>
          <t>LASTSCHUETZ</t>
        </is>
      </c>
      <c r="H6044" t="inlineStr">
        <is>
          <t>4kW 1S Federzugkl.</t>
        </is>
      </c>
      <c r="I6044">
        <v>427</v>
      </c>
      <c r="J6044">
        <f>GS92/280.5</f>
        <v>0</v>
      </c>
      <c r="M6044" t="inlineStr">
        <is>
          <t>-280Q184.5</t>
        </is>
      </c>
    </row>
    <row r="6045">
      <c r="A6045">
        <v>6044</v>
      </c>
      <c r="B6045">
        <f>GS08</f>
        <v>0</v>
      </c>
      <c r="C6045" t="inlineStr">
        <is>
          <t>+LS04</t>
        </is>
      </c>
      <c r="D6045" t="inlineStr">
        <is>
          <t>-280Q225.6</t>
        </is>
      </c>
      <c r="E6045" t="inlineStr">
        <is>
          <t>DILM-9-01</t>
        </is>
      </c>
      <c r="F6045" t="inlineStr">
        <is>
          <t>#KALK!</t>
        </is>
      </c>
      <c r="G6045" t="inlineStr">
        <is>
          <t>LASTSCHUETZ</t>
        </is>
      </c>
      <c r="H6045" t="inlineStr">
        <is>
          <t>4kW 1Oe Federzugkl.</t>
        </is>
      </c>
      <c r="I6045">
        <v>175</v>
      </c>
      <c r="J6045">
        <f>GS08/280.6</f>
        <v>0</v>
      </c>
      <c r="M6045" t="inlineStr">
        <is>
          <t>-280Q225.6</t>
        </is>
      </c>
    </row>
    <row r="6046">
      <c r="A6046">
        <v>6045</v>
      </c>
      <c r="B6046">
        <f>GS11</f>
        <v>0</v>
      </c>
      <c r="C6046" t="inlineStr">
        <is>
          <t>+LS6</t>
        </is>
      </c>
      <c r="D6046" t="inlineStr">
        <is>
          <t>-281K14.6</t>
        </is>
      </c>
      <c r="E6046" t="inlineStr">
        <is>
          <t>DIL_EM-10-G</t>
        </is>
      </c>
      <c r="F6046" t="inlineStr">
        <is>
          <t>#KALK!</t>
        </is>
      </c>
      <c r="G6046" t="inlineStr">
        <is>
          <t>LASTSCHUETZ</t>
        </is>
      </c>
      <c r="H6046" t="inlineStr">
        <is>
          <t>4kW 1S</t>
        </is>
      </c>
      <c r="I6046">
        <v>392</v>
      </c>
      <c r="J6046">
        <f>GS11/281.6</f>
        <v>0</v>
      </c>
      <c r="M6046" t="inlineStr">
        <is>
          <t>-281K14.6</t>
        </is>
      </c>
    </row>
    <row r="6047">
      <c r="A6047">
        <v>6046</v>
      </c>
      <c r="B6047">
        <f>GS21</f>
        <v>0</v>
      </c>
      <c r="C6047" t="inlineStr">
        <is>
          <t>+LS6</t>
        </is>
      </c>
      <c r="D6047" t="inlineStr">
        <is>
          <t>-281K14.6</t>
        </is>
      </c>
      <c r="E6047" t="inlineStr">
        <is>
          <t>DIL_EM-10-G</t>
        </is>
      </c>
      <c r="F6047" t="inlineStr">
        <is>
          <t>#KALK!</t>
        </is>
      </c>
      <c r="G6047" t="inlineStr">
        <is>
          <t>LASTSCHUETZ</t>
        </is>
      </c>
      <c r="H6047" t="inlineStr">
        <is>
          <t>4kW 1S</t>
        </is>
      </c>
      <c r="I6047">
        <v>369</v>
      </c>
      <c r="J6047">
        <f>GS21/281.6</f>
        <v>0</v>
      </c>
      <c r="M6047" t="inlineStr">
        <is>
          <t>-281K14.6</t>
        </is>
      </c>
    </row>
    <row r="6048">
      <c r="A6048">
        <v>6047</v>
      </c>
      <c r="B6048">
        <f>GS33</f>
        <v>0</v>
      </c>
      <c r="C6048" t="inlineStr">
        <is>
          <t>+LS6</t>
        </is>
      </c>
      <c r="D6048" t="inlineStr">
        <is>
          <t>-281K42.6</t>
        </is>
      </c>
      <c r="E6048" t="inlineStr">
        <is>
          <t>DIL_EM-10-G</t>
        </is>
      </c>
      <c r="F6048" t="inlineStr">
        <is>
          <t>#KALK!</t>
        </is>
      </c>
      <c r="G6048" t="inlineStr">
        <is>
          <t>LASTSCHUETZ</t>
        </is>
      </c>
      <c r="H6048" t="inlineStr">
        <is>
          <t>4kW 1S</t>
        </is>
      </c>
      <c r="I6048">
        <v>728</v>
      </c>
      <c r="J6048">
        <f>GS33/281.6</f>
        <v>0</v>
      </c>
      <c r="M6048" t="inlineStr">
        <is>
          <t>-281K42.6</t>
        </is>
      </c>
    </row>
    <row r="6049">
      <c r="A6049">
        <v>6048</v>
      </c>
      <c r="B6049">
        <f>GS33</f>
        <v>0</v>
      </c>
      <c r="C6049" t="inlineStr">
        <is>
          <t>+LS6</t>
        </is>
      </c>
      <c r="D6049" t="inlineStr">
        <is>
          <t>-281K56.2</t>
        </is>
      </c>
      <c r="E6049" t="inlineStr">
        <is>
          <t>DIL_EM-10-G</t>
        </is>
      </c>
      <c r="F6049" t="inlineStr">
        <is>
          <t>#KALK!</t>
        </is>
      </c>
      <c r="G6049" t="inlineStr">
        <is>
          <t>LASTSCHUETZ</t>
        </is>
      </c>
      <c r="H6049" t="inlineStr">
        <is>
          <t>4kW 1S</t>
        </is>
      </c>
      <c r="I6049">
        <v>728</v>
      </c>
      <c r="J6049">
        <f>GS33/281.6</f>
        <v>0</v>
      </c>
      <c r="M6049" t="inlineStr">
        <is>
          <t>-281K56.2</t>
        </is>
      </c>
    </row>
    <row r="6050">
      <c r="A6050">
        <v>6049</v>
      </c>
      <c r="B6050">
        <f>GS04</f>
        <v>0</v>
      </c>
      <c r="C6050" t="inlineStr">
        <is>
          <t>+LS6</t>
        </is>
      </c>
      <c r="D6050" t="inlineStr">
        <is>
          <t>-281K56.7</t>
        </is>
      </c>
      <c r="E6050" t="inlineStr">
        <is>
          <t>DIL_EM-10-G</t>
        </is>
      </c>
      <c r="F6050" t="inlineStr">
        <is>
          <t>#KALK!</t>
        </is>
      </c>
      <c r="G6050" t="inlineStr">
        <is>
          <t>LASTSCHUETZ</t>
        </is>
      </c>
      <c r="H6050" t="inlineStr">
        <is>
          <t>4kW 1S</t>
        </is>
      </c>
      <c r="I6050">
        <v>532</v>
      </c>
      <c r="J6050">
        <f>GS04/281.7</f>
        <v>0</v>
      </c>
      <c r="M6050" t="inlineStr">
        <is>
          <t>-281K56.7</t>
        </is>
      </c>
    </row>
    <row r="6051">
      <c r="A6051">
        <v>6050</v>
      </c>
      <c r="B6051">
        <f>GS11</f>
        <v>0</v>
      </c>
      <c r="C6051" t="inlineStr">
        <is>
          <t>+LS6</t>
        </is>
      </c>
      <c r="D6051" t="inlineStr">
        <is>
          <t>-281K74.2</t>
        </is>
      </c>
      <c r="E6051" t="inlineStr">
        <is>
          <t>DIL_EM-10-G</t>
        </is>
      </c>
      <c r="F6051" t="inlineStr">
        <is>
          <t>#KALK!</t>
        </is>
      </c>
      <c r="G6051" t="inlineStr">
        <is>
          <t>LASTSCHUETZ</t>
        </is>
      </c>
      <c r="H6051" t="inlineStr">
        <is>
          <t>4kW 1S</t>
        </is>
      </c>
      <c r="I6051">
        <v>392</v>
      </c>
      <c r="J6051">
        <f>GS11/281.6</f>
        <v>0</v>
      </c>
      <c r="M6051" t="inlineStr">
        <is>
          <t>-281K74.2</t>
        </is>
      </c>
    </row>
    <row r="6052">
      <c r="A6052">
        <v>6051</v>
      </c>
      <c r="B6052">
        <f>GS21</f>
        <v>0</v>
      </c>
      <c r="C6052" t="inlineStr">
        <is>
          <t>+LS6</t>
        </is>
      </c>
      <c r="D6052" t="inlineStr">
        <is>
          <t>-281K74.2</t>
        </is>
      </c>
      <c r="E6052" t="inlineStr">
        <is>
          <t>DIL_EM-10-G</t>
        </is>
      </c>
      <c r="F6052" t="inlineStr">
        <is>
          <t>#KALK!</t>
        </is>
      </c>
      <c r="G6052" t="inlineStr">
        <is>
          <t>LASTSCHUETZ</t>
        </is>
      </c>
      <c r="H6052" t="inlineStr">
        <is>
          <t>4kW 1S</t>
        </is>
      </c>
      <c r="I6052">
        <v>369</v>
      </c>
      <c r="J6052">
        <f>GS21/281.6</f>
        <v>0</v>
      </c>
      <c r="M6052" t="inlineStr">
        <is>
          <t>-281K74.2</t>
        </is>
      </c>
    </row>
    <row r="6053">
      <c r="A6053">
        <v>6052</v>
      </c>
      <c r="B6053">
        <f>GC03</f>
        <v>0</v>
      </c>
      <c r="C6053" t="inlineStr">
        <is>
          <t>+LS7</t>
        </is>
      </c>
      <c r="D6053" t="inlineStr">
        <is>
          <t>-281K77.7</t>
        </is>
      </c>
      <c r="E6053" t="inlineStr">
        <is>
          <t>DIL_EM-10-G</t>
        </is>
      </c>
      <c r="F6053" t="inlineStr">
        <is>
          <t>#KALK!</t>
        </is>
      </c>
      <c r="G6053" t="inlineStr">
        <is>
          <t>LASTSCHUETZ</t>
        </is>
      </c>
      <c r="H6053" t="inlineStr">
        <is>
          <t>4kW 1S</t>
        </is>
      </c>
      <c r="I6053">
        <v>3378</v>
      </c>
      <c r="J6053">
        <f>GC03/281.7</f>
        <v>0</v>
      </c>
      <c r="M6053" t="inlineStr">
        <is>
          <t>-281K77.7</t>
        </is>
      </c>
    </row>
    <row r="6054">
      <c r="A6054">
        <v>6053</v>
      </c>
      <c r="B6054">
        <f>GS95</f>
        <v>0</v>
      </c>
      <c r="C6054" t="inlineStr">
        <is>
          <t>+LS18</t>
        </is>
      </c>
      <c r="D6054" t="inlineStr">
        <is>
          <t>-281Q487.1</t>
        </is>
      </c>
      <c r="E6054" t="inlineStr">
        <is>
          <t>DILM-9-10</t>
        </is>
      </c>
      <c r="F6054" t="inlineStr">
        <is>
          <t>#KALK!</t>
        </is>
      </c>
      <c r="G6054" t="inlineStr">
        <is>
          <t>LASTSCHUETZ</t>
        </is>
      </c>
      <c r="H6054" t="inlineStr">
        <is>
          <t>4kW 1S Federzugkl.</t>
        </is>
      </c>
      <c r="I6054">
        <v>366</v>
      </c>
      <c r="J6054">
        <f>GS95/281.5</f>
        <v>0</v>
      </c>
      <c r="M6054" t="inlineStr">
        <is>
          <t>-281Q487.1</t>
        </is>
      </c>
    </row>
    <row r="6055">
      <c r="A6055">
        <v>6054</v>
      </c>
      <c r="B6055">
        <f>GS97</f>
        <v>0</v>
      </c>
      <c r="C6055" t="inlineStr">
        <is>
          <t>+LS18</t>
        </is>
      </c>
      <c r="D6055" t="inlineStr">
        <is>
          <t>-281Q487.1</t>
        </is>
      </c>
      <c r="E6055" t="inlineStr">
        <is>
          <t>DILM-9-10</t>
        </is>
      </c>
      <c r="F6055" t="inlineStr">
        <is>
          <t>#KALK!</t>
        </is>
      </c>
      <c r="G6055" t="inlineStr">
        <is>
          <t>LASTSCHUETZ</t>
        </is>
      </c>
      <c r="H6055" t="inlineStr">
        <is>
          <t>4kW 1S Federzugkl.</t>
        </is>
      </c>
      <c r="I6055">
        <v>366</v>
      </c>
      <c r="J6055">
        <f>GS97/281.5</f>
        <v>0</v>
      </c>
      <c r="M6055" t="inlineStr">
        <is>
          <t>-281Q487.1</t>
        </is>
      </c>
    </row>
    <row r="6056">
      <c r="A6056">
        <v>6055</v>
      </c>
      <c r="B6056">
        <f>GS02</f>
        <v>0</v>
      </c>
      <c r="C6056" t="inlineStr">
        <is>
          <t>+LS5</t>
        </is>
      </c>
      <c r="D6056" t="inlineStr">
        <is>
          <t>-282K1</t>
        </is>
      </c>
      <c r="E6056" t="inlineStr">
        <is>
          <t>22_DIL-M</t>
        </is>
      </c>
      <c r="F6056" t="inlineStr">
        <is>
          <t>22_DIL-M</t>
        </is>
      </c>
      <c r="G6056" t="inlineStr">
        <is>
          <t>HILFSKONTAKTBLOCK</t>
        </is>
      </c>
      <c r="H6056" t="inlineStr">
        <is>
          <t>2S 2OE Lastschuetz DIL M</t>
        </is>
      </c>
      <c r="I6056">
        <v>688</v>
      </c>
      <c r="J6056">
        <f>GS02/282.3</f>
        <v>0</v>
      </c>
      <c r="K6056" t="inlineStr">
        <is>
          <t>DIL0AM</t>
        </is>
      </c>
      <c r="M6056" t="inlineStr">
        <is>
          <t>-282K1</t>
        </is>
      </c>
    </row>
    <row r="6057">
      <c r="A6057">
        <v>6056</v>
      </c>
      <c r="B6057">
        <f>GS02</f>
        <v>0</v>
      </c>
      <c r="C6057" t="inlineStr">
        <is>
          <t>+LS5</t>
        </is>
      </c>
      <c r="D6057" t="inlineStr">
        <is>
          <t>-282K1</t>
        </is>
      </c>
      <c r="E6057" t="inlineStr">
        <is>
          <t>DIL_0AM</t>
        </is>
      </c>
      <c r="F6057" t="inlineStr">
        <is>
          <t>22_DIL-M</t>
        </is>
      </c>
      <c r="G6057" t="inlineStr">
        <is>
          <t>LASTSCHUETZ</t>
        </is>
      </c>
      <c r="H6057" t="inlineStr">
        <is>
          <t>11 kW</t>
        </is>
      </c>
      <c r="I6057">
        <v>688</v>
      </c>
      <c r="J6057">
        <f>GS02/282.3</f>
        <v>0</v>
      </c>
      <c r="K6057" t="inlineStr">
        <is>
          <t>DIL0AM</t>
        </is>
      </c>
      <c r="M6057" t="inlineStr">
        <is>
          <t>-282K1</t>
        </is>
      </c>
    </row>
    <row r="6058">
      <c r="A6058">
        <v>6057</v>
      </c>
      <c r="B6058">
        <f>GS46</f>
        <v>0</v>
      </c>
      <c r="C6058" t="inlineStr">
        <is>
          <t>+LS04</t>
        </is>
      </c>
      <c r="D6058" t="inlineStr">
        <is>
          <t>-282K1</t>
        </is>
      </c>
      <c r="E6058" t="inlineStr">
        <is>
          <t>DILA-22</t>
        </is>
      </c>
      <c r="F6058" t="inlineStr">
        <is>
          <t>#KALK!</t>
        </is>
      </c>
      <c r="G6058" t="inlineStr">
        <is>
          <t>HILFSSCHUETZ</t>
        </is>
      </c>
      <c r="H6058" t="inlineStr">
        <is>
          <t>2S 2Oe Federzugkl.</t>
        </is>
      </c>
      <c r="I6058">
        <v>775</v>
      </c>
      <c r="J6058">
        <f>GS46/282.6</f>
        <v>0</v>
      </c>
      <c r="M6058" t="inlineStr">
        <is>
          <t>-282K1</t>
        </is>
      </c>
    </row>
    <row r="6059">
      <c r="A6059">
        <v>6058</v>
      </c>
      <c r="B6059">
        <f>GS47</f>
        <v>0</v>
      </c>
      <c r="C6059" t="inlineStr">
        <is>
          <t>+LS04</t>
        </is>
      </c>
      <c r="D6059" t="inlineStr">
        <is>
          <t>-282K1</t>
        </is>
      </c>
      <c r="E6059" t="inlineStr">
        <is>
          <t>DILA-22</t>
        </is>
      </c>
      <c r="F6059" t="inlineStr">
        <is>
          <t>#KALK!</t>
        </is>
      </c>
      <c r="G6059" t="inlineStr">
        <is>
          <t>HILFSSCHUETZ</t>
        </is>
      </c>
      <c r="H6059" t="inlineStr">
        <is>
          <t>2S 2Oe Federzugkl.</t>
        </is>
      </c>
      <c r="I6059">
        <v>775</v>
      </c>
      <c r="J6059">
        <f>GS47/282.6</f>
        <v>0</v>
      </c>
      <c r="M6059" t="inlineStr">
        <is>
          <t>-282K1</t>
        </is>
      </c>
    </row>
    <row r="6060">
      <c r="A6060">
        <v>6059</v>
      </c>
      <c r="B6060">
        <f>GS48</f>
        <v>0</v>
      </c>
      <c r="C6060" t="inlineStr">
        <is>
          <t>+LS04</t>
        </is>
      </c>
      <c r="D6060" t="inlineStr">
        <is>
          <t>-282K1</t>
        </is>
      </c>
      <c r="E6060" t="inlineStr">
        <is>
          <t>DILA-22</t>
        </is>
      </c>
      <c r="F6060" t="inlineStr">
        <is>
          <t>#KALK!</t>
        </is>
      </c>
      <c r="G6060" t="inlineStr">
        <is>
          <t>HILFSSCHUETZ</t>
        </is>
      </c>
      <c r="H6060" t="inlineStr">
        <is>
          <t>2S 2Oe Federzugkl.</t>
        </is>
      </c>
      <c r="I6060">
        <v>414</v>
      </c>
      <c r="J6060">
        <f>GS48/282.6</f>
        <v>0</v>
      </c>
      <c r="M6060" t="inlineStr">
        <is>
          <t>-282K1</t>
        </is>
      </c>
    </row>
    <row r="6061">
      <c r="A6061">
        <v>6060</v>
      </c>
      <c r="B6061">
        <f>GS49</f>
        <v>0</v>
      </c>
      <c r="C6061" t="inlineStr">
        <is>
          <t>+LS04</t>
        </is>
      </c>
      <c r="D6061" t="inlineStr">
        <is>
          <t>-282K1</t>
        </is>
      </c>
      <c r="E6061" t="inlineStr">
        <is>
          <t>DILA-22</t>
        </is>
      </c>
      <c r="F6061" t="inlineStr">
        <is>
          <t>#KALK!</t>
        </is>
      </c>
      <c r="G6061" t="inlineStr">
        <is>
          <t>HILFSSCHUETZ</t>
        </is>
      </c>
      <c r="H6061" t="inlineStr">
        <is>
          <t>2S 2Oe Federzugkl.</t>
        </is>
      </c>
      <c r="I6061">
        <v>413</v>
      </c>
      <c r="J6061">
        <f>GS49/282.6</f>
        <v>0</v>
      </c>
      <c r="M6061" t="inlineStr">
        <is>
          <t>-282K1</t>
        </is>
      </c>
    </row>
    <row r="6062">
      <c r="A6062">
        <v>6061</v>
      </c>
      <c r="B6062">
        <f>GS11</f>
        <v>0</v>
      </c>
      <c r="C6062" t="inlineStr">
        <is>
          <t>+LS6</t>
        </is>
      </c>
      <c r="D6062" t="inlineStr">
        <is>
          <t>-282K14.7</t>
        </is>
      </c>
      <c r="E6062" t="inlineStr">
        <is>
          <t>DIL_EM-10-G</t>
        </is>
      </c>
      <c r="F6062" t="inlineStr">
        <is>
          <t>#KALK!</t>
        </is>
      </c>
      <c r="G6062" t="inlineStr">
        <is>
          <t>LASTSCHUETZ</t>
        </is>
      </c>
      <c r="H6062" t="inlineStr">
        <is>
          <t>4kW 1S</t>
        </is>
      </c>
      <c r="I6062">
        <v>393</v>
      </c>
      <c r="J6062">
        <f>GS11/282.6</f>
        <v>0</v>
      </c>
      <c r="M6062" t="inlineStr">
        <is>
          <t>-282K14.7</t>
        </is>
      </c>
    </row>
    <row r="6063">
      <c r="A6063">
        <v>6062</v>
      </c>
      <c r="B6063">
        <f>GS21</f>
        <v>0</v>
      </c>
      <c r="C6063" t="inlineStr">
        <is>
          <t>+LS6</t>
        </is>
      </c>
      <c r="D6063" t="inlineStr">
        <is>
          <t>-282K14.7</t>
        </is>
      </c>
      <c r="E6063" t="inlineStr">
        <is>
          <t>DIL_EM-10-G</t>
        </is>
      </c>
      <c r="F6063" t="inlineStr">
        <is>
          <t>#KALK!</t>
        </is>
      </c>
      <c r="G6063" t="inlineStr">
        <is>
          <t>LASTSCHUETZ</t>
        </is>
      </c>
      <c r="H6063" t="inlineStr">
        <is>
          <t>4kW 1S</t>
        </is>
      </c>
      <c r="I6063">
        <v>370</v>
      </c>
      <c r="J6063">
        <f>GS21/282.6</f>
        <v>0</v>
      </c>
      <c r="M6063" t="inlineStr">
        <is>
          <t>-282K14.7</t>
        </is>
      </c>
    </row>
    <row r="6064">
      <c r="A6064">
        <v>6063</v>
      </c>
      <c r="B6064">
        <f>GS46</f>
        <v>0</v>
      </c>
      <c r="C6064" t="inlineStr">
        <is>
          <t>+LS04</t>
        </is>
      </c>
      <c r="D6064" t="inlineStr">
        <is>
          <t>-282K447.7</t>
        </is>
      </c>
      <c r="E6064" t="inlineStr">
        <is>
          <t>DILA-31</t>
        </is>
      </c>
      <c r="F6064" t="inlineStr">
        <is>
          <t>#KALK!</t>
        </is>
      </c>
      <c r="G6064" t="inlineStr">
        <is>
          <t>HILFSSCHUETZ</t>
        </is>
      </c>
      <c r="H6064" t="inlineStr">
        <is>
          <t>3S 1Oe Federzugkl.</t>
        </is>
      </c>
      <c r="I6064">
        <v>775</v>
      </c>
      <c r="J6064">
        <f>GS46/282.8</f>
        <v>0</v>
      </c>
      <c r="M6064" t="inlineStr">
        <is>
          <t>-282K447.7</t>
        </is>
      </c>
    </row>
    <row r="6065">
      <c r="A6065">
        <v>6064</v>
      </c>
      <c r="B6065">
        <f>GS47</f>
        <v>0</v>
      </c>
      <c r="C6065" t="inlineStr">
        <is>
          <t>+LS04</t>
        </is>
      </c>
      <c r="D6065" t="inlineStr">
        <is>
          <t>-282K447.7</t>
        </is>
      </c>
      <c r="E6065" t="inlineStr">
        <is>
          <t>DILA-31</t>
        </is>
      </c>
      <c r="F6065" t="inlineStr">
        <is>
          <t>#KALK!</t>
        </is>
      </c>
      <c r="G6065" t="inlineStr">
        <is>
          <t>HILFSSCHUETZ</t>
        </is>
      </c>
      <c r="H6065" t="inlineStr">
        <is>
          <t>3S 1Oe Federzugkl.</t>
        </is>
      </c>
      <c r="I6065">
        <v>775</v>
      </c>
      <c r="J6065">
        <f>GS47/282.8</f>
        <v>0</v>
      </c>
      <c r="M6065" t="inlineStr">
        <is>
          <t>-282K447.7</t>
        </is>
      </c>
    </row>
    <row r="6066">
      <c r="A6066">
        <v>6065</v>
      </c>
      <c r="B6066">
        <f>GS48</f>
        <v>0</v>
      </c>
      <c r="C6066" t="inlineStr">
        <is>
          <t>+LS04</t>
        </is>
      </c>
      <c r="D6066" t="inlineStr">
        <is>
          <t>-282K447.7</t>
        </is>
      </c>
      <c r="E6066" t="inlineStr">
        <is>
          <t>DILA-31</t>
        </is>
      </c>
      <c r="F6066" t="inlineStr">
        <is>
          <t>#KALK!</t>
        </is>
      </c>
      <c r="G6066" t="inlineStr">
        <is>
          <t>HILFSSCHUETZ</t>
        </is>
      </c>
      <c r="H6066" t="inlineStr">
        <is>
          <t>3S 1Oe Federzugkl.</t>
        </is>
      </c>
      <c r="I6066">
        <v>414</v>
      </c>
      <c r="J6066">
        <f>GS48/282.8</f>
        <v>0</v>
      </c>
      <c r="M6066" t="inlineStr">
        <is>
          <t>-282K447.7</t>
        </is>
      </c>
    </row>
    <row r="6067">
      <c r="A6067">
        <v>6066</v>
      </c>
      <c r="B6067">
        <f>GS49</f>
        <v>0</v>
      </c>
      <c r="C6067" t="inlineStr">
        <is>
          <t>+LS04</t>
        </is>
      </c>
      <c r="D6067" t="inlineStr">
        <is>
          <t>-282K447.7</t>
        </is>
      </c>
      <c r="E6067" t="inlineStr">
        <is>
          <t>DILA-31</t>
        </is>
      </c>
      <c r="F6067" t="inlineStr">
        <is>
          <t>#KALK!</t>
        </is>
      </c>
      <c r="G6067" t="inlineStr">
        <is>
          <t>HILFSSCHUETZ</t>
        </is>
      </c>
      <c r="H6067" t="inlineStr">
        <is>
          <t>3S 1Oe Federzugkl.</t>
        </is>
      </c>
      <c r="I6067">
        <v>413</v>
      </c>
      <c r="J6067">
        <f>GS49/282.8</f>
        <v>0</v>
      </c>
      <c r="M6067" t="inlineStr">
        <is>
          <t>-282K447.7</t>
        </is>
      </c>
    </row>
    <row r="6068">
      <c r="A6068">
        <v>6067</v>
      </c>
      <c r="B6068">
        <f>GS04</f>
        <v>0</v>
      </c>
      <c r="C6068" t="inlineStr">
        <is>
          <t>+LS6</t>
        </is>
      </c>
      <c r="D6068" t="inlineStr">
        <is>
          <t>-282K57.1</t>
        </is>
      </c>
      <c r="E6068" t="inlineStr">
        <is>
          <t>DIL_EM-10-G</t>
        </is>
      </c>
      <c r="F6068" t="inlineStr">
        <is>
          <t>#KALK!</t>
        </is>
      </c>
      <c r="G6068" t="inlineStr">
        <is>
          <t>LASTSCHUETZ</t>
        </is>
      </c>
      <c r="H6068" t="inlineStr">
        <is>
          <t>4kW 1S</t>
        </is>
      </c>
      <c r="I6068">
        <v>533</v>
      </c>
      <c r="J6068">
        <f>GS04/282.6</f>
        <v>0</v>
      </c>
      <c r="M6068" t="inlineStr">
        <is>
          <t>-282K57.1</t>
        </is>
      </c>
    </row>
    <row r="6069">
      <c r="A6069">
        <v>6068</v>
      </c>
      <c r="B6069">
        <f>GS11</f>
        <v>0</v>
      </c>
      <c r="C6069" t="inlineStr">
        <is>
          <t>+LS6</t>
        </is>
      </c>
      <c r="D6069" t="inlineStr">
        <is>
          <t>-282K74.3</t>
        </is>
      </c>
      <c r="E6069" t="inlineStr">
        <is>
          <t>DIL_EM-10-G</t>
        </is>
      </c>
      <c r="F6069" t="inlineStr">
        <is>
          <t>#KALK!</t>
        </is>
      </c>
      <c r="G6069" t="inlineStr">
        <is>
          <t>LASTSCHUETZ</t>
        </is>
      </c>
      <c r="H6069" t="inlineStr">
        <is>
          <t>4kW 1S</t>
        </is>
      </c>
      <c r="I6069">
        <v>393</v>
      </c>
      <c r="J6069">
        <f>GS11/282.7</f>
        <v>0</v>
      </c>
      <c r="M6069" t="inlineStr">
        <is>
          <t>-282K74.3</t>
        </is>
      </c>
    </row>
    <row r="6070">
      <c r="A6070">
        <v>6069</v>
      </c>
      <c r="B6070">
        <f>GS21</f>
        <v>0</v>
      </c>
      <c r="C6070" t="inlineStr">
        <is>
          <t>+LS6</t>
        </is>
      </c>
      <c r="D6070" t="inlineStr">
        <is>
          <t>-282K74.3</t>
        </is>
      </c>
      <c r="E6070" t="inlineStr">
        <is>
          <t>DIL_EM-10-G</t>
        </is>
      </c>
      <c r="F6070" t="inlineStr">
        <is>
          <t>#KALK!</t>
        </is>
      </c>
      <c r="G6070" t="inlineStr">
        <is>
          <t>LASTSCHUETZ</t>
        </is>
      </c>
      <c r="H6070" t="inlineStr">
        <is>
          <t>4kW 1S</t>
        </is>
      </c>
      <c r="I6070">
        <v>370</v>
      </c>
      <c r="J6070">
        <f>GS21/282.7</f>
        <v>0</v>
      </c>
      <c r="M6070" t="inlineStr">
        <is>
          <t>-282K74.3</t>
        </is>
      </c>
    </row>
    <row r="6071">
      <c r="A6071">
        <v>6070</v>
      </c>
      <c r="B6071">
        <f>GS11</f>
        <v>0</v>
      </c>
      <c r="C6071" t="inlineStr">
        <is>
          <t>+LS6</t>
        </is>
      </c>
      <c r="D6071" t="inlineStr">
        <is>
          <t>-283K15.3</t>
        </is>
      </c>
      <c r="E6071" t="inlineStr">
        <is>
          <t>DIL_EM-10-G</t>
        </is>
      </c>
      <c r="F6071" t="inlineStr">
        <is>
          <t>#KALK!</t>
        </is>
      </c>
      <c r="G6071" t="inlineStr">
        <is>
          <t>LASTSCHUETZ</t>
        </is>
      </c>
      <c r="H6071" t="inlineStr">
        <is>
          <t>4kW 1S</t>
        </is>
      </c>
      <c r="I6071">
        <v>394</v>
      </c>
      <c r="J6071">
        <f>GS11/283.7</f>
        <v>0</v>
      </c>
      <c r="M6071" t="inlineStr">
        <is>
          <t>-283K15.3</t>
        </is>
      </c>
    </row>
    <row r="6072">
      <c r="A6072">
        <v>6071</v>
      </c>
      <c r="B6072">
        <f>GS21</f>
        <v>0</v>
      </c>
      <c r="C6072" t="inlineStr">
        <is>
          <t>+LS6</t>
        </is>
      </c>
      <c r="D6072" t="inlineStr">
        <is>
          <t>-283K15.3</t>
        </is>
      </c>
      <c r="E6072" t="inlineStr">
        <is>
          <t>DIL_EM-10-G</t>
        </is>
      </c>
      <c r="F6072" t="inlineStr">
        <is>
          <t>#KALK!</t>
        </is>
      </c>
      <c r="G6072" t="inlineStr">
        <is>
          <t>LASTSCHUETZ</t>
        </is>
      </c>
      <c r="H6072" t="inlineStr">
        <is>
          <t>4kW 1S</t>
        </is>
      </c>
      <c r="I6072">
        <v>371</v>
      </c>
      <c r="J6072">
        <f>GS21/283.7</f>
        <v>0</v>
      </c>
      <c r="M6072" t="inlineStr">
        <is>
          <t>-283K15.3</t>
        </is>
      </c>
    </row>
    <row r="6073">
      <c r="A6073">
        <v>6072</v>
      </c>
      <c r="B6073">
        <f>GS34</f>
        <v>0</v>
      </c>
      <c r="C6073" t="inlineStr">
        <is>
          <t>+LS6</t>
        </is>
      </c>
      <c r="D6073" t="inlineStr">
        <is>
          <t>-283K3603.7</t>
        </is>
      </c>
      <c r="E6073" t="inlineStr">
        <is>
          <t>DIL_EM-10-G</t>
        </is>
      </c>
      <c r="F6073" t="inlineStr">
        <is>
          <t>#KALK!</t>
        </is>
      </c>
      <c r="G6073" t="inlineStr">
        <is>
          <t>LASTSCHUETZ</t>
        </is>
      </c>
      <c r="H6073" t="inlineStr">
        <is>
          <t>4kW 1S</t>
        </is>
      </c>
      <c r="I6073">
        <v>408</v>
      </c>
      <c r="J6073">
        <f>GS34/283.7</f>
        <v>0</v>
      </c>
      <c r="M6073" t="inlineStr">
        <is>
          <t>-283K3603.7</t>
        </is>
      </c>
    </row>
    <row r="6074">
      <c r="A6074">
        <v>6073</v>
      </c>
      <c r="B6074">
        <f>GS34</f>
        <v>0</v>
      </c>
      <c r="C6074" t="inlineStr">
        <is>
          <t>+LS6</t>
        </is>
      </c>
      <c r="D6074" t="inlineStr">
        <is>
          <t>-283K3605.7</t>
        </is>
      </c>
      <c r="E6074" t="inlineStr">
        <is>
          <t>DIL_EM-10-G</t>
        </is>
      </c>
      <c r="F6074" t="inlineStr">
        <is>
          <t>#KALK!</t>
        </is>
      </c>
      <c r="G6074" t="inlineStr">
        <is>
          <t>LASTSCHUETZ</t>
        </is>
      </c>
      <c r="H6074" t="inlineStr">
        <is>
          <t>4kW 1S</t>
        </is>
      </c>
      <c r="I6074">
        <v>408</v>
      </c>
      <c r="J6074">
        <f>GS34/283.8</f>
        <v>0</v>
      </c>
      <c r="M6074" t="inlineStr">
        <is>
          <t>-283K3605.7</t>
        </is>
      </c>
    </row>
    <row r="6075">
      <c r="A6075">
        <v>6074</v>
      </c>
      <c r="B6075">
        <f>GS02</f>
        <v>0</v>
      </c>
      <c r="C6075" t="inlineStr">
        <is>
          <t>+LS5</t>
        </is>
      </c>
      <c r="D6075" t="inlineStr">
        <is>
          <t>-283K48.5</t>
        </is>
      </c>
      <c r="E6075" t="inlineStr">
        <is>
          <t>DIL_EM-10-G</t>
        </is>
      </c>
      <c r="F6075" t="inlineStr">
        <is>
          <t>#KALK!</t>
        </is>
      </c>
      <c r="G6075" t="inlineStr">
        <is>
          <t>LASTSCHUETZ</t>
        </is>
      </c>
      <c r="H6075" t="inlineStr">
        <is>
          <t>4kW 1S</t>
        </is>
      </c>
      <c r="I6075">
        <v>689</v>
      </c>
      <c r="J6075">
        <f>GS02/283.7</f>
        <v>0</v>
      </c>
      <c r="M6075" t="inlineStr">
        <is>
          <t>-283K48.5</t>
        </is>
      </c>
    </row>
    <row r="6076">
      <c r="A6076">
        <v>6075</v>
      </c>
      <c r="B6076">
        <f>GS92</f>
        <v>0</v>
      </c>
      <c r="C6076" t="inlineStr">
        <is>
          <t>+LS04</t>
        </is>
      </c>
      <c r="D6076" t="inlineStr">
        <is>
          <t>-283Q184.6</t>
        </is>
      </c>
      <c r="E6076" t="inlineStr">
        <is>
          <t>DILM-9-10</t>
        </is>
      </c>
      <c r="F6076" t="inlineStr">
        <is>
          <t>#KALK!</t>
        </is>
      </c>
      <c r="G6076" t="inlineStr">
        <is>
          <t>LASTSCHUETZ</t>
        </is>
      </c>
      <c r="H6076" t="inlineStr">
        <is>
          <t>4kW 1S Federzugkl.</t>
        </is>
      </c>
      <c r="I6076">
        <v>430</v>
      </c>
      <c r="J6076">
        <f>GS92/283.5</f>
        <v>0</v>
      </c>
      <c r="M6076" t="inlineStr">
        <is>
          <t>-283Q184.6</t>
        </is>
      </c>
    </row>
    <row r="6077">
      <c r="A6077">
        <v>6076</v>
      </c>
      <c r="B6077">
        <f>GS46</f>
        <v>0</v>
      </c>
      <c r="C6077" t="inlineStr">
        <is>
          <t>+LS04</t>
        </is>
      </c>
      <c r="D6077" t="inlineStr">
        <is>
          <t>-283Q445.7</t>
        </is>
      </c>
      <c r="E6077" t="inlineStr">
        <is>
          <t>DILM-9-10</t>
        </is>
      </c>
      <c r="F6077" t="inlineStr">
        <is>
          <t>#KALK!</t>
        </is>
      </c>
      <c r="G6077" t="inlineStr">
        <is>
          <t>LASTSCHUETZ</t>
        </is>
      </c>
      <c r="H6077" t="inlineStr">
        <is>
          <t>4kW 1S Federzugkl.</t>
        </is>
      </c>
      <c r="I6077">
        <v>774</v>
      </c>
      <c r="J6077">
        <f>GS46/283.6</f>
        <v>0</v>
      </c>
      <c r="M6077" t="inlineStr">
        <is>
          <t>-283Q445.7</t>
        </is>
      </c>
    </row>
    <row r="6078">
      <c r="A6078">
        <v>6077</v>
      </c>
      <c r="B6078">
        <f>GS47</f>
        <v>0</v>
      </c>
      <c r="C6078" t="inlineStr">
        <is>
          <t>+LS04</t>
        </is>
      </c>
      <c r="D6078" t="inlineStr">
        <is>
          <t>-283Q445.7</t>
        </is>
      </c>
      <c r="E6078" t="inlineStr">
        <is>
          <t>DILM-9-10</t>
        </is>
      </c>
      <c r="F6078" t="inlineStr">
        <is>
          <t>#KALK!</t>
        </is>
      </c>
      <c r="G6078" t="inlineStr">
        <is>
          <t>LASTSCHUETZ</t>
        </is>
      </c>
      <c r="H6078" t="inlineStr">
        <is>
          <t>4kW 1S Federzugkl.</t>
        </is>
      </c>
      <c r="I6078">
        <v>774</v>
      </c>
      <c r="J6078">
        <f>GS47/283.6</f>
        <v>0</v>
      </c>
      <c r="M6078" t="inlineStr">
        <is>
          <t>-283Q445.7</t>
        </is>
      </c>
    </row>
    <row r="6079">
      <c r="A6079">
        <v>6078</v>
      </c>
      <c r="B6079">
        <f>GS48</f>
        <v>0</v>
      </c>
      <c r="C6079" t="inlineStr">
        <is>
          <t>+LS04</t>
        </is>
      </c>
      <c r="D6079" t="inlineStr">
        <is>
          <t>-283Q445.7</t>
        </is>
      </c>
      <c r="E6079" t="inlineStr">
        <is>
          <t>DILM-9-10</t>
        </is>
      </c>
      <c r="F6079" t="inlineStr">
        <is>
          <t>#KALK!</t>
        </is>
      </c>
      <c r="G6079" t="inlineStr">
        <is>
          <t>LASTSCHUETZ</t>
        </is>
      </c>
      <c r="H6079" t="inlineStr">
        <is>
          <t>4kW 1S Federzugkl.</t>
        </is>
      </c>
      <c r="I6079">
        <v>415</v>
      </c>
      <c r="J6079">
        <f>GS48/283.6</f>
        <v>0</v>
      </c>
      <c r="M6079" t="inlineStr">
        <is>
          <t>-283Q445.7</t>
        </is>
      </c>
    </row>
    <row r="6080">
      <c r="A6080">
        <v>6079</v>
      </c>
      <c r="B6080">
        <f>GS49</f>
        <v>0</v>
      </c>
      <c r="C6080" t="inlineStr">
        <is>
          <t>+LS04</t>
        </is>
      </c>
      <c r="D6080" t="inlineStr">
        <is>
          <t>-283Q445.7</t>
        </is>
      </c>
      <c r="E6080" t="inlineStr">
        <is>
          <t>DILM-9-10</t>
        </is>
      </c>
      <c r="F6080" t="inlineStr">
        <is>
          <t>#KALK!</t>
        </is>
      </c>
      <c r="G6080" t="inlineStr">
        <is>
          <t>LASTSCHUETZ</t>
        </is>
      </c>
      <c r="H6080" t="inlineStr">
        <is>
          <t>4kW 1S Federzugkl.</t>
        </is>
      </c>
      <c r="I6080">
        <v>414</v>
      </c>
      <c r="J6080">
        <f>GS49/283.6</f>
        <v>0</v>
      </c>
      <c r="M6080" t="inlineStr">
        <is>
          <t>-283Q445.7</t>
        </is>
      </c>
    </row>
    <row r="6081">
      <c r="A6081">
        <v>6080</v>
      </c>
      <c r="B6081">
        <f>GS95</f>
        <v>0</v>
      </c>
      <c r="C6081" t="inlineStr">
        <is>
          <t>+LS18</t>
        </is>
      </c>
      <c r="D6081" t="inlineStr">
        <is>
          <t>-283Q487.2</t>
        </is>
      </c>
      <c r="E6081" t="inlineStr">
        <is>
          <t>DILM-9-10</t>
        </is>
      </c>
      <c r="F6081" t="inlineStr">
        <is>
          <t>#KALK!</t>
        </is>
      </c>
      <c r="G6081" t="inlineStr">
        <is>
          <t>LASTSCHUETZ</t>
        </is>
      </c>
      <c r="H6081" t="inlineStr">
        <is>
          <t>4kW 1S Federzugkl.</t>
        </is>
      </c>
      <c r="I6081">
        <v>368</v>
      </c>
      <c r="J6081">
        <f>GS95/283.5</f>
        <v>0</v>
      </c>
      <c r="M6081" t="inlineStr">
        <is>
          <t>-283Q487.2</t>
        </is>
      </c>
    </row>
    <row r="6082">
      <c r="A6082">
        <v>6081</v>
      </c>
      <c r="B6082">
        <f>GS97</f>
        <v>0</v>
      </c>
      <c r="C6082" t="inlineStr">
        <is>
          <t>+LS18</t>
        </is>
      </c>
      <c r="D6082" t="inlineStr">
        <is>
          <t>-283Q487.2</t>
        </is>
      </c>
      <c r="E6082" t="inlineStr">
        <is>
          <t>DILM-9-10</t>
        </is>
      </c>
      <c r="F6082" t="inlineStr">
        <is>
          <t>#KALK!</t>
        </is>
      </c>
      <c r="G6082" t="inlineStr">
        <is>
          <t>LASTSCHUETZ</t>
        </is>
      </c>
      <c r="H6082" t="inlineStr">
        <is>
          <t>4kW 1S Federzugkl.</t>
        </is>
      </c>
      <c r="I6082">
        <v>368</v>
      </c>
      <c r="J6082">
        <f>GS97/283.5</f>
        <v>0</v>
      </c>
      <c r="M6082" t="inlineStr">
        <is>
          <t>-283Q487.2</t>
        </is>
      </c>
    </row>
    <row r="6083">
      <c r="A6083">
        <v>6082</v>
      </c>
      <c r="B6083">
        <f>GS11</f>
        <v>0</v>
      </c>
      <c r="C6083" t="inlineStr">
        <is>
          <t>+LS6</t>
        </is>
      </c>
      <c r="D6083" t="inlineStr">
        <is>
          <t>-284K15.4</t>
        </is>
      </c>
      <c r="E6083" t="inlineStr">
        <is>
          <t>DIL_EM-10-G</t>
        </is>
      </c>
      <c r="F6083" t="inlineStr">
        <is>
          <t>#KALK!</t>
        </is>
      </c>
      <c r="G6083" t="inlineStr">
        <is>
          <t>LASTSCHUETZ</t>
        </is>
      </c>
      <c r="H6083" t="inlineStr">
        <is>
          <t>4kW 1S</t>
        </is>
      </c>
      <c r="I6083">
        <v>395</v>
      </c>
      <c r="J6083">
        <f>GS11/284.6</f>
        <v>0</v>
      </c>
      <c r="M6083" t="inlineStr">
        <is>
          <t>-284K15.4</t>
        </is>
      </c>
    </row>
    <row r="6084">
      <c r="A6084">
        <v>6083</v>
      </c>
      <c r="B6084">
        <f>GS21</f>
        <v>0</v>
      </c>
      <c r="C6084" t="inlineStr">
        <is>
          <t>+LS6</t>
        </is>
      </c>
      <c r="D6084" t="inlineStr">
        <is>
          <t>-284K15.4</t>
        </is>
      </c>
      <c r="E6084" t="inlineStr">
        <is>
          <t>DIL_EM-10-G</t>
        </is>
      </c>
      <c r="F6084" t="inlineStr">
        <is>
          <t>#KALK!</t>
        </is>
      </c>
      <c r="G6084" t="inlineStr">
        <is>
          <t>LASTSCHUETZ</t>
        </is>
      </c>
      <c r="H6084" t="inlineStr">
        <is>
          <t>4kW 1S</t>
        </is>
      </c>
      <c r="I6084">
        <v>372</v>
      </c>
      <c r="J6084">
        <f>GS21/284.6</f>
        <v>0</v>
      </c>
      <c r="M6084" t="inlineStr">
        <is>
          <t>-284K15.4</t>
        </is>
      </c>
    </row>
    <row r="6085">
      <c r="A6085">
        <v>6084</v>
      </c>
      <c r="B6085">
        <f>GS34</f>
        <v>0</v>
      </c>
      <c r="C6085" t="inlineStr">
        <is>
          <t>+LS6</t>
        </is>
      </c>
      <c r="D6085" t="inlineStr">
        <is>
          <t>-284K3603.5</t>
        </is>
      </c>
      <c r="E6085" t="inlineStr">
        <is>
          <t>DIL_EM-10-G</t>
        </is>
      </c>
      <c r="F6085" t="inlineStr">
        <is>
          <t>#KALK!</t>
        </is>
      </c>
      <c r="G6085" t="inlineStr">
        <is>
          <t>LASTSCHUETZ</t>
        </is>
      </c>
      <c r="H6085" t="inlineStr">
        <is>
          <t>4kW 1S</t>
        </is>
      </c>
      <c r="I6085">
        <v>409</v>
      </c>
      <c r="J6085">
        <f>GS34/284.7</f>
        <v>0</v>
      </c>
      <c r="M6085" t="inlineStr">
        <is>
          <t>-284K3603.5</t>
        </is>
      </c>
    </row>
    <row r="6086">
      <c r="A6086">
        <v>6085</v>
      </c>
      <c r="B6086">
        <f>GS02</f>
        <v>0</v>
      </c>
      <c r="C6086" t="inlineStr">
        <is>
          <t>+LS5</t>
        </is>
      </c>
      <c r="D6086" t="inlineStr">
        <is>
          <t>-284K49.3</t>
        </is>
      </c>
      <c r="E6086" t="inlineStr">
        <is>
          <t>DIL_EM-10-G</t>
        </is>
      </c>
      <c r="F6086" t="inlineStr">
        <is>
          <t>#KALK!</t>
        </is>
      </c>
      <c r="G6086" t="inlineStr">
        <is>
          <t>LASTSCHUETZ</t>
        </is>
      </c>
      <c r="H6086" t="inlineStr">
        <is>
          <t>4kW 1S</t>
        </is>
      </c>
      <c r="I6086">
        <v>690</v>
      </c>
      <c r="J6086">
        <f>GS02/284.7</f>
        <v>0</v>
      </c>
      <c r="M6086" t="inlineStr">
        <is>
          <t>-284K49.3</t>
        </is>
      </c>
    </row>
    <row r="6087">
      <c r="A6087">
        <v>6086</v>
      </c>
      <c r="B6087">
        <f>GS11</f>
        <v>0</v>
      </c>
      <c r="C6087" t="inlineStr">
        <is>
          <t>+LS6</t>
        </is>
      </c>
      <c r="D6087" t="inlineStr">
        <is>
          <t>-284K74.4</t>
        </is>
      </c>
      <c r="E6087" t="inlineStr">
        <is>
          <t>DIL_EM-10-G</t>
        </is>
      </c>
      <c r="F6087" t="inlineStr">
        <is>
          <t>#KALK!</t>
        </is>
      </c>
      <c r="G6087" t="inlineStr">
        <is>
          <t>LASTSCHUETZ</t>
        </is>
      </c>
      <c r="H6087" t="inlineStr">
        <is>
          <t>4kW 1S</t>
        </is>
      </c>
      <c r="I6087">
        <v>395</v>
      </c>
      <c r="J6087">
        <f>GS11/284.6</f>
        <v>0</v>
      </c>
      <c r="M6087" t="inlineStr">
        <is>
          <t>-284K74.4</t>
        </is>
      </c>
    </row>
    <row r="6088">
      <c r="A6088">
        <v>6087</v>
      </c>
      <c r="B6088">
        <f>GS21</f>
        <v>0</v>
      </c>
      <c r="C6088" t="inlineStr">
        <is>
          <t>+LS6</t>
        </is>
      </c>
      <c r="D6088" t="inlineStr">
        <is>
          <t>-284K74.4</t>
        </is>
      </c>
      <c r="E6088" t="inlineStr">
        <is>
          <t>DIL_EM-10-G</t>
        </is>
      </c>
      <c r="F6088" t="inlineStr">
        <is>
          <t>#KALK!</t>
        </is>
      </c>
      <c r="G6088" t="inlineStr">
        <is>
          <t>LASTSCHUETZ</t>
        </is>
      </c>
      <c r="H6088" t="inlineStr">
        <is>
          <t>4kW 1S</t>
        </is>
      </c>
      <c r="I6088">
        <v>372</v>
      </c>
      <c r="J6088">
        <f>GS21/284.6</f>
        <v>0</v>
      </c>
      <c r="M6088" t="inlineStr">
        <is>
          <t>-284K74.4</t>
        </is>
      </c>
    </row>
    <row r="6089">
      <c r="A6089">
        <v>6088</v>
      </c>
      <c r="B6089">
        <f>GS79</f>
        <v>0</v>
      </c>
      <c r="C6089" t="inlineStr">
        <is>
          <t>+LS[l1]</t>
        </is>
      </c>
      <c r="D6089" t="inlineStr">
        <is>
          <t>-284Q[a+209].7</t>
        </is>
      </c>
      <c r="E6089" t="inlineStr">
        <is>
          <t>DILM-9-10</t>
        </is>
      </c>
      <c r="F6089" t="inlineStr">
        <is>
          <t>#KALK!</t>
        </is>
      </c>
      <c r="G6089" t="inlineStr">
        <is>
          <t>LASTSCHUETZ</t>
        </is>
      </c>
      <c r="H6089" t="inlineStr">
        <is>
          <t>4kW 1S Federzugkl.</t>
        </is>
      </c>
      <c r="I6089">
        <v>185</v>
      </c>
      <c r="J6089">
        <f>GS79/284.6</f>
        <v>0</v>
      </c>
      <c r="M6089" t="inlineStr">
        <is>
          <t>-284Q[a+209].7</t>
        </is>
      </c>
    </row>
    <row r="6090">
      <c r="A6090">
        <v>6089</v>
      </c>
      <c r="B6090">
        <f>GS79</f>
        <v>0</v>
      </c>
      <c r="C6090" t="inlineStr">
        <is>
          <t>+LS[l1]</t>
        </is>
      </c>
      <c r="D6090" t="inlineStr">
        <is>
          <t>-284Q[a+209].7</t>
        </is>
      </c>
      <c r="E6090" t="inlineStr">
        <is>
          <t>DILM-9-10</t>
        </is>
      </c>
      <c r="F6090" t="inlineStr">
        <is>
          <t>#KALK!</t>
        </is>
      </c>
      <c r="G6090" t="inlineStr">
        <is>
          <t>LASTSCHUETZ</t>
        </is>
      </c>
      <c r="H6090" t="inlineStr">
        <is>
          <t>4kW 1S Federzugkl.</t>
        </is>
      </c>
      <c r="I6090">
        <v>168</v>
      </c>
      <c r="J6090">
        <f>GS79/284.6</f>
        <v>0</v>
      </c>
      <c r="M6090" t="inlineStr">
        <is>
          <t>-284Q[a+209].7</t>
        </is>
      </c>
    </row>
    <row r="6091">
      <c r="A6091">
        <v>6090</v>
      </c>
      <c r="B6091">
        <f>GS79</f>
        <v>0</v>
      </c>
      <c r="C6091" t="inlineStr">
        <is>
          <t>+LS[l1]</t>
        </is>
      </c>
      <c r="D6091" t="inlineStr">
        <is>
          <t>-284Q[a+209].7</t>
        </is>
      </c>
      <c r="E6091" t="inlineStr">
        <is>
          <t>DILM-9-10</t>
        </is>
      </c>
      <c r="F6091" t="inlineStr">
        <is>
          <t>#KALK!</t>
        </is>
      </c>
      <c r="G6091" t="inlineStr">
        <is>
          <t>LASTSCHUETZ</t>
        </is>
      </c>
      <c r="H6091" t="inlineStr">
        <is>
          <t>4kW 1S Federzugkl.</t>
        </is>
      </c>
      <c r="I6091">
        <v>192</v>
      </c>
      <c r="J6091">
        <f>GS79/284.6</f>
        <v>0</v>
      </c>
      <c r="M6091" t="inlineStr">
        <is>
          <t>-284Q[a+209].7</t>
        </is>
      </c>
    </row>
    <row r="6092">
      <c r="A6092">
        <v>6091</v>
      </c>
      <c r="B6092">
        <f>GS46</f>
        <v>0</v>
      </c>
      <c r="C6092" t="inlineStr">
        <is>
          <t>+LS04</t>
        </is>
      </c>
      <c r="D6092" t="inlineStr">
        <is>
          <t>-284Q446.0</t>
        </is>
      </c>
      <c r="E6092" t="inlineStr">
        <is>
          <t>DILM-9-10</t>
        </is>
      </c>
      <c r="F6092" t="inlineStr">
        <is>
          <t>#KALK!</t>
        </is>
      </c>
      <c r="G6092" t="inlineStr">
        <is>
          <t>LASTSCHUETZ</t>
        </is>
      </c>
      <c r="H6092" t="inlineStr">
        <is>
          <t>4kW 1S Federzugkl.</t>
        </is>
      </c>
      <c r="I6092">
        <v>773</v>
      </c>
      <c r="J6092">
        <f>GS46/284.6</f>
        <v>0</v>
      </c>
      <c r="M6092" t="inlineStr">
        <is>
          <t>-284Q446.0</t>
        </is>
      </c>
    </row>
    <row r="6093">
      <c r="A6093">
        <v>6092</v>
      </c>
      <c r="B6093">
        <f>GS47</f>
        <v>0</v>
      </c>
      <c r="C6093" t="inlineStr">
        <is>
          <t>+LS04</t>
        </is>
      </c>
      <c r="D6093" t="inlineStr">
        <is>
          <t>-284Q446.0</t>
        </is>
      </c>
      <c r="E6093" t="inlineStr">
        <is>
          <t>DILM-9-10</t>
        </is>
      </c>
      <c r="F6093" t="inlineStr">
        <is>
          <t>#KALK!</t>
        </is>
      </c>
      <c r="G6093" t="inlineStr">
        <is>
          <t>LASTSCHUETZ</t>
        </is>
      </c>
      <c r="H6093" t="inlineStr">
        <is>
          <t>4kW 1S Federzugkl.</t>
        </is>
      </c>
      <c r="I6093">
        <v>773</v>
      </c>
      <c r="J6093">
        <f>GS47/284.6</f>
        <v>0</v>
      </c>
      <c r="M6093" t="inlineStr">
        <is>
          <t>-284Q446.0</t>
        </is>
      </c>
    </row>
    <row r="6094">
      <c r="A6094">
        <v>6093</v>
      </c>
      <c r="B6094">
        <f>GS48</f>
        <v>0</v>
      </c>
      <c r="C6094" t="inlineStr">
        <is>
          <t>+LS04</t>
        </is>
      </c>
      <c r="D6094" t="inlineStr">
        <is>
          <t>-284Q446.0</t>
        </is>
      </c>
      <c r="E6094" t="inlineStr">
        <is>
          <t>DILM-9-10</t>
        </is>
      </c>
      <c r="F6094" t="inlineStr">
        <is>
          <t>#KALK!</t>
        </is>
      </c>
      <c r="G6094" t="inlineStr">
        <is>
          <t>LASTSCHUETZ</t>
        </is>
      </c>
      <c r="H6094" t="inlineStr">
        <is>
          <t>4kW 1S Federzugkl.</t>
        </is>
      </c>
      <c r="I6094">
        <v>416</v>
      </c>
      <c r="J6094">
        <f>GS48/284.6</f>
        <v>0</v>
      </c>
      <c r="M6094" t="inlineStr">
        <is>
          <t>-284Q446.0</t>
        </is>
      </c>
    </row>
    <row r="6095">
      <c r="A6095">
        <v>6094</v>
      </c>
      <c r="B6095">
        <f>GS49</f>
        <v>0</v>
      </c>
      <c r="C6095" t="inlineStr">
        <is>
          <t>+LS04</t>
        </is>
      </c>
      <c r="D6095" t="inlineStr">
        <is>
          <t>-284Q446.0</t>
        </is>
      </c>
      <c r="E6095" t="inlineStr">
        <is>
          <t>DILM-9-10</t>
        </is>
      </c>
      <c r="F6095" t="inlineStr">
        <is>
          <t>#KALK!</t>
        </is>
      </c>
      <c r="G6095" t="inlineStr">
        <is>
          <t>LASTSCHUETZ</t>
        </is>
      </c>
      <c r="H6095" t="inlineStr">
        <is>
          <t>4kW 1S Federzugkl.</t>
        </is>
      </c>
      <c r="I6095">
        <v>415</v>
      </c>
      <c r="J6095">
        <f>GS49/284.6</f>
        <v>0</v>
      </c>
      <c r="M6095" t="inlineStr">
        <is>
          <t>-284Q446.0</t>
        </is>
      </c>
    </row>
    <row r="6096">
      <c r="A6096">
        <v>6095</v>
      </c>
      <c r="B6096">
        <f>GS07</f>
        <v>0</v>
      </c>
      <c r="C6096" t="inlineStr">
        <is>
          <t>+LS04</t>
        </is>
      </c>
      <c r="D6096" t="inlineStr">
        <is>
          <t>-285K1</t>
        </is>
      </c>
      <c r="E6096" t="inlineStr">
        <is>
          <t>DILA-22</t>
        </is>
      </c>
      <c r="F6096" t="inlineStr">
        <is>
          <t>#KALK!</t>
        </is>
      </c>
      <c r="G6096" t="inlineStr">
        <is>
          <t>HILFSSCHUETZ</t>
        </is>
      </c>
      <c r="H6096" t="inlineStr">
        <is>
          <t>2S 2Oe Federzugkl.</t>
        </is>
      </c>
      <c r="I6096">
        <v>388</v>
      </c>
      <c r="J6096">
        <f>GS07/285.7</f>
        <v>0</v>
      </c>
      <c r="M6096" t="inlineStr">
        <is>
          <t>-285K1</t>
        </is>
      </c>
    </row>
    <row r="6097">
      <c r="A6097">
        <v>6096</v>
      </c>
      <c r="B6097">
        <f>GS37</f>
        <v>0</v>
      </c>
      <c r="C6097" t="inlineStr">
        <is>
          <t>+LS06</t>
        </is>
      </c>
      <c r="D6097" t="inlineStr">
        <is>
          <t>-285K102.0</t>
        </is>
      </c>
      <c r="E6097" t="inlineStr">
        <is>
          <t>DILA-40</t>
        </is>
      </c>
      <c r="F6097" t="inlineStr">
        <is>
          <t>#KALK!</t>
        </is>
      </c>
      <c r="G6097" t="inlineStr">
        <is>
          <t>HILFSSCHUETZ</t>
        </is>
      </c>
      <c r="H6097" t="inlineStr">
        <is>
          <t>4S Federzugkl.</t>
        </is>
      </c>
      <c r="I6097">
        <v>438</v>
      </c>
      <c r="J6097">
        <f>GS37/285.7</f>
        <v>0</v>
      </c>
      <c r="M6097" t="inlineStr">
        <is>
          <t>-285K102.0</t>
        </is>
      </c>
    </row>
    <row r="6098">
      <c r="A6098">
        <v>6097</v>
      </c>
      <c r="B6098">
        <f>GS11</f>
        <v>0</v>
      </c>
      <c r="C6098" t="inlineStr">
        <is>
          <t>+LS6</t>
        </is>
      </c>
      <c r="D6098" t="inlineStr">
        <is>
          <t>-285K15.5</t>
        </is>
      </c>
      <c r="E6098" t="inlineStr">
        <is>
          <t>DIL_EM-10-G</t>
        </is>
      </c>
      <c r="F6098" t="inlineStr">
        <is>
          <t>#KALK!</t>
        </is>
      </c>
      <c r="G6098" t="inlineStr">
        <is>
          <t>LASTSCHUETZ</t>
        </is>
      </c>
      <c r="H6098" t="inlineStr">
        <is>
          <t>4kW 1S</t>
        </is>
      </c>
      <c r="I6098">
        <v>396</v>
      </c>
      <c r="J6098">
        <f>GS11/285.6</f>
        <v>0</v>
      </c>
      <c r="M6098" t="inlineStr">
        <is>
          <t>-285K15.5</t>
        </is>
      </c>
    </row>
    <row r="6099">
      <c r="A6099">
        <v>6098</v>
      </c>
      <c r="B6099">
        <f>GS21</f>
        <v>0</v>
      </c>
      <c r="C6099" t="inlineStr">
        <is>
          <t>+LS6</t>
        </is>
      </c>
      <c r="D6099" t="inlineStr">
        <is>
          <t>-285K15.5</t>
        </is>
      </c>
      <c r="E6099" t="inlineStr">
        <is>
          <t>DIL_EM-10-G</t>
        </is>
      </c>
      <c r="F6099" t="inlineStr">
        <is>
          <t>#KALK!</t>
        </is>
      </c>
      <c r="G6099" t="inlineStr">
        <is>
          <t>LASTSCHUETZ</t>
        </is>
      </c>
      <c r="H6099" t="inlineStr">
        <is>
          <t>4kW 1S</t>
        </is>
      </c>
      <c r="I6099">
        <v>373</v>
      </c>
      <c r="J6099">
        <f>GS21/285.6</f>
        <v>0</v>
      </c>
      <c r="M6099" t="inlineStr">
        <is>
          <t>-285K15.5</t>
        </is>
      </c>
    </row>
    <row r="6100">
      <c r="A6100">
        <v>6099</v>
      </c>
      <c r="B6100">
        <f>GS91</f>
        <v>0</v>
      </c>
      <c r="C6100" t="inlineStr">
        <is>
          <t>+LS04</t>
        </is>
      </c>
      <c r="D6100" t="inlineStr">
        <is>
          <t>-285K174.4</t>
        </is>
      </c>
      <c r="E6100" t="inlineStr">
        <is>
          <t>DILA-40</t>
        </is>
      </c>
      <c r="F6100" t="inlineStr">
        <is>
          <t>#KALK!</t>
        </is>
      </c>
      <c r="G6100" t="inlineStr">
        <is>
          <t>HILFSSCHUETZ</t>
        </is>
      </c>
      <c r="H6100" t="inlineStr">
        <is>
          <t>4S Federzugkl.</t>
        </is>
      </c>
      <c r="I6100">
        <v>433</v>
      </c>
      <c r="J6100">
        <f>GS91/285.7</f>
        <v>0</v>
      </c>
      <c r="M6100" t="inlineStr">
        <is>
          <t>-285K174.4</t>
        </is>
      </c>
    </row>
    <row r="6101">
      <c r="A6101">
        <v>6100</v>
      </c>
      <c r="B6101">
        <f>GS90</f>
        <v>0</v>
      </c>
      <c r="C6101" t="inlineStr">
        <is>
          <t>+LS04</t>
        </is>
      </c>
      <c r="D6101" t="inlineStr">
        <is>
          <t>-285K179.4</t>
        </is>
      </c>
      <c r="E6101" t="inlineStr">
        <is>
          <t>DILA-40</t>
        </is>
      </c>
      <c r="F6101" t="inlineStr">
        <is>
          <t>#KALK!</t>
        </is>
      </c>
      <c r="G6101" t="inlineStr">
        <is>
          <t>HILFSSCHUETZ</t>
        </is>
      </c>
      <c r="H6101" t="inlineStr">
        <is>
          <t>4S Federzugkl.</t>
        </is>
      </c>
      <c r="I6101">
        <v>956</v>
      </c>
      <c r="J6101">
        <f>GS90/285.7</f>
        <v>0</v>
      </c>
      <c r="M6101" t="inlineStr">
        <is>
          <t>-285K179.4</t>
        </is>
      </c>
    </row>
    <row r="6102">
      <c r="A6102">
        <v>6101</v>
      </c>
      <c r="B6102">
        <f>GS93</f>
        <v>0</v>
      </c>
      <c r="C6102" t="inlineStr">
        <is>
          <t>+LS04</t>
        </is>
      </c>
      <c r="D6102" t="inlineStr">
        <is>
          <t>-285K186.0</t>
        </is>
      </c>
      <c r="E6102" t="inlineStr">
        <is>
          <t>DILA-40</t>
        </is>
      </c>
      <c r="F6102" t="inlineStr">
        <is>
          <t>#KALK!</t>
        </is>
      </c>
      <c r="G6102" t="inlineStr">
        <is>
          <t>HILFSSCHUETZ</t>
        </is>
      </c>
      <c r="H6102" t="inlineStr">
        <is>
          <t>4S Federzugkl.</t>
        </is>
      </c>
      <c r="I6102">
        <v>839</v>
      </c>
      <c r="J6102">
        <f>GS93/285.7</f>
        <v>0</v>
      </c>
      <c r="M6102" t="inlineStr">
        <is>
          <t>-285K186.0</t>
        </is>
      </c>
    </row>
    <row r="6103">
      <c r="A6103">
        <v>6102</v>
      </c>
      <c r="B6103">
        <f>GS34</f>
        <v>0</v>
      </c>
      <c r="C6103" t="inlineStr">
        <is>
          <t>+LS6</t>
        </is>
      </c>
      <c r="D6103" t="inlineStr">
        <is>
          <t>-285K3604.3</t>
        </is>
      </c>
      <c r="E6103" t="inlineStr">
        <is>
          <t>DIL_EM-10-G</t>
        </is>
      </c>
      <c r="F6103" t="inlineStr">
        <is>
          <t>#KALK!</t>
        </is>
      </c>
      <c r="G6103" t="inlineStr">
        <is>
          <t>LASTSCHUETZ</t>
        </is>
      </c>
      <c r="H6103" t="inlineStr">
        <is>
          <t>4kW 1S</t>
        </is>
      </c>
      <c r="I6103">
        <v>410</v>
      </c>
      <c r="J6103">
        <f>GS34/285.7</f>
        <v>0</v>
      </c>
      <c r="M6103" t="inlineStr">
        <is>
          <t>-285K3604.3</t>
        </is>
      </c>
    </row>
    <row r="6104">
      <c r="A6104">
        <v>6103</v>
      </c>
      <c r="B6104">
        <f>GS36</f>
        <v>0</v>
      </c>
      <c r="C6104" t="inlineStr">
        <is>
          <t>+LS06</t>
        </is>
      </c>
      <c r="D6104" t="inlineStr">
        <is>
          <t>-307K1</t>
        </is>
      </c>
      <c r="E6104" t="inlineStr">
        <is>
          <t>DILM-9-01</t>
        </is>
      </c>
      <c r="F6104" t="inlineStr">
        <is>
          <t>#KALK!</t>
        </is>
      </c>
      <c r="G6104" t="inlineStr">
        <is>
          <t>LASTSCHUETZ</t>
        </is>
      </c>
      <c r="H6104" t="inlineStr">
        <is>
          <t>4kW 1Oe Federzugkl.</t>
        </is>
      </c>
      <c r="I6104">
        <v>480</v>
      </c>
      <c r="J6104">
        <f>GS36/307.6</f>
        <v>0</v>
      </c>
      <c r="L6104" t="inlineStr">
        <is>
          <t>Lichtvorhang KF</t>
        </is>
      </c>
      <c r="M6104" t="inlineStr">
        <is>
          <t>Lichtvorhang KF
-307K1</t>
        </is>
      </c>
    </row>
    <row r="6105">
      <c r="A6105">
        <v>6104</v>
      </c>
      <c r="B6105">
        <f>GS30</f>
        <v>0</v>
      </c>
      <c r="C6105" t="inlineStr">
        <is>
          <t>+LS07</t>
        </is>
      </c>
      <c r="D6105" t="inlineStr">
        <is>
          <t>-285K418.4</t>
        </is>
      </c>
      <c r="E6105" t="inlineStr">
        <is>
          <t>DILA-40</t>
        </is>
      </c>
      <c r="F6105" t="inlineStr">
        <is>
          <t>#KALK!</t>
        </is>
      </c>
      <c r="G6105" t="inlineStr">
        <is>
          <t>HILFSSCHUETZ</t>
        </is>
      </c>
      <c r="H6105" t="inlineStr">
        <is>
          <t>4S Federzugkl.</t>
        </is>
      </c>
      <c r="I6105">
        <v>2681</v>
      </c>
      <c r="J6105">
        <f>GS30/285.7</f>
        <v>0</v>
      </c>
      <c r="M6105" t="inlineStr">
        <is>
          <t>-285K418.4</t>
        </is>
      </c>
    </row>
    <row r="6106">
      <c r="A6106">
        <v>6105</v>
      </c>
      <c r="B6106">
        <f>GS38</f>
        <v>0</v>
      </c>
      <c r="C6106" t="inlineStr">
        <is>
          <t>+LS05</t>
        </is>
      </c>
      <c r="D6106" t="inlineStr">
        <is>
          <t>-285K444.4</t>
        </is>
      </c>
      <c r="E6106" t="inlineStr">
        <is>
          <t>DILA-40</t>
        </is>
      </c>
      <c r="F6106" t="inlineStr">
        <is>
          <t>#KALK!</t>
        </is>
      </c>
      <c r="G6106" t="inlineStr">
        <is>
          <t>HILFSSCHUETZ</t>
        </is>
      </c>
      <c r="H6106" t="inlineStr">
        <is>
          <t>4S Federzugkl.</t>
        </is>
      </c>
      <c r="I6106">
        <v>455</v>
      </c>
      <c r="J6106">
        <f>GS38/285.7</f>
        <v>0</v>
      </c>
      <c r="M6106" t="inlineStr">
        <is>
          <t>-285K444.4</t>
        </is>
      </c>
    </row>
    <row r="6107">
      <c r="A6107">
        <v>6106</v>
      </c>
      <c r="B6107">
        <f>GS39</f>
        <v>0</v>
      </c>
      <c r="C6107" t="inlineStr">
        <is>
          <t>+LS05</t>
        </is>
      </c>
      <c r="D6107" t="inlineStr">
        <is>
          <t>-285K444.4</t>
        </is>
      </c>
      <c r="E6107" t="inlineStr">
        <is>
          <t>DILA-40</t>
        </is>
      </c>
      <c r="F6107" t="inlineStr">
        <is>
          <t>#KALK!</t>
        </is>
      </c>
      <c r="G6107" t="inlineStr">
        <is>
          <t>HILFSSCHUETZ</t>
        </is>
      </c>
      <c r="H6107" t="inlineStr">
        <is>
          <t>4S Federzugkl.</t>
        </is>
      </c>
      <c r="I6107">
        <v>456</v>
      </c>
      <c r="J6107">
        <f>GS39/285.7</f>
        <v>0</v>
      </c>
      <c r="M6107" t="inlineStr">
        <is>
          <t>-285K444.4</t>
        </is>
      </c>
    </row>
    <row r="6108">
      <c r="A6108">
        <v>6107</v>
      </c>
      <c r="B6108">
        <f>GS02</f>
        <v>0</v>
      </c>
      <c r="C6108" t="inlineStr">
        <is>
          <t>+LS5</t>
        </is>
      </c>
      <c r="D6108" t="inlineStr">
        <is>
          <t>-285K49.7</t>
        </is>
      </c>
      <c r="E6108" t="inlineStr">
        <is>
          <t>DIL_EM-10-G</t>
        </is>
      </c>
      <c r="F6108" t="inlineStr">
        <is>
          <t>#KALK!</t>
        </is>
      </c>
      <c r="G6108" t="inlineStr">
        <is>
          <t>LASTSCHUETZ</t>
        </is>
      </c>
      <c r="H6108" t="inlineStr">
        <is>
          <t>4kW 1S</t>
        </is>
      </c>
      <c r="I6108">
        <v>691</v>
      </c>
      <c r="J6108">
        <f>GS02/285.7</f>
        <v>0</v>
      </c>
      <c r="M6108" t="inlineStr">
        <is>
          <t>-285K49.7</t>
        </is>
      </c>
    </row>
    <row r="6109">
      <c r="A6109">
        <v>6108</v>
      </c>
      <c r="B6109">
        <f>GS11</f>
        <v>0</v>
      </c>
      <c r="C6109" t="inlineStr">
        <is>
          <t>+LS6</t>
        </is>
      </c>
      <c r="D6109" t="inlineStr">
        <is>
          <t>-285K74.5</t>
        </is>
      </c>
      <c r="E6109" t="inlineStr">
        <is>
          <t>DIL_EM-10-G</t>
        </is>
      </c>
      <c r="F6109" t="inlineStr">
        <is>
          <t>#KALK!</t>
        </is>
      </c>
      <c r="G6109" t="inlineStr">
        <is>
          <t>LASTSCHUETZ</t>
        </is>
      </c>
      <c r="H6109" t="inlineStr">
        <is>
          <t>4kW 1S</t>
        </is>
      </c>
      <c r="I6109">
        <v>396</v>
      </c>
      <c r="J6109">
        <f>GS11/285.6</f>
        <v>0</v>
      </c>
      <c r="M6109" t="inlineStr">
        <is>
          <t>-285K74.5</t>
        </is>
      </c>
    </row>
    <row r="6110">
      <c r="A6110">
        <v>6109</v>
      </c>
      <c r="B6110">
        <f>GS21</f>
        <v>0</v>
      </c>
      <c r="C6110" t="inlineStr">
        <is>
          <t>+LS6</t>
        </is>
      </c>
      <c r="D6110" t="inlineStr">
        <is>
          <t>-285K74.5</t>
        </is>
      </c>
      <c r="E6110" t="inlineStr">
        <is>
          <t>DIL_EM-10-G</t>
        </is>
      </c>
      <c r="F6110" t="inlineStr">
        <is>
          <t>#KALK!</t>
        </is>
      </c>
      <c r="G6110" t="inlineStr">
        <is>
          <t>LASTSCHUETZ</t>
        </is>
      </c>
      <c r="H6110" t="inlineStr">
        <is>
          <t>4kW 1S</t>
        </is>
      </c>
      <c r="I6110">
        <v>373</v>
      </c>
      <c r="J6110">
        <f>GS21/285.6</f>
        <v>0</v>
      </c>
      <c r="M6110" t="inlineStr">
        <is>
          <t>-285K74.5</t>
        </is>
      </c>
    </row>
    <row r="6111">
      <c r="A6111">
        <v>6110</v>
      </c>
      <c r="B6111">
        <f>GS05</f>
        <v>0</v>
      </c>
      <c r="C6111" t="inlineStr">
        <is>
          <t>+LS04</t>
        </is>
      </c>
      <c r="D6111" t="inlineStr">
        <is>
          <t>-285Q1</t>
        </is>
      </c>
      <c r="E6111" t="inlineStr">
        <is>
          <t>DILA-XHI22</t>
        </is>
      </c>
      <c r="F6111" t="inlineStr">
        <is>
          <t>DILA-XHI22</t>
        </is>
      </c>
      <c r="G6111" t="inlineStr">
        <is>
          <t>HILFSKONTAKTBLOCK</t>
        </is>
      </c>
      <c r="H6111" t="inlineStr">
        <is>
          <t>2S 2OE Last+Hilfssch. Cage</t>
        </is>
      </c>
      <c r="I6111">
        <v>2267</v>
      </c>
      <c r="J6111">
        <f>GS05/285.6</f>
        <v>0</v>
      </c>
      <c r="K6111" t="inlineStr">
        <is>
          <t>DIL MC25</t>
        </is>
      </c>
      <c r="M6111" t="inlineStr">
        <is>
          <t>-285Q1</t>
        </is>
      </c>
    </row>
    <row r="6112">
      <c r="A6112">
        <v>6111</v>
      </c>
      <c r="B6112">
        <f>GS05</f>
        <v>0</v>
      </c>
      <c r="C6112" t="inlineStr">
        <is>
          <t>+LS04</t>
        </is>
      </c>
      <c r="D6112" t="inlineStr">
        <is>
          <t>-285Q1</t>
        </is>
      </c>
      <c r="E6112" t="inlineStr">
        <is>
          <t>DILMC25-10(RDC24)</t>
        </is>
      </c>
      <c r="F6112" t="inlineStr">
        <is>
          <t>DILA-XHI22</t>
        </is>
      </c>
      <c r="G6112" t="inlineStr">
        <is>
          <t>LASTSCHUETZ</t>
        </is>
      </c>
      <c r="H6112" t="inlineStr">
        <is>
          <t>11kW 1S Federzugkl.</t>
        </is>
      </c>
      <c r="I6112">
        <v>2267</v>
      </c>
      <c r="J6112">
        <f>GS05/285.6</f>
        <v>0</v>
      </c>
      <c r="K6112" t="inlineStr">
        <is>
          <t>DIL MC25</t>
        </is>
      </c>
      <c r="M6112" t="inlineStr">
        <is>
          <t>-285Q1</t>
        </is>
      </c>
    </row>
    <row r="6113">
      <c r="A6113">
        <v>6112</v>
      </c>
      <c r="B6113">
        <f>GS07</f>
        <v>0</v>
      </c>
      <c r="C6113" t="inlineStr">
        <is>
          <t>+LS04</t>
        </is>
      </c>
      <c r="D6113" t="inlineStr">
        <is>
          <t>-285Q1</t>
        </is>
      </c>
      <c r="E6113" t="inlineStr">
        <is>
          <t>DILM150-XHIC22</t>
        </is>
      </c>
      <c r="F6113" t="inlineStr">
        <is>
          <t>DILM150-XHIC22</t>
        </is>
      </c>
      <c r="G6113" t="inlineStr">
        <is>
          <t>HILFSKONTAKTBLOCK</t>
        </is>
      </c>
      <c r="H6113" t="inlineStr">
        <is>
          <t>2S 2OE ab DILMC40</t>
        </is>
      </c>
      <c r="I6113">
        <v>388</v>
      </c>
      <c r="J6113">
        <f>GS07/285.6</f>
        <v>0</v>
      </c>
      <c r="K6113" t="inlineStr">
        <is>
          <t>DIL MC40</t>
        </is>
      </c>
      <c r="M6113" t="inlineStr">
        <is>
          <t>-285Q1</t>
        </is>
      </c>
    </row>
    <row r="6114">
      <c r="A6114">
        <v>6113</v>
      </c>
      <c r="B6114">
        <f>GS07</f>
        <v>0</v>
      </c>
      <c r="C6114" t="inlineStr">
        <is>
          <t>+LS04</t>
        </is>
      </c>
      <c r="D6114" t="inlineStr">
        <is>
          <t>-285Q1</t>
        </is>
      </c>
      <c r="E6114" t="inlineStr">
        <is>
          <t>DILMC40(RDC24)</t>
        </is>
      </c>
      <c r="F6114" t="inlineStr">
        <is>
          <t>DILM150-XHIC22</t>
        </is>
      </c>
      <c r="G6114" t="inlineStr">
        <is>
          <t>LASTSCHUETZ</t>
        </is>
      </c>
      <c r="H6114" t="inlineStr">
        <is>
          <t>18,5kW Federzugkl.</t>
        </is>
      </c>
      <c r="I6114">
        <v>388</v>
      </c>
      <c r="J6114">
        <f>GS07/285.6</f>
        <v>0</v>
      </c>
      <c r="K6114" t="inlineStr">
        <is>
          <t>DIL MC40</t>
        </is>
      </c>
      <c r="M6114" t="inlineStr">
        <is>
          <t>-285Q1</t>
        </is>
      </c>
    </row>
    <row r="6115">
      <c r="A6115">
        <v>6114</v>
      </c>
      <c r="B6115">
        <f>GS30</f>
        <v>0</v>
      </c>
      <c r="C6115" t="inlineStr">
        <is>
          <t>+LS07</t>
        </is>
      </c>
      <c r="D6115" t="inlineStr">
        <is>
          <t>-285Q1</t>
        </is>
      </c>
      <c r="E6115" t="inlineStr">
        <is>
          <t>DILA-XHI22</t>
        </is>
      </c>
      <c r="F6115" t="inlineStr">
        <is>
          <t>DILA-XHI22</t>
        </is>
      </c>
      <c r="G6115" t="inlineStr">
        <is>
          <t>HILFSKONTAKTBLOCK</t>
        </is>
      </c>
      <c r="H6115" t="inlineStr">
        <is>
          <t>2S 2OE Last+Hilfssch. Cage</t>
        </is>
      </c>
      <c r="I6115">
        <v>2681</v>
      </c>
      <c r="J6115">
        <f>GS30/285.4</f>
        <v>0</v>
      </c>
      <c r="K6115" t="inlineStr">
        <is>
          <t>DIL MC25</t>
        </is>
      </c>
      <c r="M6115" t="inlineStr">
        <is>
          <t>-285Q1</t>
        </is>
      </c>
    </row>
    <row r="6116">
      <c r="A6116">
        <v>6115</v>
      </c>
      <c r="B6116">
        <f>GS30</f>
        <v>0</v>
      </c>
      <c r="C6116" t="inlineStr">
        <is>
          <t>+LS07</t>
        </is>
      </c>
      <c r="D6116" t="inlineStr">
        <is>
          <t>-285Q1</t>
        </is>
      </c>
      <c r="E6116" t="inlineStr">
        <is>
          <t>DILMC25-10(RDC24)</t>
        </is>
      </c>
      <c r="F6116" t="inlineStr">
        <is>
          <t>DILA-XHI22</t>
        </is>
      </c>
      <c r="G6116" t="inlineStr">
        <is>
          <t>LASTSCHUETZ</t>
        </is>
      </c>
      <c r="H6116" t="inlineStr">
        <is>
          <t>11kW 1S Federzugkl.</t>
        </is>
      </c>
      <c r="I6116">
        <v>2681</v>
      </c>
      <c r="J6116">
        <f>GS30/285.4</f>
        <v>0</v>
      </c>
      <c r="K6116" t="inlineStr">
        <is>
          <t>DIL MC25</t>
        </is>
      </c>
      <c r="M6116" t="inlineStr">
        <is>
          <t>-285Q1</t>
        </is>
      </c>
    </row>
    <row r="6117">
      <c r="A6117">
        <v>6116</v>
      </c>
      <c r="B6117">
        <f>GS36</f>
        <v>0</v>
      </c>
      <c r="C6117" t="inlineStr">
        <is>
          <t>+LS06</t>
        </is>
      </c>
      <c r="D6117" t="inlineStr">
        <is>
          <t>-285Q1</t>
        </is>
      </c>
      <c r="E6117" t="inlineStr">
        <is>
          <t>DILMC25-10(RDC24)</t>
        </is>
      </c>
      <c r="F6117" t="inlineStr">
        <is>
          <t>DILA-XHI22</t>
        </is>
      </c>
      <c r="G6117" t="inlineStr">
        <is>
          <t>LASTSCHUETZ</t>
        </is>
      </c>
      <c r="H6117" t="inlineStr">
        <is>
          <t>11kW 1S Federzugkl.</t>
        </is>
      </c>
      <c r="I6117">
        <v>458</v>
      </c>
      <c r="J6117">
        <f>GS36/285.4</f>
        <v>0</v>
      </c>
      <c r="K6117" t="inlineStr">
        <is>
          <t>DIL MC25</t>
        </is>
      </c>
      <c r="L6117" t="inlineStr">
        <is>
          <t>HVO 05</t>
        </is>
      </c>
      <c r="M6117" t="inlineStr">
        <is>
          <t>HVO 05
-285Q1</t>
        </is>
      </c>
      <c r="N6117" t="inlineStr">
        <is>
          <t>P</t>
        </is>
      </c>
    </row>
    <row r="6118">
      <c r="A6118">
        <v>6117</v>
      </c>
      <c r="B6118">
        <f>GS36</f>
        <v>0</v>
      </c>
      <c r="C6118" t="inlineStr">
        <is>
          <t>+LS06</t>
        </is>
      </c>
      <c r="D6118" t="inlineStr">
        <is>
          <t>-285Q1</t>
        </is>
      </c>
      <c r="E6118" t="inlineStr">
        <is>
          <t>DILA-XHI22</t>
        </is>
      </c>
      <c r="F6118" t="inlineStr">
        <is>
          <t>DILA-XHI22</t>
        </is>
      </c>
      <c r="G6118" t="inlineStr">
        <is>
          <t>HILFSKONTAKTBLOCK</t>
        </is>
      </c>
      <c r="H6118" t="inlineStr">
        <is>
          <t>2S 2OE Last+Hilfssch. Cage</t>
        </is>
      </c>
      <c r="I6118">
        <v>458</v>
      </c>
      <c r="J6118">
        <f>GS36/285.4</f>
        <v>0</v>
      </c>
      <c r="K6118" t="inlineStr">
        <is>
          <t>DIL MC25</t>
        </is>
      </c>
      <c r="L6118" t="inlineStr">
        <is>
          <t>HVO 05</t>
        </is>
      </c>
      <c r="M6118" t="inlineStr">
        <is>
          <t>HVO 05
-285Q1</t>
        </is>
      </c>
      <c r="N6118" t="inlineStr">
        <is>
          <t>P</t>
        </is>
      </c>
    </row>
    <row r="6119">
      <c r="A6119">
        <v>6118</v>
      </c>
      <c r="B6119">
        <f>GS37</f>
        <v>0</v>
      </c>
      <c r="C6119" t="inlineStr">
        <is>
          <t>+LS06</t>
        </is>
      </c>
      <c r="D6119" t="inlineStr">
        <is>
          <t>-285Q1</t>
        </is>
      </c>
      <c r="E6119" t="inlineStr">
        <is>
          <t>DILMC25-10(RDC24)</t>
        </is>
      </c>
      <c r="F6119" t="inlineStr">
        <is>
          <t>DILA-XHI22</t>
        </is>
      </c>
      <c r="G6119" t="inlineStr">
        <is>
          <t>LASTSCHUETZ</t>
        </is>
      </c>
      <c r="H6119" t="inlineStr">
        <is>
          <t>11kW 1S Federzugkl.</t>
        </is>
      </c>
      <c r="I6119">
        <v>438</v>
      </c>
      <c r="J6119">
        <f>GS37/285.5</f>
        <v>0</v>
      </c>
      <c r="K6119" t="inlineStr">
        <is>
          <t>DIL MC25</t>
        </is>
      </c>
      <c r="M6119" t="inlineStr">
        <is>
          <t>-285Q1</t>
        </is>
      </c>
    </row>
    <row r="6120">
      <c r="A6120">
        <v>6119</v>
      </c>
      <c r="B6120">
        <f>GS37</f>
        <v>0</v>
      </c>
      <c r="C6120" t="inlineStr">
        <is>
          <t>+LS06</t>
        </is>
      </c>
      <c r="D6120" t="inlineStr">
        <is>
          <t>-285Q1</t>
        </is>
      </c>
      <c r="E6120" t="inlineStr">
        <is>
          <t>DILA-XHI22</t>
        </is>
      </c>
      <c r="F6120" t="inlineStr">
        <is>
          <t>DILA-XHI22</t>
        </is>
      </c>
      <c r="G6120" t="inlineStr">
        <is>
          <t>HILFSKONTAKTBLOCK</t>
        </is>
      </c>
      <c r="H6120" t="inlineStr">
        <is>
          <t>2S 2OE Last+Hilfssch. Cage</t>
        </is>
      </c>
      <c r="I6120">
        <v>438</v>
      </c>
      <c r="J6120">
        <f>GS37/285.5</f>
        <v>0</v>
      </c>
      <c r="K6120" t="inlineStr">
        <is>
          <t>DIL MC25</t>
        </is>
      </c>
      <c r="M6120" t="inlineStr">
        <is>
          <t>-285Q1</t>
        </is>
      </c>
    </row>
    <row r="6121">
      <c r="A6121">
        <v>6120</v>
      </c>
      <c r="B6121">
        <f>GS38</f>
        <v>0</v>
      </c>
      <c r="C6121" t="inlineStr">
        <is>
          <t>+LS05</t>
        </is>
      </c>
      <c r="D6121" t="inlineStr">
        <is>
          <t>-285Q1</t>
        </is>
      </c>
      <c r="E6121" t="inlineStr">
        <is>
          <t>DILMC25-10(RDC24)</t>
        </is>
      </c>
      <c r="F6121" t="inlineStr">
        <is>
          <t>DILA-XHI22</t>
        </is>
      </c>
      <c r="G6121" t="inlineStr">
        <is>
          <t>LASTSCHUETZ</t>
        </is>
      </c>
      <c r="H6121" t="inlineStr">
        <is>
          <t>11kW 1S Federzugkl.</t>
        </is>
      </c>
      <c r="I6121">
        <v>455</v>
      </c>
      <c r="J6121">
        <f>GS38/285.4</f>
        <v>0</v>
      </c>
      <c r="K6121" t="inlineStr">
        <is>
          <t>DIL MC25</t>
        </is>
      </c>
      <c r="M6121" t="inlineStr">
        <is>
          <t>-285Q1</t>
        </is>
      </c>
    </row>
    <row r="6122">
      <c r="A6122">
        <v>6121</v>
      </c>
      <c r="B6122">
        <f>GS38</f>
        <v>0</v>
      </c>
      <c r="C6122" t="inlineStr">
        <is>
          <t>+LS05</t>
        </is>
      </c>
      <c r="D6122" t="inlineStr">
        <is>
          <t>-285Q1</t>
        </is>
      </c>
      <c r="E6122" t="inlineStr">
        <is>
          <t>DILA-XHI22</t>
        </is>
      </c>
      <c r="F6122" t="inlineStr">
        <is>
          <t>DILA-XHI22</t>
        </is>
      </c>
      <c r="G6122" t="inlineStr">
        <is>
          <t>HILFSKONTAKTBLOCK</t>
        </is>
      </c>
      <c r="H6122" t="inlineStr">
        <is>
          <t>2S 2OE Last+Hilfssch. Cage</t>
        </is>
      </c>
      <c r="I6122">
        <v>455</v>
      </c>
      <c r="J6122">
        <f>GS38/285.4</f>
        <v>0</v>
      </c>
      <c r="K6122" t="inlineStr">
        <is>
          <t>DIL MC25</t>
        </is>
      </c>
      <c r="M6122" t="inlineStr">
        <is>
          <t>-285Q1</t>
        </is>
      </c>
    </row>
    <row r="6123">
      <c r="A6123">
        <v>6122</v>
      </c>
      <c r="B6123">
        <f>GS39</f>
        <v>0</v>
      </c>
      <c r="C6123" t="inlineStr">
        <is>
          <t>+LS05</t>
        </is>
      </c>
      <c r="D6123" t="inlineStr">
        <is>
          <t>-285Q1</t>
        </is>
      </c>
      <c r="E6123" t="inlineStr">
        <is>
          <t>DILA-XHI22</t>
        </is>
      </c>
      <c r="F6123" t="inlineStr">
        <is>
          <t>DILA-XHI22</t>
        </is>
      </c>
      <c r="G6123" t="inlineStr">
        <is>
          <t>HILFSKONTAKTBLOCK</t>
        </is>
      </c>
      <c r="H6123" t="inlineStr">
        <is>
          <t>2S 2OE Last+Hilfssch. Cage</t>
        </is>
      </c>
      <c r="I6123">
        <v>456</v>
      </c>
      <c r="J6123">
        <f>GS39/285.4</f>
        <v>0</v>
      </c>
      <c r="K6123" t="inlineStr">
        <is>
          <t>DIL MC25</t>
        </is>
      </c>
      <c r="M6123" t="inlineStr">
        <is>
          <t>-285Q1</t>
        </is>
      </c>
    </row>
    <row r="6124">
      <c r="A6124">
        <v>6123</v>
      </c>
      <c r="B6124">
        <f>GS39</f>
        <v>0</v>
      </c>
      <c r="C6124" t="inlineStr">
        <is>
          <t>+LS05</t>
        </is>
      </c>
      <c r="D6124" t="inlineStr">
        <is>
          <t>-285Q1</t>
        </is>
      </c>
      <c r="E6124" t="inlineStr">
        <is>
          <t>DILMC25-10(RDC24)</t>
        </is>
      </c>
      <c r="F6124" t="inlineStr">
        <is>
          <t>DILA-XHI22</t>
        </is>
      </c>
      <c r="G6124" t="inlineStr">
        <is>
          <t>LASTSCHUETZ</t>
        </is>
      </c>
      <c r="H6124" t="inlineStr">
        <is>
          <t>11kW 1S Federzugkl.</t>
        </is>
      </c>
      <c r="I6124">
        <v>456</v>
      </c>
      <c r="J6124">
        <f>GS39/285.4</f>
        <v>0</v>
      </c>
      <c r="K6124" t="inlineStr">
        <is>
          <t>DIL MC25</t>
        </is>
      </c>
      <c r="M6124" t="inlineStr">
        <is>
          <t>-285Q1</t>
        </is>
      </c>
    </row>
    <row r="6125">
      <c r="A6125">
        <v>6124</v>
      </c>
      <c r="B6125">
        <f>GS52</f>
        <v>0</v>
      </c>
      <c r="C6125" t="inlineStr">
        <is>
          <t>+LS04</t>
        </is>
      </c>
      <c r="D6125" t="inlineStr">
        <is>
          <t>-285Q1</t>
        </is>
      </c>
      <c r="E6125" t="inlineStr">
        <is>
          <t>DILMC25-10(RDC24)</t>
        </is>
      </c>
      <c r="F6125" t="inlineStr">
        <is>
          <t>DILA-XHI22</t>
        </is>
      </c>
      <c r="G6125" t="inlineStr">
        <is>
          <t>LASTSCHUETZ</t>
        </is>
      </c>
      <c r="H6125" t="inlineStr">
        <is>
          <t>11kW 1S Federzugkl.</t>
        </is>
      </c>
      <c r="I6125">
        <v>1740</v>
      </c>
      <c r="J6125">
        <f>GS52/285.6</f>
        <v>0</v>
      </c>
      <c r="K6125" t="inlineStr">
        <is>
          <t>DIL MC25</t>
        </is>
      </c>
      <c r="M6125" t="inlineStr">
        <is>
          <t>-285Q1</t>
        </is>
      </c>
    </row>
    <row r="6126">
      <c r="A6126">
        <v>6125</v>
      </c>
      <c r="B6126">
        <f>GS52</f>
        <v>0</v>
      </c>
      <c r="C6126" t="inlineStr">
        <is>
          <t>+LS04</t>
        </is>
      </c>
      <c r="D6126" t="inlineStr">
        <is>
          <t>-285Q1</t>
        </is>
      </c>
      <c r="E6126" t="inlineStr">
        <is>
          <t>DILA-XHI22</t>
        </is>
      </c>
      <c r="F6126" t="inlineStr">
        <is>
          <t>DILA-XHI22</t>
        </is>
      </c>
      <c r="G6126" t="inlineStr">
        <is>
          <t>HILFSKONTAKTBLOCK</t>
        </is>
      </c>
      <c r="H6126" t="inlineStr">
        <is>
          <t>2S 2OE Last+Hilfssch. Cage</t>
        </is>
      </c>
      <c r="I6126">
        <v>1740</v>
      </c>
      <c r="J6126">
        <f>GS52/285.6</f>
        <v>0</v>
      </c>
      <c r="K6126" t="inlineStr">
        <is>
          <t>DIL MC25</t>
        </is>
      </c>
      <c r="M6126" t="inlineStr">
        <is>
          <t>-285Q1</t>
        </is>
      </c>
    </row>
    <row r="6127">
      <c r="A6127">
        <v>6126</v>
      </c>
      <c r="B6127">
        <f>GS69</f>
        <v>0</v>
      </c>
      <c r="C6127" t="inlineStr">
        <is>
          <t>+LS06</t>
        </is>
      </c>
      <c r="D6127" t="inlineStr">
        <is>
          <t>-285Q1</t>
        </is>
      </c>
      <c r="E6127" t="inlineStr">
        <is>
          <t>DILM150-XHIC22</t>
        </is>
      </c>
      <c r="F6127" t="inlineStr">
        <is>
          <t>DILM150-XHIC22</t>
        </is>
      </c>
      <c r="G6127" t="inlineStr">
        <is>
          <t>HILFSKONTAKTBLOCK</t>
        </is>
      </c>
      <c r="H6127" t="inlineStr">
        <is>
          <t>2S 2OE ab DILMC40</t>
        </is>
      </c>
      <c r="I6127">
        <v>553</v>
      </c>
      <c r="J6127">
        <f>GS69/285.7</f>
        <v>0</v>
      </c>
      <c r="K6127" t="inlineStr">
        <is>
          <t>DIL MC40</t>
        </is>
      </c>
      <c r="M6127" t="inlineStr">
        <is>
          <t>-285Q1</t>
        </is>
      </c>
    </row>
    <row r="6128">
      <c r="A6128">
        <v>6127</v>
      </c>
      <c r="B6128">
        <f>GS69</f>
        <v>0</v>
      </c>
      <c r="C6128" t="inlineStr">
        <is>
          <t>+LS06</t>
        </is>
      </c>
      <c r="D6128" t="inlineStr">
        <is>
          <t>-285Q1</t>
        </is>
      </c>
      <c r="E6128" t="inlineStr">
        <is>
          <t>DILMC40(RDC24)</t>
        </is>
      </c>
      <c r="F6128" t="inlineStr">
        <is>
          <t>DILM150-XHIC22</t>
        </is>
      </c>
      <c r="G6128" t="inlineStr">
        <is>
          <t>LASTSCHUETZ</t>
        </is>
      </c>
      <c r="H6128" t="inlineStr">
        <is>
          <t>18,5kW Federzugkl.</t>
        </is>
      </c>
      <c r="I6128">
        <v>553</v>
      </c>
      <c r="J6128">
        <f>GS69/285.7</f>
        <v>0</v>
      </c>
      <c r="K6128" t="inlineStr">
        <is>
          <t>DIL MC40</t>
        </is>
      </c>
      <c r="M6128" t="inlineStr">
        <is>
          <t>-285Q1</t>
        </is>
      </c>
    </row>
    <row r="6129">
      <c r="A6129">
        <v>6128</v>
      </c>
      <c r="B6129">
        <f>GS90</f>
        <v>0</v>
      </c>
      <c r="C6129" t="inlineStr">
        <is>
          <t>+LS04</t>
        </is>
      </c>
      <c r="D6129" t="inlineStr">
        <is>
          <t>-285Q1</t>
        </is>
      </c>
      <c r="E6129" t="inlineStr">
        <is>
          <t>DILMC25-10(RDC24)</t>
        </is>
      </c>
      <c r="F6129" t="inlineStr">
        <is>
          <t>DILA-XHI22</t>
        </is>
      </c>
      <c r="G6129" t="inlineStr">
        <is>
          <t>LASTSCHUETZ</t>
        </is>
      </c>
      <c r="H6129" t="inlineStr">
        <is>
          <t>11kW 1S Federzugkl.</t>
        </is>
      </c>
      <c r="I6129">
        <v>956</v>
      </c>
      <c r="J6129">
        <f>GS90/285.4</f>
        <v>0</v>
      </c>
      <c r="K6129" t="inlineStr">
        <is>
          <t>DIL MC25</t>
        </is>
      </c>
      <c r="M6129" t="inlineStr">
        <is>
          <t>-285Q1</t>
        </is>
      </c>
    </row>
    <row r="6130">
      <c r="A6130">
        <v>6129</v>
      </c>
      <c r="B6130">
        <f>GS90</f>
        <v>0</v>
      </c>
      <c r="C6130" t="inlineStr">
        <is>
          <t>+LS04</t>
        </is>
      </c>
      <c r="D6130" t="inlineStr">
        <is>
          <t>-285Q1</t>
        </is>
      </c>
      <c r="E6130" t="inlineStr">
        <is>
          <t>DILA-XHI22</t>
        </is>
      </c>
      <c r="F6130" t="inlineStr">
        <is>
          <t>DILA-XHI22</t>
        </is>
      </c>
      <c r="G6130" t="inlineStr">
        <is>
          <t>HILFSKONTAKTBLOCK</t>
        </is>
      </c>
      <c r="H6130" t="inlineStr">
        <is>
          <t>2S 2OE Last+Hilfssch. Cage</t>
        </is>
      </c>
      <c r="I6130">
        <v>956</v>
      </c>
      <c r="J6130">
        <f>GS90/285.4</f>
        <v>0</v>
      </c>
      <c r="K6130" t="inlineStr">
        <is>
          <t>DIL MC25</t>
        </is>
      </c>
      <c r="M6130" t="inlineStr">
        <is>
          <t>-285Q1</t>
        </is>
      </c>
    </row>
    <row r="6131">
      <c r="A6131">
        <v>6130</v>
      </c>
      <c r="B6131">
        <f>GS91</f>
        <v>0</v>
      </c>
      <c r="C6131" t="inlineStr">
        <is>
          <t>+LS04</t>
        </is>
      </c>
      <c r="D6131" t="inlineStr">
        <is>
          <t>-285Q1</t>
        </is>
      </c>
      <c r="E6131" t="inlineStr">
        <is>
          <t>DILA-XHI22</t>
        </is>
      </c>
      <c r="F6131" t="inlineStr">
        <is>
          <t>DILA-XHI22</t>
        </is>
      </c>
      <c r="G6131" t="inlineStr">
        <is>
          <t>HILFSKONTAKTBLOCK</t>
        </is>
      </c>
      <c r="H6131" t="inlineStr">
        <is>
          <t>2S 2OE Last+Hilfssch. Cage</t>
        </is>
      </c>
      <c r="I6131">
        <v>433</v>
      </c>
      <c r="J6131">
        <f>GS91/285.4</f>
        <v>0</v>
      </c>
      <c r="K6131" t="inlineStr">
        <is>
          <t>DIL MC25</t>
        </is>
      </c>
      <c r="M6131" t="inlineStr">
        <is>
          <t>-285Q1</t>
        </is>
      </c>
    </row>
    <row r="6132">
      <c r="A6132">
        <v>6131</v>
      </c>
      <c r="B6132">
        <f>GS91</f>
        <v>0</v>
      </c>
      <c r="C6132" t="inlineStr">
        <is>
          <t>+LS04</t>
        </is>
      </c>
      <c r="D6132" t="inlineStr">
        <is>
          <t>-285Q1</t>
        </is>
      </c>
      <c r="E6132" t="inlineStr">
        <is>
          <t>DILMC25-10(RDC24)</t>
        </is>
      </c>
      <c r="F6132" t="inlineStr">
        <is>
          <t>DILA-XHI22</t>
        </is>
      </c>
      <c r="G6132" t="inlineStr">
        <is>
          <t>LASTSCHUETZ</t>
        </is>
      </c>
      <c r="H6132" t="inlineStr">
        <is>
          <t>11kW 1S Federzugkl.</t>
        </is>
      </c>
      <c r="I6132">
        <v>433</v>
      </c>
      <c r="J6132">
        <f>GS91/285.4</f>
        <v>0</v>
      </c>
      <c r="K6132" t="inlineStr">
        <is>
          <t>DIL MC25</t>
        </is>
      </c>
      <c r="M6132" t="inlineStr">
        <is>
          <t>-285Q1</t>
        </is>
      </c>
    </row>
    <row r="6133">
      <c r="A6133">
        <v>6132</v>
      </c>
      <c r="B6133">
        <f>GS93</f>
        <v>0</v>
      </c>
      <c r="C6133" t="inlineStr">
        <is>
          <t>+LS04</t>
        </is>
      </c>
      <c r="D6133" t="inlineStr">
        <is>
          <t>-285Q1</t>
        </is>
      </c>
      <c r="E6133" t="inlineStr">
        <is>
          <t>DILMC25-10(RDC24)</t>
        </is>
      </c>
      <c r="F6133" t="inlineStr">
        <is>
          <t>DILA-XHI22</t>
        </is>
      </c>
      <c r="G6133" t="inlineStr">
        <is>
          <t>LASTSCHUETZ</t>
        </is>
      </c>
      <c r="H6133" t="inlineStr">
        <is>
          <t>11kW 1S Federzugkl.</t>
        </is>
      </c>
      <c r="I6133">
        <v>839</v>
      </c>
      <c r="J6133">
        <f>GS93/285.4</f>
        <v>0</v>
      </c>
      <c r="K6133" t="inlineStr">
        <is>
          <t>DIL MC25</t>
        </is>
      </c>
      <c r="M6133" t="inlineStr">
        <is>
          <t>-285Q1</t>
        </is>
      </c>
    </row>
    <row r="6134">
      <c r="A6134">
        <v>6133</v>
      </c>
      <c r="B6134">
        <f>GS93</f>
        <v>0</v>
      </c>
      <c r="C6134" t="inlineStr">
        <is>
          <t>+LS04</t>
        </is>
      </c>
      <c r="D6134" t="inlineStr">
        <is>
          <t>-285Q1</t>
        </is>
      </c>
      <c r="E6134" t="inlineStr">
        <is>
          <t>DILA-XHI22</t>
        </is>
      </c>
      <c r="F6134" t="inlineStr">
        <is>
          <t>DILA-XHI22</t>
        </is>
      </c>
      <c r="G6134" t="inlineStr">
        <is>
          <t>HILFSKONTAKTBLOCK</t>
        </is>
      </c>
      <c r="H6134" t="inlineStr">
        <is>
          <t>2S 2OE Last+Hilfssch. Cage</t>
        </is>
      </c>
      <c r="I6134">
        <v>839</v>
      </c>
      <c r="J6134">
        <f>GS93/285.4</f>
        <v>0</v>
      </c>
      <c r="K6134" t="inlineStr">
        <is>
          <t>DIL MC25</t>
        </is>
      </c>
      <c r="M6134" t="inlineStr">
        <is>
          <t>-285Q1</t>
        </is>
      </c>
    </row>
    <row r="6135">
      <c r="A6135">
        <v>6134</v>
      </c>
      <c r="B6135">
        <f>GS46</f>
        <v>0</v>
      </c>
      <c r="C6135" t="inlineStr">
        <is>
          <t>+LS04</t>
        </is>
      </c>
      <c r="D6135" t="inlineStr">
        <is>
          <t>-285Q446.1</t>
        </is>
      </c>
      <c r="E6135" t="inlineStr">
        <is>
          <t>DILM-9-10</t>
        </is>
      </c>
      <c r="F6135" t="inlineStr">
        <is>
          <t>#KALK!</t>
        </is>
      </c>
      <c r="G6135" t="inlineStr">
        <is>
          <t>LASTSCHUETZ</t>
        </is>
      </c>
      <c r="H6135" t="inlineStr">
        <is>
          <t>4kW 1S Federzugkl.</t>
        </is>
      </c>
      <c r="I6135">
        <v>772</v>
      </c>
      <c r="J6135">
        <f>GS46/285.6</f>
        <v>0</v>
      </c>
      <c r="M6135" t="inlineStr">
        <is>
          <t>-285Q446.1</t>
        </is>
      </c>
    </row>
    <row r="6136">
      <c r="A6136">
        <v>6135</v>
      </c>
      <c r="B6136">
        <f>GS47</f>
        <v>0</v>
      </c>
      <c r="C6136" t="inlineStr">
        <is>
          <t>+LS04</t>
        </is>
      </c>
      <c r="D6136" t="inlineStr">
        <is>
          <t>-285Q446.1</t>
        </is>
      </c>
      <c r="E6136" t="inlineStr">
        <is>
          <t>DILM-9-10</t>
        </is>
      </c>
      <c r="F6136" t="inlineStr">
        <is>
          <t>#KALK!</t>
        </is>
      </c>
      <c r="G6136" t="inlineStr">
        <is>
          <t>LASTSCHUETZ</t>
        </is>
      </c>
      <c r="H6136" t="inlineStr">
        <is>
          <t>4kW 1S Federzugkl.</t>
        </is>
      </c>
      <c r="I6136">
        <v>772</v>
      </c>
      <c r="J6136">
        <f>GS47/285.6</f>
        <v>0</v>
      </c>
      <c r="M6136" t="inlineStr">
        <is>
          <t>-285Q446.1</t>
        </is>
      </c>
    </row>
    <row r="6137">
      <c r="A6137">
        <v>6136</v>
      </c>
      <c r="B6137">
        <f>GS48</f>
        <v>0</v>
      </c>
      <c r="C6137" t="inlineStr">
        <is>
          <t>+LS04</t>
        </is>
      </c>
      <c r="D6137" t="inlineStr">
        <is>
          <t>-285Q446.1</t>
        </is>
      </c>
      <c r="E6137" t="inlineStr">
        <is>
          <t>DILM-9-10</t>
        </is>
      </c>
      <c r="F6137" t="inlineStr">
        <is>
          <t>#KALK!</t>
        </is>
      </c>
      <c r="G6137" t="inlineStr">
        <is>
          <t>LASTSCHUETZ</t>
        </is>
      </c>
      <c r="H6137" t="inlineStr">
        <is>
          <t>4kW 1S Federzugkl.</t>
        </is>
      </c>
      <c r="I6137">
        <v>417</v>
      </c>
      <c r="J6137">
        <f>GS48/285.6</f>
        <v>0</v>
      </c>
      <c r="M6137" t="inlineStr">
        <is>
          <t>-285Q446.1</t>
        </is>
      </c>
    </row>
    <row r="6138">
      <c r="A6138">
        <v>6137</v>
      </c>
      <c r="B6138">
        <f>GS49</f>
        <v>0</v>
      </c>
      <c r="C6138" t="inlineStr">
        <is>
          <t>+LS04</t>
        </is>
      </c>
      <c r="D6138" t="inlineStr">
        <is>
          <t>-285Q446.1</t>
        </is>
      </c>
      <c r="E6138" t="inlineStr">
        <is>
          <t>DILM-9-10</t>
        </is>
      </c>
      <c r="F6138" t="inlineStr">
        <is>
          <t>#KALK!</t>
        </is>
      </c>
      <c r="G6138" t="inlineStr">
        <is>
          <t>LASTSCHUETZ</t>
        </is>
      </c>
      <c r="H6138" t="inlineStr">
        <is>
          <t>4kW 1S Federzugkl.</t>
        </is>
      </c>
      <c r="I6138">
        <v>416</v>
      </c>
      <c r="J6138">
        <f>GS49/285.6</f>
        <v>0</v>
      </c>
      <c r="M6138" t="inlineStr">
        <is>
          <t>-285Q446.1</t>
        </is>
      </c>
    </row>
    <row r="6139">
      <c r="A6139">
        <v>6138</v>
      </c>
      <c r="B6139">
        <f>GS55</f>
        <v>0</v>
      </c>
      <c r="C6139" t="inlineStr">
        <is>
          <t>+1KK66</t>
        </is>
      </c>
      <c r="D6139" t="inlineStr">
        <is>
          <t>-2863Q2</t>
        </is>
      </c>
      <c r="E6139" t="inlineStr">
        <is>
          <t>DILM-9-10</t>
        </is>
      </c>
      <c r="F6139" t="inlineStr">
        <is>
          <t>#KALK!</t>
        </is>
      </c>
      <c r="G6139" t="inlineStr">
        <is>
          <t>LASTSCHUETZ</t>
        </is>
      </c>
      <c r="H6139" t="inlineStr">
        <is>
          <t>4kW 1S Federzugkl.</t>
        </is>
      </c>
      <c r="I6139">
        <v>2808</v>
      </c>
      <c r="J6139">
        <f>GS55/2863.6</f>
        <v>0</v>
      </c>
      <c r="M6139" t="inlineStr">
        <is>
          <t>-2863Q2</t>
        </is>
      </c>
    </row>
    <row r="6140">
      <c r="A6140">
        <v>6139</v>
      </c>
      <c r="B6140">
        <f>GS01</f>
        <v>0</v>
      </c>
      <c r="C6140" t="inlineStr">
        <is>
          <t>+LS6</t>
        </is>
      </c>
      <c r="D6140" t="inlineStr">
        <is>
          <t>-286K1</t>
        </is>
      </c>
      <c r="E6140" t="inlineStr">
        <is>
          <t>DIL_2AM</t>
        </is>
      </c>
      <c r="F6140" t="inlineStr">
        <is>
          <t>22_DIL-M</t>
        </is>
      </c>
      <c r="G6140" t="inlineStr">
        <is>
          <t>LASTSCHUETZ</t>
        </is>
      </c>
      <c r="H6140" t="inlineStr">
        <is>
          <t>30 kW</t>
        </is>
      </c>
      <c r="I6140">
        <v>449</v>
      </c>
      <c r="J6140">
        <f>GS01/286.2</f>
        <v>0</v>
      </c>
      <c r="K6140" t="inlineStr">
        <is>
          <t>DIL2AM</t>
        </is>
      </c>
      <c r="M6140" t="inlineStr">
        <is>
          <t>-286K1</t>
        </is>
      </c>
    </row>
    <row r="6141">
      <c r="A6141">
        <v>6140</v>
      </c>
      <c r="B6141">
        <f>GS01</f>
        <v>0</v>
      </c>
      <c r="C6141" t="inlineStr">
        <is>
          <t>+LS6</t>
        </is>
      </c>
      <c r="D6141" t="inlineStr">
        <is>
          <t>-286K1</t>
        </is>
      </c>
      <c r="E6141" t="inlineStr">
        <is>
          <t>22_DIL-M</t>
        </is>
      </c>
      <c r="F6141" t="inlineStr">
        <is>
          <t>22_DIL-M</t>
        </is>
      </c>
      <c r="G6141" t="inlineStr">
        <is>
          <t>HILFSKONTAKTBLOCK</t>
        </is>
      </c>
      <c r="H6141" t="inlineStr">
        <is>
          <t>2S 2OE Lastschuetz DIL M</t>
        </is>
      </c>
      <c r="I6141">
        <v>449</v>
      </c>
      <c r="J6141">
        <f>GS01/286.2</f>
        <v>0</v>
      </c>
      <c r="K6141" t="inlineStr">
        <is>
          <t>DIL2AM</t>
        </is>
      </c>
      <c r="M6141" t="inlineStr">
        <is>
          <t>-286K1</t>
        </is>
      </c>
    </row>
    <row r="6142">
      <c r="A6142">
        <v>6141</v>
      </c>
      <c r="B6142">
        <f>GS95</f>
        <v>0</v>
      </c>
      <c r="C6142" t="inlineStr">
        <is>
          <t>+LS18</t>
        </is>
      </c>
      <c r="D6142" t="inlineStr">
        <is>
          <t>-286K1</t>
        </is>
      </c>
      <c r="E6142" t="inlineStr">
        <is>
          <t>DILA-XHIC40</t>
        </is>
      </c>
      <c r="F6142" t="inlineStr">
        <is>
          <t>DILA-XHIC40</t>
        </is>
      </c>
      <c r="G6142" t="inlineStr">
        <is>
          <t>HILFSKONTAKTBLOCK</t>
        </is>
      </c>
      <c r="H6142" t="inlineStr">
        <is>
          <t>4S Last+Hilfssch. Cage</t>
        </is>
      </c>
      <c r="I6142">
        <v>709</v>
      </c>
      <c r="J6142">
        <f>GS95/286.3</f>
        <v>0</v>
      </c>
      <c r="M6142" t="inlineStr">
        <is>
          <t>-286K1</t>
        </is>
      </c>
    </row>
    <row r="6143">
      <c r="A6143">
        <v>6142</v>
      </c>
      <c r="B6143">
        <f>GS95</f>
        <v>0</v>
      </c>
      <c r="C6143" t="inlineStr">
        <is>
          <t>+LS18</t>
        </is>
      </c>
      <c r="D6143" t="inlineStr">
        <is>
          <t>-286K1</t>
        </is>
      </c>
      <c r="E6143" t="inlineStr">
        <is>
          <t>DILM-9-10</t>
        </is>
      </c>
      <c r="F6143" t="inlineStr">
        <is>
          <t>DILA-XHIC40</t>
        </is>
      </c>
      <c r="G6143" t="inlineStr">
        <is>
          <t>LASTSCHUETZ</t>
        </is>
      </c>
      <c r="H6143" t="inlineStr">
        <is>
          <t>4kW 1S Federzugkl.</t>
        </is>
      </c>
      <c r="I6143">
        <v>709</v>
      </c>
      <c r="J6143">
        <f>GS95/286.3</f>
        <v>0</v>
      </c>
      <c r="M6143" t="inlineStr">
        <is>
          <t>-286K1</t>
        </is>
      </c>
    </row>
    <row r="6144">
      <c r="A6144">
        <v>6143</v>
      </c>
      <c r="B6144">
        <f>GS97</f>
        <v>0</v>
      </c>
      <c r="C6144" t="inlineStr">
        <is>
          <t>+LS18</t>
        </is>
      </c>
      <c r="D6144" t="inlineStr">
        <is>
          <t>-286K1</t>
        </is>
      </c>
      <c r="E6144" t="inlineStr">
        <is>
          <t>DILM-9-10</t>
        </is>
      </c>
      <c r="F6144" t="inlineStr">
        <is>
          <t>DILA-XHIC40</t>
        </is>
      </c>
      <c r="G6144" t="inlineStr">
        <is>
          <t>LASTSCHUETZ</t>
        </is>
      </c>
      <c r="H6144" t="inlineStr">
        <is>
          <t>4kW 1S Federzugkl.</t>
        </is>
      </c>
      <c r="I6144">
        <v>709</v>
      </c>
      <c r="J6144">
        <f>GS97/286.3</f>
        <v>0</v>
      </c>
      <c r="M6144" t="inlineStr">
        <is>
          <t>-286K1</t>
        </is>
      </c>
    </row>
    <row r="6145">
      <c r="A6145">
        <v>6144</v>
      </c>
      <c r="B6145">
        <f>GS97</f>
        <v>0</v>
      </c>
      <c r="C6145" t="inlineStr">
        <is>
          <t>+LS18</t>
        </is>
      </c>
      <c r="D6145" t="inlineStr">
        <is>
          <t>-286K1</t>
        </is>
      </c>
      <c r="E6145" t="inlineStr">
        <is>
          <t>DILA-XHIC40</t>
        </is>
      </c>
      <c r="F6145" t="inlineStr">
        <is>
          <t>DILA-XHIC40</t>
        </is>
      </c>
      <c r="G6145" t="inlineStr">
        <is>
          <t>HILFSKONTAKTBLOCK</t>
        </is>
      </c>
      <c r="H6145" t="inlineStr">
        <is>
          <t>4S Last+Hilfssch. Cage</t>
        </is>
      </c>
      <c r="I6145">
        <v>709</v>
      </c>
      <c r="J6145">
        <f>GS97/286.3</f>
        <v>0</v>
      </c>
      <c r="M6145" t="inlineStr">
        <is>
          <t>-286K1</t>
        </is>
      </c>
    </row>
    <row r="6146">
      <c r="A6146">
        <v>6145</v>
      </c>
      <c r="B6146">
        <f>GS11</f>
        <v>0</v>
      </c>
      <c r="C6146" t="inlineStr">
        <is>
          <t>+LS6</t>
        </is>
      </c>
      <c r="D6146" t="inlineStr">
        <is>
          <t>-286K15.6</t>
        </is>
      </c>
      <c r="E6146" t="inlineStr">
        <is>
          <t>DIL_EM-10-G</t>
        </is>
      </c>
      <c r="F6146" t="inlineStr">
        <is>
          <t>#KALK!</t>
        </is>
      </c>
      <c r="G6146" t="inlineStr">
        <is>
          <t>LASTSCHUETZ</t>
        </is>
      </c>
      <c r="H6146" t="inlineStr">
        <is>
          <t>4kW 1S</t>
        </is>
      </c>
      <c r="I6146">
        <v>397</v>
      </c>
      <c r="J6146">
        <f>GS11/286.6</f>
        <v>0</v>
      </c>
      <c r="M6146" t="inlineStr">
        <is>
          <t>-286K15.6</t>
        </is>
      </c>
    </row>
    <row r="6147">
      <c r="A6147">
        <v>6146</v>
      </c>
      <c r="B6147">
        <f>GS21</f>
        <v>0</v>
      </c>
      <c r="C6147" t="inlineStr">
        <is>
          <t>+LS6</t>
        </is>
      </c>
      <c r="D6147" t="inlineStr">
        <is>
          <t>-286K15.6</t>
        </is>
      </c>
      <c r="E6147" t="inlineStr">
        <is>
          <t>DIL_EM-10-G</t>
        </is>
      </c>
      <c r="F6147" t="inlineStr">
        <is>
          <t>#KALK!</t>
        </is>
      </c>
      <c r="G6147" t="inlineStr">
        <is>
          <t>LASTSCHUETZ</t>
        </is>
      </c>
      <c r="H6147" t="inlineStr">
        <is>
          <t>4kW 1S</t>
        </is>
      </c>
      <c r="I6147">
        <v>374</v>
      </c>
      <c r="J6147">
        <f>GS21/286.6</f>
        <v>0</v>
      </c>
      <c r="M6147" t="inlineStr">
        <is>
          <t>-286K15.6</t>
        </is>
      </c>
    </row>
    <row r="6148">
      <c r="A6148">
        <v>6147</v>
      </c>
      <c r="B6148">
        <f>GS34</f>
        <v>0</v>
      </c>
      <c r="C6148" t="inlineStr">
        <is>
          <t>+LS6</t>
        </is>
      </c>
      <c r="D6148" t="inlineStr">
        <is>
          <t>-286K3604.7</t>
        </is>
      </c>
      <c r="E6148" t="inlineStr">
        <is>
          <t>DIL_EM-10-G</t>
        </is>
      </c>
      <c r="F6148" t="inlineStr">
        <is>
          <t>#KALK!</t>
        </is>
      </c>
      <c r="G6148" t="inlineStr">
        <is>
          <t>LASTSCHUETZ</t>
        </is>
      </c>
      <c r="H6148" t="inlineStr">
        <is>
          <t>4kW 1S</t>
        </is>
      </c>
      <c r="I6148">
        <v>411</v>
      </c>
      <c r="J6148">
        <f>GS34/286.7</f>
        <v>0</v>
      </c>
      <c r="M6148" t="inlineStr">
        <is>
          <t>-286K3604.7</t>
        </is>
      </c>
    </row>
    <row r="6149">
      <c r="A6149">
        <v>6148</v>
      </c>
      <c r="B6149">
        <f>GS02</f>
        <v>0</v>
      </c>
      <c r="C6149" t="inlineStr">
        <is>
          <t>+LS5</t>
        </is>
      </c>
      <c r="D6149" t="inlineStr">
        <is>
          <t>-286K50.3</t>
        </is>
      </c>
      <c r="E6149" t="inlineStr">
        <is>
          <t>DIL_EM-10-G</t>
        </is>
      </c>
      <c r="F6149" t="inlineStr">
        <is>
          <t>#KALK!</t>
        </is>
      </c>
      <c r="G6149" t="inlineStr">
        <is>
          <t>LASTSCHUETZ</t>
        </is>
      </c>
      <c r="H6149" t="inlineStr">
        <is>
          <t>4kW 1S</t>
        </is>
      </c>
      <c r="I6149">
        <v>692</v>
      </c>
      <c r="J6149">
        <f>GS02/286.7</f>
        <v>0</v>
      </c>
      <c r="M6149" t="inlineStr">
        <is>
          <t>-286K50.3</t>
        </is>
      </c>
    </row>
    <row r="6150">
      <c r="A6150">
        <v>6149</v>
      </c>
      <c r="B6150">
        <f>GS11</f>
        <v>0</v>
      </c>
      <c r="C6150" t="inlineStr">
        <is>
          <t>+LS6</t>
        </is>
      </c>
      <c r="D6150" t="inlineStr">
        <is>
          <t>-286K74.6</t>
        </is>
      </c>
      <c r="E6150" t="inlineStr">
        <is>
          <t>DIL_EM-10-G</t>
        </is>
      </c>
      <c r="F6150" t="inlineStr">
        <is>
          <t>#KALK!</t>
        </is>
      </c>
      <c r="G6150" t="inlineStr">
        <is>
          <t>LASTSCHUETZ</t>
        </is>
      </c>
      <c r="H6150" t="inlineStr">
        <is>
          <t>4kW 1S</t>
        </is>
      </c>
      <c r="I6150">
        <v>397</v>
      </c>
      <c r="J6150">
        <f>GS11/286.6</f>
        <v>0</v>
      </c>
      <c r="M6150" t="inlineStr">
        <is>
          <t>-286K74.6</t>
        </is>
      </c>
    </row>
    <row r="6151">
      <c r="A6151">
        <v>6150</v>
      </c>
      <c r="B6151">
        <f>GS21</f>
        <v>0</v>
      </c>
      <c r="C6151" t="inlineStr">
        <is>
          <t>+LS6</t>
        </is>
      </c>
      <c r="D6151" t="inlineStr">
        <is>
          <t>-286K74.6</t>
        </is>
      </c>
      <c r="E6151" t="inlineStr">
        <is>
          <t>DIL_EM-10-G</t>
        </is>
      </c>
      <c r="F6151" t="inlineStr">
        <is>
          <t>#KALK!</t>
        </is>
      </c>
      <c r="G6151" t="inlineStr">
        <is>
          <t>LASTSCHUETZ</t>
        </is>
      </c>
      <c r="H6151" t="inlineStr">
        <is>
          <t>4kW 1S</t>
        </is>
      </c>
      <c r="I6151">
        <v>374</v>
      </c>
      <c r="J6151">
        <f>GS21/286.6</f>
        <v>0</v>
      </c>
      <c r="M6151" t="inlineStr">
        <is>
          <t>-286K74.6</t>
        </is>
      </c>
    </row>
    <row r="6152">
      <c r="A6152">
        <v>6151</v>
      </c>
      <c r="B6152">
        <f>GS79</f>
        <v>0</v>
      </c>
      <c r="C6152" t="inlineStr">
        <is>
          <t>+LS[l1]</t>
        </is>
      </c>
      <c r="D6152" t="inlineStr">
        <is>
          <t>-286Q[a+210].5</t>
        </is>
      </c>
      <c r="E6152" t="inlineStr">
        <is>
          <t>DILM-9-10</t>
        </is>
      </c>
      <c r="F6152" t="inlineStr">
        <is>
          <t>#KALK!</t>
        </is>
      </c>
      <c r="G6152" t="inlineStr">
        <is>
          <t>LASTSCHUETZ</t>
        </is>
      </c>
      <c r="H6152" t="inlineStr">
        <is>
          <t>4kW 1S Federzugkl.</t>
        </is>
      </c>
      <c r="I6152">
        <v>187</v>
      </c>
      <c r="J6152">
        <f>GS79/286.6</f>
        <v>0</v>
      </c>
      <c r="M6152" t="inlineStr">
        <is>
          <t>-286Q[a+210].5</t>
        </is>
      </c>
    </row>
    <row r="6153">
      <c r="A6153">
        <v>6152</v>
      </c>
      <c r="B6153">
        <f>GS79</f>
        <v>0</v>
      </c>
      <c r="C6153" t="inlineStr">
        <is>
          <t>+LS[l1]</t>
        </is>
      </c>
      <c r="D6153" t="inlineStr">
        <is>
          <t>-286Q[a+210].5</t>
        </is>
      </c>
      <c r="E6153" t="inlineStr">
        <is>
          <t>DILM-9-10</t>
        </is>
      </c>
      <c r="F6153" t="inlineStr">
        <is>
          <t>#KALK!</t>
        </is>
      </c>
      <c r="G6153" t="inlineStr">
        <is>
          <t>LASTSCHUETZ</t>
        </is>
      </c>
      <c r="H6153" t="inlineStr">
        <is>
          <t>4kW 1S Federzugkl.</t>
        </is>
      </c>
      <c r="I6153">
        <v>170</v>
      </c>
      <c r="J6153">
        <f>GS79/286.6</f>
        <v>0</v>
      </c>
      <c r="M6153" t="inlineStr">
        <is>
          <t>-286Q[a+210].5</t>
        </is>
      </c>
    </row>
    <row r="6154">
      <c r="A6154">
        <v>6153</v>
      </c>
      <c r="B6154">
        <f>GS79</f>
        <v>0</v>
      </c>
      <c r="C6154" t="inlineStr">
        <is>
          <t>+LS[l1]</t>
        </is>
      </c>
      <c r="D6154" t="inlineStr">
        <is>
          <t>-286Q[a+210].5</t>
        </is>
      </c>
      <c r="E6154" t="inlineStr">
        <is>
          <t>DILM-9-10</t>
        </is>
      </c>
      <c r="F6154" t="inlineStr">
        <is>
          <t>#KALK!</t>
        </is>
      </c>
      <c r="G6154" t="inlineStr">
        <is>
          <t>LASTSCHUETZ</t>
        </is>
      </c>
      <c r="H6154" t="inlineStr">
        <is>
          <t>4kW 1S Federzugkl.</t>
        </is>
      </c>
      <c r="I6154">
        <v>190</v>
      </c>
      <c r="J6154">
        <f>GS79/286.6</f>
        <v>0</v>
      </c>
      <c r="M6154" t="inlineStr">
        <is>
          <t>-286Q[a+210].5</t>
        </is>
      </c>
    </row>
    <row r="6155">
      <c r="A6155">
        <v>6154</v>
      </c>
      <c r="B6155">
        <f>GS90</f>
        <v>0</v>
      </c>
      <c r="C6155" t="inlineStr">
        <is>
          <t>+LS04</t>
        </is>
      </c>
      <c r="D6155" t="inlineStr">
        <is>
          <t>-286Q179.5</t>
        </is>
      </c>
      <c r="E6155" t="inlineStr">
        <is>
          <t>DILM-9-10</t>
        </is>
      </c>
      <c r="F6155" t="inlineStr">
        <is>
          <t>DILA-XHI22</t>
        </is>
      </c>
      <c r="G6155" t="inlineStr">
        <is>
          <t>LASTSCHUETZ</t>
        </is>
      </c>
      <c r="H6155" t="inlineStr">
        <is>
          <t>4kW 1S Federzugkl.</t>
        </is>
      </c>
      <c r="I6155">
        <v>955</v>
      </c>
      <c r="J6155">
        <f>GS90/286.5</f>
        <v>0</v>
      </c>
      <c r="M6155" t="inlineStr">
        <is>
          <t>-286Q179.5</t>
        </is>
      </c>
    </row>
    <row r="6156">
      <c r="A6156">
        <v>6155</v>
      </c>
      <c r="B6156">
        <f>GS90</f>
        <v>0</v>
      </c>
      <c r="C6156" t="inlineStr">
        <is>
          <t>+LS04</t>
        </is>
      </c>
      <c r="D6156" t="inlineStr">
        <is>
          <t>-286Q179.5</t>
        </is>
      </c>
      <c r="E6156" t="inlineStr">
        <is>
          <t>DILA-XHI22</t>
        </is>
      </c>
      <c r="F6156" t="inlineStr">
        <is>
          <t>DILA-XHI22</t>
        </is>
      </c>
      <c r="G6156" t="inlineStr">
        <is>
          <t>HILFSKONTAKTBLOCK</t>
        </is>
      </c>
      <c r="H6156" t="inlineStr">
        <is>
          <t>2S 2OE Last+Hilfssch. Cage</t>
        </is>
      </c>
      <c r="I6156">
        <v>955</v>
      </c>
      <c r="J6156">
        <f>GS90/286.5</f>
        <v>0</v>
      </c>
      <c r="M6156" t="inlineStr">
        <is>
          <t>-286Q179.5</t>
        </is>
      </c>
    </row>
    <row r="6157">
      <c r="A6157">
        <v>6156</v>
      </c>
      <c r="B6157">
        <f>GS90</f>
        <v>0</v>
      </c>
      <c r="C6157" t="inlineStr">
        <is>
          <t>+LS04</t>
        </is>
      </c>
      <c r="D6157" t="inlineStr">
        <is>
          <t>-286Q179.6</t>
        </is>
      </c>
      <c r="E6157" t="inlineStr">
        <is>
          <t>DILM-9-10</t>
        </is>
      </c>
      <c r="F6157" t="inlineStr">
        <is>
          <t>DILA-XHI22</t>
        </is>
      </c>
      <c r="G6157" t="inlineStr">
        <is>
          <t>LASTSCHUETZ</t>
        </is>
      </c>
      <c r="H6157" t="inlineStr">
        <is>
          <t>4kW 1S Federzugkl.</t>
        </is>
      </c>
      <c r="I6157">
        <v>955</v>
      </c>
      <c r="J6157">
        <f>GS90/286.6</f>
        <v>0</v>
      </c>
      <c r="M6157" t="inlineStr">
        <is>
          <t>-286Q179.6</t>
        </is>
      </c>
    </row>
    <row r="6158">
      <c r="A6158">
        <v>6157</v>
      </c>
      <c r="B6158">
        <f>GS90</f>
        <v>0</v>
      </c>
      <c r="C6158" t="inlineStr">
        <is>
          <t>+LS04</t>
        </is>
      </c>
      <c r="D6158" t="inlineStr">
        <is>
          <t>-286Q179.6</t>
        </is>
      </c>
      <c r="E6158" t="inlineStr">
        <is>
          <t>DILA-XHI22</t>
        </is>
      </c>
      <c r="F6158" t="inlineStr">
        <is>
          <t>DILA-XHI22</t>
        </is>
      </c>
      <c r="G6158" t="inlineStr">
        <is>
          <t>HILFSKONTAKTBLOCK</t>
        </is>
      </c>
      <c r="H6158" t="inlineStr">
        <is>
          <t>2S 2OE Last+Hilfssch. Cage</t>
        </is>
      </c>
      <c r="I6158">
        <v>955</v>
      </c>
      <c r="J6158">
        <f>GS90/286.6</f>
        <v>0</v>
      </c>
      <c r="M6158" t="inlineStr">
        <is>
          <t>-286Q179.6</t>
        </is>
      </c>
    </row>
    <row r="6159">
      <c r="A6159">
        <v>6158</v>
      </c>
      <c r="B6159">
        <f>GS93</f>
        <v>0</v>
      </c>
      <c r="C6159" t="inlineStr">
        <is>
          <t>+LS04</t>
        </is>
      </c>
      <c r="D6159" t="inlineStr">
        <is>
          <t>-286Q186.1</t>
        </is>
      </c>
      <c r="E6159" t="inlineStr">
        <is>
          <t>DILM-9-10</t>
        </is>
      </c>
      <c r="F6159" t="inlineStr">
        <is>
          <t>#KALK!</t>
        </is>
      </c>
      <c r="G6159" t="inlineStr">
        <is>
          <t>LASTSCHUETZ</t>
        </is>
      </c>
      <c r="H6159" t="inlineStr">
        <is>
          <t>4kW 1S Federzugkl.</t>
        </is>
      </c>
      <c r="I6159">
        <v>840</v>
      </c>
      <c r="J6159">
        <f>GS93/286.5</f>
        <v>0</v>
      </c>
      <c r="M6159" t="inlineStr">
        <is>
          <t>-286Q186.1</t>
        </is>
      </c>
    </row>
    <row r="6160">
      <c r="A6160">
        <v>6159</v>
      </c>
      <c r="B6160">
        <f>GS46</f>
        <v>0</v>
      </c>
      <c r="C6160" t="inlineStr">
        <is>
          <t>+LS04</t>
        </is>
      </c>
      <c r="D6160" t="inlineStr">
        <is>
          <t>-286Q446.2</t>
        </is>
      </c>
      <c r="E6160" t="inlineStr">
        <is>
          <t>DILM-9-01</t>
        </is>
      </c>
      <c r="F6160" t="inlineStr">
        <is>
          <t>DILA-XHI22</t>
        </is>
      </c>
      <c r="G6160" t="inlineStr">
        <is>
          <t>LASTSCHUETZ</t>
        </is>
      </c>
      <c r="H6160" t="inlineStr">
        <is>
          <t>4kW 1Oe Federzugkl.</t>
        </is>
      </c>
      <c r="I6160">
        <v>771</v>
      </c>
      <c r="J6160">
        <f>GS46/286.5</f>
        <v>0</v>
      </c>
      <c r="M6160" t="inlineStr">
        <is>
          <t>-286Q446.2</t>
        </is>
      </c>
    </row>
    <row r="6161">
      <c r="A6161">
        <v>6160</v>
      </c>
      <c r="B6161">
        <f>GS46</f>
        <v>0</v>
      </c>
      <c r="C6161" t="inlineStr">
        <is>
          <t>+LS04</t>
        </is>
      </c>
      <c r="D6161" t="inlineStr">
        <is>
          <t>-286Q446.2</t>
        </is>
      </c>
      <c r="E6161" t="inlineStr">
        <is>
          <t>DILA-XHI22</t>
        </is>
      </c>
      <c r="F6161" t="inlineStr">
        <is>
          <t>DILA-XHI22</t>
        </is>
      </c>
      <c r="G6161" t="inlineStr">
        <is>
          <t>HILFSKONTAKTBLOCK</t>
        </is>
      </c>
      <c r="H6161" t="inlineStr">
        <is>
          <t>2S 2OE Last+Hilfssch. Cage</t>
        </is>
      </c>
      <c r="I6161">
        <v>771</v>
      </c>
      <c r="J6161">
        <f>GS46/286.5</f>
        <v>0</v>
      </c>
      <c r="M6161" t="inlineStr">
        <is>
          <t>-286Q446.2</t>
        </is>
      </c>
    </row>
    <row r="6162">
      <c r="A6162">
        <v>6161</v>
      </c>
      <c r="B6162">
        <f>GS47</f>
        <v>0</v>
      </c>
      <c r="C6162" t="inlineStr">
        <is>
          <t>+LS04</t>
        </is>
      </c>
      <c r="D6162" t="inlineStr">
        <is>
          <t>-286Q446.2</t>
        </is>
      </c>
      <c r="E6162" t="inlineStr">
        <is>
          <t>DILA-XHI22</t>
        </is>
      </c>
      <c r="F6162" t="inlineStr">
        <is>
          <t>DILA-XHI22</t>
        </is>
      </c>
      <c r="G6162" t="inlineStr">
        <is>
          <t>HILFSKONTAKTBLOCK</t>
        </is>
      </c>
      <c r="H6162" t="inlineStr">
        <is>
          <t>2S 2OE Last+Hilfssch. Cage</t>
        </is>
      </c>
      <c r="I6162">
        <v>771</v>
      </c>
      <c r="J6162">
        <f>GS47/286.5</f>
        <v>0</v>
      </c>
      <c r="M6162" t="inlineStr">
        <is>
          <t>-286Q446.2</t>
        </is>
      </c>
    </row>
    <row r="6163">
      <c r="A6163">
        <v>6162</v>
      </c>
      <c r="B6163">
        <f>GS47</f>
        <v>0</v>
      </c>
      <c r="C6163" t="inlineStr">
        <is>
          <t>+LS04</t>
        </is>
      </c>
      <c r="D6163" t="inlineStr">
        <is>
          <t>-286Q446.2</t>
        </is>
      </c>
      <c r="E6163" t="inlineStr">
        <is>
          <t>DILM-9-01</t>
        </is>
      </c>
      <c r="F6163" t="inlineStr">
        <is>
          <t>DILA-XHI22</t>
        </is>
      </c>
      <c r="G6163" t="inlineStr">
        <is>
          <t>LASTSCHUETZ</t>
        </is>
      </c>
      <c r="H6163" t="inlineStr">
        <is>
          <t>4kW 1Oe Federzugkl.</t>
        </is>
      </c>
      <c r="I6163">
        <v>771</v>
      </c>
      <c r="J6163">
        <f>GS47/286.5</f>
        <v>0</v>
      </c>
      <c r="M6163" t="inlineStr">
        <is>
          <t>-286Q446.2</t>
        </is>
      </c>
    </row>
    <row r="6164">
      <c r="A6164">
        <v>6163</v>
      </c>
      <c r="B6164">
        <f>GS48</f>
        <v>0</v>
      </c>
      <c r="C6164" t="inlineStr">
        <is>
          <t>+LS04</t>
        </is>
      </c>
      <c r="D6164" t="inlineStr">
        <is>
          <t>-286Q446.2</t>
        </is>
      </c>
      <c r="E6164" t="inlineStr">
        <is>
          <t>DILA-XHI22</t>
        </is>
      </c>
      <c r="F6164" t="inlineStr">
        <is>
          <t>DILA-XHI22</t>
        </is>
      </c>
      <c r="G6164" t="inlineStr">
        <is>
          <t>HILFSKONTAKTBLOCK</t>
        </is>
      </c>
      <c r="H6164" t="inlineStr">
        <is>
          <t>2S 2OE Last+Hilfssch. Cage</t>
        </is>
      </c>
      <c r="I6164">
        <v>418</v>
      </c>
      <c r="J6164">
        <f>GS48/286.5</f>
        <v>0</v>
      </c>
      <c r="M6164" t="inlineStr">
        <is>
          <t>-286Q446.2</t>
        </is>
      </c>
    </row>
    <row r="6165">
      <c r="A6165">
        <v>6164</v>
      </c>
      <c r="B6165">
        <f>GS48</f>
        <v>0</v>
      </c>
      <c r="C6165" t="inlineStr">
        <is>
          <t>+LS04</t>
        </is>
      </c>
      <c r="D6165" t="inlineStr">
        <is>
          <t>-286Q446.2</t>
        </is>
      </c>
      <c r="E6165" t="inlineStr">
        <is>
          <t>DILM-9-01</t>
        </is>
      </c>
      <c r="F6165" t="inlineStr">
        <is>
          <t>DILA-XHI22</t>
        </is>
      </c>
      <c r="G6165" t="inlineStr">
        <is>
          <t>LASTSCHUETZ</t>
        </is>
      </c>
      <c r="H6165" t="inlineStr">
        <is>
          <t>4kW 1Oe Federzugkl.</t>
        </is>
      </c>
      <c r="I6165">
        <v>418</v>
      </c>
      <c r="J6165">
        <f>GS48/286.5</f>
        <v>0</v>
      </c>
      <c r="M6165" t="inlineStr">
        <is>
          <t>-286Q446.2</t>
        </is>
      </c>
    </row>
    <row r="6166">
      <c r="A6166">
        <v>6165</v>
      </c>
      <c r="B6166">
        <f>GS49</f>
        <v>0</v>
      </c>
      <c r="C6166" t="inlineStr">
        <is>
          <t>+LS04</t>
        </is>
      </c>
      <c r="D6166" t="inlineStr">
        <is>
          <t>-286Q446.2</t>
        </is>
      </c>
      <c r="E6166" t="inlineStr">
        <is>
          <t>DILM-9-01</t>
        </is>
      </c>
      <c r="F6166" t="inlineStr">
        <is>
          <t>DILA-XHI22</t>
        </is>
      </c>
      <c r="G6166" t="inlineStr">
        <is>
          <t>LASTSCHUETZ</t>
        </is>
      </c>
      <c r="H6166" t="inlineStr">
        <is>
          <t>4kW 1Oe Federzugkl.</t>
        </is>
      </c>
      <c r="I6166">
        <v>417</v>
      </c>
      <c r="J6166">
        <f>GS49/286.5</f>
        <v>0</v>
      </c>
      <c r="M6166" t="inlineStr">
        <is>
          <t>-286Q446.2</t>
        </is>
      </c>
    </row>
    <row r="6167">
      <c r="A6167">
        <v>6166</v>
      </c>
      <c r="B6167">
        <f>GS49</f>
        <v>0</v>
      </c>
      <c r="C6167" t="inlineStr">
        <is>
          <t>+LS04</t>
        </is>
      </c>
      <c r="D6167" t="inlineStr">
        <is>
          <t>-286Q446.2</t>
        </is>
      </c>
      <c r="E6167" t="inlineStr">
        <is>
          <t>DILA-XHI22</t>
        </is>
      </c>
      <c r="F6167" t="inlineStr">
        <is>
          <t>DILA-XHI22</t>
        </is>
      </c>
      <c r="G6167" t="inlineStr">
        <is>
          <t>HILFSKONTAKTBLOCK</t>
        </is>
      </c>
      <c r="H6167" t="inlineStr">
        <is>
          <t>2S 2OE Last+Hilfssch. Cage</t>
        </is>
      </c>
      <c r="I6167">
        <v>417</v>
      </c>
      <c r="J6167">
        <f>GS49/286.5</f>
        <v>0</v>
      </c>
      <c r="M6167" t="inlineStr">
        <is>
          <t>-286Q446.2</t>
        </is>
      </c>
    </row>
    <row r="6168">
      <c r="A6168">
        <v>6167</v>
      </c>
      <c r="B6168">
        <f>GS46</f>
        <v>0</v>
      </c>
      <c r="C6168" t="inlineStr">
        <is>
          <t>+LS04</t>
        </is>
      </c>
      <c r="D6168" t="inlineStr">
        <is>
          <t>-286Q446.3</t>
        </is>
      </c>
      <c r="E6168" t="inlineStr">
        <is>
          <t>DILM-9-01</t>
        </is>
      </c>
      <c r="F6168" t="inlineStr">
        <is>
          <t>DILA-XHI22</t>
        </is>
      </c>
      <c r="G6168" t="inlineStr">
        <is>
          <t>LASTSCHUETZ</t>
        </is>
      </c>
      <c r="H6168" t="inlineStr">
        <is>
          <t>4kW 1Oe Federzugkl.</t>
        </is>
      </c>
      <c r="I6168">
        <v>771</v>
      </c>
      <c r="J6168">
        <f>GS46/286.6</f>
        <v>0</v>
      </c>
      <c r="M6168" t="inlineStr">
        <is>
          <t>-286Q446.3</t>
        </is>
      </c>
    </row>
    <row r="6169">
      <c r="A6169">
        <v>6168</v>
      </c>
      <c r="B6169">
        <f>GS46</f>
        <v>0</v>
      </c>
      <c r="C6169" t="inlineStr">
        <is>
          <t>+LS04</t>
        </is>
      </c>
      <c r="D6169" t="inlineStr">
        <is>
          <t>-286Q446.3</t>
        </is>
      </c>
      <c r="E6169" t="inlineStr">
        <is>
          <t>DILA-XHI22</t>
        </is>
      </c>
      <c r="F6169" t="inlineStr">
        <is>
          <t>DILA-XHI22</t>
        </is>
      </c>
      <c r="G6169" t="inlineStr">
        <is>
          <t>HILFSKONTAKTBLOCK</t>
        </is>
      </c>
      <c r="H6169" t="inlineStr">
        <is>
          <t>2S 2OE Last+Hilfssch. Cage</t>
        </is>
      </c>
      <c r="I6169">
        <v>771</v>
      </c>
      <c r="J6169">
        <f>GS46/286.6</f>
        <v>0</v>
      </c>
      <c r="M6169" t="inlineStr">
        <is>
          <t>-286Q446.3</t>
        </is>
      </c>
    </row>
    <row r="6170">
      <c r="A6170">
        <v>6169</v>
      </c>
      <c r="B6170">
        <f>GS47</f>
        <v>0</v>
      </c>
      <c r="C6170" t="inlineStr">
        <is>
          <t>+LS04</t>
        </is>
      </c>
      <c r="D6170" t="inlineStr">
        <is>
          <t>-286Q446.3</t>
        </is>
      </c>
      <c r="E6170" t="inlineStr">
        <is>
          <t>DILA-XHI22</t>
        </is>
      </c>
      <c r="F6170" t="inlineStr">
        <is>
          <t>DILA-XHI22</t>
        </is>
      </c>
      <c r="G6170" t="inlineStr">
        <is>
          <t>HILFSKONTAKTBLOCK</t>
        </is>
      </c>
      <c r="H6170" t="inlineStr">
        <is>
          <t>2S 2OE Last+Hilfssch. Cage</t>
        </is>
      </c>
      <c r="I6170">
        <v>771</v>
      </c>
      <c r="J6170">
        <f>GS47/286.6</f>
        <v>0</v>
      </c>
      <c r="M6170" t="inlineStr">
        <is>
          <t>-286Q446.3</t>
        </is>
      </c>
    </row>
    <row r="6171">
      <c r="A6171">
        <v>6170</v>
      </c>
      <c r="B6171">
        <f>GS47</f>
        <v>0</v>
      </c>
      <c r="C6171" t="inlineStr">
        <is>
          <t>+LS04</t>
        </is>
      </c>
      <c r="D6171" t="inlineStr">
        <is>
          <t>-286Q446.3</t>
        </is>
      </c>
      <c r="E6171" t="inlineStr">
        <is>
          <t>DILM-9-01</t>
        </is>
      </c>
      <c r="F6171" t="inlineStr">
        <is>
          <t>DILA-XHI22</t>
        </is>
      </c>
      <c r="G6171" t="inlineStr">
        <is>
          <t>LASTSCHUETZ</t>
        </is>
      </c>
      <c r="H6171" t="inlineStr">
        <is>
          <t>4kW 1Oe Federzugkl.</t>
        </is>
      </c>
      <c r="I6171">
        <v>771</v>
      </c>
      <c r="J6171">
        <f>GS47/286.6</f>
        <v>0</v>
      </c>
      <c r="M6171" t="inlineStr">
        <is>
          <t>-286Q446.3</t>
        </is>
      </c>
    </row>
    <row r="6172">
      <c r="A6172">
        <v>6171</v>
      </c>
      <c r="B6172">
        <f>GS48</f>
        <v>0</v>
      </c>
      <c r="C6172" t="inlineStr">
        <is>
          <t>+LS04</t>
        </is>
      </c>
      <c r="D6172" t="inlineStr">
        <is>
          <t>-286Q446.3</t>
        </is>
      </c>
      <c r="E6172" t="inlineStr">
        <is>
          <t>DILA-XHI22</t>
        </is>
      </c>
      <c r="F6172" t="inlineStr">
        <is>
          <t>DILA-XHI22</t>
        </is>
      </c>
      <c r="G6172" t="inlineStr">
        <is>
          <t>HILFSKONTAKTBLOCK</t>
        </is>
      </c>
      <c r="H6172" t="inlineStr">
        <is>
          <t>2S 2OE Last+Hilfssch. Cage</t>
        </is>
      </c>
      <c r="I6172">
        <v>418</v>
      </c>
      <c r="J6172">
        <f>GS48/286.6</f>
        <v>0</v>
      </c>
      <c r="M6172" t="inlineStr">
        <is>
          <t>-286Q446.3</t>
        </is>
      </c>
    </row>
    <row r="6173">
      <c r="A6173">
        <v>6172</v>
      </c>
      <c r="B6173">
        <f>GS48</f>
        <v>0</v>
      </c>
      <c r="C6173" t="inlineStr">
        <is>
          <t>+LS04</t>
        </is>
      </c>
      <c r="D6173" t="inlineStr">
        <is>
          <t>-286Q446.3</t>
        </is>
      </c>
      <c r="E6173" t="inlineStr">
        <is>
          <t>DILM-9-01</t>
        </is>
      </c>
      <c r="F6173" t="inlineStr">
        <is>
          <t>DILA-XHI22</t>
        </is>
      </c>
      <c r="G6173" t="inlineStr">
        <is>
          <t>LASTSCHUETZ</t>
        </is>
      </c>
      <c r="H6173" t="inlineStr">
        <is>
          <t>4kW 1Oe Federzugkl.</t>
        </is>
      </c>
      <c r="I6173">
        <v>418</v>
      </c>
      <c r="J6173">
        <f>GS48/286.6</f>
        <v>0</v>
      </c>
      <c r="M6173" t="inlineStr">
        <is>
          <t>-286Q446.3</t>
        </is>
      </c>
    </row>
    <row r="6174">
      <c r="A6174">
        <v>6173</v>
      </c>
      <c r="B6174">
        <f>GS49</f>
        <v>0</v>
      </c>
      <c r="C6174" t="inlineStr">
        <is>
          <t>+LS04</t>
        </is>
      </c>
      <c r="D6174" t="inlineStr">
        <is>
          <t>-286Q446.3</t>
        </is>
      </c>
      <c r="E6174" t="inlineStr">
        <is>
          <t>DILM-9-01</t>
        </is>
      </c>
      <c r="F6174" t="inlineStr">
        <is>
          <t>DILA-XHI22</t>
        </is>
      </c>
      <c r="G6174" t="inlineStr">
        <is>
          <t>LASTSCHUETZ</t>
        </is>
      </c>
      <c r="H6174" t="inlineStr">
        <is>
          <t>4kW 1Oe Federzugkl.</t>
        </is>
      </c>
      <c r="I6174">
        <v>417</v>
      </c>
      <c r="J6174">
        <f>GS49/286.6</f>
        <v>0</v>
      </c>
      <c r="M6174" t="inlineStr">
        <is>
          <t>-286Q446.3</t>
        </is>
      </c>
    </row>
    <row r="6175">
      <c r="A6175">
        <v>6174</v>
      </c>
      <c r="B6175">
        <f>GS49</f>
        <v>0</v>
      </c>
      <c r="C6175" t="inlineStr">
        <is>
          <t>+LS04</t>
        </is>
      </c>
      <c r="D6175" t="inlineStr">
        <is>
          <t>-286Q446.3</t>
        </is>
      </c>
      <c r="E6175" t="inlineStr">
        <is>
          <t>DILA-XHI22</t>
        </is>
      </c>
      <c r="F6175" t="inlineStr">
        <is>
          <t>DILA-XHI22</t>
        </is>
      </c>
      <c r="G6175" t="inlineStr">
        <is>
          <t>HILFSKONTAKTBLOCK</t>
        </is>
      </c>
      <c r="H6175" t="inlineStr">
        <is>
          <t>2S 2OE Last+Hilfssch. Cage</t>
        </is>
      </c>
      <c r="I6175">
        <v>417</v>
      </c>
      <c r="J6175">
        <f>GS49/286.6</f>
        <v>0</v>
      </c>
      <c r="M6175" t="inlineStr">
        <is>
          <t>-286Q446.3</t>
        </is>
      </c>
    </row>
    <row r="6176">
      <c r="A6176">
        <v>6175</v>
      </c>
      <c r="B6176">
        <f>GC03</f>
        <v>0</v>
      </c>
      <c r="C6176" t="inlineStr">
        <is>
          <t>+LS7</t>
        </is>
      </c>
      <c r="D6176" t="inlineStr">
        <is>
          <t>-287K1</t>
        </is>
      </c>
      <c r="E6176" t="inlineStr">
        <is>
          <t>22_DIL-M</t>
        </is>
      </c>
      <c r="F6176" t="inlineStr">
        <is>
          <t>22_DIL-M</t>
        </is>
      </c>
      <c r="G6176" t="inlineStr">
        <is>
          <t>HILFSKONTAKTBLOCK</t>
        </is>
      </c>
      <c r="H6176" t="inlineStr">
        <is>
          <t>2S 2OE Lastschuetz DIL M</t>
        </is>
      </c>
      <c r="I6176">
        <v>3384</v>
      </c>
      <c r="J6176">
        <f>GC03/287.2</f>
        <v>0</v>
      </c>
      <c r="K6176" t="inlineStr">
        <is>
          <t>DIL0AM</t>
        </is>
      </c>
      <c r="M6176" t="inlineStr">
        <is>
          <t>-287K1</t>
        </is>
      </c>
    </row>
    <row r="6177">
      <c r="A6177">
        <v>6176</v>
      </c>
      <c r="B6177">
        <f>GC03</f>
        <v>0</v>
      </c>
      <c r="C6177" t="inlineStr">
        <is>
          <t>+LS7</t>
        </is>
      </c>
      <c r="D6177" t="inlineStr">
        <is>
          <t>-287K1</t>
        </is>
      </c>
      <c r="E6177" t="inlineStr">
        <is>
          <t>DIL_0AM</t>
        </is>
      </c>
      <c r="F6177" t="inlineStr">
        <is>
          <t>22_DIL-M</t>
        </is>
      </c>
      <c r="G6177" t="inlineStr">
        <is>
          <t>LASTSCHUETZ</t>
        </is>
      </c>
      <c r="H6177" t="inlineStr">
        <is>
          <t>11 kW</t>
        </is>
      </c>
      <c r="I6177">
        <v>3384</v>
      </c>
      <c r="J6177">
        <f>GC03/287.2</f>
        <v>0</v>
      </c>
      <c r="K6177" t="inlineStr">
        <is>
          <t>DIL0AM</t>
        </is>
      </c>
      <c r="M6177" t="inlineStr">
        <is>
          <t>-287K1</t>
        </is>
      </c>
    </row>
    <row r="6178">
      <c r="A6178">
        <v>6177</v>
      </c>
      <c r="B6178">
        <f>GC22</f>
        <v>0</v>
      </c>
      <c r="C6178" t="inlineStr">
        <is>
          <t>+LS4</t>
        </is>
      </c>
      <c r="D6178" t="inlineStr">
        <is>
          <t>-287K1</t>
        </is>
      </c>
      <c r="E6178" t="inlineStr">
        <is>
          <t>DIL_0AM</t>
        </is>
      </c>
      <c r="F6178" t="inlineStr">
        <is>
          <t>22_DIL-M</t>
        </is>
      </c>
      <c r="G6178" t="inlineStr">
        <is>
          <t>LASTSCHUETZ</t>
        </is>
      </c>
      <c r="H6178" t="inlineStr">
        <is>
          <t>11 kW</t>
        </is>
      </c>
      <c r="I6178">
        <v>3943</v>
      </c>
      <c r="J6178">
        <f>GC22/287.2</f>
        <v>0</v>
      </c>
      <c r="K6178" t="inlineStr">
        <is>
          <t>DIL0AM</t>
        </is>
      </c>
      <c r="M6178" t="inlineStr">
        <is>
          <t>-287K1</t>
        </is>
      </c>
    </row>
    <row r="6179">
      <c r="A6179">
        <v>6178</v>
      </c>
      <c r="B6179">
        <f>GC22</f>
        <v>0</v>
      </c>
      <c r="C6179" t="inlineStr">
        <is>
          <t>+LS4</t>
        </is>
      </c>
      <c r="D6179" t="inlineStr">
        <is>
          <t>-287K1</t>
        </is>
      </c>
      <c r="E6179" t="inlineStr">
        <is>
          <t>22_DIL-M</t>
        </is>
      </c>
      <c r="F6179" t="inlineStr">
        <is>
          <t>22_DIL-M</t>
        </is>
      </c>
      <c r="G6179" t="inlineStr">
        <is>
          <t>HILFSKONTAKTBLOCK</t>
        </is>
      </c>
      <c r="H6179" t="inlineStr">
        <is>
          <t>2S 2OE Lastschuetz DIL M</t>
        </is>
      </c>
      <c r="I6179">
        <v>3943</v>
      </c>
      <c r="J6179">
        <f>GC22/287.2</f>
        <v>0</v>
      </c>
      <c r="K6179" t="inlineStr">
        <is>
          <t>DIL0AM</t>
        </is>
      </c>
      <c r="M6179" t="inlineStr">
        <is>
          <t>-287K1</t>
        </is>
      </c>
    </row>
    <row r="6180">
      <c r="A6180">
        <v>6179</v>
      </c>
      <c r="B6180">
        <f>GS12</f>
        <v>0</v>
      </c>
      <c r="C6180" t="inlineStr">
        <is>
          <t>+LS4</t>
        </is>
      </c>
      <c r="D6180" t="inlineStr">
        <is>
          <t>-287K1</t>
        </is>
      </c>
      <c r="E6180" t="inlineStr">
        <is>
          <t>DIL_0AM</t>
        </is>
      </c>
      <c r="F6180" t="inlineStr">
        <is>
          <t>22_DIL-M</t>
        </is>
      </c>
      <c r="G6180" t="inlineStr">
        <is>
          <t>LASTSCHUETZ</t>
        </is>
      </c>
      <c r="H6180" t="inlineStr">
        <is>
          <t>11 kW</t>
        </is>
      </c>
      <c r="I6180">
        <v>419</v>
      </c>
      <c r="J6180">
        <f>GS12/287.2</f>
        <v>0</v>
      </c>
      <c r="K6180" t="inlineStr">
        <is>
          <t>DIL0AM</t>
        </is>
      </c>
      <c r="M6180" t="inlineStr">
        <is>
          <t>-287K1</t>
        </is>
      </c>
    </row>
    <row r="6181">
      <c r="A6181">
        <v>6180</v>
      </c>
      <c r="B6181">
        <f>GS12</f>
        <v>0</v>
      </c>
      <c r="C6181" t="inlineStr">
        <is>
          <t>+LS4</t>
        </is>
      </c>
      <c r="D6181" t="inlineStr">
        <is>
          <t>-287K1</t>
        </is>
      </c>
      <c r="E6181" t="inlineStr">
        <is>
          <t>22_DIL-M</t>
        </is>
      </c>
      <c r="F6181" t="inlineStr">
        <is>
          <t>22_DIL-M</t>
        </is>
      </c>
      <c r="G6181" t="inlineStr">
        <is>
          <t>HILFSKONTAKTBLOCK</t>
        </is>
      </c>
      <c r="H6181" t="inlineStr">
        <is>
          <t>2S 2OE Lastschuetz DIL M</t>
        </is>
      </c>
      <c r="I6181">
        <v>419</v>
      </c>
      <c r="J6181">
        <f>GS12/287.2</f>
        <v>0</v>
      </c>
      <c r="K6181" t="inlineStr">
        <is>
          <t>DIL0AM</t>
        </is>
      </c>
      <c r="M6181" t="inlineStr">
        <is>
          <t>-287K1</t>
        </is>
      </c>
    </row>
    <row r="6182">
      <c r="A6182">
        <v>6181</v>
      </c>
      <c r="B6182">
        <f>GS11</f>
        <v>0</v>
      </c>
      <c r="C6182" t="inlineStr">
        <is>
          <t>+LS6</t>
        </is>
      </c>
      <c r="D6182" t="inlineStr">
        <is>
          <t>-287K16.2</t>
        </is>
      </c>
      <c r="E6182" t="inlineStr">
        <is>
          <t>DIL_EM-10-G</t>
        </is>
      </c>
      <c r="F6182" t="inlineStr">
        <is>
          <t>#KALK!</t>
        </is>
      </c>
      <c r="G6182" t="inlineStr">
        <is>
          <t>LASTSCHUETZ</t>
        </is>
      </c>
      <c r="H6182" t="inlineStr">
        <is>
          <t>4kW 1S</t>
        </is>
      </c>
      <c r="I6182">
        <v>398</v>
      </c>
      <c r="J6182">
        <f>GS11/287.7</f>
        <v>0</v>
      </c>
      <c r="M6182" t="inlineStr">
        <is>
          <t>-287K16.2</t>
        </is>
      </c>
    </row>
    <row r="6183">
      <c r="A6183">
        <v>6182</v>
      </c>
      <c r="B6183">
        <f>GS21</f>
        <v>0</v>
      </c>
      <c r="C6183" t="inlineStr">
        <is>
          <t>+LS6</t>
        </is>
      </c>
      <c r="D6183" t="inlineStr">
        <is>
          <t>-287K16.2</t>
        </is>
      </c>
      <c r="E6183" t="inlineStr">
        <is>
          <t>DIL_EM-10-G</t>
        </is>
      </c>
      <c r="F6183" t="inlineStr">
        <is>
          <t>#KALK!</t>
        </is>
      </c>
      <c r="G6183" t="inlineStr">
        <is>
          <t>LASTSCHUETZ</t>
        </is>
      </c>
      <c r="H6183" t="inlineStr">
        <is>
          <t>4kW 1S</t>
        </is>
      </c>
      <c r="I6183">
        <v>375</v>
      </c>
      <c r="J6183">
        <f>GS21/287.7</f>
        <v>0</v>
      </c>
      <c r="M6183" t="inlineStr">
        <is>
          <t>-287K16.2</t>
        </is>
      </c>
    </row>
    <row r="6184">
      <c r="A6184">
        <v>6183</v>
      </c>
      <c r="B6184">
        <f>GS34</f>
        <v>0</v>
      </c>
      <c r="C6184" t="inlineStr">
        <is>
          <t>+LS6</t>
        </is>
      </c>
      <c r="D6184" t="inlineStr">
        <is>
          <t>-287K3605.5</t>
        </is>
      </c>
      <c r="E6184" t="inlineStr">
        <is>
          <t>DIL_EM-10-G</t>
        </is>
      </c>
      <c r="F6184" t="inlineStr">
        <is>
          <t>#KALK!</t>
        </is>
      </c>
      <c r="G6184" t="inlineStr">
        <is>
          <t>LASTSCHUETZ</t>
        </is>
      </c>
      <c r="H6184" t="inlineStr">
        <is>
          <t>4kW 1S</t>
        </is>
      </c>
      <c r="I6184">
        <v>412</v>
      </c>
      <c r="J6184">
        <f>GS34/287.7</f>
        <v>0</v>
      </c>
      <c r="M6184" t="inlineStr">
        <is>
          <t>-287K3605.5</t>
        </is>
      </c>
    </row>
    <row r="6185">
      <c r="A6185">
        <v>6184</v>
      </c>
      <c r="B6185">
        <f>GS02</f>
        <v>0</v>
      </c>
      <c r="C6185" t="inlineStr">
        <is>
          <t>+LS5</t>
        </is>
      </c>
      <c r="D6185" t="inlineStr">
        <is>
          <t>-287K50.7</t>
        </is>
      </c>
      <c r="E6185" t="inlineStr">
        <is>
          <t>DIL_EM-10-G</t>
        </is>
      </c>
      <c r="F6185" t="inlineStr">
        <is>
          <t>#KALK!</t>
        </is>
      </c>
      <c r="G6185" t="inlineStr">
        <is>
          <t>LASTSCHUETZ</t>
        </is>
      </c>
      <c r="H6185" t="inlineStr">
        <is>
          <t>4kW 1S</t>
        </is>
      </c>
      <c r="I6185">
        <v>693</v>
      </c>
      <c r="J6185">
        <f>GS02/287.7</f>
        <v>0</v>
      </c>
      <c r="M6185" t="inlineStr">
        <is>
          <t>-287K50.7</t>
        </is>
      </c>
    </row>
    <row r="6186">
      <c r="A6186">
        <v>6185</v>
      </c>
      <c r="B6186">
        <f>GS98</f>
        <v>0</v>
      </c>
      <c r="C6186" t="inlineStr">
        <is>
          <t>+LS08</t>
        </is>
      </c>
      <c r="D6186" t="inlineStr">
        <is>
          <t>-287K80.0</t>
        </is>
      </c>
      <c r="E6186" t="inlineStr">
        <is>
          <t>DILA-40</t>
        </is>
      </c>
      <c r="F6186" t="inlineStr">
        <is>
          <t>#KALK!</t>
        </is>
      </c>
      <c r="G6186" t="inlineStr">
        <is>
          <t>HILFSSCHUETZ</t>
        </is>
      </c>
      <c r="H6186" t="inlineStr">
        <is>
          <t>4S Federzugkl.</t>
        </is>
      </c>
      <c r="I6186">
        <v>452</v>
      </c>
      <c r="J6186">
        <f>GS98/287.5</f>
        <v>0</v>
      </c>
      <c r="M6186" t="inlineStr">
        <is>
          <t>-287K80.0</t>
        </is>
      </c>
    </row>
    <row r="6187">
      <c r="A6187">
        <v>6186</v>
      </c>
      <c r="B6187">
        <f>GS37</f>
        <v>0</v>
      </c>
      <c r="C6187" t="inlineStr">
        <is>
          <t>+LS06</t>
        </is>
      </c>
      <c r="D6187" t="inlineStr">
        <is>
          <t>-287Q102.2</t>
        </is>
      </c>
      <c r="E6187" t="inlineStr">
        <is>
          <t>DILMC12-10(24VDC)</t>
        </is>
      </c>
      <c r="F6187" t="inlineStr">
        <is>
          <t>#KALK!</t>
        </is>
      </c>
      <c r="G6187" t="inlineStr">
        <is>
          <t>LASTSCHUETZ</t>
        </is>
      </c>
      <c r="H6187" t="inlineStr">
        <is>
          <t>5,5kW 1S Federzugkl.</t>
        </is>
      </c>
      <c r="I6187">
        <v>440</v>
      </c>
      <c r="J6187">
        <f>GS37/287.5</f>
        <v>0</v>
      </c>
      <c r="M6187" t="inlineStr">
        <is>
          <t>-287Q102.2</t>
        </is>
      </c>
    </row>
    <row r="6188">
      <c r="A6188">
        <v>6187</v>
      </c>
      <c r="B6188">
        <f>GS52</f>
        <v>0</v>
      </c>
      <c r="C6188" t="inlineStr">
        <is>
          <t>+LS04</t>
        </is>
      </c>
      <c r="D6188" t="inlineStr">
        <is>
          <t>-287Q137.1</t>
        </is>
      </c>
      <c r="E6188" t="inlineStr">
        <is>
          <t>DILM-9-10</t>
        </is>
      </c>
      <c r="F6188" t="inlineStr">
        <is>
          <t>#KALK!</t>
        </is>
      </c>
      <c r="G6188" t="inlineStr">
        <is>
          <t>LASTSCHUETZ</t>
        </is>
      </c>
      <c r="H6188" t="inlineStr">
        <is>
          <t>4kW 1S Federzugkl.</t>
        </is>
      </c>
      <c r="I6188">
        <v>1738</v>
      </c>
      <c r="J6188">
        <f>GS52/287.6</f>
        <v>0</v>
      </c>
      <c r="K6188" t="inlineStr">
        <is>
          <t>DIL MC9</t>
        </is>
      </c>
      <c r="M6188" t="inlineStr">
        <is>
          <t>-287Q137.1</t>
        </is>
      </c>
    </row>
    <row r="6189">
      <c r="A6189">
        <v>6188</v>
      </c>
      <c r="B6189">
        <f>GS91</f>
        <v>0</v>
      </c>
      <c r="C6189" t="inlineStr">
        <is>
          <t>+LS04</t>
        </is>
      </c>
      <c r="D6189" t="inlineStr">
        <is>
          <t>-287Q174.6</t>
        </is>
      </c>
      <c r="E6189" t="inlineStr">
        <is>
          <t>DILM-9-10</t>
        </is>
      </c>
      <c r="F6189" t="inlineStr">
        <is>
          <t>#KALK!</t>
        </is>
      </c>
      <c r="G6189" t="inlineStr">
        <is>
          <t>LASTSCHUETZ</t>
        </is>
      </c>
      <c r="H6189" t="inlineStr">
        <is>
          <t>4kW 1S Federzugkl.</t>
        </is>
      </c>
      <c r="I6189">
        <v>435</v>
      </c>
      <c r="J6189">
        <f>GS91/287.5</f>
        <v>0</v>
      </c>
      <c r="M6189" t="inlineStr">
        <is>
          <t>-287Q174.6</t>
        </is>
      </c>
    </row>
    <row r="6190">
      <c r="A6190">
        <v>6189</v>
      </c>
      <c r="B6190">
        <f>GS90</f>
        <v>0</v>
      </c>
      <c r="C6190" t="inlineStr">
        <is>
          <t>+LS04</t>
        </is>
      </c>
      <c r="D6190" t="inlineStr">
        <is>
          <t>-287Q179.7</t>
        </is>
      </c>
      <c r="E6190" t="inlineStr">
        <is>
          <t>DILM-9-10</t>
        </is>
      </c>
      <c r="F6190" t="inlineStr">
        <is>
          <t>#KALK!</t>
        </is>
      </c>
      <c r="G6190" t="inlineStr">
        <is>
          <t>LASTSCHUETZ</t>
        </is>
      </c>
      <c r="H6190" t="inlineStr">
        <is>
          <t>4kW 1S Federzugkl.</t>
        </is>
      </c>
      <c r="I6190">
        <v>954</v>
      </c>
      <c r="J6190">
        <f>GS90/287.5</f>
        <v>0</v>
      </c>
      <c r="M6190" t="inlineStr">
        <is>
          <t>-287Q179.7</t>
        </is>
      </c>
    </row>
    <row r="6191">
      <c r="A6191">
        <v>6190</v>
      </c>
      <c r="B6191">
        <f>GS55</f>
        <v>0</v>
      </c>
      <c r="C6191" t="inlineStr">
        <is>
          <t>+1KK67</t>
        </is>
      </c>
      <c r="D6191" t="inlineStr">
        <is>
          <t>-2883Q2</t>
        </is>
      </c>
      <c r="E6191" t="inlineStr">
        <is>
          <t>DILM-9-10</t>
        </is>
      </c>
      <c r="F6191" t="inlineStr">
        <is>
          <t>#KALK!</t>
        </is>
      </c>
      <c r="G6191" t="inlineStr">
        <is>
          <t>LASTSCHUETZ</t>
        </is>
      </c>
      <c r="H6191" t="inlineStr">
        <is>
          <t>4kW 1S Federzugkl.</t>
        </is>
      </c>
      <c r="I6191">
        <v>2781</v>
      </c>
      <c r="J6191">
        <f>GS55/2883.6</f>
        <v>0</v>
      </c>
      <c r="M6191" t="inlineStr">
        <is>
          <t>-2883Q2</t>
        </is>
      </c>
    </row>
    <row r="6192">
      <c r="A6192">
        <v>6191</v>
      </c>
      <c r="B6192">
        <f>GS33</f>
        <v>0</v>
      </c>
      <c r="C6192" t="inlineStr">
        <is>
          <t>+LS6</t>
        </is>
      </c>
      <c r="D6192" t="inlineStr">
        <is>
          <t>-288K1</t>
        </is>
      </c>
      <c r="E6192" t="inlineStr">
        <is>
          <t>DIL_0AM</t>
        </is>
      </c>
      <c r="F6192" t="inlineStr">
        <is>
          <t>22_DIL-M</t>
        </is>
      </c>
      <c r="G6192" t="inlineStr">
        <is>
          <t>LASTSCHUETZ</t>
        </is>
      </c>
      <c r="H6192" t="inlineStr">
        <is>
          <t>11 kW</t>
        </is>
      </c>
      <c r="I6192">
        <v>735</v>
      </c>
      <c r="J6192">
        <f>GS33/288.2</f>
        <v>0</v>
      </c>
      <c r="K6192" t="inlineStr">
        <is>
          <t>DIL0AM</t>
        </is>
      </c>
      <c r="M6192" t="inlineStr">
        <is>
          <t>-288K1</t>
        </is>
      </c>
    </row>
    <row r="6193">
      <c r="A6193">
        <v>6192</v>
      </c>
      <c r="B6193">
        <f>GS33</f>
        <v>0</v>
      </c>
      <c r="C6193" t="inlineStr">
        <is>
          <t>+LS6</t>
        </is>
      </c>
      <c r="D6193" t="inlineStr">
        <is>
          <t>-288K1</t>
        </is>
      </c>
      <c r="E6193" t="inlineStr">
        <is>
          <t>22_DIL-M</t>
        </is>
      </c>
      <c r="F6193" t="inlineStr">
        <is>
          <t>22_DIL-M</t>
        </is>
      </c>
      <c r="G6193" t="inlineStr">
        <is>
          <t>HILFSKONTAKTBLOCK</t>
        </is>
      </c>
      <c r="H6193" t="inlineStr">
        <is>
          <t>2S 2OE Lastschuetz DIL M</t>
        </is>
      </c>
      <c r="I6193">
        <v>735</v>
      </c>
      <c r="J6193">
        <f>GS33/288.2</f>
        <v>0</v>
      </c>
      <c r="K6193" t="inlineStr">
        <is>
          <t>DIL0AM</t>
        </is>
      </c>
      <c r="M6193" t="inlineStr">
        <is>
          <t>-288K1</t>
        </is>
      </c>
    </row>
    <row r="6194">
      <c r="A6194">
        <v>6193</v>
      </c>
      <c r="B6194">
        <f>GS11</f>
        <v>0</v>
      </c>
      <c r="C6194" t="inlineStr">
        <is>
          <t>+LS6</t>
        </is>
      </c>
      <c r="D6194" t="inlineStr">
        <is>
          <t>-288K16.3</t>
        </is>
      </c>
      <c r="E6194" t="inlineStr">
        <is>
          <t>DIL_EM-10-G</t>
        </is>
      </c>
      <c r="F6194" t="inlineStr">
        <is>
          <t>#KALK!</t>
        </is>
      </c>
      <c r="G6194" t="inlineStr">
        <is>
          <t>LASTSCHUETZ</t>
        </is>
      </c>
      <c r="H6194" t="inlineStr">
        <is>
          <t>4kW 1S</t>
        </is>
      </c>
      <c r="I6194">
        <v>399</v>
      </c>
      <c r="J6194">
        <f>GS11/288.6</f>
        <v>0</v>
      </c>
      <c r="M6194" t="inlineStr">
        <is>
          <t>-288K16.3</t>
        </is>
      </c>
    </row>
    <row r="6195">
      <c r="A6195">
        <v>6194</v>
      </c>
      <c r="B6195">
        <f>GS21</f>
        <v>0</v>
      </c>
      <c r="C6195" t="inlineStr">
        <is>
          <t>+LS6</t>
        </is>
      </c>
      <c r="D6195" t="inlineStr">
        <is>
          <t>-288K16.3</t>
        </is>
      </c>
      <c r="E6195" t="inlineStr">
        <is>
          <t>DIL_EM-10-G</t>
        </is>
      </c>
      <c r="F6195" t="inlineStr">
        <is>
          <t>#KALK!</t>
        </is>
      </c>
      <c r="G6195" t="inlineStr">
        <is>
          <t>LASTSCHUETZ</t>
        </is>
      </c>
      <c r="H6195" t="inlineStr">
        <is>
          <t>4kW 1S</t>
        </is>
      </c>
      <c r="I6195">
        <v>376</v>
      </c>
      <c r="J6195">
        <f>GS21/288.6</f>
        <v>0</v>
      </c>
      <c r="M6195" t="inlineStr">
        <is>
          <t>-288K16.3</t>
        </is>
      </c>
    </row>
    <row r="6196">
      <c r="A6196">
        <v>6195</v>
      </c>
      <c r="B6196">
        <f>GS34</f>
        <v>0</v>
      </c>
      <c r="C6196" t="inlineStr">
        <is>
          <t>+LS6</t>
        </is>
      </c>
      <c r="D6196" t="inlineStr">
        <is>
          <t>-288K3605.4</t>
        </is>
      </c>
      <c r="E6196" t="inlineStr">
        <is>
          <t>DIL_EM-10-G</t>
        </is>
      </c>
      <c r="F6196" t="inlineStr">
        <is>
          <t>#KALK!</t>
        </is>
      </c>
      <c r="G6196" t="inlineStr">
        <is>
          <t>LASTSCHUETZ</t>
        </is>
      </c>
      <c r="H6196" t="inlineStr">
        <is>
          <t>4kW 1S</t>
        </is>
      </c>
      <c r="I6196">
        <v>413</v>
      </c>
      <c r="J6196">
        <f>GS34/288.7</f>
        <v>0</v>
      </c>
      <c r="M6196" t="inlineStr">
        <is>
          <t>-288K3605.4</t>
        </is>
      </c>
    </row>
    <row r="6197">
      <c r="A6197">
        <v>6196</v>
      </c>
      <c r="B6197">
        <f>GS02</f>
        <v>0</v>
      </c>
      <c r="C6197" t="inlineStr">
        <is>
          <t>+LS5</t>
        </is>
      </c>
      <c r="D6197" t="inlineStr">
        <is>
          <t>-288K51.0</t>
        </is>
      </c>
      <c r="E6197" t="inlineStr">
        <is>
          <t>DIL_EM-10-G</t>
        </is>
      </c>
      <c r="F6197" t="inlineStr">
        <is>
          <t>#KALK!</t>
        </is>
      </c>
      <c r="G6197" t="inlineStr">
        <is>
          <t>LASTSCHUETZ</t>
        </is>
      </c>
      <c r="H6197" t="inlineStr">
        <is>
          <t>4kW 1S</t>
        </is>
      </c>
      <c r="I6197">
        <v>694</v>
      </c>
      <c r="J6197">
        <f>GS02/288.6</f>
        <v>0</v>
      </c>
      <c r="M6197" t="inlineStr">
        <is>
          <t>-288K51.0</t>
        </is>
      </c>
    </row>
    <row r="6198">
      <c r="A6198">
        <v>6197</v>
      </c>
      <c r="B6198">
        <f>GS02</f>
        <v>0</v>
      </c>
      <c r="C6198" t="inlineStr">
        <is>
          <t>+LS5</t>
        </is>
      </c>
      <c r="D6198" t="inlineStr">
        <is>
          <t>-288K51.1</t>
        </is>
      </c>
      <c r="E6198" t="inlineStr">
        <is>
          <t>DIL_EM-10-G</t>
        </is>
      </c>
      <c r="F6198" t="inlineStr">
        <is>
          <t>#KALK!</t>
        </is>
      </c>
      <c r="G6198" t="inlineStr">
        <is>
          <t>LASTSCHUETZ</t>
        </is>
      </c>
      <c r="H6198" t="inlineStr">
        <is>
          <t>4kW 1S</t>
        </is>
      </c>
      <c r="I6198">
        <v>694</v>
      </c>
      <c r="J6198">
        <f>GS02/288.6</f>
        <v>0</v>
      </c>
      <c r="M6198" t="inlineStr">
        <is>
          <t>-288K51.1</t>
        </is>
      </c>
    </row>
    <row r="6199">
      <c r="A6199">
        <v>6198</v>
      </c>
      <c r="B6199">
        <f>GS52</f>
        <v>0</v>
      </c>
      <c r="C6199" t="inlineStr">
        <is>
          <t>+LS04</t>
        </is>
      </c>
      <c r="D6199" t="inlineStr">
        <is>
          <t>-288Q137.2</t>
        </is>
      </c>
      <c r="E6199" t="inlineStr">
        <is>
          <t>DILM-9-10</t>
        </is>
      </c>
      <c r="F6199" t="inlineStr">
        <is>
          <t>#KALK!</t>
        </is>
      </c>
      <c r="G6199" t="inlineStr">
        <is>
          <t>LASTSCHUETZ</t>
        </is>
      </c>
      <c r="H6199" t="inlineStr">
        <is>
          <t>4kW 1S Federzugkl.</t>
        </is>
      </c>
      <c r="I6199">
        <v>1737</v>
      </c>
      <c r="J6199">
        <f>GS52/288.6</f>
        <v>0</v>
      </c>
      <c r="K6199" t="inlineStr">
        <is>
          <t>DIL MC9</t>
        </is>
      </c>
      <c r="M6199" t="inlineStr">
        <is>
          <t>-288Q137.2</t>
        </is>
      </c>
    </row>
    <row r="6200">
      <c r="A6200">
        <v>6199</v>
      </c>
      <c r="B6200">
        <f>GS91</f>
        <v>0</v>
      </c>
      <c r="C6200" t="inlineStr">
        <is>
          <t>+LS04</t>
        </is>
      </c>
      <c r="D6200" t="inlineStr">
        <is>
          <t>-288Q174.7</t>
        </is>
      </c>
      <c r="E6200" t="inlineStr">
        <is>
          <t>DILM-9-10</t>
        </is>
      </c>
      <c r="F6200" t="inlineStr">
        <is>
          <t>#KALK!</t>
        </is>
      </c>
      <c r="G6200" t="inlineStr">
        <is>
          <t>LASTSCHUETZ</t>
        </is>
      </c>
      <c r="H6200" t="inlineStr">
        <is>
          <t>4kW 1S Federzugkl.</t>
        </is>
      </c>
      <c r="I6200">
        <v>436</v>
      </c>
      <c r="J6200">
        <f>GS91/288.5</f>
        <v>0</v>
      </c>
      <c r="M6200" t="inlineStr">
        <is>
          <t>-288Q174.7</t>
        </is>
      </c>
    </row>
    <row r="6201">
      <c r="A6201">
        <v>6200</v>
      </c>
      <c r="B6201">
        <f>GS36</f>
        <v>0</v>
      </c>
      <c r="C6201" t="inlineStr">
        <is>
          <t>+LS06</t>
        </is>
      </c>
      <c r="D6201" t="inlineStr">
        <is>
          <t>-307K2</t>
        </is>
      </c>
      <c r="E6201" t="inlineStr">
        <is>
          <t>DILM-9-01</t>
        </is>
      </c>
      <c r="F6201" t="inlineStr">
        <is>
          <t>#KALK!</t>
        </is>
      </c>
      <c r="G6201" t="inlineStr">
        <is>
          <t>LASTSCHUETZ</t>
        </is>
      </c>
      <c r="H6201" t="inlineStr">
        <is>
          <t>4kW 1Oe Federzugkl.</t>
        </is>
      </c>
      <c r="I6201">
        <v>480</v>
      </c>
      <c r="J6201">
        <f>GS36/307.7</f>
        <v>0</v>
      </c>
      <c r="L6201" t="inlineStr">
        <is>
          <t>Lichtvorhang KF</t>
        </is>
      </c>
      <c r="M6201" t="inlineStr">
        <is>
          <t>Lichtvorhang KF
-307K2</t>
        </is>
      </c>
    </row>
    <row r="6202">
      <c r="A6202">
        <v>6201</v>
      </c>
      <c r="B6202">
        <f>GS38</f>
        <v>0</v>
      </c>
      <c r="C6202" t="inlineStr">
        <is>
          <t>+LS05</t>
        </is>
      </c>
      <c r="D6202" t="inlineStr">
        <is>
          <t>-289K1</t>
        </is>
      </c>
      <c r="E6202" t="inlineStr">
        <is>
          <t>DILM-9-01</t>
        </is>
      </c>
      <c r="F6202" t="inlineStr">
        <is>
          <t>#KALK!</t>
        </is>
      </c>
      <c r="G6202" t="inlineStr">
        <is>
          <t>LASTSCHUETZ</t>
        </is>
      </c>
      <c r="H6202" t="inlineStr">
        <is>
          <t>4kW 1Oe Federzugkl.</t>
        </is>
      </c>
      <c r="I6202">
        <v>459</v>
      </c>
      <c r="J6202">
        <f>GS38/289.5</f>
        <v>0</v>
      </c>
      <c r="M6202" t="inlineStr">
        <is>
          <t>-289K1</t>
        </is>
      </c>
    </row>
    <row r="6203">
      <c r="A6203">
        <v>6202</v>
      </c>
      <c r="B6203">
        <f>GS39</f>
        <v>0</v>
      </c>
      <c r="C6203" t="inlineStr">
        <is>
          <t>+LS05</t>
        </is>
      </c>
      <c r="D6203" t="inlineStr">
        <is>
          <t>-289K1</t>
        </is>
      </c>
      <c r="E6203" t="inlineStr">
        <is>
          <t>DILM-9-01</t>
        </is>
      </c>
      <c r="F6203" t="inlineStr">
        <is>
          <t>#KALK!</t>
        </is>
      </c>
      <c r="G6203" t="inlineStr">
        <is>
          <t>LASTSCHUETZ</t>
        </is>
      </c>
      <c r="H6203" t="inlineStr">
        <is>
          <t>4kW 1Oe Federzugkl.</t>
        </is>
      </c>
      <c r="I6203">
        <v>460</v>
      </c>
      <c r="J6203">
        <f>GS39/289.5</f>
        <v>0</v>
      </c>
      <c r="M6203" t="inlineStr">
        <is>
          <t>-289K1</t>
        </is>
      </c>
    </row>
    <row r="6204">
      <c r="A6204">
        <v>6203</v>
      </c>
      <c r="B6204">
        <f>GS11</f>
        <v>0</v>
      </c>
      <c r="C6204" t="inlineStr">
        <is>
          <t>+LS6</t>
        </is>
      </c>
      <c r="D6204" t="inlineStr">
        <is>
          <t>-289K17.0</t>
        </is>
      </c>
      <c r="E6204" t="inlineStr">
        <is>
          <t>DIL_EM-10-G</t>
        </is>
      </c>
      <c r="F6204" t="inlineStr">
        <is>
          <t>#KALK!</t>
        </is>
      </c>
      <c r="G6204" t="inlineStr">
        <is>
          <t>LASTSCHUETZ</t>
        </is>
      </c>
      <c r="H6204" t="inlineStr">
        <is>
          <t>4kW 1S</t>
        </is>
      </c>
      <c r="I6204">
        <v>400</v>
      </c>
      <c r="J6204">
        <f>GS11/289.7</f>
        <v>0</v>
      </c>
      <c r="M6204" t="inlineStr">
        <is>
          <t>-289K17.0</t>
        </is>
      </c>
    </row>
    <row r="6205">
      <c r="A6205">
        <v>6204</v>
      </c>
      <c r="B6205">
        <f>GS21</f>
        <v>0</v>
      </c>
      <c r="C6205" t="inlineStr">
        <is>
          <t>+LS6</t>
        </is>
      </c>
      <c r="D6205" t="inlineStr">
        <is>
          <t>-289K17.0</t>
        </is>
      </c>
      <c r="E6205" t="inlineStr">
        <is>
          <t>DIL_EM-10-G</t>
        </is>
      </c>
      <c r="F6205" t="inlineStr">
        <is>
          <t>#KALK!</t>
        </is>
      </c>
      <c r="G6205" t="inlineStr">
        <is>
          <t>LASTSCHUETZ</t>
        </is>
      </c>
      <c r="H6205" t="inlineStr">
        <is>
          <t>4kW 1S</t>
        </is>
      </c>
      <c r="I6205">
        <v>377</v>
      </c>
      <c r="J6205">
        <f>GS21/289.7</f>
        <v>0</v>
      </c>
      <c r="M6205" t="inlineStr">
        <is>
          <t>-289K17.0</t>
        </is>
      </c>
    </row>
    <row r="6206">
      <c r="A6206">
        <v>6205</v>
      </c>
      <c r="B6206">
        <f>GS38</f>
        <v>0</v>
      </c>
      <c r="C6206" t="inlineStr">
        <is>
          <t>+LS05</t>
        </is>
      </c>
      <c r="D6206" t="inlineStr">
        <is>
          <t>-289K2</t>
        </is>
      </c>
      <c r="E6206" t="inlineStr">
        <is>
          <t>DILM-9-01</t>
        </is>
      </c>
      <c r="F6206" t="inlineStr">
        <is>
          <t>#KALK!</t>
        </is>
      </c>
      <c r="G6206" t="inlineStr">
        <is>
          <t>LASTSCHUETZ</t>
        </is>
      </c>
      <c r="H6206" t="inlineStr">
        <is>
          <t>4kW 1Oe Federzugkl.</t>
        </is>
      </c>
      <c r="I6206">
        <v>459</v>
      </c>
      <c r="J6206">
        <f>GS38/289.6</f>
        <v>0</v>
      </c>
      <c r="M6206" t="inlineStr">
        <is>
          <t>-289K2</t>
        </is>
      </c>
    </row>
    <row r="6207">
      <c r="A6207">
        <v>6206</v>
      </c>
      <c r="B6207">
        <f>GS39</f>
        <v>0</v>
      </c>
      <c r="C6207" t="inlineStr">
        <is>
          <t>+LS05</t>
        </is>
      </c>
      <c r="D6207" t="inlineStr">
        <is>
          <t>-289K2</t>
        </is>
      </c>
      <c r="E6207" t="inlineStr">
        <is>
          <t>DILM-9-01</t>
        </is>
      </c>
      <c r="F6207" t="inlineStr">
        <is>
          <t>#KALK!</t>
        </is>
      </c>
      <c r="G6207" t="inlineStr">
        <is>
          <t>LASTSCHUETZ</t>
        </is>
      </c>
      <c r="H6207" t="inlineStr">
        <is>
          <t>4kW 1Oe Federzugkl.</t>
        </is>
      </c>
      <c r="I6207">
        <v>460</v>
      </c>
      <c r="J6207">
        <f>GS39/289.6</f>
        <v>0</v>
      </c>
      <c r="M6207" t="inlineStr">
        <is>
          <t>-289K2</t>
        </is>
      </c>
    </row>
    <row r="6208">
      <c r="A6208">
        <v>6207</v>
      </c>
      <c r="B6208">
        <f>GC22</f>
        <v>0</v>
      </c>
      <c r="C6208" t="inlineStr">
        <is>
          <t>+LS4</t>
        </is>
      </c>
      <c r="D6208" t="inlineStr">
        <is>
          <t>-289K34.3</t>
        </is>
      </c>
      <c r="E6208" t="inlineStr">
        <is>
          <t>DIL_EM-10-G</t>
        </is>
      </c>
      <c r="F6208" t="inlineStr">
        <is>
          <t>#KALK!</t>
        </is>
      </c>
      <c r="G6208" t="inlineStr">
        <is>
          <t>LASTSCHUETZ</t>
        </is>
      </c>
      <c r="H6208" t="inlineStr">
        <is>
          <t>4kW 1S</t>
        </is>
      </c>
      <c r="I6208">
        <v>3397</v>
      </c>
      <c r="J6208">
        <f>GC22/289.7</f>
        <v>0</v>
      </c>
      <c r="M6208" t="inlineStr">
        <is>
          <t>-289K34.3</t>
        </is>
      </c>
    </row>
    <row r="6209">
      <c r="A6209">
        <v>6208</v>
      </c>
      <c r="B6209">
        <f>GS12</f>
        <v>0</v>
      </c>
      <c r="C6209" t="inlineStr">
        <is>
          <t>+LS4</t>
        </is>
      </c>
      <c r="D6209" t="inlineStr">
        <is>
          <t>-289K34.3</t>
        </is>
      </c>
      <c r="E6209" t="inlineStr">
        <is>
          <t>DIL_EM-10-G</t>
        </is>
      </c>
      <c r="F6209" t="inlineStr">
        <is>
          <t>#KALK!</t>
        </is>
      </c>
      <c r="G6209" t="inlineStr">
        <is>
          <t>LASTSCHUETZ</t>
        </is>
      </c>
      <c r="H6209" t="inlineStr">
        <is>
          <t>4kW 1S</t>
        </is>
      </c>
      <c r="I6209">
        <v>421</v>
      </c>
      <c r="J6209">
        <f>GS12/289.7</f>
        <v>0</v>
      </c>
      <c r="M6209" t="inlineStr">
        <is>
          <t>-289K34.3</t>
        </is>
      </c>
    </row>
    <row r="6210">
      <c r="A6210">
        <v>6209</v>
      </c>
      <c r="B6210">
        <f>GS01</f>
        <v>0</v>
      </c>
      <c r="C6210" t="inlineStr">
        <is>
          <t>+LS6</t>
        </is>
      </c>
      <c r="D6210" t="inlineStr">
        <is>
          <t>-289K56.5</t>
        </is>
      </c>
      <c r="E6210" t="inlineStr">
        <is>
          <t>DIL_EM-10-G</t>
        </is>
      </c>
      <c r="F6210" t="inlineStr">
        <is>
          <t>#KALK!</t>
        </is>
      </c>
      <c r="G6210" t="inlineStr">
        <is>
          <t>LASTSCHUETZ</t>
        </is>
      </c>
      <c r="H6210" t="inlineStr">
        <is>
          <t>4kW 1S</t>
        </is>
      </c>
      <c r="I6210">
        <v>452</v>
      </c>
      <c r="J6210">
        <f>GS01/289.7</f>
        <v>0</v>
      </c>
      <c r="M6210" t="inlineStr">
        <is>
          <t>-289K56.5</t>
        </is>
      </c>
    </row>
    <row r="6211">
      <c r="A6211">
        <v>6210</v>
      </c>
      <c r="B6211">
        <f>GC03</f>
        <v>0</v>
      </c>
      <c r="C6211" t="inlineStr">
        <is>
          <t>+LS7</t>
        </is>
      </c>
      <c r="D6211" t="inlineStr">
        <is>
          <t>-289K78.3</t>
        </is>
      </c>
      <c r="E6211" t="inlineStr">
        <is>
          <t>DIL_EM-10-G</t>
        </is>
      </c>
      <c r="F6211" t="inlineStr">
        <is>
          <t>#KALK!</t>
        </is>
      </c>
      <c r="G6211" t="inlineStr">
        <is>
          <t>LASTSCHUETZ</t>
        </is>
      </c>
      <c r="H6211" t="inlineStr">
        <is>
          <t>4kW 1S</t>
        </is>
      </c>
      <c r="I6211">
        <v>719</v>
      </c>
      <c r="J6211">
        <f>GC03/289.8</f>
        <v>0</v>
      </c>
      <c r="M6211" t="inlineStr">
        <is>
          <t>-289K78.3</t>
        </is>
      </c>
    </row>
    <row r="6212">
      <c r="A6212">
        <v>6211</v>
      </c>
      <c r="B6212">
        <f>GS91</f>
        <v>0</v>
      </c>
      <c r="C6212" t="inlineStr">
        <is>
          <t>+LS04</t>
        </is>
      </c>
      <c r="D6212" t="inlineStr">
        <is>
          <t>-289Q175.0</t>
        </is>
      </c>
      <c r="E6212" t="inlineStr">
        <is>
          <t>DILM-9-10</t>
        </is>
      </c>
      <c r="F6212" t="inlineStr">
        <is>
          <t>#KALK!</t>
        </is>
      </c>
      <c r="G6212" t="inlineStr">
        <is>
          <t>LASTSCHUETZ</t>
        </is>
      </c>
      <c r="H6212" t="inlineStr">
        <is>
          <t>4kW 1S Federzugkl.</t>
        </is>
      </c>
      <c r="I6212">
        <v>437</v>
      </c>
      <c r="J6212">
        <f>GS91/289.5</f>
        <v>0</v>
      </c>
      <c r="M6212" t="inlineStr">
        <is>
          <t>-289Q175.0</t>
        </is>
      </c>
    </row>
    <row r="6213">
      <c r="A6213">
        <v>6212</v>
      </c>
      <c r="B6213">
        <f>GS90</f>
        <v>0</v>
      </c>
      <c r="C6213" t="inlineStr">
        <is>
          <t>+LS04</t>
        </is>
      </c>
      <c r="D6213" t="inlineStr">
        <is>
          <t>-289Q180.1</t>
        </is>
      </c>
      <c r="E6213" t="inlineStr">
        <is>
          <t>DILM-9-10</t>
        </is>
      </c>
      <c r="F6213" t="inlineStr">
        <is>
          <t>#KALK!</t>
        </is>
      </c>
      <c r="G6213" t="inlineStr">
        <is>
          <t>LASTSCHUETZ</t>
        </is>
      </c>
      <c r="H6213" t="inlineStr">
        <is>
          <t>4kW 1S Federzugkl.</t>
        </is>
      </c>
      <c r="I6213">
        <v>952</v>
      </c>
      <c r="J6213">
        <f>GS90/289.5</f>
        <v>0</v>
      </c>
      <c r="M6213" t="inlineStr">
        <is>
          <t>-289Q180.1</t>
        </is>
      </c>
    </row>
    <row r="6214">
      <c r="A6214">
        <v>6213</v>
      </c>
      <c r="B6214">
        <f>GS94</f>
        <v>0</v>
      </c>
      <c r="C6214" t="inlineStr">
        <is>
          <t>+ES02</t>
        </is>
      </c>
      <c r="D6214" t="inlineStr">
        <is>
          <t>-28K1</t>
        </is>
      </c>
      <c r="E6214" t="inlineStr">
        <is>
          <t>DILA-40</t>
        </is>
      </c>
      <c r="F6214" t="inlineStr">
        <is>
          <t>DILA-XHI22</t>
        </is>
      </c>
      <c r="G6214" t="inlineStr">
        <is>
          <t>HILFSSCHUETZ</t>
        </is>
      </c>
      <c r="H6214" t="inlineStr">
        <is>
          <t>4S Federzugkl.</t>
        </is>
      </c>
      <c r="I6214">
        <v>178</v>
      </c>
      <c r="J6214">
        <f>GS94/28.2</f>
        <v>0</v>
      </c>
      <c r="M6214" t="inlineStr">
        <is>
          <t>-28K1</t>
        </is>
      </c>
    </row>
    <row r="6215">
      <c r="A6215">
        <v>6214</v>
      </c>
      <c r="B6215">
        <f>GS94</f>
        <v>0</v>
      </c>
      <c r="C6215" t="inlineStr">
        <is>
          <t>+ES02</t>
        </is>
      </c>
      <c r="D6215" t="inlineStr">
        <is>
          <t>-28K1</t>
        </is>
      </c>
      <c r="E6215" t="inlineStr">
        <is>
          <t>DILA-XHI22</t>
        </is>
      </c>
      <c r="F6215" t="inlineStr">
        <is>
          <t>DILA-XHI22</t>
        </is>
      </c>
      <c r="G6215" t="inlineStr">
        <is>
          <t>HILFSKONTAKTBLOCK</t>
        </is>
      </c>
      <c r="H6215" t="inlineStr">
        <is>
          <t>2S 2OE Last+Hilfssch. Cage</t>
        </is>
      </c>
      <c r="I6215">
        <v>178</v>
      </c>
      <c r="J6215">
        <f>GS94/28.2</f>
        <v>0</v>
      </c>
      <c r="M6215" t="inlineStr">
        <is>
          <t>-28K1</t>
        </is>
      </c>
    </row>
    <row r="6216">
      <c r="A6216">
        <v>6215</v>
      </c>
      <c r="B6216">
        <f>GS95</f>
        <v>0</v>
      </c>
      <c r="C6216" t="inlineStr">
        <is>
          <t>+ES02</t>
        </is>
      </c>
      <c r="D6216" t="inlineStr">
        <is>
          <t>-28K1</t>
        </is>
      </c>
      <c r="E6216" t="inlineStr">
        <is>
          <t>DILA-XHI22</t>
        </is>
      </c>
      <c r="F6216" t="inlineStr">
        <is>
          <t>DILA-XHI22</t>
        </is>
      </c>
      <c r="G6216" t="inlineStr">
        <is>
          <t>HILFSKONTAKTBLOCK</t>
        </is>
      </c>
      <c r="H6216" t="inlineStr">
        <is>
          <t>2S 2OE Last+Hilfssch. Cage</t>
        </is>
      </c>
      <c r="I6216">
        <v>178</v>
      </c>
      <c r="J6216">
        <f>GS95/28.2</f>
        <v>0</v>
      </c>
      <c r="M6216" t="inlineStr">
        <is>
          <t>-28K1</t>
        </is>
      </c>
    </row>
    <row r="6217">
      <c r="A6217">
        <v>6216</v>
      </c>
      <c r="B6217">
        <f>GS95</f>
        <v>0</v>
      </c>
      <c r="C6217" t="inlineStr">
        <is>
          <t>+ES02</t>
        </is>
      </c>
      <c r="D6217" t="inlineStr">
        <is>
          <t>-28K1</t>
        </is>
      </c>
      <c r="E6217" t="inlineStr">
        <is>
          <t>DILA-40</t>
        </is>
      </c>
      <c r="F6217" t="inlineStr">
        <is>
          <t>DILA-XHI22</t>
        </is>
      </c>
      <c r="G6217" t="inlineStr">
        <is>
          <t>HILFSSCHUETZ</t>
        </is>
      </c>
      <c r="H6217" t="inlineStr">
        <is>
          <t>4S Federzugkl.</t>
        </is>
      </c>
      <c r="I6217">
        <v>178</v>
      </c>
      <c r="J6217">
        <f>GS95/28.2</f>
        <v>0</v>
      </c>
      <c r="M6217" t="inlineStr">
        <is>
          <t>-28K1</t>
        </is>
      </c>
    </row>
    <row r="6218">
      <c r="A6218">
        <v>6217</v>
      </c>
      <c r="B6218">
        <f>GS96</f>
        <v>0</v>
      </c>
      <c r="C6218" t="inlineStr">
        <is>
          <t>+ES02</t>
        </is>
      </c>
      <c r="D6218" t="inlineStr">
        <is>
          <t>-28K1</t>
        </is>
      </c>
      <c r="E6218" t="inlineStr">
        <is>
          <t>DILA-40</t>
        </is>
      </c>
      <c r="F6218" t="inlineStr">
        <is>
          <t>DILA-XHI22</t>
        </is>
      </c>
      <c r="G6218" t="inlineStr">
        <is>
          <t>HILFSSCHUETZ</t>
        </is>
      </c>
      <c r="H6218" t="inlineStr">
        <is>
          <t>4S Federzugkl.</t>
        </is>
      </c>
      <c r="I6218">
        <v>178</v>
      </c>
      <c r="J6218">
        <f>GS96/28.2</f>
        <v>0</v>
      </c>
      <c r="M6218" t="inlineStr">
        <is>
          <t>-28K1</t>
        </is>
      </c>
    </row>
    <row r="6219">
      <c r="A6219">
        <v>6218</v>
      </c>
      <c r="B6219">
        <f>GS96</f>
        <v>0</v>
      </c>
      <c r="C6219" t="inlineStr">
        <is>
          <t>+ES02</t>
        </is>
      </c>
      <c r="D6219" t="inlineStr">
        <is>
          <t>-28K1</t>
        </is>
      </c>
      <c r="E6219" t="inlineStr">
        <is>
          <t>DILA-XHI22</t>
        </is>
      </c>
      <c r="F6219" t="inlineStr">
        <is>
          <t>DILA-XHI22</t>
        </is>
      </c>
      <c r="G6219" t="inlineStr">
        <is>
          <t>HILFSKONTAKTBLOCK</t>
        </is>
      </c>
      <c r="H6219" t="inlineStr">
        <is>
          <t>2S 2OE Last+Hilfssch. Cage</t>
        </is>
      </c>
      <c r="I6219">
        <v>178</v>
      </c>
      <c r="J6219">
        <f>GS96/28.2</f>
        <v>0</v>
      </c>
      <c r="M6219" t="inlineStr">
        <is>
          <t>-28K1</t>
        </is>
      </c>
    </row>
    <row r="6220">
      <c r="A6220">
        <v>6219</v>
      </c>
      <c r="B6220">
        <f>GS97</f>
        <v>0</v>
      </c>
      <c r="C6220" t="inlineStr">
        <is>
          <t>+ES02</t>
        </is>
      </c>
      <c r="D6220" t="inlineStr">
        <is>
          <t>-28K1</t>
        </is>
      </c>
      <c r="E6220" t="inlineStr">
        <is>
          <t>DILA-XHI22</t>
        </is>
      </c>
      <c r="F6220" t="inlineStr">
        <is>
          <t>DILA-XHI22</t>
        </is>
      </c>
      <c r="G6220" t="inlineStr">
        <is>
          <t>HILFSKONTAKTBLOCK</t>
        </is>
      </c>
      <c r="H6220" t="inlineStr">
        <is>
          <t>2S 2OE Last+Hilfssch. Cage</t>
        </is>
      </c>
      <c r="I6220">
        <v>178</v>
      </c>
      <c r="J6220">
        <f>GS97/28.2</f>
        <v>0</v>
      </c>
      <c r="M6220" t="inlineStr">
        <is>
          <t>-28K1</t>
        </is>
      </c>
    </row>
    <row r="6221">
      <c r="A6221">
        <v>6220</v>
      </c>
      <c r="B6221">
        <f>GS97</f>
        <v>0</v>
      </c>
      <c r="C6221" t="inlineStr">
        <is>
          <t>+ES02</t>
        </is>
      </c>
      <c r="D6221" t="inlineStr">
        <is>
          <t>-28K1</t>
        </is>
      </c>
      <c r="E6221" t="inlineStr">
        <is>
          <t>DILA-40</t>
        </is>
      </c>
      <c r="F6221" t="inlineStr">
        <is>
          <t>DILA-XHI22</t>
        </is>
      </c>
      <c r="G6221" t="inlineStr">
        <is>
          <t>HILFSSCHUETZ</t>
        </is>
      </c>
      <c r="H6221" t="inlineStr">
        <is>
          <t>4S Federzugkl.</t>
        </is>
      </c>
      <c r="I6221">
        <v>178</v>
      </c>
      <c r="J6221">
        <f>GS97/28.2</f>
        <v>0</v>
      </c>
      <c r="M6221" t="inlineStr">
        <is>
          <t>-28K1</t>
        </is>
      </c>
    </row>
    <row r="6222">
      <c r="A6222">
        <v>6221</v>
      </c>
      <c r="B6222">
        <f>GS94</f>
        <v>0</v>
      </c>
      <c r="C6222" t="inlineStr">
        <is>
          <t>+ES02</t>
        </is>
      </c>
      <c r="D6222" t="inlineStr">
        <is>
          <t>-28K2</t>
        </is>
      </c>
      <c r="E6222" t="inlineStr">
        <is>
          <t>DILA-XHI22</t>
        </is>
      </c>
      <c r="F6222" t="inlineStr">
        <is>
          <t>DILA-XHI22</t>
        </is>
      </c>
      <c r="G6222" t="inlineStr">
        <is>
          <t>HILFSKONTAKTBLOCK</t>
        </is>
      </c>
      <c r="H6222" t="inlineStr">
        <is>
          <t>2S 2OE Last+Hilfssch. Cage</t>
        </is>
      </c>
      <c r="I6222">
        <v>178</v>
      </c>
      <c r="J6222">
        <f>GS94/28.3</f>
        <v>0</v>
      </c>
      <c r="M6222" t="inlineStr">
        <is>
          <t>-28K2</t>
        </is>
      </c>
    </row>
    <row r="6223">
      <c r="A6223">
        <v>6222</v>
      </c>
      <c r="B6223">
        <f>GS94</f>
        <v>0</v>
      </c>
      <c r="C6223" t="inlineStr">
        <is>
          <t>+ES02</t>
        </is>
      </c>
      <c r="D6223" t="inlineStr">
        <is>
          <t>-28K2</t>
        </is>
      </c>
      <c r="E6223" t="inlineStr">
        <is>
          <t>DILA-40</t>
        </is>
      </c>
      <c r="F6223" t="inlineStr">
        <is>
          <t>DILA-XHI22</t>
        </is>
      </c>
      <c r="G6223" t="inlineStr">
        <is>
          <t>HILFSSCHUETZ</t>
        </is>
      </c>
      <c r="H6223" t="inlineStr">
        <is>
          <t>4S Federzugkl.</t>
        </is>
      </c>
      <c r="I6223">
        <v>178</v>
      </c>
      <c r="J6223">
        <f>GS94/28.3</f>
        <v>0</v>
      </c>
      <c r="M6223" t="inlineStr">
        <is>
          <t>-28K2</t>
        </is>
      </c>
    </row>
    <row r="6224">
      <c r="A6224">
        <v>6223</v>
      </c>
      <c r="B6224">
        <f>GS95</f>
        <v>0</v>
      </c>
      <c r="C6224" t="inlineStr">
        <is>
          <t>+ES02</t>
        </is>
      </c>
      <c r="D6224" t="inlineStr">
        <is>
          <t>-28K2</t>
        </is>
      </c>
      <c r="E6224" t="inlineStr">
        <is>
          <t>DILA-XHI22</t>
        </is>
      </c>
      <c r="F6224" t="inlineStr">
        <is>
          <t>DILA-XHI22</t>
        </is>
      </c>
      <c r="G6224" t="inlineStr">
        <is>
          <t>HILFSKONTAKTBLOCK</t>
        </is>
      </c>
      <c r="H6224" t="inlineStr">
        <is>
          <t>2S 2OE Last+Hilfssch. Cage</t>
        </is>
      </c>
      <c r="I6224">
        <v>178</v>
      </c>
      <c r="J6224">
        <f>GS95/28.3</f>
        <v>0</v>
      </c>
      <c r="M6224" t="inlineStr">
        <is>
          <t>-28K2</t>
        </is>
      </c>
    </row>
    <row r="6225">
      <c r="A6225">
        <v>6224</v>
      </c>
      <c r="B6225">
        <f>GS95</f>
        <v>0</v>
      </c>
      <c r="C6225" t="inlineStr">
        <is>
          <t>+ES02</t>
        </is>
      </c>
      <c r="D6225" t="inlineStr">
        <is>
          <t>-28K2</t>
        </is>
      </c>
      <c r="E6225" t="inlineStr">
        <is>
          <t>DILA-40</t>
        </is>
      </c>
      <c r="F6225" t="inlineStr">
        <is>
          <t>DILA-XHI22</t>
        </is>
      </c>
      <c r="G6225" t="inlineStr">
        <is>
          <t>HILFSSCHUETZ</t>
        </is>
      </c>
      <c r="H6225" t="inlineStr">
        <is>
          <t>4S Federzugkl.</t>
        </is>
      </c>
      <c r="I6225">
        <v>178</v>
      </c>
      <c r="J6225">
        <f>GS95/28.3</f>
        <v>0</v>
      </c>
      <c r="M6225" t="inlineStr">
        <is>
          <t>-28K2</t>
        </is>
      </c>
    </row>
    <row r="6226">
      <c r="A6226">
        <v>6225</v>
      </c>
      <c r="B6226">
        <f>GS96</f>
        <v>0</v>
      </c>
      <c r="C6226" t="inlineStr">
        <is>
          <t>+ES02</t>
        </is>
      </c>
      <c r="D6226" t="inlineStr">
        <is>
          <t>-28K2</t>
        </is>
      </c>
      <c r="E6226" t="inlineStr">
        <is>
          <t>DILA-40</t>
        </is>
      </c>
      <c r="F6226" t="inlineStr">
        <is>
          <t>DILA-XHI22</t>
        </is>
      </c>
      <c r="G6226" t="inlineStr">
        <is>
          <t>HILFSSCHUETZ</t>
        </is>
      </c>
      <c r="H6226" t="inlineStr">
        <is>
          <t>4S Federzugkl.</t>
        </is>
      </c>
      <c r="I6226">
        <v>178</v>
      </c>
      <c r="J6226">
        <f>GS96/28.3</f>
        <v>0</v>
      </c>
      <c r="M6226" t="inlineStr">
        <is>
          <t>-28K2</t>
        </is>
      </c>
    </row>
    <row r="6227">
      <c r="A6227">
        <v>6226</v>
      </c>
      <c r="B6227">
        <f>GS96</f>
        <v>0</v>
      </c>
      <c r="C6227" t="inlineStr">
        <is>
          <t>+ES02</t>
        </is>
      </c>
      <c r="D6227" t="inlineStr">
        <is>
          <t>-28K2</t>
        </is>
      </c>
      <c r="E6227" t="inlineStr">
        <is>
          <t>DILA-XHI22</t>
        </is>
      </c>
      <c r="F6227" t="inlineStr">
        <is>
          <t>DILA-XHI22</t>
        </is>
      </c>
      <c r="G6227" t="inlineStr">
        <is>
          <t>HILFSKONTAKTBLOCK</t>
        </is>
      </c>
      <c r="H6227" t="inlineStr">
        <is>
          <t>2S 2OE Last+Hilfssch. Cage</t>
        </is>
      </c>
      <c r="I6227">
        <v>178</v>
      </c>
      <c r="J6227">
        <f>GS96/28.3</f>
        <v>0</v>
      </c>
      <c r="M6227" t="inlineStr">
        <is>
          <t>-28K2</t>
        </is>
      </c>
    </row>
    <row r="6228">
      <c r="A6228">
        <v>6227</v>
      </c>
      <c r="B6228">
        <f>GS97</f>
        <v>0</v>
      </c>
      <c r="C6228" t="inlineStr">
        <is>
          <t>+ES02</t>
        </is>
      </c>
      <c r="D6228" t="inlineStr">
        <is>
          <t>-28K2</t>
        </is>
      </c>
      <c r="E6228" t="inlineStr">
        <is>
          <t>DILA-XHI22</t>
        </is>
      </c>
      <c r="F6228" t="inlineStr">
        <is>
          <t>DILA-XHI22</t>
        </is>
      </c>
      <c r="G6228" t="inlineStr">
        <is>
          <t>HILFSKONTAKTBLOCK</t>
        </is>
      </c>
      <c r="H6228" t="inlineStr">
        <is>
          <t>2S 2OE Last+Hilfssch. Cage</t>
        </is>
      </c>
      <c r="I6228">
        <v>178</v>
      </c>
      <c r="J6228">
        <f>GS97/28.3</f>
        <v>0</v>
      </c>
      <c r="M6228" t="inlineStr">
        <is>
          <t>-28K2</t>
        </is>
      </c>
    </row>
    <row r="6229">
      <c r="A6229">
        <v>6228</v>
      </c>
      <c r="B6229">
        <f>GS97</f>
        <v>0</v>
      </c>
      <c r="C6229" t="inlineStr">
        <is>
          <t>+ES02</t>
        </is>
      </c>
      <c r="D6229" t="inlineStr">
        <is>
          <t>-28K2</t>
        </is>
      </c>
      <c r="E6229" t="inlineStr">
        <is>
          <t>DILA-40</t>
        </is>
      </c>
      <c r="F6229" t="inlineStr">
        <is>
          <t>DILA-XHI22</t>
        </is>
      </c>
      <c r="G6229" t="inlineStr">
        <is>
          <t>HILFSSCHUETZ</t>
        </is>
      </c>
      <c r="H6229" t="inlineStr">
        <is>
          <t>4S Federzugkl.</t>
        </is>
      </c>
      <c r="I6229">
        <v>178</v>
      </c>
      <c r="J6229">
        <f>GS97/28.3</f>
        <v>0</v>
      </c>
      <c r="M6229" t="inlineStr">
        <is>
          <t>-28K2</t>
        </is>
      </c>
    </row>
    <row r="6230">
      <c r="A6230">
        <v>6229</v>
      </c>
      <c r="B6230">
        <f>GS08</f>
        <v>0</v>
      </c>
      <c r="C6230" t="inlineStr">
        <is>
          <t>+LS[p1]</t>
        </is>
      </c>
      <c r="D6230" t="inlineStr">
        <is>
          <t>-28Q2</t>
        </is>
      </c>
      <c r="E6230" t="inlineStr">
        <is>
          <t>DILM-9-10</t>
        </is>
      </c>
      <c r="F6230" t="inlineStr">
        <is>
          <t>#KALK!</t>
        </is>
      </c>
      <c r="G6230" t="inlineStr">
        <is>
          <t>LASTSCHUETZ</t>
        </is>
      </c>
      <c r="H6230" t="inlineStr">
        <is>
          <t>4kW 1S Federzugkl.</t>
        </is>
      </c>
      <c r="I6230">
        <v>197</v>
      </c>
      <c r="J6230">
        <f>GS08/28.3</f>
        <v>0</v>
      </c>
      <c r="M6230" t="inlineStr">
        <is>
          <t>-28Q2</t>
        </is>
      </c>
    </row>
    <row r="6231">
      <c r="A6231">
        <v>6230</v>
      </c>
      <c r="B6231">
        <f>GS06</f>
        <v>0</v>
      </c>
      <c r="C6231" t="inlineStr">
        <is>
          <t>+ES02</t>
        </is>
      </c>
      <c r="D6231" t="inlineStr">
        <is>
          <t>-29.1K1</t>
        </is>
      </c>
      <c r="E6231" t="inlineStr">
        <is>
          <t>DILA-40</t>
        </is>
      </c>
      <c r="F6231" t="inlineStr">
        <is>
          <t>DILA-XHIC31</t>
        </is>
      </c>
      <c r="G6231" t="inlineStr">
        <is>
          <t>HILFSSCHUETZ</t>
        </is>
      </c>
      <c r="H6231" t="inlineStr">
        <is>
          <t>4S Federzugkl.</t>
        </is>
      </c>
      <c r="I6231">
        <v>1558</v>
      </c>
      <c r="J6231">
        <f>GS06/29.1.4</f>
        <v>0</v>
      </c>
      <c r="M6231" t="inlineStr">
        <is>
          <t>-29.1K1</t>
        </is>
      </c>
    </row>
    <row r="6232">
      <c r="A6232">
        <v>6231</v>
      </c>
      <c r="B6232">
        <f>GS06</f>
        <v>0</v>
      </c>
      <c r="C6232" t="inlineStr">
        <is>
          <t>+ES02</t>
        </is>
      </c>
      <c r="D6232" t="inlineStr">
        <is>
          <t>-29.1K1</t>
        </is>
      </c>
      <c r="E6232" t="inlineStr">
        <is>
          <t>DILA-XHIC31</t>
        </is>
      </c>
      <c r="F6232" t="inlineStr">
        <is>
          <t>DILA-XHIC31</t>
        </is>
      </c>
      <c r="G6232" t="inlineStr">
        <is>
          <t>HILFSKONTAKTBLOCK</t>
        </is>
      </c>
      <c r="H6232" t="inlineStr">
        <is>
          <t>3S 1OE Last+Hilfssch. Cage</t>
        </is>
      </c>
      <c r="I6232">
        <v>1558</v>
      </c>
      <c r="J6232">
        <f>GS06/29.1.4</f>
        <v>0</v>
      </c>
      <c r="M6232" t="inlineStr">
        <is>
          <t>-29.1K1</t>
        </is>
      </c>
    </row>
    <row r="6233">
      <c r="A6233">
        <v>6232</v>
      </c>
      <c r="B6233">
        <f>GS08</f>
        <v>0</v>
      </c>
      <c r="C6233" t="inlineStr">
        <is>
          <t>+ES02</t>
        </is>
      </c>
      <c r="D6233" t="inlineStr">
        <is>
          <t>-29.1K1</t>
        </is>
      </c>
      <c r="E6233" t="inlineStr">
        <is>
          <t>DILA-XHIC31</t>
        </is>
      </c>
      <c r="F6233" t="inlineStr">
        <is>
          <t>DILA-XHIC31</t>
        </is>
      </c>
      <c r="G6233" t="inlineStr">
        <is>
          <t>HILFSKONTAKTBLOCK</t>
        </is>
      </c>
      <c r="H6233" t="inlineStr">
        <is>
          <t>3S 1OE Last+Hilfssch. Cage</t>
        </is>
      </c>
      <c r="I6233">
        <v>1558</v>
      </c>
      <c r="J6233">
        <f>GS08/29.1.4</f>
        <v>0</v>
      </c>
      <c r="M6233" t="inlineStr">
        <is>
          <t>-29.1K1</t>
        </is>
      </c>
    </row>
    <row r="6234">
      <c r="A6234">
        <v>6233</v>
      </c>
      <c r="B6234">
        <f>GS08</f>
        <v>0</v>
      </c>
      <c r="C6234" t="inlineStr">
        <is>
          <t>+ES02</t>
        </is>
      </c>
      <c r="D6234" t="inlineStr">
        <is>
          <t>-29.1K1</t>
        </is>
      </c>
      <c r="E6234" t="inlineStr">
        <is>
          <t>DILA-40</t>
        </is>
      </c>
      <c r="F6234" t="inlineStr">
        <is>
          <t>DILA-XHIC31</t>
        </is>
      </c>
      <c r="G6234" t="inlineStr">
        <is>
          <t>HILFSSCHUETZ</t>
        </is>
      </c>
      <c r="H6234" t="inlineStr">
        <is>
          <t>4S Federzugkl.</t>
        </is>
      </c>
      <c r="I6234">
        <v>1558</v>
      </c>
      <c r="J6234">
        <f>GS08/29.1.4</f>
        <v>0</v>
      </c>
      <c r="M6234" t="inlineStr">
        <is>
          <t>-29.1K1</t>
        </is>
      </c>
    </row>
    <row r="6235">
      <c r="A6235">
        <v>6234</v>
      </c>
      <c r="B6235">
        <f>GS20</f>
        <v>0</v>
      </c>
      <c r="C6235" t="inlineStr">
        <is>
          <t>+ES02</t>
        </is>
      </c>
      <c r="D6235" t="inlineStr">
        <is>
          <t>-29.1K1</t>
        </is>
      </c>
      <c r="E6235" t="inlineStr">
        <is>
          <t>DILA-XHI22</t>
        </is>
      </c>
      <c r="F6235" t="inlineStr">
        <is>
          <t>DILA-XHI22</t>
        </is>
      </c>
      <c r="G6235" t="inlineStr">
        <is>
          <t>HILFSKONTAKTBLOCK</t>
        </is>
      </c>
      <c r="H6235" t="inlineStr">
        <is>
          <t>2S 2OE Last+Hilfssch. Cage</t>
        </is>
      </c>
      <c r="I6235">
        <v>429</v>
      </c>
      <c r="J6235">
        <f>GS20/29.1.3</f>
        <v>0</v>
      </c>
      <c r="M6235" t="inlineStr">
        <is>
          <t>-29.1K1</t>
        </is>
      </c>
    </row>
    <row r="6236">
      <c r="A6236">
        <v>6235</v>
      </c>
      <c r="B6236">
        <f>GS20</f>
        <v>0</v>
      </c>
      <c r="C6236" t="inlineStr">
        <is>
          <t>+ES02</t>
        </is>
      </c>
      <c r="D6236" t="inlineStr">
        <is>
          <t>-29.1K1</t>
        </is>
      </c>
      <c r="E6236" t="inlineStr">
        <is>
          <t>DILA-40</t>
        </is>
      </c>
      <c r="F6236" t="inlineStr">
        <is>
          <t>DILA-XHI22</t>
        </is>
      </c>
      <c r="G6236" t="inlineStr">
        <is>
          <t>HILFSSCHUETZ</t>
        </is>
      </c>
      <c r="H6236" t="inlineStr">
        <is>
          <t>4S Federzugkl.</t>
        </is>
      </c>
      <c r="I6236">
        <v>429</v>
      </c>
      <c r="J6236">
        <f>GS20/29.1.3</f>
        <v>0</v>
      </c>
      <c r="M6236" t="inlineStr">
        <is>
          <t>-29.1K1</t>
        </is>
      </c>
    </row>
    <row r="6237">
      <c r="A6237">
        <v>6236</v>
      </c>
      <c r="B6237">
        <f>GS30</f>
        <v>0</v>
      </c>
      <c r="C6237" t="inlineStr">
        <is>
          <t>+ES02</t>
        </is>
      </c>
      <c r="D6237" t="inlineStr">
        <is>
          <t>-29.1K1</t>
        </is>
      </c>
      <c r="E6237" t="inlineStr">
        <is>
          <t>DILA-XHI22</t>
        </is>
      </c>
      <c r="F6237" t="inlineStr">
        <is>
          <t>DILA-XHI22</t>
        </is>
      </c>
      <c r="G6237" t="inlineStr">
        <is>
          <t>HILFSKONTAKTBLOCK</t>
        </is>
      </c>
      <c r="H6237" t="inlineStr">
        <is>
          <t>2S 2OE Last+Hilfssch. Cage</t>
        </is>
      </c>
      <c r="I6237">
        <v>429</v>
      </c>
      <c r="J6237">
        <f>GS30/29.1.3</f>
        <v>0</v>
      </c>
      <c r="M6237" t="inlineStr">
        <is>
          <t>-29.1K1</t>
        </is>
      </c>
    </row>
    <row r="6238">
      <c r="A6238">
        <v>6237</v>
      </c>
      <c r="B6238">
        <f>GS30</f>
        <v>0</v>
      </c>
      <c r="C6238" t="inlineStr">
        <is>
          <t>+ES02</t>
        </is>
      </c>
      <c r="D6238" t="inlineStr">
        <is>
          <t>-29.1K1</t>
        </is>
      </c>
      <c r="E6238" t="inlineStr">
        <is>
          <t>DILA-40</t>
        </is>
      </c>
      <c r="F6238" t="inlineStr">
        <is>
          <t>DILA-XHI22</t>
        </is>
      </c>
      <c r="G6238" t="inlineStr">
        <is>
          <t>HILFSSCHUETZ</t>
        </is>
      </c>
      <c r="H6238" t="inlineStr">
        <is>
          <t>4S Federzugkl.</t>
        </is>
      </c>
      <c r="I6238">
        <v>429</v>
      </c>
      <c r="J6238">
        <f>GS30/29.1.3</f>
        <v>0</v>
      </c>
      <c r="M6238" t="inlineStr">
        <is>
          <t>-29.1K1</t>
        </is>
      </c>
    </row>
    <row r="6239">
      <c r="A6239">
        <v>6238</v>
      </c>
      <c r="B6239">
        <f>GS51</f>
        <v>0</v>
      </c>
      <c r="C6239" t="inlineStr">
        <is>
          <t>+ES02</t>
        </is>
      </c>
      <c r="D6239" t="inlineStr">
        <is>
          <t>-29.1K1</t>
        </is>
      </c>
      <c r="E6239" t="inlineStr">
        <is>
          <t>DILA-XHIC31</t>
        </is>
      </c>
      <c r="F6239" t="inlineStr">
        <is>
          <t>DILA-XHIC31</t>
        </is>
      </c>
      <c r="G6239" t="inlineStr">
        <is>
          <t>HILFSKONTAKTBLOCK</t>
        </is>
      </c>
      <c r="H6239" t="inlineStr">
        <is>
          <t>3S 1OE Last+Hilfssch. Cage</t>
        </is>
      </c>
      <c r="I6239">
        <v>216</v>
      </c>
      <c r="J6239">
        <f>GS51/29.1.4</f>
        <v>0</v>
      </c>
      <c r="M6239" t="inlineStr">
        <is>
          <t>-29.1K1</t>
        </is>
      </c>
    </row>
    <row r="6240">
      <c r="A6240">
        <v>6239</v>
      </c>
      <c r="B6240">
        <f>GS51</f>
        <v>0</v>
      </c>
      <c r="C6240" t="inlineStr">
        <is>
          <t>+ES02</t>
        </is>
      </c>
      <c r="D6240" t="inlineStr">
        <is>
          <t>-29.1K1</t>
        </is>
      </c>
      <c r="E6240" t="inlineStr">
        <is>
          <t>DILA-40</t>
        </is>
      </c>
      <c r="F6240" t="inlineStr">
        <is>
          <t>DILA-XHIC31</t>
        </is>
      </c>
      <c r="G6240" t="inlineStr">
        <is>
          <t>HILFSSCHUETZ</t>
        </is>
      </c>
      <c r="H6240" t="inlineStr">
        <is>
          <t>4S Federzugkl.</t>
        </is>
      </c>
      <c r="I6240">
        <v>216</v>
      </c>
      <c r="J6240">
        <f>GS51/29.1.4</f>
        <v>0</v>
      </c>
      <c r="M6240" t="inlineStr">
        <is>
          <t>-29.1K1</t>
        </is>
      </c>
    </row>
    <row r="6241">
      <c r="A6241">
        <v>6240</v>
      </c>
      <c r="B6241">
        <f>GS55</f>
        <v>0</v>
      </c>
      <c r="C6241" t="inlineStr">
        <is>
          <t>+ES02</t>
        </is>
      </c>
      <c r="D6241" t="inlineStr">
        <is>
          <t>-29.1K1</t>
        </is>
      </c>
      <c r="E6241" t="inlineStr">
        <is>
          <t>DILA-40</t>
        </is>
      </c>
      <c r="F6241" t="inlineStr">
        <is>
          <t>DILA-XHIC31</t>
        </is>
      </c>
      <c r="G6241" t="inlineStr">
        <is>
          <t>HILFSSCHUETZ</t>
        </is>
      </c>
      <c r="H6241" t="inlineStr">
        <is>
          <t>4S Federzugkl.</t>
        </is>
      </c>
      <c r="I6241">
        <v>266</v>
      </c>
      <c r="J6241">
        <f>GS55/29.1.4</f>
        <v>0</v>
      </c>
      <c r="M6241" t="inlineStr">
        <is>
          <t>-29.1K1</t>
        </is>
      </c>
    </row>
    <row r="6242">
      <c r="A6242">
        <v>6241</v>
      </c>
      <c r="B6242">
        <f>GS55</f>
        <v>0</v>
      </c>
      <c r="C6242" t="inlineStr">
        <is>
          <t>+ES02</t>
        </is>
      </c>
      <c r="D6242" t="inlineStr">
        <is>
          <t>-29.1K1</t>
        </is>
      </c>
      <c r="E6242" t="inlineStr">
        <is>
          <t>DILA-XHIC31</t>
        </is>
      </c>
      <c r="F6242" t="inlineStr">
        <is>
          <t>DILA-XHIC31</t>
        </is>
      </c>
      <c r="G6242" t="inlineStr">
        <is>
          <t>HILFSKONTAKTBLOCK</t>
        </is>
      </c>
      <c r="H6242" t="inlineStr">
        <is>
          <t>3S 1OE Last+Hilfssch. Cage</t>
        </is>
      </c>
      <c r="I6242">
        <v>266</v>
      </c>
      <c r="J6242">
        <f>GS55/29.1.4</f>
        <v>0</v>
      </c>
      <c r="M6242" t="inlineStr">
        <is>
          <t>-29.1K1</t>
        </is>
      </c>
    </row>
    <row r="6243">
      <c r="A6243">
        <v>6242</v>
      </c>
      <c r="B6243">
        <f>GS90</f>
        <v>0</v>
      </c>
      <c r="C6243" t="inlineStr">
        <is>
          <t>+ES02</t>
        </is>
      </c>
      <c r="D6243" t="inlineStr">
        <is>
          <t>-29.1K1</t>
        </is>
      </c>
      <c r="E6243" t="inlineStr">
        <is>
          <t>DILA-XHIC31</t>
        </is>
      </c>
      <c r="F6243" t="inlineStr">
        <is>
          <t>DILA-XHIC31</t>
        </is>
      </c>
      <c r="G6243" t="inlineStr">
        <is>
          <t>HILFSKONTAKTBLOCK</t>
        </is>
      </c>
      <c r="H6243" t="inlineStr">
        <is>
          <t>3S 1OE Last+Hilfssch. Cage</t>
        </is>
      </c>
      <c r="I6243">
        <v>247</v>
      </c>
      <c r="J6243">
        <f>GS90/29.1.2</f>
        <v>0</v>
      </c>
      <c r="M6243" t="inlineStr">
        <is>
          <t>-29.1K1</t>
        </is>
      </c>
    </row>
    <row r="6244">
      <c r="A6244">
        <v>6243</v>
      </c>
      <c r="B6244">
        <f>GS90</f>
        <v>0</v>
      </c>
      <c r="C6244" t="inlineStr">
        <is>
          <t>+ES02</t>
        </is>
      </c>
      <c r="D6244" t="inlineStr">
        <is>
          <t>-29.1K1</t>
        </is>
      </c>
      <c r="E6244" t="inlineStr">
        <is>
          <t>DILM-9-01</t>
        </is>
      </c>
      <c r="F6244" t="inlineStr">
        <is>
          <t>DILA-XHIC31</t>
        </is>
      </c>
      <c r="G6244" t="inlineStr">
        <is>
          <t>LASTSCHUETZ</t>
        </is>
      </c>
      <c r="H6244" t="inlineStr">
        <is>
          <t>4kW 1Oe Federzugkl.</t>
        </is>
      </c>
      <c r="I6244">
        <v>247</v>
      </c>
      <c r="J6244">
        <f>GS90/29.1.2</f>
        <v>0</v>
      </c>
      <c r="M6244" t="inlineStr">
        <is>
          <t>-29.1K1</t>
        </is>
      </c>
    </row>
    <row r="6245">
      <c r="A6245">
        <v>6244</v>
      </c>
      <c r="B6245">
        <f>GS91</f>
        <v>0</v>
      </c>
      <c r="C6245" t="inlineStr">
        <is>
          <t>+ES02</t>
        </is>
      </c>
      <c r="D6245" t="inlineStr">
        <is>
          <t>-29.1K1</t>
        </is>
      </c>
      <c r="E6245" t="inlineStr">
        <is>
          <t>DILA-40</t>
        </is>
      </c>
      <c r="F6245" t="inlineStr">
        <is>
          <t>DILA-XHIC31</t>
        </is>
      </c>
      <c r="G6245" t="inlineStr">
        <is>
          <t>HILFSSCHUETZ</t>
        </is>
      </c>
      <c r="H6245" t="inlineStr">
        <is>
          <t>4S Federzugkl.</t>
        </is>
      </c>
      <c r="I6245">
        <v>175</v>
      </c>
      <c r="J6245">
        <f>GS91/29.1.2</f>
        <v>0</v>
      </c>
      <c r="M6245" t="inlineStr">
        <is>
          <t>-29.1K1</t>
        </is>
      </c>
    </row>
    <row r="6246">
      <c r="A6246">
        <v>6245</v>
      </c>
      <c r="B6246">
        <f>GS91</f>
        <v>0</v>
      </c>
      <c r="C6246" t="inlineStr">
        <is>
          <t>+ES02</t>
        </is>
      </c>
      <c r="D6246" t="inlineStr">
        <is>
          <t>-29.1K1</t>
        </is>
      </c>
      <c r="E6246" t="inlineStr">
        <is>
          <t>DILA-XHIC31</t>
        </is>
      </c>
      <c r="F6246" t="inlineStr">
        <is>
          <t>DILA-XHIC31</t>
        </is>
      </c>
      <c r="G6246" t="inlineStr">
        <is>
          <t>HILFSKONTAKTBLOCK</t>
        </is>
      </c>
      <c r="H6246" t="inlineStr">
        <is>
          <t>3S 1OE Last+Hilfssch. Cage</t>
        </is>
      </c>
      <c r="I6246">
        <v>175</v>
      </c>
      <c r="J6246">
        <f>GS91/29.1.2</f>
        <v>0</v>
      </c>
      <c r="M6246" t="inlineStr">
        <is>
          <t>-29.1K1</t>
        </is>
      </c>
    </row>
    <row r="6247">
      <c r="A6247">
        <v>6246</v>
      </c>
      <c r="B6247">
        <f>GS06</f>
        <v>0</v>
      </c>
      <c r="C6247" t="inlineStr">
        <is>
          <t>+ES02</t>
        </is>
      </c>
      <c r="D6247" t="inlineStr">
        <is>
          <t>-29.1K2</t>
        </is>
      </c>
      <c r="E6247" t="inlineStr">
        <is>
          <t>DILA-40</t>
        </is>
      </c>
      <c r="F6247" t="inlineStr">
        <is>
          <t>DILA-XHIC31</t>
        </is>
      </c>
      <c r="G6247" t="inlineStr">
        <is>
          <t>HILFSSCHUETZ</t>
        </is>
      </c>
      <c r="H6247" t="inlineStr">
        <is>
          <t>4S Federzugkl.</t>
        </is>
      </c>
      <c r="I6247">
        <v>1558</v>
      </c>
      <c r="J6247">
        <f>GS06/29.1.5</f>
        <v>0</v>
      </c>
      <c r="M6247" t="inlineStr">
        <is>
          <t>-29.1K2</t>
        </is>
      </c>
    </row>
    <row r="6248">
      <c r="A6248">
        <v>6247</v>
      </c>
      <c r="B6248">
        <f>GS06</f>
        <v>0</v>
      </c>
      <c r="C6248" t="inlineStr">
        <is>
          <t>+ES02</t>
        </is>
      </c>
      <c r="D6248" t="inlineStr">
        <is>
          <t>-29.1K2</t>
        </is>
      </c>
      <c r="E6248" t="inlineStr">
        <is>
          <t>DILA-XHIC31</t>
        </is>
      </c>
      <c r="F6248" t="inlineStr">
        <is>
          <t>DILA-XHIC31</t>
        </is>
      </c>
      <c r="G6248" t="inlineStr">
        <is>
          <t>HILFSKONTAKTBLOCK</t>
        </is>
      </c>
      <c r="H6248" t="inlineStr">
        <is>
          <t>3S 1OE Last+Hilfssch. Cage</t>
        </is>
      </c>
      <c r="I6248">
        <v>1558</v>
      </c>
      <c r="J6248">
        <f>GS06/29.1.5</f>
        <v>0</v>
      </c>
      <c r="M6248" t="inlineStr">
        <is>
          <t>-29.1K2</t>
        </is>
      </c>
    </row>
    <row r="6249">
      <c r="A6249">
        <v>6248</v>
      </c>
      <c r="B6249">
        <f>GS08</f>
        <v>0</v>
      </c>
      <c r="C6249" t="inlineStr">
        <is>
          <t>+ES02</t>
        </is>
      </c>
      <c r="D6249" t="inlineStr">
        <is>
          <t>-29.1K2</t>
        </is>
      </c>
      <c r="E6249" t="inlineStr">
        <is>
          <t>DILA-XHIC31</t>
        </is>
      </c>
      <c r="F6249" t="inlineStr">
        <is>
          <t>DILA-XHIC31</t>
        </is>
      </c>
      <c r="G6249" t="inlineStr">
        <is>
          <t>HILFSKONTAKTBLOCK</t>
        </is>
      </c>
      <c r="H6249" t="inlineStr">
        <is>
          <t>3S 1OE Last+Hilfssch. Cage</t>
        </is>
      </c>
      <c r="I6249">
        <v>1558</v>
      </c>
      <c r="J6249">
        <f>GS08/29.1.5</f>
        <v>0</v>
      </c>
      <c r="M6249" t="inlineStr">
        <is>
          <t>-29.1K2</t>
        </is>
      </c>
    </row>
    <row r="6250">
      <c r="A6250">
        <v>6249</v>
      </c>
      <c r="B6250">
        <f>GS08</f>
        <v>0</v>
      </c>
      <c r="C6250" t="inlineStr">
        <is>
          <t>+ES02</t>
        </is>
      </c>
      <c r="D6250" t="inlineStr">
        <is>
          <t>-29.1K2</t>
        </is>
      </c>
      <c r="E6250" t="inlineStr">
        <is>
          <t>DILA-40</t>
        </is>
      </c>
      <c r="F6250" t="inlineStr">
        <is>
          <t>DILA-XHIC31</t>
        </is>
      </c>
      <c r="G6250" t="inlineStr">
        <is>
          <t>HILFSSCHUETZ</t>
        </is>
      </c>
      <c r="H6250" t="inlineStr">
        <is>
          <t>4S Federzugkl.</t>
        </is>
      </c>
      <c r="I6250">
        <v>1558</v>
      </c>
      <c r="J6250">
        <f>GS08/29.1.5</f>
        <v>0</v>
      </c>
      <c r="M6250" t="inlineStr">
        <is>
          <t>-29.1K2</t>
        </is>
      </c>
    </row>
    <row r="6251">
      <c r="A6251">
        <v>6250</v>
      </c>
      <c r="B6251">
        <f>GS20</f>
        <v>0</v>
      </c>
      <c r="C6251" t="inlineStr">
        <is>
          <t>+ES02</t>
        </is>
      </c>
      <c r="D6251" t="inlineStr">
        <is>
          <t>-29.1K2</t>
        </is>
      </c>
      <c r="E6251" t="inlineStr">
        <is>
          <t>DILA-XHI22</t>
        </is>
      </c>
      <c r="F6251" t="inlineStr">
        <is>
          <t>DILA-XHI22</t>
        </is>
      </c>
      <c r="G6251" t="inlineStr">
        <is>
          <t>HILFSKONTAKTBLOCK</t>
        </is>
      </c>
      <c r="H6251" t="inlineStr">
        <is>
          <t>2S 2OE Last+Hilfssch. Cage</t>
        </is>
      </c>
      <c r="I6251">
        <v>429</v>
      </c>
      <c r="J6251">
        <f>GS20/29.1.3</f>
        <v>0</v>
      </c>
      <c r="M6251" t="inlineStr">
        <is>
          <t>-29.1K2</t>
        </is>
      </c>
    </row>
    <row r="6252">
      <c r="A6252">
        <v>6251</v>
      </c>
      <c r="B6252">
        <f>GS20</f>
        <v>0</v>
      </c>
      <c r="C6252" t="inlineStr">
        <is>
          <t>+ES02</t>
        </is>
      </c>
      <c r="D6252" t="inlineStr">
        <is>
          <t>-29.1K2</t>
        </is>
      </c>
      <c r="E6252" t="inlineStr">
        <is>
          <t>DILA-40</t>
        </is>
      </c>
      <c r="F6252" t="inlineStr">
        <is>
          <t>DILA-XHI22</t>
        </is>
      </c>
      <c r="G6252" t="inlineStr">
        <is>
          <t>HILFSSCHUETZ</t>
        </is>
      </c>
      <c r="H6252" t="inlineStr">
        <is>
          <t>4S Federzugkl.</t>
        </is>
      </c>
      <c r="I6252">
        <v>429</v>
      </c>
      <c r="J6252">
        <f>GS20/29.1.3</f>
        <v>0</v>
      </c>
      <c r="M6252" t="inlineStr">
        <is>
          <t>-29.1K2</t>
        </is>
      </c>
    </row>
    <row r="6253">
      <c r="A6253">
        <v>6252</v>
      </c>
      <c r="B6253">
        <f>GS30</f>
        <v>0</v>
      </c>
      <c r="C6253" t="inlineStr">
        <is>
          <t>+ES02</t>
        </is>
      </c>
      <c r="D6253" t="inlineStr">
        <is>
          <t>-29.1K2</t>
        </is>
      </c>
      <c r="E6253" t="inlineStr">
        <is>
          <t>DILA-XHI22</t>
        </is>
      </c>
      <c r="F6253" t="inlineStr">
        <is>
          <t>DILA-XHI22</t>
        </is>
      </c>
      <c r="G6253" t="inlineStr">
        <is>
          <t>HILFSKONTAKTBLOCK</t>
        </is>
      </c>
      <c r="H6253" t="inlineStr">
        <is>
          <t>2S 2OE Last+Hilfssch. Cage</t>
        </is>
      </c>
      <c r="I6253">
        <v>429</v>
      </c>
      <c r="J6253">
        <f>GS30/29.1.3</f>
        <v>0</v>
      </c>
      <c r="M6253" t="inlineStr">
        <is>
          <t>-29.1K2</t>
        </is>
      </c>
    </row>
    <row r="6254">
      <c r="A6254">
        <v>6253</v>
      </c>
      <c r="B6254">
        <f>GS30</f>
        <v>0</v>
      </c>
      <c r="C6254" t="inlineStr">
        <is>
          <t>+ES02</t>
        </is>
      </c>
      <c r="D6254" t="inlineStr">
        <is>
          <t>-29.1K2</t>
        </is>
      </c>
      <c r="E6254" t="inlineStr">
        <is>
          <t>DILA-40</t>
        </is>
      </c>
      <c r="F6254" t="inlineStr">
        <is>
          <t>DILA-XHI22</t>
        </is>
      </c>
      <c r="G6254" t="inlineStr">
        <is>
          <t>HILFSSCHUETZ</t>
        </is>
      </c>
      <c r="H6254" t="inlineStr">
        <is>
          <t>4S Federzugkl.</t>
        </is>
      </c>
      <c r="I6254">
        <v>429</v>
      </c>
      <c r="J6254">
        <f>GS30/29.1.3</f>
        <v>0</v>
      </c>
      <c r="M6254" t="inlineStr">
        <is>
          <t>-29.1K2</t>
        </is>
      </c>
    </row>
    <row r="6255">
      <c r="A6255">
        <v>6254</v>
      </c>
      <c r="B6255">
        <f>GS51</f>
        <v>0</v>
      </c>
      <c r="C6255" t="inlineStr">
        <is>
          <t>+ES02</t>
        </is>
      </c>
      <c r="D6255" t="inlineStr">
        <is>
          <t>-29.1K2</t>
        </is>
      </c>
      <c r="E6255" t="inlineStr">
        <is>
          <t>DILA-XHIC31</t>
        </is>
      </c>
      <c r="F6255" t="inlineStr">
        <is>
          <t>DILA-XHIC31</t>
        </is>
      </c>
      <c r="G6255" t="inlineStr">
        <is>
          <t>HILFSKONTAKTBLOCK</t>
        </is>
      </c>
      <c r="H6255" t="inlineStr">
        <is>
          <t>3S 1OE Last+Hilfssch. Cage</t>
        </is>
      </c>
      <c r="I6255">
        <v>216</v>
      </c>
      <c r="J6255">
        <f>GS51/29.1.5</f>
        <v>0</v>
      </c>
      <c r="M6255" t="inlineStr">
        <is>
          <t>-29.1K2</t>
        </is>
      </c>
    </row>
    <row r="6256">
      <c r="A6256">
        <v>6255</v>
      </c>
      <c r="B6256">
        <f>GS51</f>
        <v>0</v>
      </c>
      <c r="C6256" t="inlineStr">
        <is>
          <t>+ES02</t>
        </is>
      </c>
      <c r="D6256" t="inlineStr">
        <is>
          <t>-29.1K2</t>
        </is>
      </c>
      <c r="E6256" t="inlineStr">
        <is>
          <t>DILA-40</t>
        </is>
      </c>
      <c r="F6256" t="inlineStr">
        <is>
          <t>DILA-XHIC31</t>
        </is>
      </c>
      <c r="G6256" t="inlineStr">
        <is>
          <t>HILFSSCHUETZ</t>
        </is>
      </c>
      <c r="H6256" t="inlineStr">
        <is>
          <t>4S Federzugkl.</t>
        </is>
      </c>
      <c r="I6256">
        <v>216</v>
      </c>
      <c r="J6256">
        <f>GS51/29.1.5</f>
        <v>0</v>
      </c>
      <c r="M6256" t="inlineStr">
        <is>
          <t>-29.1K2</t>
        </is>
      </c>
    </row>
    <row r="6257">
      <c r="A6257">
        <v>6256</v>
      </c>
      <c r="B6257">
        <f>GS55</f>
        <v>0</v>
      </c>
      <c r="C6257" t="inlineStr">
        <is>
          <t>+ES02</t>
        </is>
      </c>
      <c r="D6257" t="inlineStr">
        <is>
          <t>-29.1K2</t>
        </is>
      </c>
      <c r="E6257" t="inlineStr">
        <is>
          <t>DILA-40</t>
        </is>
      </c>
      <c r="F6257" t="inlineStr">
        <is>
          <t>DILA-XHIC31</t>
        </is>
      </c>
      <c r="G6257" t="inlineStr">
        <is>
          <t>HILFSSCHUETZ</t>
        </is>
      </c>
      <c r="H6257" t="inlineStr">
        <is>
          <t>4S Federzugkl.</t>
        </is>
      </c>
      <c r="I6257">
        <v>266</v>
      </c>
      <c r="J6257">
        <f>GS55/29.1.5</f>
        <v>0</v>
      </c>
      <c r="M6257" t="inlineStr">
        <is>
          <t>-29.1K2</t>
        </is>
      </c>
    </row>
    <row r="6258">
      <c r="A6258">
        <v>6257</v>
      </c>
      <c r="B6258">
        <f>GS55</f>
        <v>0</v>
      </c>
      <c r="C6258" t="inlineStr">
        <is>
          <t>+ES02</t>
        </is>
      </c>
      <c r="D6258" t="inlineStr">
        <is>
          <t>-29.1K2</t>
        </is>
      </c>
      <c r="E6258" t="inlineStr">
        <is>
          <t>DILA-XHIC31</t>
        </is>
      </c>
      <c r="F6258" t="inlineStr">
        <is>
          <t>DILA-XHIC31</t>
        </is>
      </c>
      <c r="G6258" t="inlineStr">
        <is>
          <t>HILFSKONTAKTBLOCK</t>
        </is>
      </c>
      <c r="H6258" t="inlineStr">
        <is>
          <t>3S 1OE Last+Hilfssch. Cage</t>
        </is>
      </c>
      <c r="I6258">
        <v>266</v>
      </c>
      <c r="J6258">
        <f>GS55/29.1.5</f>
        <v>0</v>
      </c>
      <c r="M6258" t="inlineStr">
        <is>
          <t>-29.1K2</t>
        </is>
      </c>
    </row>
    <row r="6259">
      <c r="A6259">
        <v>6258</v>
      </c>
      <c r="B6259">
        <f>GS90</f>
        <v>0</v>
      </c>
      <c r="C6259" t="inlineStr">
        <is>
          <t>+ES02</t>
        </is>
      </c>
      <c r="D6259" t="inlineStr">
        <is>
          <t>-29.1K2</t>
        </is>
      </c>
      <c r="E6259" t="inlineStr">
        <is>
          <t>DILA-XHIC31</t>
        </is>
      </c>
      <c r="F6259" t="inlineStr">
        <is>
          <t>DILA-XHIC31</t>
        </is>
      </c>
      <c r="G6259" t="inlineStr">
        <is>
          <t>HILFSKONTAKTBLOCK</t>
        </is>
      </c>
      <c r="H6259" t="inlineStr">
        <is>
          <t>3S 1OE Last+Hilfssch. Cage</t>
        </is>
      </c>
      <c r="I6259">
        <v>247</v>
      </c>
      <c r="J6259">
        <f>GS90/29.1.3</f>
        <v>0</v>
      </c>
      <c r="M6259" t="inlineStr">
        <is>
          <t>-29.1K2</t>
        </is>
      </c>
    </row>
    <row r="6260">
      <c r="A6260">
        <v>6259</v>
      </c>
      <c r="B6260">
        <f>GS90</f>
        <v>0</v>
      </c>
      <c r="C6260" t="inlineStr">
        <is>
          <t>+ES02</t>
        </is>
      </c>
      <c r="D6260" t="inlineStr">
        <is>
          <t>-29.1K2</t>
        </is>
      </c>
      <c r="E6260" t="inlineStr">
        <is>
          <t>DILM-9-01</t>
        </is>
      </c>
      <c r="F6260" t="inlineStr">
        <is>
          <t>DILA-XHIC31</t>
        </is>
      </c>
      <c r="G6260" t="inlineStr">
        <is>
          <t>LASTSCHUETZ</t>
        </is>
      </c>
      <c r="H6260" t="inlineStr">
        <is>
          <t>4kW 1Oe Federzugkl.</t>
        </is>
      </c>
      <c r="I6260">
        <v>247</v>
      </c>
      <c r="J6260">
        <f>GS90/29.1.3</f>
        <v>0</v>
      </c>
      <c r="M6260" t="inlineStr">
        <is>
          <t>-29.1K2</t>
        </is>
      </c>
    </row>
    <row r="6261">
      <c r="A6261">
        <v>6260</v>
      </c>
      <c r="B6261">
        <f>GS91</f>
        <v>0</v>
      </c>
      <c r="C6261" t="inlineStr">
        <is>
          <t>+ES02</t>
        </is>
      </c>
      <c r="D6261" t="inlineStr">
        <is>
          <t>-29.1K2</t>
        </is>
      </c>
      <c r="E6261" t="inlineStr">
        <is>
          <t>DILA-40</t>
        </is>
      </c>
      <c r="F6261" t="inlineStr">
        <is>
          <t>DILA-XHIC31</t>
        </is>
      </c>
      <c r="G6261" t="inlineStr">
        <is>
          <t>HILFSSCHUETZ</t>
        </is>
      </c>
      <c r="H6261" t="inlineStr">
        <is>
          <t>4S Federzugkl.</t>
        </is>
      </c>
      <c r="I6261">
        <v>175</v>
      </c>
      <c r="J6261">
        <f>GS91/29.1.3</f>
        <v>0</v>
      </c>
      <c r="M6261" t="inlineStr">
        <is>
          <t>-29.1K2</t>
        </is>
      </c>
    </row>
    <row r="6262">
      <c r="A6262">
        <v>6261</v>
      </c>
      <c r="B6262">
        <f>GS91</f>
        <v>0</v>
      </c>
      <c r="C6262" t="inlineStr">
        <is>
          <t>+ES02</t>
        </is>
      </c>
      <c r="D6262" t="inlineStr">
        <is>
          <t>-29.1K2</t>
        </is>
      </c>
      <c r="E6262" t="inlineStr">
        <is>
          <t>DILA-XHIC31</t>
        </is>
      </c>
      <c r="F6262" t="inlineStr">
        <is>
          <t>DILA-XHIC31</t>
        </is>
      </c>
      <c r="G6262" t="inlineStr">
        <is>
          <t>HILFSKONTAKTBLOCK</t>
        </is>
      </c>
      <c r="H6262" t="inlineStr">
        <is>
          <t>3S 1OE Last+Hilfssch. Cage</t>
        </is>
      </c>
      <c r="I6262">
        <v>175</v>
      </c>
      <c r="J6262">
        <f>GS91/29.1.3</f>
        <v>0</v>
      </c>
      <c r="M6262" t="inlineStr">
        <is>
          <t>-29.1K2</t>
        </is>
      </c>
    </row>
    <row r="6263">
      <c r="A6263">
        <v>6262</v>
      </c>
      <c r="B6263">
        <f>GS14</f>
        <v>0</v>
      </c>
      <c r="C6263" t="inlineStr">
        <is>
          <t>+LS6</t>
        </is>
      </c>
      <c r="D6263" t="inlineStr">
        <is>
          <t>-290K1</t>
        </is>
      </c>
      <c r="E6263" t="inlineStr">
        <is>
          <t>DIL_0AM</t>
        </is>
      </c>
      <c r="F6263" t="inlineStr">
        <is>
          <t>22_DIL-M</t>
        </is>
      </c>
      <c r="G6263" t="inlineStr">
        <is>
          <t>LASTSCHUETZ</t>
        </is>
      </c>
      <c r="H6263" t="inlineStr">
        <is>
          <t>11 kW</t>
        </is>
      </c>
      <c r="I6263">
        <v>419</v>
      </c>
      <c r="J6263">
        <f>GS14/290.2</f>
        <v>0</v>
      </c>
      <c r="K6263" t="inlineStr">
        <is>
          <t>DIL0AM</t>
        </is>
      </c>
      <c r="M6263" t="inlineStr">
        <is>
          <t>-290K1</t>
        </is>
      </c>
    </row>
    <row r="6264">
      <c r="A6264">
        <v>6263</v>
      </c>
      <c r="B6264">
        <f>GS14</f>
        <v>0</v>
      </c>
      <c r="C6264" t="inlineStr">
        <is>
          <t>+LS6</t>
        </is>
      </c>
      <c r="D6264" t="inlineStr">
        <is>
          <t>-290K1</t>
        </is>
      </c>
      <c r="E6264" t="inlineStr">
        <is>
          <t>22_DIL-M</t>
        </is>
      </c>
      <c r="F6264" t="inlineStr">
        <is>
          <t>22_DIL-M</t>
        </is>
      </c>
      <c r="G6264" t="inlineStr">
        <is>
          <t>HILFSKONTAKTBLOCK</t>
        </is>
      </c>
      <c r="H6264" t="inlineStr">
        <is>
          <t>2S 2OE Lastschuetz DIL M</t>
        </is>
      </c>
      <c r="I6264">
        <v>419</v>
      </c>
      <c r="J6264">
        <f>GS14/290.2</f>
        <v>0</v>
      </c>
      <c r="K6264" t="inlineStr">
        <is>
          <t>DIL0AM</t>
        </is>
      </c>
      <c r="M6264" t="inlineStr">
        <is>
          <t>-290K1</t>
        </is>
      </c>
    </row>
    <row r="6265">
      <c r="A6265">
        <v>6264</v>
      </c>
      <c r="B6265">
        <f>GS31</f>
        <v>0</v>
      </c>
      <c r="C6265" t="inlineStr">
        <is>
          <t>+LS5</t>
        </is>
      </c>
      <c r="D6265" t="inlineStr">
        <is>
          <t>-290K1</t>
        </is>
      </c>
      <c r="E6265" t="inlineStr">
        <is>
          <t>22_DIL-M</t>
        </is>
      </c>
      <c r="F6265" t="inlineStr">
        <is>
          <t>22_DIL-M</t>
        </is>
      </c>
      <c r="G6265" t="inlineStr">
        <is>
          <t>HILFSKONTAKTBLOCK</t>
        </is>
      </c>
      <c r="H6265" t="inlineStr">
        <is>
          <t>2S 2OE Lastschuetz DIL M</t>
        </is>
      </c>
      <c r="I6265">
        <v>581</v>
      </c>
      <c r="J6265">
        <f>GS31/290.2</f>
        <v>0</v>
      </c>
      <c r="K6265" t="inlineStr">
        <is>
          <t>DIL2AM</t>
        </is>
      </c>
      <c r="M6265" t="inlineStr">
        <is>
          <t>-290K1</t>
        </is>
      </c>
    </row>
    <row r="6266">
      <c r="A6266">
        <v>6265</v>
      </c>
      <c r="B6266">
        <f>GS31</f>
        <v>0</v>
      </c>
      <c r="C6266" t="inlineStr">
        <is>
          <t>+LS5</t>
        </is>
      </c>
      <c r="D6266" t="inlineStr">
        <is>
          <t>-290K1</t>
        </is>
      </c>
      <c r="E6266" t="inlineStr">
        <is>
          <t>DIL_2AM</t>
        </is>
      </c>
      <c r="F6266" t="inlineStr">
        <is>
          <t>22_DIL-M</t>
        </is>
      </c>
      <c r="G6266" t="inlineStr">
        <is>
          <t>LASTSCHUETZ</t>
        </is>
      </c>
      <c r="H6266" t="inlineStr">
        <is>
          <t>30 kW</t>
        </is>
      </c>
      <c r="I6266">
        <v>581</v>
      </c>
      <c r="J6266">
        <f>GS31/290.2</f>
        <v>0</v>
      </c>
      <c r="K6266" t="inlineStr">
        <is>
          <t>DIL2AM</t>
        </is>
      </c>
      <c r="M6266" t="inlineStr">
        <is>
          <t>-290K1</t>
        </is>
      </c>
    </row>
    <row r="6267">
      <c r="A6267">
        <v>6266</v>
      </c>
      <c r="B6267">
        <f>GS34</f>
        <v>0</v>
      </c>
      <c r="C6267" t="inlineStr">
        <is>
          <t>+LS6</t>
        </is>
      </c>
      <c r="D6267" t="inlineStr">
        <is>
          <t>-290K1</t>
        </is>
      </c>
      <c r="E6267" t="inlineStr">
        <is>
          <t>DIL_EM-10-G</t>
        </is>
      </c>
      <c r="F6267" t="inlineStr">
        <is>
          <t>#KALK!</t>
        </is>
      </c>
      <c r="G6267" t="inlineStr">
        <is>
          <t>LASTSCHUETZ</t>
        </is>
      </c>
      <c r="H6267" t="inlineStr">
        <is>
          <t>4kW 1S</t>
        </is>
      </c>
      <c r="I6267">
        <v>415</v>
      </c>
      <c r="J6267">
        <f>GS34/290.5</f>
        <v>0</v>
      </c>
      <c r="M6267" t="inlineStr">
        <is>
          <t>-290K1</t>
        </is>
      </c>
    </row>
    <row r="6268">
      <c r="A6268">
        <v>6267</v>
      </c>
      <c r="B6268">
        <f>GS11</f>
        <v>0</v>
      </c>
      <c r="C6268" t="inlineStr">
        <is>
          <t>+LS6</t>
        </is>
      </c>
      <c r="D6268" t="inlineStr">
        <is>
          <t>-290K17.4</t>
        </is>
      </c>
      <c r="E6268" t="inlineStr">
        <is>
          <t>DIL_EM-10-G</t>
        </is>
      </c>
      <c r="F6268" t="inlineStr">
        <is>
          <t>#KALK!</t>
        </is>
      </c>
      <c r="G6268" t="inlineStr">
        <is>
          <t>LASTSCHUETZ</t>
        </is>
      </c>
      <c r="H6268" t="inlineStr">
        <is>
          <t>4kW 1S</t>
        </is>
      </c>
      <c r="I6268">
        <v>401</v>
      </c>
      <c r="J6268">
        <f>GS11/290.7</f>
        <v>0</v>
      </c>
      <c r="M6268" t="inlineStr">
        <is>
          <t>-290K17.4</t>
        </is>
      </c>
    </row>
    <row r="6269">
      <c r="A6269">
        <v>6268</v>
      </c>
      <c r="B6269">
        <f>GS21</f>
        <v>0</v>
      </c>
      <c r="C6269" t="inlineStr">
        <is>
          <t>+LS6</t>
        </is>
      </c>
      <c r="D6269" t="inlineStr">
        <is>
          <t>-290K17.4</t>
        </is>
      </c>
      <c r="E6269" t="inlineStr">
        <is>
          <t>DIL_EM-10-G</t>
        </is>
      </c>
      <c r="F6269" t="inlineStr">
        <is>
          <t>#KALK!</t>
        </is>
      </c>
      <c r="G6269" t="inlineStr">
        <is>
          <t>LASTSCHUETZ</t>
        </is>
      </c>
      <c r="H6269" t="inlineStr">
        <is>
          <t>4kW 1S</t>
        </is>
      </c>
      <c r="I6269">
        <v>378</v>
      </c>
      <c r="J6269">
        <f>GS21/290.7</f>
        <v>0</v>
      </c>
      <c r="M6269" t="inlineStr">
        <is>
          <t>-290K17.4</t>
        </is>
      </c>
    </row>
    <row r="6270">
      <c r="A6270">
        <v>6269</v>
      </c>
      <c r="B6270">
        <f>GS92</f>
        <v>0</v>
      </c>
      <c r="C6270" t="inlineStr">
        <is>
          <t>+LS04</t>
        </is>
      </c>
      <c r="D6270" t="inlineStr">
        <is>
          <t>-290K187.0</t>
        </is>
      </c>
      <c r="E6270" t="inlineStr">
        <is>
          <t>DILA-40</t>
        </is>
      </c>
      <c r="F6270" t="inlineStr">
        <is>
          <t>#KALK!</t>
        </is>
      </c>
      <c r="G6270" t="inlineStr">
        <is>
          <t>HILFSSCHUETZ</t>
        </is>
      </c>
      <c r="H6270" t="inlineStr">
        <is>
          <t>4S Federzugkl.</t>
        </is>
      </c>
      <c r="I6270">
        <v>436</v>
      </c>
      <c r="J6270">
        <f>GS92/290.7</f>
        <v>0</v>
      </c>
      <c r="M6270" t="inlineStr">
        <is>
          <t>-290K187.0</t>
        </is>
      </c>
    </row>
    <row r="6271">
      <c r="A6271">
        <v>6270</v>
      </c>
      <c r="B6271">
        <f>GS31</f>
        <v>0</v>
      </c>
      <c r="C6271" t="inlineStr">
        <is>
          <t>+LS5</t>
        </is>
      </c>
      <c r="D6271" t="inlineStr">
        <is>
          <t>-290K2</t>
        </is>
      </c>
      <c r="E6271" t="inlineStr">
        <is>
          <t>22_DIL-M</t>
        </is>
      </c>
      <c r="F6271" t="inlineStr">
        <is>
          <t>22_DIL-M</t>
        </is>
      </c>
      <c r="G6271" t="inlineStr">
        <is>
          <t>HILFSKONTAKTBLOCK</t>
        </is>
      </c>
      <c r="H6271" t="inlineStr">
        <is>
          <t>2S 2OE Lastschuetz DIL M</t>
        </is>
      </c>
      <c r="I6271">
        <v>581</v>
      </c>
      <c r="J6271">
        <f>GS31/290.3</f>
        <v>0</v>
      </c>
      <c r="K6271" t="inlineStr">
        <is>
          <t>DIL0AM</t>
        </is>
      </c>
      <c r="M6271" t="inlineStr">
        <is>
          <t>-290K2</t>
        </is>
      </c>
    </row>
    <row r="6272">
      <c r="A6272">
        <v>6271</v>
      </c>
      <c r="B6272">
        <f>GS31</f>
        <v>0</v>
      </c>
      <c r="C6272" t="inlineStr">
        <is>
          <t>+LS5</t>
        </is>
      </c>
      <c r="D6272" t="inlineStr">
        <is>
          <t>-290K2</t>
        </is>
      </c>
      <c r="E6272" t="inlineStr">
        <is>
          <t>DIL_0AM</t>
        </is>
      </c>
      <c r="F6272" t="inlineStr">
        <is>
          <t>22_DIL-M</t>
        </is>
      </c>
      <c r="G6272" t="inlineStr">
        <is>
          <t>LASTSCHUETZ</t>
        </is>
      </c>
      <c r="H6272" t="inlineStr">
        <is>
          <t>11 kW</t>
        </is>
      </c>
      <c r="I6272">
        <v>581</v>
      </c>
      <c r="J6272">
        <f>GS31/290.3</f>
        <v>0</v>
      </c>
      <c r="K6272" t="inlineStr">
        <is>
          <t>DIL0AM</t>
        </is>
      </c>
      <c r="M6272" t="inlineStr">
        <is>
          <t>-290K2</t>
        </is>
      </c>
    </row>
    <row r="6273">
      <c r="A6273">
        <v>6272</v>
      </c>
      <c r="B6273">
        <f>GS31</f>
        <v>0</v>
      </c>
      <c r="C6273" t="inlineStr">
        <is>
          <t>+LS5</t>
        </is>
      </c>
      <c r="D6273" t="inlineStr">
        <is>
          <t>-290K3</t>
        </is>
      </c>
      <c r="E6273" t="inlineStr">
        <is>
          <t>22_DIL-M</t>
        </is>
      </c>
      <c r="F6273" t="inlineStr">
        <is>
          <t>22_DIL-M</t>
        </is>
      </c>
      <c r="G6273" t="inlineStr">
        <is>
          <t>HILFSKONTAKTBLOCK</t>
        </is>
      </c>
      <c r="H6273" t="inlineStr">
        <is>
          <t>2S 2OE Lastschuetz DIL M</t>
        </is>
      </c>
      <c r="I6273">
        <v>581</v>
      </c>
      <c r="J6273">
        <f>GS31/290.4</f>
        <v>0</v>
      </c>
      <c r="K6273" t="inlineStr">
        <is>
          <t>DIL0AM</t>
        </is>
      </c>
      <c r="M6273" t="inlineStr">
        <is>
          <t>-290K3</t>
        </is>
      </c>
    </row>
    <row r="6274">
      <c r="A6274">
        <v>6273</v>
      </c>
      <c r="B6274">
        <f>GS31</f>
        <v>0</v>
      </c>
      <c r="C6274" t="inlineStr">
        <is>
          <t>+LS5</t>
        </is>
      </c>
      <c r="D6274" t="inlineStr">
        <is>
          <t>-290K3</t>
        </is>
      </c>
      <c r="E6274" t="inlineStr">
        <is>
          <t>DIL_0AM</t>
        </is>
      </c>
      <c r="F6274" t="inlineStr">
        <is>
          <t>22_DIL-M</t>
        </is>
      </c>
      <c r="G6274" t="inlineStr">
        <is>
          <t>LASTSCHUETZ</t>
        </is>
      </c>
      <c r="H6274" t="inlineStr">
        <is>
          <t>11 kW</t>
        </is>
      </c>
      <c r="I6274">
        <v>581</v>
      </c>
      <c r="J6274">
        <f>GS31/290.4</f>
        <v>0</v>
      </c>
      <c r="K6274" t="inlineStr">
        <is>
          <t>DIL0AM</t>
        </is>
      </c>
      <c r="M6274" t="inlineStr">
        <is>
          <t>-290K3</t>
        </is>
      </c>
    </row>
    <row r="6275">
      <c r="A6275">
        <v>6274</v>
      </c>
      <c r="B6275">
        <f>GC22</f>
        <v>0</v>
      </c>
      <c r="C6275" t="inlineStr">
        <is>
          <t>+LS4</t>
        </is>
      </c>
      <c r="D6275" t="inlineStr">
        <is>
          <t>-290K34.4</t>
        </is>
      </c>
      <c r="E6275" t="inlineStr">
        <is>
          <t>DILM-9-01</t>
        </is>
      </c>
      <c r="F6275" t="inlineStr">
        <is>
          <t>#KALK!</t>
        </is>
      </c>
      <c r="G6275" t="inlineStr">
        <is>
          <t>LASTSCHUETZ</t>
        </is>
      </c>
      <c r="H6275" t="inlineStr">
        <is>
          <t>4kW 1Oe Federzugkl.</t>
        </is>
      </c>
      <c r="I6275">
        <v>3954</v>
      </c>
      <c r="J6275">
        <f>GC22/290.6</f>
        <v>0</v>
      </c>
      <c r="M6275" t="inlineStr">
        <is>
          <t>-290K34.4</t>
        </is>
      </c>
    </row>
    <row r="6276">
      <c r="A6276">
        <v>6275</v>
      </c>
      <c r="B6276">
        <f>GS12</f>
        <v>0</v>
      </c>
      <c r="C6276" t="inlineStr">
        <is>
          <t>+LS4</t>
        </is>
      </c>
      <c r="D6276" t="inlineStr">
        <is>
          <t>-290K34.4</t>
        </is>
      </c>
      <c r="E6276" t="inlineStr">
        <is>
          <t>DILM-9-01</t>
        </is>
      </c>
      <c r="F6276" t="inlineStr">
        <is>
          <t>#KALK!</t>
        </is>
      </c>
      <c r="G6276" t="inlineStr">
        <is>
          <t>LASTSCHUETZ</t>
        </is>
      </c>
      <c r="H6276" t="inlineStr">
        <is>
          <t>4kW 1Oe Federzugkl.</t>
        </is>
      </c>
      <c r="I6276">
        <v>422</v>
      </c>
      <c r="J6276">
        <f>GS12/290.6</f>
        <v>0</v>
      </c>
      <c r="M6276" t="inlineStr">
        <is>
          <t>-290K34.4</t>
        </is>
      </c>
    </row>
    <row r="6277">
      <c r="A6277">
        <v>6276</v>
      </c>
      <c r="B6277">
        <f>GC22</f>
        <v>0</v>
      </c>
      <c r="C6277" t="inlineStr">
        <is>
          <t>+LS4</t>
        </is>
      </c>
      <c r="D6277" t="inlineStr">
        <is>
          <t>-290K34.5</t>
        </is>
      </c>
      <c r="E6277" t="inlineStr">
        <is>
          <t>DIL_EM-10-G</t>
        </is>
      </c>
      <c r="F6277" t="inlineStr">
        <is>
          <t>#KALK!</t>
        </is>
      </c>
      <c r="G6277" t="inlineStr">
        <is>
          <t>LASTSCHUETZ</t>
        </is>
      </c>
      <c r="H6277" t="inlineStr">
        <is>
          <t>4kW 1S</t>
        </is>
      </c>
      <c r="I6277">
        <v>3954</v>
      </c>
      <c r="J6277">
        <f>GC22/290.7</f>
        <v>0</v>
      </c>
      <c r="M6277" t="inlineStr">
        <is>
          <t>-290K34.5</t>
        </is>
      </c>
    </row>
    <row r="6278">
      <c r="A6278">
        <v>6277</v>
      </c>
      <c r="B6278">
        <f>GS12</f>
        <v>0</v>
      </c>
      <c r="C6278" t="inlineStr">
        <is>
          <t>+LS4</t>
        </is>
      </c>
      <c r="D6278" t="inlineStr">
        <is>
          <t>-290K34.5</t>
        </is>
      </c>
      <c r="E6278" t="inlineStr">
        <is>
          <t>DIL_EM-10-G</t>
        </is>
      </c>
      <c r="F6278" t="inlineStr">
        <is>
          <t>#KALK!</t>
        </is>
      </c>
      <c r="G6278" t="inlineStr">
        <is>
          <t>LASTSCHUETZ</t>
        </is>
      </c>
      <c r="H6278" t="inlineStr">
        <is>
          <t>4kW 1S</t>
        </is>
      </c>
      <c r="I6278">
        <v>422</v>
      </c>
      <c r="J6278">
        <f>GS12/290.7</f>
        <v>0</v>
      </c>
      <c r="M6278" t="inlineStr">
        <is>
          <t>-290K34.5</t>
        </is>
      </c>
    </row>
    <row r="6279">
      <c r="A6279">
        <v>6278</v>
      </c>
      <c r="B6279">
        <f>GC22</f>
        <v>0</v>
      </c>
      <c r="C6279" t="inlineStr">
        <is>
          <t>+LS4</t>
        </is>
      </c>
      <c r="D6279" t="inlineStr">
        <is>
          <t>-290K36.6</t>
        </is>
      </c>
      <c r="E6279" t="inlineStr">
        <is>
          <t>DILM-9-01</t>
        </is>
      </c>
      <c r="F6279" t="inlineStr">
        <is>
          <t>#KALK!</t>
        </is>
      </c>
      <c r="G6279" t="inlineStr">
        <is>
          <t>LASTSCHUETZ</t>
        </is>
      </c>
      <c r="H6279" t="inlineStr">
        <is>
          <t>4kW 1Oe Federzugkl.</t>
        </is>
      </c>
      <c r="I6279">
        <v>3954</v>
      </c>
      <c r="J6279">
        <f>GC22/290.6</f>
        <v>0</v>
      </c>
      <c r="M6279" t="inlineStr">
        <is>
          <t>-290K36.6</t>
        </is>
      </c>
    </row>
    <row r="6280">
      <c r="A6280">
        <v>6279</v>
      </c>
      <c r="B6280">
        <f>GS12</f>
        <v>0</v>
      </c>
      <c r="C6280" t="inlineStr">
        <is>
          <t>+LS4</t>
        </is>
      </c>
      <c r="D6280" t="inlineStr">
        <is>
          <t>-290K36.6</t>
        </is>
      </c>
      <c r="E6280" t="inlineStr">
        <is>
          <t>DILM-9-01</t>
        </is>
      </c>
      <c r="F6280" t="inlineStr">
        <is>
          <t>#KALK!</t>
        </is>
      </c>
      <c r="G6280" t="inlineStr">
        <is>
          <t>LASTSCHUETZ</t>
        </is>
      </c>
      <c r="H6280" t="inlineStr">
        <is>
          <t>4kW 1Oe Federzugkl.</t>
        </is>
      </c>
      <c r="I6280">
        <v>422</v>
      </c>
      <c r="J6280">
        <f>GS12/290.6</f>
        <v>0</v>
      </c>
      <c r="M6280" t="inlineStr">
        <is>
          <t>-290K36.6</t>
        </is>
      </c>
    </row>
    <row r="6281">
      <c r="A6281">
        <v>6280</v>
      </c>
      <c r="B6281">
        <f>GS33</f>
        <v>0</v>
      </c>
      <c r="C6281" t="inlineStr">
        <is>
          <t>+LS6</t>
        </is>
      </c>
      <c r="D6281" t="inlineStr">
        <is>
          <t>-290K43.0</t>
        </is>
      </c>
      <c r="E6281" t="inlineStr">
        <is>
          <t>DIL_EM-10-G</t>
        </is>
      </c>
      <c r="F6281" t="inlineStr">
        <is>
          <t>#KALK!</t>
        </is>
      </c>
      <c r="G6281" t="inlineStr">
        <is>
          <t>LASTSCHUETZ</t>
        </is>
      </c>
      <c r="H6281" t="inlineStr">
        <is>
          <t>4kW 1S</t>
        </is>
      </c>
      <c r="I6281">
        <v>737</v>
      </c>
      <c r="J6281">
        <f>GS33/290.6</f>
        <v>0</v>
      </c>
      <c r="M6281" t="inlineStr">
        <is>
          <t>-290K43.0</t>
        </is>
      </c>
    </row>
    <row r="6282">
      <c r="A6282">
        <v>6281</v>
      </c>
      <c r="B6282">
        <f>GS35</f>
        <v>0</v>
      </c>
      <c r="C6282" t="inlineStr">
        <is>
          <t>+LS06</t>
        </is>
      </c>
      <c r="D6282" t="inlineStr">
        <is>
          <t>-290K433.4</t>
        </is>
      </c>
      <c r="E6282" t="inlineStr">
        <is>
          <t>DILA-40</t>
        </is>
      </c>
      <c r="F6282" t="inlineStr">
        <is>
          <t>#KALK!</t>
        </is>
      </c>
      <c r="G6282" t="inlineStr">
        <is>
          <t>HILFSSCHUETZ</t>
        </is>
      </c>
      <c r="H6282" t="inlineStr">
        <is>
          <t>4S Federzugkl.</t>
        </is>
      </c>
      <c r="I6282">
        <v>444</v>
      </c>
      <c r="J6282">
        <f>GS35/290.7</f>
        <v>0</v>
      </c>
      <c r="M6282" t="inlineStr">
        <is>
          <t>-290K433.4</t>
        </is>
      </c>
    </row>
    <row r="6283">
      <c r="A6283">
        <v>6282</v>
      </c>
      <c r="B6283">
        <f>GS33</f>
        <v>0</v>
      </c>
      <c r="C6283" t="inlineStr">
        <is>
          <t>+LS6</t>
        </is>
      </c>
      <c r="D6283" t="inlineStr">
        <is>
          <t>-290K57.0</t>
        </is>
      </c>
      <c r="E6283" t="inlineStr">
        <is>
          <t>DIL_EM-10-G</t>
        </is>
      </c>
      <c r="F6283" t="inlineStr">
        <is>
          <t>#KALK!</t>
        </is>
      </c>
      <c r="G6283" t="inlineStr">
        <is>
          <t>LASTSCHUETZ</t>
        </is>
      </c>
      <c r="H6283" t="inlineStr">
        <is>
          <t>4kW 1S</t>
        </is>
      </c>
      <c r="I6283">
        <v>737</v>
      </c>
      <c r="J6283">
        <f>GS33/290.6</f>
        <v>0</v>
      </c>
      <c r="M6283" t="inlineStr">
        <is>
          <t>-290K57.0</t>
        </is>
      </c>
    </row>
    <row r="6284">
      <c r="A6284">
        <v>6283</v>
      </c>
      <c r="B6284">
        <f>GS01</f>
        <v>0</v>
      </c>
      <c r="C6284" t="inlineStr">
        <is>
          <t>+LS6</t>
        </is>
      </c>
      <c r="D6284" t="inlineStr">
        <is>
          <t>-290K57.5</t>
        </is>
      </c>
      <c r="E6284" t="inlineStr">
        <is>
          <t>DIL_EM-10-G</t>
        </is>
      </c>
      <c r="F6284" t="inlineStr">
        <is>
          <t>#KALK!</t>
        </is>
      </c>
      <c r="G6284" t="inlineStr">
        <is>
          <t>LASTSCHUETZ</t>
        </is>
      </c>
      <c r="H6284" t="inlineStr">
        <is>
          <t>4kW 1S</t>
        </is>
      </c>
      <c r="I6284">
        <v>453</v>
      </c>
      <c r="J6284">
        <f>GS01/290.7</f>
        <v>0</v>
      </c>
      <c r="M6284" t="inlineStr">
        <is>
          <t>-290K57.5</t>
        </is>
      </c>
    </row>
    <row r="6285">
      <c r="A6285">
        <v>6284</v>
      </c>
      <c r="B6285">
        <f>GC03</f>
        <v>0</v>
      </c>
      <c r="C6285" t="inlineStr">
        <is>
          <t>+LS7</t>
        </is>
      </c>
      <c r="D6285" t="inlineStr">
        <is>
          <t>-290K78.7</t>
        </is>
      </c>
      <c r="E6285" t="inlineStr">
        <is>
          <t>DIL_EM-10-G</t>
        </is>
      </c>
      <c r="F6285" t="inlineStr">
        <is>
          <t>#KALK!</t>
        </is>
      </c>
      <c r="G6285" t="inlineStr">
        <is>
          <t>LASTSCHUETZ</t>
        </is>
      </c>
      <c r="H6285" t="inlineStr">
        <is>
          <t>4kW 1S</t>
        </is>
      </c>
      <c r="I6285">
        <v>3387</v>
      </c>
      <c r="J6285">
        <f>GC03/290.7</f>
        <v>0</v>
      </c>
      <c r="M6285" t="inlineStr">
        <is>
          <t>-290K78.7</t>
        </is>
      </c>
    </row>
    <row r="6286">
      <c r="A6286">
        <v>6285</v>
      </c>
      <c r="B6286">
        <f>GS35</f>
        <v>0</v>
      </c>
      <c r="C6286" t="inlineStr">
        <is>
          <t>+LS06</t>
        </is>
      </c>
      <c r="D6286" t="inlineStr">
        <is>
          <t>-290Q1</t>
        </is>
      </c>
      <c r="E6286" t="inlineStr">
        <is>
          <t>DILA-XHI22</t>
        </is>
      </c>
      <c r="F6286" t="inlineStr">
        <is>
          <t>DILA-XHI22</t>
        </is>
      </c>
      <c r="G6286" t="inlineStr">
        <is>
          <t>HILFSKONTAKTBLOCK</t>
        </is>
      </c>
      <c r="H6286" t="inlineStr">
        <is>
          <t>2S 2OE Last+Hilfssch. Cage</t>
        </is>
      </c>
      <c r="I6286">
        <v>444</v>
      </c>
      <c r="J6286">
        <f>GS35/290.4</f>
        <v>0</v>
      </c>
      <c r="K6286" t="inlineStr">
        <is>
          <t>DIL MC25</t>
        </is>
      </c>
      <c r="M6286" t="inlineStr">
        <is>
          <t>-290Q1</t>
        </is>
      </c>
    </row>
    <row r="6287">
      <c r="A6287">
        <v>6286</v>
      </c>
      <c r="B6287">
        <f>GS35</f>
        <v>0</v>
      </c>
      <c r="C6287" t="inlineStr">
        <is>
          <t>+LS06</t>
        </is>
      </c>
      <c r="D6287" t="inlineStr">
        <is>
          <t>-290Q1</t>
        </is>
      </c>
      <c r="E6287" t="inlineStr">
        <is>
          <t>DILM-25-10</t>
        </is>
      </c>
      <c r="F6287" t="inlineStr">
        <is>
          <t>DILA-XHI22</t>
        </is>
      </c>
      <c r="G6287" t="inlineStr">
        <is>
          <t>LASTSCHUETZ</t>
        </is>
      </c>
      <c r="H6287" t="inlineStr">
        <is>
          <t>11kW 1S Federzugkl.</t>
        </is>
      </c>
      <c r="I6287">
        <v>444</v>
      </c>
      <c r="J6287">
        <f>GS35/290.4</f>
        <v>0</v>
      </c>
      <c r="K6287" t="inlineStr">
        <is>
          <t>DIL MC25</t>
        </is>
      </c>
      <c r="M6287" t="inlineStr">
        <is>
          <t>-290Q1</t>
        </is>
      </c>
    </row>
    <row r="6288">
      <c r="A6288">
        <v>6287</v>
      </c>
      <c r="B6288">
        <f>GS92</f>
        <v>0</v>
      </c>
      <c r="C6288" t="inlineStr">
        <is>
          <t>+LS04</t>
        </is>
      </c>
      <c r="D6288" t="inlineStr">
        <is>
          <t>-290Q1</t>
        </is>
      </c>
      <c r="E6288" t="inlineStr">
        <is>
          <t>DILMC25-10(RDC24)</t>
        </is>
      </c>
      <c r="F6288" t="inlineStr">
        <is>
          <t>DILA-XHI22</t>
        </is>
      </c>
      <c r="G6288" t="inlineStr">
        <is>
          <t>LASTSCHUETZ</t>
        </is>
      </c>
      <c r="H6288" t="inlineStr">
        <is>
          <t>11kW 1S Federzugkl.</t>
        </is>
      </c>
      <c r="I6288">
        <v>436</v>
      </c>
      <c r="J6288">
        <f>GS92/290.4</f>
        <v>0</v>
      </c>
      <c r="K6288" t="inlineStr">
        <is>
          <t>DIL MC25</t>
        </is>
      </c>
      <c r="M6288" t="inlineStr">
        <is>
          <t>-290Q1</t>
        </is>
      </c>
    </row>
    <row r="6289">
      <c r="A6289">
        <v>6288</v>
      </c>
      <c r="B6289">
        <f>GS92</f>
        <v>0</v>
      </c>
      <c r="C6289" t="inlineStr">
        <is>
          <t>+LS04</t>
        </is>
      </c>
      <c r="D6289" t="inlineStr">
        <is>
          <t>-290Q1</t>
        </is>
      </c>
      <c r="E6289" t="inlineStr">
        <is>
          <t>DILA-XHI22</t>
        </is>
      </c>
      <c r="F6289" t="inlineStr">
        <is>
          <t>DILA-XHI22</t>
        </is>
      </c>
      <c r="G6289" t="inlineStr">
        <is>
          <t>HILFSKONTAKTBLOCK</t>
        </is>
      </c>
      <c r="H6289" t="inlineStr">
        <is>
          <t>2S 2OE Last+Hilfssch. Cage</t>
        </is>
      </c>
      <c r="I6289">
        <v>436</v>
      </c>
      <c r="J6289">
        <f>GS92/290.4</f>
        <v>0</v>
      </c>
      <c r="K6289" t="inlineStr">
        <is>
          <t>DIL MC25</t>
        </is>
      </c>
      <c r="M6289" t="inlineStr">
        <is>
          <t>-290Q1</t>
        </is>
      </c>
    </row>
    <row r="6290">
      <c r="A6290">
        <v>6289</v>
      </c>
      <c r="B6290">
        <f>GS91</f>
        <v>0</v>
      </c>
      <c r="C6290" t="inlineStr">
        <is>
          <t>+LS04</t>
        </is>
      </c>
      <c r="D6290" t="inlineStr">
        <is>
          <t>-290Q175.1</t>
        </is>
      </c>
      <c r="E6290" t="inlineStr">
        <is>
          <t>DILM-9-10</t>
        </is>
      </c>
      <c r="F6290" t="inlineStr">
        <is>
          <t>#KALK!</t>
        </is>
      </c>
      <c r="G6290" t="inlineStr">
        <is>
          <t>LASTSCHUETZ</t>
        </is>
      </c>
      <c r="H6290" t="inlineStr">
        <is>
          <t>4kW 1S Federzugkl.</t>
        </is>
      </c>
      <c r="I6290">
        <v>438</v>
      </c>
      <c r="J6290">
        <f>GS91/290.5</f>
        <v>0</v>
      </c>
      <c r="M6290" t="inlineStr">
        <is>
          <t>-290Q175.1</t>
        </is>
      </c>
    </row>
    <row r="6291">
      <c r="A6291">
        <v>6290</v>
      </c>
      <c r="B6291">
        <f>GS93</f>
        <v>0</v>
      </c>
      <c r="C6291" t="inlineStr">
        <is>
          <t>+LS04</t>
        </is>
      </c>
      <c r="D6291" t="inlineStr">
        <is>
          <t>-290Q186.2</t>
        </is>
      </c>
      <c r="E6291" t="inlineStr">
        <is>
          <t>DILM-9-10</t>
        </is>
      </c>
      <c r="F6291" t="inlineStr">
        <is>
          <t>#KALK!</t>
        </is>
      </c>
      <c r="G6291" t="inlineStr">
        <is>
          <t>LASTSCHUETZ</t>
        </is>
      </c>
      <c r="H6291" t="inlineStr">
        <is>
          <t>4kW 1S Federzugkl.</t>
        </is>
      </c>
      <c r="I6291">
        <v>844</v>
      </c>
      <c r="J6291">
        <f>GS93/290.5</f>
        <v>0</v>
      </c>
      <c r="M6291" t="inlineStr">
        <is>
          <t>-290Q186.2</t>
        </is>
      </c>
    </row>
    <row r="6292">
      <c r="A6292">
        <v>6291</v>
      </c>
      <c r="B6292">
        <f>GS11</f>
        <v>0</v>
      </c>
      <c r="C6292" t="inlineStr">
        <is>
          <t>+LS6</t>
        </is>
      </c>
      <c r="D6292" t="inlineStr">
        <is>
          <t>-291K17.5</t>
        </is>
      </c>
      <c r="E6292" t="inlineStr">
        <is>
          <t>DIL_EM-10-G</t>
        </is>
      </c>
      <c r="F6292" t="inlineStr">
        <is>
          <t>#KALK!</t>
        </is>
      </c>
      <c r="G6292" t="inlineStr">
        <is>
          <t>LASTSCHUETZ</t>
        </is>
      </c>
      <c r="H6292" t="inlineStr">
        <is>
          <t>4kW 1S</t>
        </is>
      </c>
      <c r="I6292">
        <v>402</v>
      </c>
      <c r="J6292">
        <f>GS11/291.6</f>
        <v>0</v>
      </c>
      <c r="M6292" t="inlineStr">
        <is>
          <t>-291K17.5</t>
        </is>
      </c>
    </row>
    <row r="6293">
      <c r="A6293">
        <v>6292</v>
      </c>
      <c r="B6293">
        <f>GC22</f>
        <v>0</v>
      </c>
      <c r="C6293" t="inlineStr">
        <is>
          <t>+LS4</t>
        </is>
      </c>
      <c r="D6293" t="inlineStr">
        <is>
          <t>-291K35.3</t>
        </is>
      </c>
      <c r="E6293" t="inlineStr">
        <is>
          <t>DIL_EM-10-G</t>
        </is>
      </c>
      <c r="F6293" t="inlineStr">
        <is>
          <t>#KALK!</t>
        </is>
      </c>
      <c r="G6293" t="inlineStr">
        <is>
          <t>LASTSCHUETZ</t>
        </is>
      </c>
      <c r="H6293" t="inlineStr">
        <is>
          <t>4kW 1S</t>
        </is>
      </c>
      <c r="I6293">
        <v>215</v>
      </c>
      <c r="J6293">
        <f>GC22/291.7</f>
        <v>0</v>
      </c>
      <c r="M6293" t="inlineStr">
        <is>
          <t>-291K35.3</t>
        </is>
      </c>
    </row>
    <row r="6294">
      <c r="A6294">
        <v>6293</v>
      </c>
      <c r="B6294">
        <f>GS12</f>
        <v>0</v>
      </c>
      <c r="C6294" t="inlineStr">
        <is>
          <t>+LS4</t>
        </is>
      </c>
      <c r="D6294" t="inlineStr">
        <is>
          <t>-291K35.3</t>
        </is>
      </c>
      <c r="E6294" t="inlineStr">
        <is>
          <t>DIL_EM-10-G</t>
        </is>
      </c>
      <c r="F6294" t="inlineStr">
        <is>
          <t>#KALK!</t>
        </is>
      </c>
      <c r="G6294" t="inlineStr">
        <is>
          <t>LASTSCHUETZ</t>
        </is>
      </c>
      <c r="H6294" t="inlineStr">
        <is>
          <t>4kW 1S</t>
        </is>
      </c>
      <c r="I6294">
        <v>423</v>
      </c>
      <c r="J6294">
        <f>GS12/291.7</f>
        <v>0</v>
      </c>
      <c r="M6294" t="inlineStr">
        <is>
          <t>-291K35.3</t>
        </is>
      </c>
    </row>
    <row r="6295">
      <c r="A6295">
        <v>6294</v>
      </c>
      <c r="B6295">
        <f>GS33</f>
        <v>0</v>
      </c>
      <c r="C6295" t="inlineStr">
        <is>
          <t>+LS6</t>
        </is>
      </c>
      <c r="D6295" t="inlineStr">
        <is>
          <t>-291K43.1</t>
        </is>
      </c>
      <c r="E6295" t="inlineStr">
        <is>
          <t>DIL_EM-10-G</t>
        </is>
      </c>
      <c r="F6295" t="inlineStr">
        <is>
          <t>#KALK!</t>
        </is>
      </c>
      <c r="G6295" t="inlineStr">
        <is>
          <t>LASTSCHUETZ</t>
        </is>
      </c>
      <c r="H6295" t="inlineStr">
        <is>
          <t>4kW 1S</t>
        </is>
      </c>
      <c r="I6295">
        <v>738</v>
      </c>
      <c r="J6295">
        <f>GS33/291.6</f>
        <v>0</v>
      </c>
      <c r="M6295" t="inlineStr">
        <is>
          <t>-291K43.1</t>
        </is>
      </c>
    </row>
    <row r="6296">
      <c r="A6296">
        <v>6295</v>
      </c>
      <c r="B6296">
        <f>GS33</f>
        <v>0</v>
      </c>
      <c r="C6296" t="inlineStr">
        <is>
          <t>+LS6</t>
        </is>
      </c>
      <c r="D6296" t="inlineStr">
        <is>
          <t>-291K57.1</t>
        </is>
      </c>
      <c r="E6296" t="inlineStr">
        <is>
          <t>DIL_EM-10-G</t>
        </is>
      </c>
      <c r="F6296" t="inlineStr">
        <is>
          <t>#KALK!</t>
        </is>
      </c>
      <c r="G6296" t="inlineStr">
        <is>
          <t>LASTSCHUETZ</t>
        </is>
      </c>
      <c r="H6296" t="inlineStr">
        <is>
          <t>4kW 1S</t>
        </is>
      </c>
      <c r="I6296">
        <v>738</v>
      </c>
      <c r="J6296">
        <f>GS33/291.6</f>
        <v>0</v>
      </c>
      <c r="M6296" t="inlineStr">
        <is>
          <t>-291K57.1</t>
        </is>
      </c>
    </row>
    <row r="6297">
      <c r="A6297">
        <v>6296</v>
      </c>
      <c r="B6297">
        <f>GS01</f>
        <v>0</v>
      </c>
      <c r="C6297" t="inlineStr">
        <is>
          <t>+LS6</t>
        </is>
      </c>
      <c r="D6297" t="inlineStr">
        <is>
          <t>-291K57.6</t>
        </is>
      </c>
      <c r="E6297" t="inlineStr">
        <is>
          <t>DIL_EM-10-G</t>
        </is>
      </c>
      <c r="F6297" t="inlineStr">
        <is>
          <t>#KALK!</t>
        </is>
      </c>
      <c r="G6297" t="inlineStr">
        <is>
          <t>LASTSCHUETZ</t>
        </is>
      </c>
      <c r="H6297" t="inlineStr">
        <is>
          <t>4kW 1S</t>
        </is>
      </c>
      <c r="I6297">
        <v>454</v>
      </c>
      <c r="J6297">
        <f>GS01/291.6</f>
        <v>0</v>
      </c>
      <c r="M6297" t="inlineStr">
        <is>
          <t>-291K57.6</t>
        </is>
      </c>
    </row>
    <row r="6298">
      <c r="A6298">
        <v>6297</v>
      </c>
      <c r="B6298">
        <f>GS01</f>
        <v>0</v>
      </c>
      <c r="C6298" t="inlineStr">
        <is>
          <t>+LS6</t>
        </is>
      </c>
      <c r="D6298" t="inlineStr">
        <is>
          <t>-291K57.7</t>
        </is>
      </c>
      <c r="E6298" t="inlineStr">
        <is>
          <t>DIL_EM-10-G</t>
        </is>
      </c>
      <c r="F6298" t="inlineStr">
        <is>
          <t>#KALK!</t>
        </is>
      </c>
      <c r="G6298" t="inlineStr">
        <is>
          <t>LASTSCHUETZ</t>
        </is>
      </c>
      <c r="H6298" t="inlineStr">
        <is>
          <t>4kW 1S</t>
        </is>
      </c>
      <c r="I6298">
        <v>454</v>
      </c>
      <c r="J6298">
        <f>GS01/291.6</f>
        <v>0</v>
      </c>
      <c r="M6298" t="inlineStr">
        <is>
          <t>-291K57.7</t>
        </is>
      </c>
    </row>
    <row r="6299">
      <c r="A6299">
        <v>6298</v>
      </c>
      <c r="B6299">
        <f>GS11</f>
        <v>0</v>
      </c>
      <c r="C6299" t="inlineStr">
        <is>
          <t>+LS6</t>
        </is>
      </c>
      <c r="D6299" t="inlineStr">
        <is>
          <t>-291K74.7</t>
        </is>
      </c>
      <c r="E6299" t="inlineStr">
        <is>
          <t>DIL_EM-10-G</t>
        </is>
      </c>
      <c r="F6299" t="inlineStr">
        <is>
          <t>#KALK!</t>
        </is>
      </c>
      <c r="G6299" t="inlineStr">
        <is>
          <t>LASTSCHUETZ</t>
        </is>
      </c>
      <c r="H6299" t="inlineStr">
        <is>
          <t>4kW 1S</t>
        </is>
      </c>
      <c r="I6299">
        <v>402</v>
      </c>
      <c r="J6299">
        <f>GS11/291.6</f>
        <v>0</v>
      </c>
      <c r="M6299" t="inlineStr">
        <is>
          <t>-291K74.7</t>
        </is>
      </c>
    </row>
    <row r="6300">
      <c r="A6300">
        <v>6299</v>
      </c>
      <c r="B6300">
        <f>GC03</f>
        <v>0</v>
      </c>
      <c r="C6300" t="inlineStr">
        <is>
          <t>+LS7</t>
        </is>
      </c>
      <c r="D6300" t="inlineStr">
        <is>
          <t>-291K79.0</t>
        </is>
      </c>
      <c r="E6300" t="inlineStr">
        <is>
          <t>DIL_EM-10-G</t>
        </is>
      </c>
      <c r="F6300" t="inlineStr">
        <is>
          <t>#KALK!</t>
        </is>
      </c>
      <c r="G6300" t="inlineStr">
        <is>
          <t>LASTSCHUETZ</t>
        </is>
      </c>
      <c r="H6300" t="inlineStr">
        <is>
          <t>4kW 1S</t>
        </is>
      </c>
      <c r="I6300">
        <v>3388</v>
      </c>
      <c r="J6300">
        <f>GC03/291.6</f>
        <v>0</v>
      </c>
      <c r="M6300" t="inlineStr">
        <is>
          <t>-291K79.0</t>
        </is>
      </c>
    </row>
    <row r="6301">
      <c r="A6301">
        <v>6300</v>
      </c>
      <c r="B6301">
        <f>GS79</f>
        <v>0</v>
      </c>
      <c r="C6301" t="inlineStr">
        <is>
          <t>+LS[l1]</t>
        </is>
      </c>
      <c r="D6301" t="inlineStr">
        <is>
          <t>-291Q[a+212].5</t>
        </is>
      </c>
      <c r="E6301" t="inlineStr">
        <is>
          <t>DILM-9-10</t>
        </is>
      </c>
      <c r="F6301" t="inlineStr">
        <is>
          <t>#KALK!</t>
        </is>
      </c>
      <c r="G6301" t="inlineStr">
        <is>
          <t>LASTSCHUETZ</t>
        </is>
      </c>
      <c r="H6301" t="inlineStr">
        <is>
          <t>4kW 1S Federzugkl.</t>
        </is>
      </c>
      <c r="I6301">
        <v>192</v>
      </c>
      <c r="J6301">
        <f>GS79/291.6</f>
        <v>0</v>
      </c>
      <c r="M6301" t="inlineStr">
        <is>
          <t>-291Q[a+212].5</t>
        </is>
      </c>
    </row>
    <row r="6302">
      <c r="A6302">
        <v>6301</v>
      </c>
      <c r="B6302">
        <f>GS79</f>
        <v>0</v>
      </c>
      <c r="C6302" t="inlineStr">
        <is>
          <t>+LS[l1]</t>
        </is>
      </c>
      <c r="D6302" t="inlineStr">
        <is>
          <t>-291Q[a+212].5</t>
        </is>
      </c>
      <c r="E6302" t="inlineStr">
        <is>
          <t>DILM-9-10</t>
        </is>
      </c>
      <c r="F6302" t="inlineStr">
        <is>
          <t>#KALK!</t>
        </is>
      </c>
      <c r="G6302" t="inlineStr">
        <is>
          <t>LASTSCHUETZ</t>
        </is>
      </c>
      <c r="H6302" t="inlineStr">
        <is>
          <t>4kW 1S Federzugkl.</t>
        </is>
      </c>
      <c r="I6302">
        <v>185</v>
      </c>
      <c r="J6302">
        <f>GS79/291.6</f>
        <v>0</v>
      </c>
      <c r="M6302" t="inlineStr">
        <is>
          <t>-291Q[a+212].5</t>
        </is>
      </c>
    </row>
    <row r="6303">
      <c r="A6303">
        <v>6302</v>
      </c>
      <c r="B6303">
        <f>GS79</f>
        <v>0</v>
      </c>
      <c r="C6303" t="inlineStr">
        <is>
          <t>+LS[l1]</t>
        </is>
      </c>
      <c r="D6303" t="inlineStr">
        <is>
          <t>-291Q[a+212].5</t>
        </is>
      </c>
      <c r="E6303" t="inlineStr">
        <is>
          <t>DILM-9-10</t>
        </is>
      </c>
      <c r="F6303" t="inlineStr">
        <is>
          <t>#KALK!</t>
        </is>
      </c>
      <c r="G6303" t="inlineStr">
        <is>
          <t>LASTSCHUETZ</t>
        </is>
      </c>
      <c r="H6303" t="inlineStr">
        <is>
          <t>4kW 1S Federzugkl.</t>
        </is>
      </c>
      <c r="I6303">
        <v>175</v>
      </c>
      <c r="J6303">
        <f>GS79/291.6</f>
        <v>0</v>
      </c>
      <c r="M6303" t="inlineStr">
        <is>
          <t>-291Q[a+212].5</t>
        </is>
      </c>
    </row>
    <row r="6304">
      <c r="A6304">
        <v>6303</v>
      </c>
      <c r="B6304">
        <f>GS37</f>
        <v>0</v>
      </c>
      <c r="C6304" t="inlineStr">
        <is>
          <t>+LS06</t>
        </is>
      </c>
      <c r="D6304" t="inlineStr">
        <is>
          <t>-291Q102.6</t>
        </is>
      </c>
      <c r="E6304" t="inlineStr">
        <is>
          <t>DILMC12-10(24VDC)</t>
        </is>
      </c>
      <c r="F6304" t="inlineStr">
        <is>
          <t>#KALK!</t>
        </is>
      </c>
      <c r="G6304" t="inlineStr">
        <is>
          <t>LASTSCHUETZ</t>
        </is>
      </c>
      <c r="H6304" t="inlineStr">
        <is>
          <t>5,5kW 1S Federzugkl.</t>
        </is>
      </c>
      <c r="I6304">
        <v>444</v>
      </c>
      <c r="J6304">
        <f>GS37/291.5</f>
        <v>0</v>
      </c>
      <c r="K6304" t="inlineStr">
        <is>
          <t>DILMC12</t>
        </is>
      </c>
      <c r="M6304" t="inlineStr">
        <is>
          <t>-291Q102.6</t>
        </is>
      </c>
    </row>
    <row r="6305">
      <c r="A6305">
        <v>6304</v>
      </c>
      <c r="B6305">
        <f>GS91</f>
        <v>0</v>
      </c>
      <c r="C6305" t="inlineStr">
        <is>
          <t>+LS04</t>
        </is>
      </c>
      <c r="D6305" t="inlineStr">
        <is>
          <t>-291Q175.2</t>
        </is>
      </c>
      <c r="E6305" t="inlineStr">
        <is>
          <t>DILM-9-10</t>
        </is>
      </c>
      <c r="F6305" t="inlineStr">
        <is>
          <t>#KALK!</t>
        </is>
      </c>
      <c r="G6305" t="inlineStr">
        <is>
          <t>LASTSCHUETZ</t>
        </is>
      </c>
      <c r="H6305" t="inlineStr">
        <is>
          <t>4kW 1S Federzugkl.</t>
        </is>
      </c>
      <c r="I6305">
        <v>439</v>
      </c>
      <c r="J6305">
        <f>GS91/291.5</f>
        <v>0</v>
      </c>
      <c r="M6305" t="inlineStr">
        <is>
          <t>-291Q175.2</t>
        </is>
      </c>
    </row>
    <row r="6306">
      <c r="A6306">
        <v>6305</v>
      </c>
      <c r="B6306">
        <f>GS36</f>
        <v>0</v>
      </c>
      <c r="C6306" t="inlineStr">
        <is>
          <t>+LS06</t>
        </is>
      </c>
      <c r="D6306" t="inlineStr">
        <is>
          <t>-308.1K1</t>
        </is>
      </c>
      <c r="E6306" t="inlineStr">
        <is>
          <t>DILM-9-01</t>
        </is>
      </c>
      <c r="F6306" t="inlineStr">
        <is>
          <t>#KALK!</t>
        </is>
      </c>
      <c r="G6306" t="inlineStr">
        <is>
          <t>LASTSCHUETZ</t>
        </is>
      </c>
      <c r="H6306" t="inlineStr">
        <is>
          <t>4kW 1Oe Federzugkl.</t>
        </is>
      </c>
      <c r="I6306">
        <v>1425</v>
      </c>
      <c r="J6306">
        <f>GS36/308.1.6</f>
        <v>0</v>
      </c>
      <c r="L6306" t="inlineStr">
        <is>
          <t>Lichtvorhang KF</t>
        </is>
      </c>
      <c r="M6306" t="inlineStr">
        <is>
          <t>Lichtvorhang KF
-308.1K1</t>
        </is>
      </c>
    </row>
    <row r="6307">
      <c r="A6307">
        <v>6306</v>
      </c>
      <c r="B6307">
        <f>GS13</f>
        <v>0</v>
      </c>
      <c r="C6307" t="inlineStr">
        <is>
          <t>+LS6</t>
        </is>
      </c>
      <c r="D6307" t="inlineStr">
        <is>
          <t>-29282.0</t>
        </is>
      </c>
      <c r="E6307" t="inlineStr">
        <is>
          <t>DIL_EM-10-G</t>
        </is>
      </c>
      <c r="F6307" t="inlineStr">
        <is>
          <t>#KALK!</t>
        </is>
      </c>
      <c r="G6307" t="inlineStr">
        <is>
          <t>LASTSCHUETZ</t>
        </is>
      </c>
      <c r="H6307" t="inlineStr">
        <is>
          <t>4kW 1S</t>
        </is>
      </c>
      <c r="I6307">
        <v>535</v>
      </c>
      <c r="J6307">
        <f>GS13/292.6</f>
        <v>0</v>
      </c>
      <c r="M6307" t="inlineStr">
        <is>
          <t>-29282.0</t>
        </is>
      </c>
    </row>
    <row r="6308">
      <c r="A6308">
        <v>6307</v>
      </c>
      <c r="B6308">
        <f>GS13</f>
        <v>0</v>
      </c>
      <c r="C6308" t="inlineStr">
        <is>
          <t>+LS6</t>
        </is>
      </c>
      <c r="D6308" t="inlineStr">
        <is>
          <t>-29282.1</t>
        </is>
      </c>
      <c r="E6308" t="inlineStr">
        <is>
          <t>DIL_EM-10-G</t>
        </is>
      </c>
      <c r="F6308" t="inlineStr">
        <is>
          <t>#KALK!</t>
        </is>
      </c>
      <c r="G6308" t="inlineStr">
        <is>
          <t>LASTSCHUETZ</t>
        </is>
      </c>
      <c r="H6308" t="inlineStr">
        <is>
          <t>4kW 1S</t>
        </is>
      </c>
      <c r="I6308">
        <v>535</v>
      </c>
      <c r="J6308">
        <f>GS13/292.6</f>
        <v>0</v>
      </c>
      <c r="M6308" t="inlineStr">
        <is>
          <t>-29282.1</t>
        </is>
      </c>
    </row>
    <row r="6309">
      <c r="A6309">
        <v>6308</v>
      </c>
      <c r="B6309">
        <f>GS14</f>
        <v>0</v>
      </c>
      <c r="C6309" t="inlineStr">
        <is>
          <t>+LS6</t>
        </is>
      </c>
      <c r="D6309" t="inlineStr">
        <is>
          <t>-292K14.0</t>
        </is>
      </c>
      <c r="E6309" t="inlineStr">
        <is>
          <t>DIL_EM-10-G</t>
        </is>
      </c>
      <c r="F6309" t="inlineStr">
        <is>
          <t>#KALK!</t>
        </is>
      </c>
      <c r="G6309" t="inlineStr">
        <is>
          <t>LASTSCHUETZ</t>
        </is>
      </c>
      <c r="H6309" t="inlineStr">
        <is>
          <t>4kW 1S</t>
        </is>
      </c>
      <c r="I6309">
        <v>421</v>
      </c>
      <c r="J6309">
        <f>GS14/292.6</f>
        <v>0</v>
      </c>
      <c r="M6309" t="inlineStr">
        <is>
          <t>-292K14.0</t>
        </is>
      </c>
    </row>
    <row r="6310">
      <c r="A6310">
        <v>6309</v>
      </c>
      <c r="B6310">
        <f>GS14</f>
        <v>0</v>
      </c>
      <c r="C6310" t="inlineStr">
        <is>
          <t>+LS6</t>
        </is>
      </c>
      <c r="D6310" t="inlineStr">
        <is>
          <t>-292K14.1</t>
        </is>
      </c>
      <c r="E6310" t="inlineStr">
        <is>
          <t>DIL_EM-10-G</t>
        </is>
      </c>
      <c r="F6310" t="inlineStr">
        <is>
          <t>#KALK!</t>
        </is>
      </c>
      <c r="G6310" t="inlineStr">
        <is>
          <t>LASTSCHUETZ</t>
        </is>
      </c>
      <c r="H6310" t="inlineStr">
        <is>
          <t>4kW 1S</t>
        </is>
      </c>
      <c r="I6310">
        <v>421</v>
      </c>
      <c r="J6310">
        <f>GS14/292.6</f>
        <v>0</v>
      </c>
      <c r="M6310" t="inlineStr">
        <is>
          <t>-292K14.1</t>
        </is>
      </c>
    </row>
    <row r="6311">
      <c r="A6311">
        <v>6310</v>
      </c>
      <c r="B6311">
        <f>GC22</f>
        <v>0</v>
      </c>
      <c r="C6311" t="inlineStr">
        <is>
          <t>+LS4</t>
        </is>
      </c>
      <c r="D6311" t="inlineStr">
        <is>
          <t>-292K35.4</t>
        </is>
      </c>
      <c r="E6311" t="inlineStr">
        <is>
          <t>DILM-9-01</t>
        </is>
      </c>
      <c r="F6311" t="inlineStr">
        <is>
          <t>#KALK!</t>
        </is>
      </c>
      <c r="G6311" t="inlineStr">
        <is>
          <t>LASTSCHUETZ</t>
        </is>
      </c>
      <c r="H6311" t="inlineStr">
        <is>
          <t>4kW 1Oe Federzugkl.</t>
        </is>
      </c>
      <c r="I6311">
        <v>213</v>
      </c>
      <c r="J6311">
        <f>GC22/292.6</f>
        <v>0</v>
      </c>
      <c r="M6311" t="inlineStr">
        <is>
          <t>-292K35.4</t>
        </is>
      </c>
    </row>
    <row r="6312">
      <c r="A6312">
        <v>6311</v>
      </c>
      <c r="B6312">
        <f>GS12</f>
        <v>0</v>
      </c>
      <c r="C6312" t="inlineStr">
        <is>
          <t>+LS4</t>
        </is>
      </c>
      <c r="D6312" t="inlineStr">
        <is>
          <t>-292K35.4</t>
        </is>
      </c>
      <c r="E6312" t="inlineStr">
        <is>
          <t>DILM-9-01</t>
        </is>
      </c>
      <c r="F6312" t="inlineStr">
        <is>
          <t>#KALK!</t>
        </is>
      </c>
      <c r="G6312" t="inlineStr">
        <is>
          <t>LASTSCHUETZ</t>
        </is>
      </c>
      <c r="H6312" t="inlineStr">
        <is>
          <t>4kW 1Oe Federzugkl.</t>
        </is>
      </c>
      <c r="I6312">
        <v>424</v>
      </c>
      <c r="J6312">
        <f>GS12/292.6</f>
        <v>0</v>
      </c>
      <c r="M6312" t="inlineStr">
        <is>
          <t>-292K35.4</t>
        </is>
      </c>
    </row>
    <row r="6313">
      <c r="A6313">
        <v>6312</v>
      </c>
      <c r="B6313">
        <f>GC22</f>
        <v>0</v>
      </c>
      <c r="C6313" t="inlineStr">
        <is>
          <t>+LS4</t>
        </is>
      </c>
      <c r="D6313" t="inlineStr">
        <is>
          <t>-292K35.5</t>
        </is>
      </c>
      <c r="E6313" t="inlineStr">
        <is>
          <t>DIL_EM-10-G</t>
        </is>
      </c>
      <c r="F6313" t="inlineStr">
        <is>
          <t>#KALK!</t>
        </is>
      </c>
      <c r="G6313" t="inlineStr">
        <is>
          <t>LASTSCHUETZ</t>
        </is>
      </c>
      <c r="H6313" t="inlineStr">
        <is>
          <t>4kW 1S</t>
        </is>
      </c>
      <c r="I6313">
        <v>213</v>
      </c>
      <c r="J6313">
        <f>GC22/292.7</f>
        <v>0</v>
      </c>
      <c r="M6313" t="inlineStr">
        <is>
          <t>-292K35.5</t>
        </is>
      </c>
    </row>
    <row r="6314">
      <c r="A6314">
        <v>6313</v>
      </c>
      <c r="B6314">
        <f>GS12</f>
        <v>0</v>
      </c>
      <c r="C6314" t="inlineStr">
        <is>
          <t>+LS4</t>
        </is>
      </c>
      <c r="D6314" t="inlineStr">
        <is>
          <t>-292K35.5</t>
        </is>
      </c>
      <c r="E6314" t="inlineStr">
        <is>
          <t>DIL_EM-10-G</t>
        </is>
      </c>
      <c r="F6314" t="inlineStr">
        <is>
          <t>#KALK!</t>
        </is>
      </c>
      <c r="G6314" t="inlineStr">
        <is>
          <t>LASTSCHUETZ</t>
        </is>
      </c>
      <c r="H6314" t="inlineStr">
        <is>
          <t>4kW 1S</t>
        </is>
      </c>
      <c r="I6314">
        <v>424</v>
      </c>
      <c r="J6314">
        <f>GS12/292.7</f>
        <v>0</v>
      </c>
      <c r="M6314" t="inlineStr">
        <is>
          <t>-292K35.5</t>
        </is>
      </c>
    </row>
    <row r="6315">
      <c r="A6315">
        <v>6314</v>
      </c>
      <c r="B6315">
        <f>GC22</f>
        <v>0</v>
      </c>
      <c r="C6315" t="inlineStr">
        <is>
          <t>+LS4</t>
        </is>
      </c>
      <c r="D6315" t="inlineStr">
        <is>
          <t>-292K36.7</t>
        </is>
      </c>
      <c r="E6315" t="inlineStr">
        <is>
          <t>DILM-9-01</t>
        </is>
      </c>
      <c r="F6315" t="inlineStr">
        <is>
          <t>#KALK!</t>
        </is>
      </c>
      <c r="G6315" t="inlineStr">
        <is>
          <t>LASTSCHUETZ</t>
        </is>
      </c>
      <c r="H6315" t="inlineStr">
        <is>
          <t>4kW 1Oe Federzugkl.</t>
        </is>
      </c>
      <c r="I6315">
        <v>213</v>
      </c>
      <c r="J6315">
        <f>GC22/292.6</f>
        <v>0</v>
      </c>
      <c r="M6315" t="inlineStr">
        <is>
          <t>-292K36.7</t>
        </is>
      </c>
    </row>
    <row r="6316">
      <c r="A6316">
        <v>6315</v>
      </c>
      <c r="B6316">
        <f>GS12</f>
        <v>0</v>
      </c>
      <c r="C6316" t="inlineStr">
        <is>
          <t>+LS4</t>
        </is>
      </c>
      <c r="D6316" t="inlineStr">
        <is>
          <t>-292K36.7</t>
        </is>
      </c>
      <c r="E6316" t="inlineStr">
        <is>
          <t>DILM-9-01</t>
        </is>
      </c>
      <c r="F6316" t="inlineStr">
        <is>
          <t>#KALK!</t>
        </is>
      </c>
      <c r="G6316" t="inlineStr">
        <is>
          <t>LASTSCHUETZ</t>
        </is>
      </c>
      <c r="H6316" t="inlineStr">
        <is>
          <t>4kW 1Oe Federzugkl.</t>
        </is>
      </c>
      <c r="I6316">
        <v>424</v>
      </c>
      <c r="J6316">
        <f>GS12/292.6</f>
        <v>0</v>
      </c>
      <c r="M6316" t="inlineStr">
        <is>
          <t>-292K36.7</t>
        </is>
      </c>
    </row>
    <row r="6317">
      <c r="A6317">
        <v>6316</v>
      </c>
      <c r="B6317">
        <f>GS33</f>
        <v>0</v>
      </c>
      <c r="C6317" t="inlineStr">
        <is>
          <t>+LS6</t>
        </is>
      </c>
      <c r="D6317" t="inlineStr">
        <is>
          <t>-292K43.5</t>
        </is>
      </c>
      <c r="E6317" t="inlineStr">
        <is>
          <t>DIL_EM-10-G</t>
        </is>
      </c>
      <c r="F6317" t="inlineStr">
        <is>
          <t>#KALK!</t>
        </is>
      </c>
      <c r="G6317" t="inlineStr">
        <is>
          <t>LASTSCHUETZ</t>
        </is>
      </c>
      <c r="H6317" t="inlineStr">
        <is>
          <t>4kW 1S</t>
        </is>
      </c>
      <c r="I6317">
        <v>739</v>
      </c>
      <c r="J6317">
        <f>GS33/292.7</f>
        <v>0</v>
      </c>
      <c r="M6317" t="inlineStr">
        <is>
          <t>-292K43.5</t>
        </is>
      </c>
    </row>
    <row r="6318">
      <c r="A6318">
        <v>6317</v>
      </c>
      <c r="B6318">
        <f>GS01</f>
        <v>0</v>
      </c>
      <c r="C6318" t="inlineStr">
        <is>
          <t>+LS6</t>
        </is>
      </c>
      <c r="D6318" t="inlineStr">
        <is>
          <t>-292K58.5</t>
        </is>
      </c>
      <c r="E6318" t="inlineStr">
        <is>
          <t>DIL_EM-10-G</t>
        </is>
      </c>
      <c r="F6318" t="inlineStr">
        <is>
          <t>#KALK!</t>
        </is>
      </c>
      <c r="G6318" t="inlineStr">
        <is>
          <t>LASTSCHUETZ</t>
        </is>
      </c>
      <c r="H6318" t="inlineStr">
        <is>
          <t>4kW 1S</t>
        </is>
      </c>
      <c r="I6318">
        <v>455</v>
      </c>
      <c r="J6318">
        <f>GS01/292.7</f>
        <v>0</v>
      </c>
      <c r="M6318" t="inlineStr">
        <is>
          <t>-292K58.5</t>
        </is>
      </c>
    </row>
    <row r="6319">
      <c r="A6319">
        <v>6318</v>
      </c>
      <c r="B6319">
        <f>GS23</f>
        <v>0</v>
      </c>
      <c r="C6319" t="inlineStr">
        <is>
          <t>+LS6</t>
        </is>
      </c>
      <c r="D6319" t="inlineStr">
        <is>
          <t>-292K82.0</t>
        </is>
      </c>
      <c r="E6319" t="inlineStr">
        <is>
          <t>DIL_EM-10-G</t>
        </is>
      </c>
      <c r="F6319" t="inlineStr">
        <is>
          <t>#KALK!</t>
        </is>
      </c>
      <c r="G6319" t="inlineStr">
        <is>
          <t>LASTSCHUETZ</t>
        </is>
      </c>
      <c r="H6319" t="inlineStr">
        <is>
          <t>4kW 1S</t>
        </is>
      </c>
      <c r="I6319">
        <v>593</v>
      </c>
      <c r="J6319">
        <f>GS23/292.6</f>
        <v>0</v>
      </c>
      <c r="M6319" t="inlineStr">
        <is>
          <t>-292K82.0</t>
        </is>
      </c>
    </row>
    <row r="6320">
      <c r="A6320">
        <v>6319</v>
      </c>
      <c r="B6320">
        <f>GS23</f>
        <v>0</v>
      </c>
      <c r="C6320" t="inlineStr">
        <is>
          <t>+LS6</t>
        </is>
      </c>
      <c r="D6320" t="inlineStr">
        <is>
          <t>-292K82.1</t>
        </is>
      </c>
      <c r="E6320" t="inlineStr">
        <is>
          <t>DIL_EM-10-G</t>
        </is>
      </c>
      <c r="F6320" t="inlineStr">
        <is>
          <t>#KALK!</t>
        </is>
      </c>
      <c r="G6320" t="inlineStr">
        <is>
          <t>LASTSCHUETZ</t>
        </is>
      </c>
      <c r="H6320" t="inlineStr">
        <is>
          <t>4kW 1S</t>
        </is>
      </c>
      <c r="I6320">
        <v>593</v>
      </c>
      <c r="J6320">
        <f>GS23/292.6</f>
        <v>0</v>
      </c>
      <c r="M6320" t="inlineStr">
        <is>
          <t>-292K82.1</t>
        </is>
      </c>
    </row>
    <row r="6321">
      <c r="A6321">
        <v>6320</v>
      </c>
      <c r="B6321">
        <f>GS37</f>
        <v>0</v>
      </c>
      <c r="C6321" t="inlineStr">
        <is>
          <t>+LS06</t>
        </is>
      </c>
      <c r="D6321" t="inlineStr">
        <is>
          <t>-292Q102.7</t>
        </is>
      </c>
      <c r="E6321" t="inlineStr">
        <is>
          <t>DILM-9-10</t>
        </is>
      </c>
      <c r="F6321" t="inlineStr">
        <is>
          <t>#KALK!</t>
        </is>
      </c>
      <c r="G6321" t="inlineStr">
        <is>
          <t>LASTSCHUETZ</t>
        </is>
      </c>
      <c r="H6321" t="inlineStr">
        <is>
          <t>4kW 1S Federzugkl.</t>
        </is>
      </c>
      <c r="I6321">
        <v>445</v>
      </c>
      <c r="J6321">
        <f>GS37/292.5</f>
        <v>0</v>
      </c>
      <c r="M6321" t="inlineStr">
        <is>
          <t>-292Q102.7</t>
        </is>
      </c>
    </row>
    <row r="6322">
      <c r="A6322">
        <v>6321</v>
      </c>
      <c r="B6322">
        <f>GS69</f>
        <v>0</v>
      </c>
      <c r="C6322" t="inlineStr">
        <is>
          <t>+LS06</t>
        </is>
      </c>
      <c r="D6322" t="inlineStr">
        <is>
          <t>-292Q916.4</t>
        </is>
      </c>
      <c r="E6322" t="inlineStr">
        <is>
          <t>DILM-9-10</t>
        </is>
      </c>
      <c r="F6322" t="inlineStr">
        <is>
          <t>#KALK!</t>
        </is>
      </c>
      <c r="G6322" t="inlineStr">
        <is>
          <t>LASTSCHUETZ</t>
        </is>
      </c>
      <c r="H6322" t="inlineStr">
        <is>
          <t>4kW 1S Federzugkl.</t>
        </is>
      </c>
      <c r="I6322">
        <v>546</v>
      </c>
      <c r="J6322">
        <f>GS69/292.6</f>
        <v>0</v>
      </c>
      <c r="M6322" t="inlineStr">
        <is>
          <t>-292Q916.4</t>
        </is>
      </c>
    </row>
    <row r="6323">
      <c r="A6323">
        <v>6322</v>
      </c>
      <c r="B6323">
        <f>GS13</f>
        <v>0</v>
      </c>
      <c r="C6323" t="inlineStr">
        <is>
          <t>+LS6</t>
        </is>
      </c>
      <c r="D6323" t="inlineStr">
        <is>
          <t>-29382.2</t>
        </is>
      </c>
      <c r="E6323" t="inlineStr">
        <is>
          <t>DIL_EM-10-G</t>
        </is>
      </c>
      <c r="F6323" t="inlineStr">
        <is>
          <t>#KALK!</t>
        </is>
      </c>
      <c r="G6323" t="inlineStr">
        <is>
          <t>LASTSCHUETZ</t>
        </is>
      </c>
      <c r="H6323" t="inlineStr">
        <is>
          <t>4kW 1S</t>
        </is>
      </c>
      <c r="I6323">
        <v>536</v>
      </c>
      <c r="J6323">
        <f>GS13/293.6</f>
        <v>0</v>
      </c>
      <c r="M6323" t="inlineStr">
        <is>
          <t>-29382.2</t>
        </is>
      </c>
    </row>
    <row r="6324">
      <c r="A6324">
        <v>6323</v>
      </c>
      <c r="B6324">
        <f>GS13</f>
        <v>0</v>
      </c>
      <c r="C6324" t="inlineStr">
        <is>
          <t>+LS6</t>
        </is>
      </c>
      <c r="D6324" t="inlineStr">
        <is>
          <t>-29382.3</t>
        </is>
      </c>
      <c r="E6324" t="inlineStr">
        <is>
          <t>DIL_EM-10-G</t>
        </is>
      </c>
      <c r="F6324" t="inlineStr">
        <is>
          <t>#KALK!</t>
        </is>
      </c>
      <c r="G6324" t="inlineStr">
        <is>
          <t>LASTSCHUETZ</t>
        </is>
      </c>
      <c r="H6324" t="inlineStr">
        <is>
          <t>4kW 1S</t>
        </is>
      </c>
      <c r="I6324">
        <v>536</v>
      </c>
      <c r="J6324">
        <f>GS13/293.6</f>
        <v>0</v>
      </c>
      <c r="M6324" t="inlineStr">
        <is>
          <t>-29382.3</t>
        </is>
      </c>
    </row>
    <row r="6325">
      <c r="A6325">
        <v>6324</v>
      </c>
      <c r="B6325">
        <f>GS14</f>
        <v>0</v>
      </c>
      <c r="C6325" t="inlineStr">
        <is>
          <t>+LS6</t>
        </is>
      </c>
      <c r="D6325" t="inlineStr">
        <is>
          <t>-293K14.2</t>
        </is>
      </c>
      <c r="E6325" t="inlineStr">
        <is>
          <t>DIL_EM-10-G</t>
        </is>
      </c>
      <c r="F6325" t="inlineStr">
        <is>
          <t>#KALK!</t>
        </is>
      </c>
      <c r="G6325" t="inlineStr">
        <is>
          <t>LASTSCHUETZ</t>
        </is>
      </c>
      <c r="H6325" t="inlineStr">
        <is>
          <t>4kW 1S</t>
        </is>
      </c>
      <c r="I6325">
        <v>422</v>
      </c>
      <c r="J6325">
        <f>GS14/293.6</f>
        <v>0</v>
      </c>
      <c r="M6325" t="inlineStr">
        <is>
          <t>-293K14.2</t>
        </is>
      </c>
    </row>
    <row r="6326">
      <c r="A6326">
        <v>6325</v>
      </c>
      <c r="B6326">
        <f>GS14</f>
        <v>0</v>
      </c>
      <c r="C6326" t="inlineStr">
        <is>
          <t>+LS6</t>
        </is>
      </c>
      <c r="D6326" t="inlineStr">
        <is>
          <t>-293K14.3</t>
        </is>
      </c>
      <c r="E6326" t="inlineStr">
        <is>
          <t>DIL_EM-10-G</t>
        </is>
      </c>
      <c r="F6326" t="inlineStr">
        <is>
          <t>#KALK!</t>
        </is>
      </c>
      <c r="G6326" t="inlineStr">
        <is>
          <t>LASTSCHUETZ</t>
        </is>
      </c>
      <c r="H6326" t="inlineStr">
        <is>
          <t>4kW 1S</t>
        </is>
      </c>
      <c r="I6326">
        <v>422</v>
      </c>
      <c r="J6326">
        <f>GS14/293.6</f>
        <v>0</v>
      </c>
      <c r="M6326" t="inlineStr">
        <is>
          <t>-293K14.3</t>
        </is>
      </c>
    </row>
    <row r="6327">
      <c r="A6327">
        <v>6326</v>
      </c>
      <c r="B6327">
        <f>GC22</f>
        <v>0</v>
      </c>
      <c r="C6327" t="inlineStr">
        <is>
          <t>+LS4</t>
        </is>
      </c>
      <c r="D6327" t="inlineStr">
        <is>
          <t>-293K36.1</t>
        </is>
      </c>
      <c r="E6327" t="inlineStr">
        <is>
          <t>DIL_EM-10-G</t>
        </is>
      </c>
      <c r="F6327" t="inlineStr">
        <is>
          <t>#KALK!</t>
        </is>
      </c>
      <c r="G6327" t="inlineStr">
        <is>
          <t>LASTSCHUETZ</t>
        </is>
      </c>
      <c r="H6327" t="inlineStr">
        <is>
          <t>4kW 1S</t>
        </is>
      </c>
      <c r="I6327">
        <v>3953</v>
      </c>
      <c r="J6327">
        <f>GC22/293.7</f>
        <v>0</v>
      </c>
      <c r="M6327" t="inlineStr">
        <is>
          <t>-293K36.1</t>
        </is>
      </c>
    </row>
    <row r="6328">
      <c r="A6328">
        <v>6327</v>
      </c>
      <c r="B6328">
        <f>GS12</f>
        <v>0</v>
      </c>
      <c r="C6328" t="inlineStr">
        <is>
          <t>+LS4</t>
        </is>
      </c>
      <c r="D6328" t="inlineStr">
        <is>
          <t>-293K36.1</t>
        </is>
      </c>
      <c r="E6328" t="inlineStr">
        <is>
          <t>DIL_EM-10-G</t>
        </is>
      </c>
      <c r="F6328" t="inlineStr">
        <is>
          <t>#KALK!</t>
        </is>
      </c>
      <c r="G6328" t="inlineStr">
        <is>
          <t>LASTSCHUETZ</t>
        </is>
      </c>
      <c r="H6328" t="inlineStr">
        <is>
          <t>4kW 1S</t>
        </is>
      </c>
      <c r="I6328">
        <v>425</v>
      </c>
      <c r="J6328">
        <f>GS12/293.7</f>
        <v>0</v>
      </c>
      <c r="M6328" t="inlineStr">
        <is>
          <t>-293K36.1</t>
        </is>
      </c>
    </row>
    <row r="6329">
      <c r="A6329">
        <v>6328</v>
      </c>
      <c r="B6329">
        <f>GS33</f>
        <v>0</v>
      </c>
      <c r="C6329" t="inlineStr">
        <is>
          <t>+LS6</t>
        </is>
      </c>
      <c r="D6329" t="inlineStr">
        <is>
          <t>-293K43.6</t>
        </is>
      </c>
      <c r="E6329" t="inlineStr">
        <is>
          <t>DIL_EM-10-G</t>
        </is>
      </c>
      <c r="F6329" t="inlineStr">
        <is>
          <t>#KALK!</t>
        </is>
      </c>
      <c r="G6329" t="inlineStr">
        <is>
          <t>LASTSCHUETZ</t>
        </is>
      </c>
      <c r="H6329" t="inlineStr">
        <is>
          <t>4kW 1S</t>
        </is>
      </c>
      <c r="I6329">
        <v>740</v>
      </c>
      <c r="J6329">
        <f>GS33/293.6</f>
        <v>0</v>
      </c>
      <c r="M6329" t="inlineStr">
        <is>
          <t>-293K43.6</t>
        </is>
      </c>
    </row>
    <row r="6330">
      <c r="A6330">
        <v>6329</v>
      </c>
      <c r="B6330">
        <f>GS01</f>
        <v>0</v>
      </c>
      <c r="C6330" t="inlineStr">
        <is>
          <t>+LS6</t>
        </is>
      </c>
      <c r="D6330" t="inlineStr">
        <is>
          <t>-293K59.1</t>
        </is>
      </c>
      <c r="E6330" t="inlineStr">
        <is>
          <t>DIL_EM-10-G</t>
        </is>
      </c>
      <c r="F6330" t="inlineStr">
        <is>
          <t>#KALK!</t>
        </is>
      </c>
      <c r="G6330" t="inlineStr">
        <is>
          <t>LASTSCHUETZ</t>
        </is>
      </c>
      <c r="H6330" t="inlineStr">
        <is>
          <t>4kW 1S</t>
        </is>
      </c>
      <c r="I6330">
        <v>456</v>
      </c>
      <c r="J6330">
        <f>GS01/293.7</f>
        <v>0</v>
      </c>
      <c r="M6330" t="inlineStr">
        <is>
          <t>-293K59.1</t>
        </is>
      </c>
    </row>
    <row r="6331">
      <c r="A6331">
        <v>6330</v>
      </c>
      <c r="B6331">
        <f>GS23</f>
        <v>0</v>
      </c>
      <c r="C6331" t="inlineStr">
        <is>
          <t>+LS6</t>
        </is>
      </c>
      <c r="D6331" t="inlineStr">
        <is>
          <t>-293K82.2</t>
        </is>
      </c>
      <c r="E6331" t="inlineStr">
        <is>
          <t>DIL_EM-10-G</t>
        </is>
      </c>
      <c r="F6331" t="inlineStr">
        <is>
          <t>#KALK!</t>
        </is>
      </c>
      <c r="G6331" t="inlineStr">
        <is>
          <t>LASTSCHUETZ</t>
        </is>
      </c>
      <c r="H6331" t="inlineStr">
        <is>
          <t>4kW 1S</t>
        </is>
      </c>
      <c r="I6331">
        <v>594</v>
      </c>
      <c r="J6331">
        <f>GS23/293.6</f>
        <v>0</v>
      </c>
      <c r="M6331" t="inlineStr">
        <is>
          <t>-293K82.2</t>
        </is>
      </c>
    </row>
    <row r="6332">
      <c r="A6332">
        <v>6331</v>
      </c>
      <c r="B6332">
        <f>GS23</f>
        <v>0</v>
      </c>
      <c r="C6332" t="inlineStr">
        <is>
          <t>+LS6</t>
        </is>
      </c>
      <c r="D6332" t="inlineStr">
        <is>
          <t>-293K82.3</t>
        </is>
      </c>
      <c r="E6332" t="inlineStr">
        <is>
          <t>DIL_EM-10-G</t>
        </is>
      </c>
      <c r="F6332" t="inlineStr">
        <is>
          <t>#KALK!</t>
        </is>
      </c>
      <c r="G6332" t="inlineStr">
        <is>
          <t>LASTSCHUETZ</t>
        </is>
      </c>
      <c r="H6332" t="inlineStr">
        <is>
          <t>4kW 1S</t>
        </is>
      </c>
      <c r="I6332">
        <v>594</v>
      </c>
      <c r="J6332">
        <f>GS23/293.6</f>
        <v>0</v>
      </c>
      <c r="M6332" t="inlineStr">
        <is>
          <t>-293K82.3</t>
        </is>
      </c>
    </row>
    <row r="6333">
      <c r="A6333">
        <v>6332</v>
      </c>
      <c r="B6333">
        <f>GS79</f>
        <v>0</v>
      </c>
      <c r="C6333" t="inlineStr">
        <is>
          <t>+LS[l1]</t>
        </is>
      </c>
      <c r="D6333" t="inlineStr">
        <is>
          <t>-293Q[a+213].3</t>
        </is>
      </c>
      <c r="E6333" t="inlineStr">
        <is>
          <t>DILM-9-10</t>
        </is>
      </c>
      <c r="F6333" t="inlineStr">
        <is>
          <t>#KALK!</t>
        </is>
      </c>
      <c r="G6333" t="inlineStr">
        <is>
          <t>LASTSCHUETZ</t>
        </is>
      </c>
      <c r="H6333" t="inlineStr">
        <is>
          <t>4kW 1S Federzugkl.</t>
        </is>
      </c>
      <c r="I6333">
        <v>194</v>
      </c>
      <c r="J6333">
        <f>GS79/293.6</f>
        <v>0</v>
      </c>
      <c r="M6333" t="inlineStr">
        <is>
          <t>-293Q[a+213].3</t>
        </is>
      </c>
    </row>
    <row r="6334">
      <c r="A6334">
        <v>6333</v>
      </c>
      <c r="B6334">
        <f>GS79</f>
        <v>0</v>
      </c>
      <c r="C6334" t="inlineStr">
        <is>
          <t>+LS[l1]</t>
        </is>
      </c>
      <c r="D6334" t="inlineStr">
        <is>
          <t>-293Q[a+213].3</t>
        </is>
      </c>
      <c r="E6334" t="inlineStr">
        <is>
          <t>DILM-9-10</t>
        </is>
      </c>
      <c r="F6334" t="inlineStr">
        <is>
          <t>#KALK!</t>
        </is>
      </c>
      <c r="G6334" t="inlineStr">
        <is>
          <t>LASTSCHUETZ</t>
        </is>
      </c>
      <c r="H6334" t="inlineStr">
        <is>
          <t>4kW 1S Federzugkl.</t>
        </is>
      </c>
      <c r="I6334">
        <v>183</v>
      </c>
      <c r="J6334">
        <f>GS79/293.6</f>
        <v>0</v>
      </c>
      <c r="M6334" t="inlineStr">
        <is>
          <t>-293Q[a+213].3</t>
        </is>
      </c>
    </row>
    <row r="6335">
      <c r="A6335">
        <v>6334</v>
      </c>
      <c r="B6335">
        <f>GS79</f>
        <v>0</v>
      </c>
      <c r="C6335" t="inlineStr">
        <is>
          <t>+LS[l1]</t>
        </is>
      </c>
      <c r="D6335" t="inlineStr">
        <is>
          <t>-293Q[a+213].3</t>
        </is>
      </c>
      <c r="E6335" t="inlineStr">
        <is>
          <t>DILM-9-10</t>
        </is>
      </c>
      <c r="F6335" t="inlineStr">
        <is>
          <t>#KALK!</t>
        </is>
      </c>
      <c r="G6335" t="inlineStr">
        <is>
          <t>LASTSCHUETZ</t>
        </is>
      </c>
      <c r="H6335" t="inlineStr">
        <is>
          <t>4kW 1S Federzugkl.</t>
        </is>
      </c>
      <c r="I6335">
        <v>177</v>
      </c>
      <c r="J6335">
        <f>GS79/293.6</f>
        <v>0</v>
      </c>
      <c r="M6335" t="inlineStr">
        <is>
          <t>-293Q[a+213].3</t>
        </is>
      </c>
    </row>
    <row r="6336">
      <c r="A6336">
        <v>6335</v>
      </c>
      <c r="B6336">
        <f>GS46</f>
        <v>0</v>
      </c>
      <c r="C6336" t="inlineStr">
        <is>
          <t>+LS04</t>
        </is>
      </c>
      <c r="D6336" t="inlineStr">
        <is>
          <t>-293Q1</t>
        </is>
      </c>
      <c r="E6336" t="inlineStr">
        <is>
          <t>DILM-9-10</t>
        </is>
      </c>
      <c r="F6336" t="inlineStr">
        <is>
          <t>#KALK!</t>
        </is>
      </c>
      <c r="G6336" t="inlineStr">
        <is>
          <t>LASTSCHUETZ</t>
        </is>
      </c>
      <c r="H6336" t="inlineStr">
        <is>
          <t>4kW 1S Federzugkl.</t>
        </is>
      </c>
      <c r="I6336">
        <v>764</v>
      </c>
      <c r="J6336">
        <f>GS46/293.5</f>
        <v>0</v>
      </c>
      <c r="M6336" t="inlineStr">
        <is>
          <t>-293Q1</t>
        </is>
      </c>
    </row>
    <row r="6337">
      <c r="A6337">
        <v>6336</v>
      </c>
      <c r="B6337">
        <f>GS47</f>
        <v>0</v>
      </c>
      <c r="C6337" t="inlineStr">
        <is>
          <t>+LS04</t>
        </is>
      </c>
      <c r="D6337" t="inlineStr">
        <is>
          <t>-293Q1</t>
        </is>
      </c>
      <c r="E6337" t="inlineStr">
        <is>
          <t>DILM-9-10</t>
        </is>
      </c>
      <c r="F6337" t="inlineStr">
        <is>
          <t>#KALK!</t>
        </is>
      </c>
      <c r="G6337" t="inlineStr">
        <is>
          <t>LASTSCHUETZ</t>
        </is>
      </c>
      <c r="H6337" t="inlineStr">
        <is>
          <t>4kW 1S Federzugkl.</t>
        </is>
      </c>
      <c r="I6337">
        <v>764</v>
      </c>
      <c r="J6337">
        <f>GS47/293.5</f>
        <v>0</v>
      </c>
      <c r="M6337" t="inlineStr">
        <is>
          <t>-293Q1</t>
        </is>
      </c>
    </row>
    <row r="6338">
      <c r="A6338">
        <v>6337</v>
      </c>
      <c r="B6338">
        <f>GS48</f>
        <v>0</v>
      </c>
      <c r="C6338" t="inlineStr">
        <is>
          <t>+LS04</t>
        </is>
      </c>
      <c r="D6338" t="inlineStr">
        <is>
          <t>-293Q1</t>
        </is>
      </c>
      <c r="E6338" t="inlineStr">
        <is>
          <t>DILM-9-10</t>
        </is>
      </c>
      <c r="F6338" t="inlineStr">
        <is>
          <t>#KALK!</t>
        </is>
      </c>
      <c r="G6338" t="inlineStr">
        <is>
          <t>LASTSCHUETZ</t>
        </is>
      </c>
      <c r="H6338" t="inlineStr">
        <is>
          <t>4kW 1S Federzugkl.</t>
        </is>
      </c>
      <c r="I6338">
        <v>425</v>
      </c>
      <c r="J6338">
        <f>GS48/293.5</f>
        <v>0</v>
      </c>
      <c r="M6338" t="inlineStr">
        <is>
          <t>-293Q1</t>
        </is>
      </c>
    </row>
    <row r="6339">
      <c r="A6339">
        <v>6338</v>
      </c>
      <c r="B6339">
        <f>GS49</f>
        <v>0</v>
      </c>
      <c r="C6339" t="inlineStr">
        <is>
          <t>+LS04</t>
        </is>
      </c>
      <c r="D6339" t="inlineStr">
        <is>
          <t>-293Q1</t>
        </is>
      </c>
      <c r="E6339" t="inlineStr">
        <is>
          <t>DILM-9-10</t>
        </is>
      </c>
      <c r="F6339" t="inlineStr">
        <is>
          <t>#KALK!</t>
        </is>
      </c>
      <c r="G6339" t="inlineStr">
        <is>
          <t>LASTSCHUETZ</t>
        </is>
      </c>
      <c r="H6339" t="inlineStr">
        <is>
          <t>4kW 1S Federzugkl.</t>
        </is>
      </c>
      <c r="I6339">
        <v>424</v>
      </c>
      <c r="J6339">
        <f>GS49/293.5</f>
        <v>0</v>
      </c>
      <c r="M6339" t="inlineStr">
        <is>
          <t>-293Q1</t>
        </is>
      </c>
    </row>
    <row r="6340">
      <c r="A6340">
        <v>6339</v>
      </c>
      <c r="B6340">
        <f>GS37</f>
        <v>0</v>
      </c>
      <c r="C6340" t="inlineStr">
        <is>
          <t>+LS06</t>
        </is>
      </c>
      <c r="D6340" t="inlineStr">
        <is>
          <t>-293Q103.0</t>
        </is>
      </c>
      <c r="E6340" t="inlineStr">
        <is>
          <t>DILMC12-10(24VDC)</t>
        </is>
      </c>
      <c r="F6340" t="inlineStr">
        <is>
          <t>#KALK!</t>
        </is>
      </c>
      <c r="G6340" t="inlineStr">
        <is>
          <t>LASTSCHUETZ</t>
        </is>
      </c>
      <c r="H6340" t="inlineStr">
        <is>
          <t>5,5kW 1S Federzugkl.</t>
        </is>
      </c>
      <c r="I6340">
        <v>475</v>
      </c>
      <c r="J6340">
        <f>GS37/293.5</f>
        <v>0</v>
      </c>
      <c r="K6340" t="inlineStr">
        <is>
          <t>DILMC12</t>
        </is>
      </c>
      <c r="M6340" t="inlineStr">
        <is>
          <t>-293Q103.0</t>
        </is>
      </c>
    </row>
    <row r="6341">
      <c r="A6341">
        <v>6340</v>
      </c>
      <c r="B6341">
        <f>GS07</f>
        <v>0</v>
      </c>
      <c r="C6341" t="inlineStr">
        <is>
          <t>+LS04</t>
        </is>
      </c>
      <c r="D6341" t="inlineStr">
        <is>
          <t>-293Q404.0</t>
        </is>
      </c>
      <c r="E6341" t="inlineStr">
        <is>
          <t>DILM-9-10</t>
        </is>
      </c>
      <c r="F6341" t="inlineStr">
        <is>
          <t>#KALK!</t>
        </is>
      </c>
      <c r="G6341" t="inlineStr">
        <is>
          <t>LASTSCHUETZ</t>
        </is>
      </c>
      <c r="H6341" t="inlineStr">
        <is>
          <t>4kW 1S Federzugkl.</t>
        </is>
      </c>
      <c r="I6341">
        <v>395</v>
      </c>
      <c r="J6341">
        <f>GS07/293.6</f>
        <v>0</v>
      </c>
      <c r="K6341" t="inlineStr">
        <is>
          <t>DIL MC9</t>
        </is>
      </c>
      <c r="M6341" t="inlineStr">
        <is>
          <t>-293Q404.0</t>
        </is>
      </c>
    </row>
    <row r="6342">
      <c r="A6342">
        <v>6341</v>
      </c>
      <c r="B6342">
        <f>GS35</f>
        <v>0</v>
      </c>
      <c r="C6342" t="inlineStr">
        <is>
          <t>+LS06</t>
        </is>
      </c>
      <c r="D6342" t="inlineStr">
        <is>
          <t>-293Q433.7</t>
        </is>
      </c>
      <c r="E6342" t="inlineStr">
        <is>
          <t>DILM-12-10</t>
        </is>
      </c>
      <c r="F6342" t="inlineStr">
        <is>
          <t>#KALK!</t>
        </is>
      </c>
      <c r="G6342" t="inlineStr">
        <is>
          <t>LASTSCHUETZ</t>
        </is>
      </c>
      <c r="H6342" t="inlineStr">
        <is>
          <t>5,5kW 1S Federzugkl.</t>
        </is>
      </c>
      <c r="I6342">
        <v>447</v>
      </c>
      <c r="J6342">
        <f>GS35/293.5</f>
        <v>0</v>
      </c>
      <c r="K6342" t="inlineStr">
        <is>
          <t>DIL MC12</t>
        </is>
      </c>
      <c r="M6342" t="inlineStr">
        <is>
          <t>-293Q433.7</t>
        </is>
      </c>
    </row>
    <row r="6343">
      <c r="A6343">
        <v>6342</v>
      </c>
      <c r="B6343">
        <f>GS46</f>
        <v>0</v>
      </c>
      <c r="C6343" t="inlineStr">
        <is>
          <t>+LS04</t>
        </is>
      </c>
      <c r="D6343" t="inlineStr">
        <is>
          <t>-293Q445.3</t>
        </is>
      </c>
      <c r="E6343" t="inlineStr">
        <is>
          <t>DILM-9-10</t>
        </is>
      </c>
      <c r="F6343" t="inlineStr">
        <is>
          <t>#KALK!</t>
        </is>
      </c>
      <c r="G6343" t="inlineStr">
        <is>
          <t>LASTSCHUETZ</t>
        </is>
      </c>
      <c r="H6343" t="inlineStr">
        <is>
          <t>4kW 1S Federzugkl.</t>
        </is>
      </c>
      <c r="I6343">
        <v>764</v>
      </c>
      <c r="J6343">
        <f>GS46/293.5</f>
        <v>0</v>
      </c>
      <c r="M6343" t="inlineStr">
        <is>
          <t>-293Q445.3</t>
        </is>
      </c>
    </row>
    <row r="6344">
      <c r="A6344">
        <v>6343</v>
      </c>
      <c r="B6344">
        <f>GS47</f>
        <v>0</v>
      </c>
      <c r="C6344" t="inlineStr">
        <is>
          <t>+LS04</t>
        </is>
      </c>
      <c r="D6344" t="inlineStr">
        <is>
          <t>-293Q445.3</t>
        </is>
      </c>
      <c r="E6344" t="inlineStr">
        <is>
          <t>DILM-9-10</t>
        </is>
      </c>
      <c r="F6344" t="inlineStr">
        <is>
          <t>#KALK!</t>
        </is>
      </c>
      <c r="G6344" t="inlineStr">
        <is>
          <t>LASTSCHUETZ</t>
        </is>
      </c>
      <c r="H6344" t="inlineStr">
        <is>
          <t>4kW 1S Federzugkl.</t>
        </is>
      </c>
      <c r="I6344">
        <v>764</v>
      </c>
      <c r="J6344">
        <f>GS47/293.5</f>
        <v>0</v>
      </c>
      <c r="M6344" t="inlineStr">
        <is>
          <t>-293Q445.3</t>
        </is>
      </c>
    </row>
    <row r="6345">
      <c r="A6345">
        <v>6344</v>
      </c>
      <c r="B6345">
        <f>GS48</f>
        <v>0</v>
      </c>
      <c r="C6345" t="inlineStr">
        <is>
          <t>+LS04</t>
        </is>
      </c>
      <c r="D6345" t="inlineStr">
        <is>
          <t>-293Q445.3</t>
        </is>
      </c>
      <c r="E6345" t="inlineStr">
        <is>
          <t>DILM-9-10</t>
        </is>
      </c>
      <c r="F6345" t="inlineStr">
        <is>
          <t>#KALK!</t>
        </is>
      </c>
      <c r="G6345" t="inlineStr">
        <is>
          <t>LASTSCHUETZ</t>
        </is>
      </c>
      <c r="H6345" t="inlineStr">
        <is>
          <t>4kW 1S Federzugkl.</t>
        </is>
      </c>
      <c r="I6345">
        <v>425</v>
      </c>
      <c r="J6345">
        <f>GS48/293.5</f>
        <v>0</v>
      </c>
      <c r="M6345" t="inlineStr">
        <is>
          <t>-293Q445.3</t>
        </is>
      </c>
    </row>
    <row r="6346">
      <c r="A6346">
        <v>6345</v>
      </c>
      <c r="B6346">
        <f>GS49</f>
        <v>0</v>
      </c>
      <c r="C6346" t="inlineStr">
        <is>
          <t>+LS04</t>
        </is>
      </c>
      <c r="D6346" t="inlineStr">
        <is>
          <t>-293Q445.3</t>
        </is>
      </c>
      <c r="E6346" t="inlineStr">
        <is>
          <t>DILM-9-10</t>
        </is>
      </c>
      <c r="F6346" t="inlineStr">
        <is>
          <t>#KALK!</t>
        </is>
      </c>
      <c r="G6346" t="inlineStr">
        <is>
          <t>LASTSCHUETZ</t>
        </is>
      </c>
      <c r="H6346" t="inlineStr">
        <is>
          <t>4kW 1S Federzugkl.</t>
        </is>
      </c>
      <c r="I6346">
        <v>424</v>
      </c>
      <c r="J6346">
        <f>GS49/293.5</f>
        <v>0</v>
      </c>
      <c r="M6346" t="inlineStr">
        <is>
          <t>-293Q445.3</t>
        </is>
      </c>
    </row>
    <row r="6347">
      <c r="A6347">
        <v>6346</v>
      </c>
      <c r="B6347">
        <f>GS46</f>
        <v>0</v>
      </c>
      <c r="C6347" t="inlineStr">
        <is>
          <t>+LS04</t>
        </is>
      </c>
      <c r="D6347" t="inlineStr">
        <is>
          <t>-293Q445.4</t>
        </is>
      </c>
      <c r="E6347" t="inlineStr">
        <is>
          <t>DILM-9-10</t>
        </is>
      </c>
      <c r="F6347" t="inlineStr">
        <is>
          <t>#KALK!</t>
        </is>
      </c>
      <c r="G6347" t="inlineStr">
        <is>
          <t>LASTSCHUETZ</t>
        </is>
      </c>
      <c r="H6347" t="inlineStr">
        <is>
          <t>4kW 1S Federzugkl.</t>
        </is>
      </c>
      <c r="I6347">
        <v>764</v>
      </c>
      <c r="J6347">
        <f>GS46/293.6</f>
        <v>0</v>
      </c>
      <c r="M6347" t="inlineStr">
        <is>
          <t>-293Q445.4</t>
        </is>
      </c>
    </row>
    <row r="6348">
      <c r="A6348">
        <v>6347</v>
      </c>
      <c r="B6348">
        <f>GS47</f>
        <v>0</v>
      </c>
      <c r="C6348" t="inlineStr">
        <is>
          <t>+LS04</t>
        </is>
      </c>
      <c r="D6348" t="inlineStr">
        <is>
          <t>-293Q445.4</t>
        </is>
      </c>
      <c r="E6348" t="inlineStr">
        <is>
          <t>DILM-9-10</t>
        </is>
      </c>
      <c r="F6348" t="inlineStr">
        <is>
          <t>#KALK!</t>
        </is>
      </c>
      <c r="G6348" t="inlineStr">
        <is>
          <t>LASTSCHUETZ</t>
        </is>
      </c>
      <c r="H6348" t="inlineStr">
        <is>
          <t>4kW 1S Federzugkl.</t>
        </is>
      </c>
      <c r="I6348">
        <v>764</v>
      </c>
      <c r="J6348">
        <f>GS47/293.6</f>
        <v>0</v>
      </c>
      <c r="M6348" t="inlineStr">
        <is>
          <t>-293Q445.4</t>
        </is>
      </c>
    </row>
    <row r="6349">
      <c r="A6349">
        <v>6348</v>
      </c>
      <c r="B6349">
        <f>GS48</f>
        <v>0</v>
      </c>
      <c r="C6349" t="inlineStr">
        <is>
          <t>+LS04</t>
        </is>
      </c>
      <c r="D6349" t="inlineStr">
        <is>
          <t>-293Q445.4</t>
        </is>
      </c>
      <c r="E6349" t="inlineStr">
        <is>
          <t>DILM-9-10</t>
        </is>
      </c>
      <c r="F6349" t="inlineStr">
        <is>
          <t>#KALK!</t>
        </is>
      </c>
      <c r="G6349" t="inlineStr">
        <is>
          <t>LASTSCHUETZ</t>
        </is>
      </c>
      <c r="H6349" t="inlineStr">
        <is>
          <t>4kW 1S Federzugkl.</t>
        </is>
      </c>
      <c r="I6349">
        <v>425</v>
      </c>
      <c r="J6349">
        <f>GS48/293.6</f>
        <v>0</v>
      </c>
      <c r="M6349" t="inlineStr">
        <is>
          <t>-293Q445.4</t>
        </is>
      </c>
    </row>
    <row r="6350">
      <c r="A6350">
        <v>6349</v>
      </c>
      <c r="B6350">
        <f>GS49</f>
        <v>0</v>
      </c>
      <c r="C6350" t="inlineStr">
        <is>
          <t>+LS04</t>
        </is>
      </c>
      <c r="D6350" t="inlineStr">
        <is>
          <t>-293Q445.4</t>
        </is>
      </c>
      <c r="E6350" t="inlineStr">
        <is>
          <t>DILM-9-10</t>
        </is>
      </c>
      <c r="F6350" t="inlineStr">
        <is>
          <t>#KALK!</t>
        </is>
      </c>
      <c r="G6350" t="inlineStr">
        <is>
          <t>LASTSCHUETZ</t>
        </is>
      </c>
      <c r="H6350" t="inlineStr">
        <is>
          <t>4kW 1S Federzugkl.</t>
        </is>
      </c>
      <c r="I6350">
        <v>424</v>
      </c>
      <c r="J6350">
        <f>GS49/293.6</f>
        <v>0</v>
      </c>
      <c r="M6350" t="inlineStr">
        <is>
          <t>-293Q445.4</t>
        </is>
      </c>
    </row>
    <row r="6351">
      <c r="A6351">
        <v>6350</v>
      </c>
      <c r="B6351">
        <f>GS46</f>
        <v>0</v>
      </c>
      <c r="C6351" t="inlineStr">
        <is>
          <t>+LS04</t>
        </is>
      </c>
      <c r="D6351" t="inlineStr">
        <is>
          <t>-293Q445.5</t>
        </is>
      </c>
      <c r="E6351" t="inlineStr">
        <is>
          <t>DILM-9-10</t>
        </is>
      </c>
      <c r="F6351" t="inlineStr">
        <is>
          <t>#KALK!</t>
        </is>
      </c>
      <c r="G6351" t="inlineStr">
        <is>
          <t>LASTSCHUETZ</t>
        </is>
      </c>
      <c r="H6351" t="inlineStr">
        <is>
          <t>4kW 1S Federzugkl.</t>
        </is>
      </c>
      <c r="I6351">
        <v>764</v>
      </c>
      <c r="J6351">
        <f>GS46/293.7</f>
        <v>0</v>
      </c>
      <c r="M6351" t="inlineStr">
        <is>
          <t>-293Q445.5</t>
        </is>
      </c>
    </row>
    <row r="6352">
      <c r="A6352">
        <v>6351</v>
      </c>
      <c r="B6352">
        <f>GS47</f>
        <v>0</v>
      </c>
      <c r="C6352" t="inlineStr">
        <is>
          <t>+LS04</t>
        </is>
      </c>
      <c r="D6352" t="inlineStr">
        <is>
          <t>-293Q445.5</t>
        </is>
      </c>
      <c r="E6352" t="inlineStr">
        <is>
          <t>DILM-9-10</t>
        </is>
      </c>
      <c r="F6352" t="inlineStr">
        <is>
          <t>#KALK!</t>
        </is>
      </c>
      <c r="G6352" t="inlineStr">
        <is>
          <t>LASTSCHUETZ</t>
        </is>
      </c>
      <c r="H6352" t="inlineStr">
        <is>
          <t>4kW 1S Federzugkl.</t>
        </is>
      </c>
      <c r="I6352">
        <v>764</v>
      </c>
      <c r="J6352">
        <f>GS47/293.7</f>
        <v>0</v>
      </c>
      <c r="M6352" t="inlineStr">
        <is>
          <t>-293Q445.5</t>
        </is>
      </c>
    </row>
    <row r="6353">
      <c r="A6353">
        <v>6352</v>
      </c>
      <c r="B6353">
        <f>GS48</f>
        <v>0</v>
      </c>
      <c r="C6353" t="inlineStr">
        <is>
          <t>+LS04</t>
        </is>
      </c>
      <c r="D6353" t="inlineStr">
        <is>
          <t>-293Q445.5</t>
        </is>
      </c>
      <c r="E6353" t="inlineStr">
        <is>
          <t>DILM-9-10</t>
        </is>
      </c>
      <c r="F6353" t="inlineStr">
        <is>
          <t>#KALK!</t>
        </is>
      </c>
      <c r="G6353" t="inlineStr">
        <is>
          <t>LASTSCHUETZ</t>
        </is>
      </c>
      <c r="H6353" t="inlineStr">
        <is>
          <t>4kW 1S Federzugkl.</t>
        </is>
      </c>
      <c r="I6353">
        <v>425</v>
      </c>
      <c r="J6353">
        <f>GS48/293.7</f>
        <v>0</v>
      </c>
      <c r="M6353" t="inlineStr">
        <is>
          <t>-293Q445.5</t>
        </is>
      </c>
    </row>
    <row r="6354">
      <c r="A6354">
        <v>6353</v>
      </c>
      <c r="B6354">
        <f>GS49</f>
        <v>0</v>
      </c>
      <c r="C6354" t="inlineStr">
        <is>
          <t>+LS04</t>
        </is>
      </c>
      <c r="D6354" t="inlineStr">
        <is>
          <t>-293Q445.5</t>
        </is>
      </c>
      <c r="E6354" t="inlineStr">
        <is>
          <t>DILM-9-10</t>
        </is>
      </c>
      <c r="F6354" t="inlineStr">
        <is>
          <t>#KALK!</t>
        </is>
      </c>
      <c r="G6354" t="inlineStr">
        <is>
          <t>LASTSCHUETZ</t>
        </is>
      </c>
      <c r="H6354" t="inlineStr">
        <is>
          <t>4kW 1S Federzugkl.</t>
        </is>
      </c>
      <c r="I6354">
        <v>424</v>
      </c>
      <c r="J6354">
        <f>GS49/293.7</f>
        <v>0</v>
      </c>
      <c r="M6354" t="inlineStr">
        <is>
          <t>-293Q445.5</t>
        </is>
      </c>
    </row>
    <row r="6355">
      <c r="A6355">
        <v>6354</v>
      </c>
      <c r="B6355">
        <f>GS46</f>
        <v>0</v>
      </c>
      <c r="C6355" t="inlineStr">
        <is>
          <t>+LS04</t>
        </is>
      </c>
      <c r="D6355" t="inlineStr">
        <is>
          <t>-293Q446.7</t>
        </is>
      </c>
      <c r="E6355" t="inlineStr">
        <is>
          <t>DILM-9-10</t>
        </is>
      </c>
      <c r="F6355" t="inlineStr">
        <is>
          <t>#KALK!</t>
        </is>
      </c>
      <c r="G6355" t="inlineStr">
        <is>
          <t>LASTSCHUETZ</t>
        </is>
      </c>
      <c r="H6355" t="inlineStr">
        <is>
          <t>4kW 1S Federzugkl.</t>
        </is>
      </c>
      <c r="I6355">
        <v>764</v>
      </c>
      <c r="J6355">
        <f>GS46/293.3</f>
        <v>0</v>
      </c>
      <c r="M6355" t="inlineStr">
        <is>
          <t>-293Q446.7</t>
        </is>
      </c>
    </row>
    <row r="6356">
      <c r="A6356">
        <v>6355</v>
      </c>
      <c r="B6356">
        <f>GS47</f>
        <v>0</v>
      </c>
      <c r="C6356" t="inlineStr">
        <is>
          <t>+LS04</t>
        </is>
      </c>
      <c r="D6356" t="inlineStr">
        <is>
          <t>-293Q446.7</t>
        </is>
      </c>
      <c r="E6356" t="inlineStr">
        <is>
          <t>DILM-9-10</t>
        </is>
      </c>
      <c r="F6356" t="inlineStr">
        <is>
          <t>#KALK!</t>
        </is>
      </c>
      <c r="G6356" t="inlineStr">
        <is>
          <t>LASTSCHUETZ</t>
        </is>
      </c>
      <c r="H6356" t="inlineStr">
        <is>
          <t>4kW 1S Federzugkl.</t>
        </is>
      </c>
      <c r="I6356">
        <v>764</v>
      </c>
      <c r="J6356">
        <f>GS47/293.3</f>
        <v>0</v>
      </c>
      <c r="M6356" t="inlineStr">
        <is>
          <t>-293Q446.7</t>
        </is>
      </c>
    </row>
    <row r="6357">
      <c r="A6357">
        <v>6356</v>
      </c>
      <c r="B6357">
        <f>GS48</f>
        <v>0</v>
      </c>
      <c r="C6357" t="inlineStr">
        <is>
          <t>+LS04</t>
        </is>
      </c>
      <c r="D6357" t="inlineStr">
        <is>
          <t>-293Q446.7</t>
        </is>
      </c>
      <c r="E6357" t="inlineStr">
        <is>
          <t>DILM-9-10</t>
        </is>
      </c>
      <c r="F6357" t="inlineStr">
        <is>
          <t>#KALK!</t>
        </is>
      </c>
      <c r="G6357" t="inlineStr">
        <is>
          <t>LASTSCHUETZ</t>
        </is>
      </c>
      <c r="H6357" t="inlineStr">
        <is>
          <t>4kW 1S Federzugkl.</t>
        </is>
      </c>
      <c r="I6357">
        <v>425</v>
      </c>
      <c r="J6357">
        <f>GS48/293.3</f>
        <v>0</v>
      </c>
      <c r="M6357" t="inlineStr">
        <is>
          <t>-293Q446.7</t>
        </is>
      </c>
    </row>
    <row r="6358">
      <c r="A6358">
        <v>6357</v>
      </c>
      <c r="B6358">
        <f>GS49</f>
        <v>0</v>
      </c>
      <c r="C6358" t="inlineStr">
        <is>
          <t>+LS04</t>
        </is>
      </c>
      <c r="D6358" t="inlineStr">
        <is>
          <t>-293Q446.7</t>
        </is>
      </c>
      <c r="E6358" t="inlineStr">
        <is>
          <t>DILM-9-10</t>
        </is>
      </c>
      <c r="F6358" t="inlineStr">
        <is>
          <t>#KALK!</t>
        </is>
      </c>
      <c r="G6358" t="inlineStr">
        <is>
          <t>LASTSCHUETZ</t>
        </is>
      </c>
      <c r="H6358" t="inlineStr">
        <is>
          <t>4kW 1S Federzugkl.</t>
        </is>
      </c>
      <c r="I6358">
        <v>424</v>
      </c>
      <c r="J6358">
        <f>GS49/293.3</f>
        <v>0</v>
      </c>
      <c r="M6358" t="inlineStr">
        <is>
          <t>-293Q446.7</t>
        </is>
      </c>
    </row>
    <row r="6359">
      <c r="A6359">
        <v>6358</v>
      </c>
      <c r="B6359">
        <f>GS13</f>
        <v>0</v>
      </c>
      <c r="C6359" t="inlineStr">
        <is>
          <t>+LS6</t>
        </is>
      </c>
      <c r="D6359" t="inlineStr">
        <is>
          <t>-29482.4</t>
        </is>
      </c>
      <c r="E6359" t="inlineStr">
        <is>
          <t>DIL_EM-10-G</t>
        </is>
      </c>
      <c r="F6359" t="inlineStr">
        <is>
          <t>#KALK!</t>
        </is>
      </c>
      <c r="G6359" t="inlineStr">
        <is>
          <t>LASTSCHUETZ</t>
        </is>
      </c>
      <c r="H6359" t="inlineStr">
        <is>
          <t>4kW 1S</t>
        </is>
      </c>
      <c r="I6359">
        <v>537</v>
      </c>
      <c r="J6359">
        <f>GS13/294.6</f>
        <v>0</v>
      </c>
      <c r="M6359" t="inlineStr">
        <is>
          <t>-29482.4</t>
        </is>
      </c>
    </row>
    <row r="6360">
      <c r="A6360">
        <v>6359</v>
      </c>
      <c r="B6360">
        <f>GS13</f>
        <v>0</v>
      </c>
      <c r="C6360" t="inlineStr">
        <is>
          <t>+LS6</t>
        </is>
      </c>
      <c r="D6360" t="inlineStr">
        <is>
          <t>-29482.5</t>
        </is>
      </c>
      <c r="E6360" t="inlineStr">
        <is>
          <t>DIL_EM-10-G</t>
        </is>
      </c>
      <c r="F6360" t="inlineStr">
        <is>
          <t>#KALK!</t>
        </is>
      </c>
      <c r="G6360" t="inlineStr">
        <is>
          <t>LASTSCHUETZ</t>
        </is>
      </c>
      <c r="H6360" t="inlineStr">
        <is>
          <t>4kW 1S</t>
        </is>
      </c>
      <c r="I6360">
        <v>537</v>
      </c>
      <c r="J6360">
        <f>GS13/294.6</f>
        <v>0</v>
      </c>
      <c r="M6360" t="inlineStr">
        <is>
          <t>-29482.5</t>
        </is>
      </c>
    </row>
    <row r="6361">
      <c r="A6361">
        <v>6360</v>
      </c>
      <c r="B6361">
        <f>GS34</f>
        <v>0</v>
      </c>
      <c r="C6361" t="inlineStr">
        <is>
          <t>+LS6</t>
        </is>
      </c>
      <c r="D6361" t="inlineStr">
        <is>
          <t>-294K1</t>
        </is>
      </c>
      <c r="E6361" t="inlineStr">
        <is>
          <t>31 DIL M</t>
        </is>
      </c>
      <c r="F6361" t="inlineStr">
        <is>
          <t>31 DIL M</t>
        </is>
      </c>
      <c r="G6361" t="inlineStr">
        <is>
          <t>HILFSKONTAKTBLOCK</t>
        </is>
      </c>
      <c r="H6361" t="inlineStr">
        <is>
          <t>3S 1OE Lastschuetz DIL M</t>
        </is>
      </c>
      <c r="I6361">
        <v>419</v>
      </c>
      <c r="J6361">
        <f>GS34/294.5</f>
        <v>0</v>
      </c>
      <c r="K6361" t="inlineStr">
        <is>
          <t>DIL2AM</t>
        </is>
      </c>
      <c r="M6361" t="inlineStr">
        <is>
          <t>-294K1</t>
        </is>
      </c>
    </row>
    <row r="6362">
      <c r="A6362">
        <v>6361</v>
      </c>
      <c r="B6362">
        <f>GS34</f>
        <v>0</v>
      </c>
      <c r="C6362" t="inlineStr">
        <is>
          <t>+LS6</t>
        </is>
      </c>
      <c r="D6362" t="inlineStr">
        <is>
          <t>-294K1</t>
        </is>
      </c>
      <c r="E6362" t="inlineStr">
        <is>
          <t>DIL_2AM</t>
        </is>
      </c>
      <c r="F6362" t="inlineStr">
        <is>
          <t>31 DIL M</t>
        </is>
      </c>
      <c r="G6362" t="inlineStr">
        <is>
          <t>LASTSCHUETZ</t>
        </is>
      </c>
      <c r="H6362" t="inlineStr">
        <is>
          <t>30 kW</t>
        </is>
      </c>
      <c r="I6362">
        <v>419</v>
      </c>
      <c r="J6362">
        <f>GS34/294.5</f>
        <v>0</v>
      </c>
      <c r="K6362" t="inlineStr">
        <is>
          <t>DIL2AM</t>
        </is>
      </c>
      <c r="M6362" t="inlineStr">
        <is>
          <t>-294K1</t>
        </is>
      </c>
    </row>
    <row r="6363">
      <c r="A6363">
        <v>6362</v>
      </c>
      <c r="B6363">
        <f>GS14</f>
        <v>0</v>
      </c>
      <c r="C6363" t="inlineStr">
        <is>
          <t>+LS6</t>
        </is>
      </c>
      <c r="D6363" t="inlineStr">
        <is>
          <t>-294K14.4</t>
        </is>
      </c>
      <c r="E6363" t="inlineStr">
        <is>
          <t>DIL_EM-10-G</t>
        </is>
      </c>
      <c r="F6363" t="inlineStr">
        <is>
          <t>#KALK!</t>
        </is>
      </c>
      <c r="G6363" t="inlineStr">
        <is>
          <t>LASTSCHUETZ</t>
        </is>
      </c>
      <c r="H6363" t="inlineStr">
        <is>
          <t>4kW 1S</t>
        </is>
      </c>
      <c r="I6363">
        <v>423</v>
      </c>
      <c r="J6363">
        <f>GS14/294.6</f>
        <v>0</v>
      </c>
      <c r="M6363" t="inlineStr">
        <is>
          <t>-294K14.4</t>
        </is>
      </c>
    </row>
    <row r="6364">
      <c r="A6364">
        <v>6363</v>
      </c>
      <c r="B6364">
        <f>GS14</f>
        <v>0</v>
      </c>
      <c r="C6364" t="inlineStr">
        <is>
          <t>+LS6</t>
        </is>
      </c>
      <c r="D6364" t="inlineStr">
        <is>
          <t>-294K14.5</t>
        </is>
      </c>
      <c r="E6364" t="inlineStr">
        <is>
          <t>DIL_EM-10-G</t>
        </is>
      </c>
      <c r="F6364" t="inlineStr">
        <is>
          <t>#KALK!</t>
        </is>
      </c>
      <c r="G6364" t="inlineStr">
        <is>
          <t>LASTSCHUETZ</t>
        </is>
      </c>
      <c r="H6364" t="inlineStr">
        <is>
          <t>4kW 1S</t>
        </is>
      </c>
      <c r="I6364">
        <v>423</v>
      </c>
      <c r="J6364">
        <f>GS14/294.6</f>
        <v>0</v>
      </c>
      <c r="M6364" t="inlineStr">
        <is>
          <t>-294K14.5</t>
        </is>
      </c>
    </row>
    <row r="6365">
      <c r="A6365">
        <v>6364</v>
      </c>
      <c r="B6365">
        <f>GS31</f>
        <v>0</v>
      </c>
      <c r="C6365" t="inlineStr">
        <is>
          <t>+LS5</t>
        </is>
      </c>
      <c r="D6365" t="inlineStr">
        <is>
          <t>-294K3508.0</t>
        </is>
      </c>
      <c r="E6365" t="inlineStr">
        <is>
          <t>DIL_ER-22-G</t>
        </is>
      </c>
      <c r="F6365" t="inlineStr">
        <is>
          <t>#KALK!</t>
        </is>
      </c>
      <c r="G6365" t="inlineStr">
        <is>
          <t>HILFSSCHUETZ</t>
        </is>
      </c>
      <c r="H6365" t="inlineStr">
        <is>
          <t>2S 2OE</t>
        </is>
      </c>
      <c r="I6365">
        <v>585</v>
      </c>
      <c r="J6365">
        <f>GS31/294.5</f>
        <v>0</v>
      </c>
      <c r="M6365" t="inlineStr">
        <is>
          <t>-294K3508.0</t>
        </is>
      </c>
    </row>
    <row r="6366">
      <c r="A6366">
        <v>6365</v>
      </c>
      <c r="B6366">
        <f>GS31</f>
        <v>0</v>
      </c>
      <c r="C6366" t="inlineStr">
        <is>
          <t>+LS5</t>
        </is>
      </c>
      <c r="D6366" t="inlineStr">
        <is>
          <t>-294K3508.1</t>
        </is>
      </c>
      <c r="E6366" t="inlineStr">
        <is>
          <t>DIL_ER-22-G</t>
        </is>
      </c>
      <c r="F6366" t="inlineStr">
        <is>
          <t>#KALK!</t>
        </is>
      </c>
      <c r="G6366" t="inlineStr">
        <is>
          <t>HILFSSCHUETZ</t>
        </is>
      </c>
      <c r="H6366" t="inlineStr">
        <is>
          <t>2S 2OE</t>
        </is>
      </c>
      <c r="I6366">
        <v>585</v>
      </c>
      <c r="J6366">
        <f>GS31/294.6</f>
        <v>0</v>
      </c>
      <c r="M6366" t="inlineStr">
        <is>
          <t>-294K3508.1</t>
        </is>
      </c>
    </row>
    <row r="6367">
      <c r="A6367">
        <v>6366</v>
      </c>
      <c r="B6367">
        <f>GS31</f>
        <v>0</v>
      </c>
      <c r="C6367" t="inlineStr">
        <is>
          <t>+LS5</t>
        </is>
      </c>
      <c r="D6367" t="inlineStr">
        <is>
          <t>-294K3508.2</t>
        </is>
      </c>
      <c r="E6367" t="inlineStr">
        <is>
          <t>DIL_ER-22-G</t>
        </is>
      </c>
      <c r="F6367" t="inlineStr">
        <is>
          <t>#KALK!</t>
        </is>
      </c>
      <c r="G6367" t="inlineStr">
        <is>
          <t>HILFSSCHUETZ</t>
        </is>
      </c>
      <c r="H6367" t="inlineStr">
        <is>
          <t>2S 2OE</t>
        </is>
      </c>
      <c r="I6367">
        <v>585</v>
      </c>
      <c r="J6367">
        <f>GS31/294.7</f>
        <v>0</v>
      </c>
      <c r="M6367" t="inlineStr">
        <is>
          <t>-294K3508.2</t>
        </is>
      </c>
    </row>
    <row r="6368">
      <c r="A6368">
        <v>6367</v>
      </c>
      <c r="B6368">
        <f>GS31</f>
        <v>0</v>
      </c>
      <c r="C6368" t="inlineStr">
        <is>
          <t>+LS5</t>
        </is>
      </c>
      <c r="D6368" t="inlineStr">
        <is>
          <t>-294K3508.4</t>
        </is>
      </c>
      <c r="E6368" t="inlineStr">
        <is>
          <t>DIL_EM-10-G</t>
        </is>
      </c>
      <c r="F6368" t="inlineStr">
        <is>
          <t>#KALK!</t>
        </is>
      </c>
      <c r="G6368" t="inlineStr">
        <is>
          <t>LASTSCHUETZ</t>
        </is>
      </c>
      <c r="H6368" t="inlineStr">
        <is>
          <t>4kW 1S</t>
        </is>
      </c>
      <c r="I6368">
        <v>585</v>
      </c>
      <c r="J6368">
        <f>GS31/294.7</f>
        <v>0</v>
      </c>
      <c r="M6368" t="inlineStr">
        <is>
          <t>-294K3508.4</t>
        </is>
      </c>
    </row>
    <row r="6369">
      <c r="A6369">
        <v>6368</v>
      </c>
      <c r="B6369">
        <f>GS33</f>
        <v>0</v>
      </c>
      <c r="C6369" t="inlineStr">
        <is>
          <t>+LS6</t>
        </is>
      </c>
      <c r="D6369" t="inlineStr">
        <is>
          <t>-294K44.3</t>
        </is>
      </c>
      <c r="E6369" t="inlineStr">
        <is>
          <t>DIL_EM-10-G</t>
        </is>
      </c>
      <c r="F6369" t="inlineStr">
        <is>
          <t>#KALK!</t>
        </is>
      </c>
      <c r="G6369" t="inlineStr">
        <is>
          <t>LASTSCHUETZ</t>
        </is>
      </c>
      <c r="H6369" t="inlineStr">
        <is>
          <t>4kW 1S</t>
        </is>
      </c>
      <c r="I6369">
        <v>741</v>
      </c>
      <c r="J6369">
        <f>GS33/294.7</f>
        <v>0</v>
      </c>
      <c r="M6369" t="inlineStr">
        <is>
          <t>-294K44.3</t>
        </is>
      </c>
    </row>
    <row r="6370">
      <c r="A6370">
        <v>6369</v>
      </c>
      <c r="B6370">
        <f>GS01</f>
        <v>0</v>
      </c>
      <c r="C6370" t="inlineStr">
        <is>
          <t>+LS6</t>
        </is>
      </c>
      <c r="D6370" t="inlineStr">
        <is>
          <t>-294K60.2</t>
        </is>
      </c>
      <c r="E6370" t="inlineStr">
        <is>
          <t>DIL_EM-10-G</t>
        </is>
      </c>
      <c r="F6370" t="inlineStr">
        <is>
          <t>#KALK!</t>
        </is>
      </c>
      <c r="G6370" t="inlineStr">
        <is>
          <t>LASTSCHUETZ</t>
        </is>
      </c>
      <c r="H6370" t="inlineStr">
        <is>
          <t>4kW 1S</t>
        </is>
      </c>
      <c r="I6370">
        <v>457</v>
      </c>
      <c r="J6370">
        <f>GS01/294.6</f>
        <v>0</v>
      </c>
      <c r="M6370" t="inlineStr">
        <is>
          <t>-294K60.2</t>
        </is>
      </c>
    </row>
    <row r="6371">
      <c r="A6371">
        <v>6370</v>
      </c>
      <c r="B6371">
        <f>GS23</f>
        <v>0</v>
      </c>
      <c r="C6371" t="inlineStr">
        <is>
          <t>+LS6</t>
        </is>
      </c>
      <c r="D6371" t="inlineStr">
        <is>
          <t>-294K82.4</t>
        </is>
      </c>
      <c r="E6371" t="inlineStr">
        <is>
          <t>DIL_EM-10-G</t>
        </is>
      </c>
      <c r="F6371" t="inlineStr">
        <is>
          <t>#KALK!</t>
        </is>
      </c>
      <c r="G6371" t="inlineStr">
        <is>
          <t>LASTSCHUETZ</t>
        </is>
      </c>
      <c r="H6371" t="inlineStr">
        <is>
          <t>4kW 1S</t>
        </is>
      </c>
      <c r="I6371">
        <v>595</v>
      </c>
      <c r="J6371">
        <f>GS23/294.6</f>
        <v>0</v>
      </c>
      <c r="M6371" t="inlineStr">
        <is>
          <t>-294K82.4</t>
        </is>
      </c>
    </row>
    <row r="6372">
      <c r="A6372">
        <v>6371</v>
      </c>
      <c r="B6372">
        <f>GS23</f>
        <v>0</v>
      </c>
      <c r="C6372" t="inlineStr">
        <is>
          <t>+LS6</t>
        </is>
      </c>
      <c r="D6372" t="inlineStr">
        <is>
          <t>-294K82.5</t>
        </is>
      </c>
      <c r="E6372" t="inlineStr">
        <is>
          <t>DIL_EM-10-G</t>
        </is>
      </c>
      <c r="F6372" t="inlineStr">
        <is>
          <t>#KALK!</t>
        </is>
      </c>
      <c r="G6372" t="inlineStr">
        <is>
          <t>LASTSCHUETZ</t>
        </is>
      </c>
      <c r="H6372" t="inlineStr">
        <is>
          <t>4kW 1S</t>
        </is>
      </c>
      <c r="I6372">
        <v>595</v>
      </c>
      <c r="J6372">
        <f>GS23/294.6</f>
        <v>0</v>
      </c>
      <c r="M6372" t="inlineStr">
        <is>
          <t>-294K82.5</t>
        </is>
      </c>
    </row>
    <row r="6373">
      <c r="A6373">
        <v>6372</v>
      </c>
      <c r="B6373">
        <f>GS46</f>
        <v>0</v>
      </c>
      <c r="C6373" t="inlineStr">
        <is>
          <t>+LS04</t>
        </is>
      </c>
      <c r="D6373" t="inlineStr">
        <is>
          <t>-294Q1</t>
        </is>
      </c>
      <c r="E6373" t="inlineStr">
        <is>
          <t>DILM-9-01</t>
        </is>
      </c>
      <c r="F6373" t="inlineStr">
        <is>
          <t>DILA-XHI22</t>
        </is>
      </c>
      <c r="G6373" t="inlineStr">
        <is>
          <t>LASTSCHUETZ</t>
        </is>
      </c>
      <c r="H6373" t="inlineStr">
        <is>
          <t>4kW 1Oe Federzugkl.</t>
        </is>
      </c>
      <c r="I6373">
        <v>763</v>
      </c>
      <c r="J6373">
        <f>GS46/294.2</f>
        <v>0</v>
      </c>
      <c r="M6373" t="inlineStr">
        <is>
          <t>-294Q1</t>
        </is>
      </c>
    </row>
    <row r="6374">
      <c r="A6374">
        <v>6373</v>
      </c>
      <c r="B6374">
        <f>GS46</f>
        <v>0</v>
      </c>
      <c r="C6374" t="inlineStr">
        <is>
          <t>+LS04</t>
        </is>
      </c>
      <c r="D6374" t="inlineStr">
        <is>
          <t>-294Q1</t>
        </is>
      </c>
      <c r="E6374" t="inlineStr">
        <is>
          <t>DILA-XHI22</t>
        </is>
      </c>
      <c r="F6374" t="inlineStr">
        <is>
          <t>DILA-XHI22</t>
        </is>
      </c>
      <c r="G6374" t="inlineStr">
        <is>
          <t>HILFSKONTAKTBLOCK</t>
        </is>
      </c>
      <c r="H6374" t="inlineStr">
        <is>
          <t>2S 2OE Last+Hilfssch. Cage</t>
        </is>
      </c>
      <c r="I6374">
        <v>763</v>
      </c>
      <c r="J6374">
        <f>GS46/294.2</f>
        <v>0</v>
      </c>
      <c r="M6374" t="inlineStr">
        <is>
          <t>-294Q1</t>
        </is>
      </c>
    </row>
    <row r="6375">
      <c r="A6375">
        <v>6374</v>
      </c>
      <c r="B6375">
        <f>GS47</f>
        <v>0</v>
      </c>
      <c r="C6375" t="inlineStr">
        <is>
          <t>+LS04</t>
        </is>
      </c>
      <c r="D6375" t="inlineStr">
        <is>
          <t>-294Q1</t>
        </is>
      </c>
      <c r="E6375" t="inlineStr">
        <is>
          <t>DILA-XHI22</t>
        </is>
      </c>
      <c r="F6375" t="inlineStr">
        <is>
          <t>DILA-XHI22</t>
        </is>
      </c>
      <c r="G6375" t="inlineStr">
        <is>
          <t>HILFSKONTAKTBLOCK</t>
        </is>
      </c>
      <c r="H6375" t="inlineStr">
        <is>
          <t>2S 2OE Last+Hilfssch. Cage</t>
        </is>
      </c>
      <c r="I6375">
        <v>763</v>
      </c>
      <c r="J6375">
        <f>GS47/294.2</f>
        <v>0</v>
      </c>
      <c r="M6375" t="inlineStr">
        <is>
          <t>-294Q1</t>
        </is>
      </c>
    </row>
    <row r="6376">
      <c r="A6376">
        <v>6375</v>
      </c>
      <c r="B6376">
        <f>GS47</f>
        <v>0</v>
      </c>
      <c r="C6376" t="inlineStr">
        <is>
          <t>+LS04</t>
        </is>
      </c>
      <c r="D6376" t="inlineStr">
        <is>
          <t>-294Q1</t>
        </is>
      </c>
      <c r="E6376" t="inlineStr">
        <is>
          <t>DILM-9-01</t>
        </is>
      </c>
      <c r="F6376" t="inlineStr">
        <is>
          <t>DILA-XHI22</t>
        </is>
      </c>
      <c r="G6376" t="inlineStr">
        <is>
          <t>LASTSCHUETZ</t>
        </is>
      </c>
      <c r="H6376" t="inlineStr">
        <is>
          <t>4kW 1Oe Federzugkl.</t>
        </is>
      </c>
      <c r="I6376">
        <v>763</v>
      </c>
      <c r="J6376">
        <f>GS47/294.2</f>
        <v>0</v>
      </c>
      <c r="M6376" t="inlineStr">
        <is>
          <t>-294Q1</t>
        </is>
      </c>
    </row>
    <row r="6377">
      <c r="A6377">
        <v>6376</v>
      </c>
      <c r="B6377">
        <f>GS48</f>
        <v>0</v>
      </c>
      <c r="C6377" t="inlineStr">
        <is>
          <t>+LS04</t>
        </is>
      </c>
      <c r="D6377" t="inlineStr">
        <is>
          <t>-294Q1</t>
        </is>
      </c>
      <c r="E6377" t="inlineStr">
        <is>
          <t>DILA-XHI22</t>
        </is>
      </c>
      <c r="F6377" t="inlineStr">
        <is>
          <t>DILA-XHI22</t>
        </is>
      </c>
      <c r="G6377" t="inlineStr">
        <is>
          <t>HILFSKONTAKTBLOCK</t>
        </is>
      </c>
      <c r="H6377" t="inlineStr">
        <is>
          <t>2S 2OE Last+Hilfssch. Cage</t>
        </is>
      </c>
      <c r="I6377">
        <v>426</v>
      </c>
      <c r="J6377">
        <f>GS48/294.2</f>
        <v>0</v>
      </c>
      <c r="M6377" t="inlineStr">
        <is>
          <t>-294Q1</t>
        </is>
      </c>
    </row>
    <row r="6378">
      <c r="A6378">
        <v>6377</v>
      </c>
      <c r="B6378">
        <f>GS48</f>
        <v>0</v>
      </c>
      <c r="C6378" t="inlineStr">
        <is>
          <t>+LS04</t>
        </is>
      </c>
      <c r="D6378" t="inlineStr">
        <is>
          <t>-294Q1</t>
        </is>
      </c>
      <c r="E6378" t="inlineStr">
        <is>
          <t>DILM-9-01</t>
        </is>
      </c>
      <c r="F6378" t="inlineStr">
        <is>
          <t>DILA-XHI22</t>
        </is>
      </c>
      <c r="G6378" t="inlineStr">
        <is>
          <t>LASTSCHUETZ</t>
        </is>
      </c>
      <c r="H6378" t="inlineStr">
        <is>
          <t>4kW 1Oe Federzugkl.</t>
        </is>
      </c>
      <c r="I6378">
        <v>426</v>
      </c>
      <c r="J6378">
        <f>GS48/294.2</f>
        <v>0</v>
      </c>
      <c r="M6378" t="inlineStr">
        <is>
          <t>-294Q1</t>
        </is>
      </c>
    </row>
    <row r="6379">
      <c r="A6379">
        <v>6378</v>
      </c>
      <c r="B6379">
        <f>GS49</f>
        <v>0</v>
      </c>
      <c r="C6379" t="inlineStr">
        <is>
          <t>+LS04</t>
        </is>
      </c>
      <c r="D6379" t="inlineStr">
        <is>
          <t>-294Q1</t>
        </is>
      </c>
      <c r="E6379" t="inlineStr">
        <is>
          <t>DILM-9-01</t>
        </is>
      </c>
      <c r="F6379" t="inlineStr">
        <is>
          <t>DILA-XHI22</t>
        </is>
      </c>
      <c r="G6379" t="inlineStr">
        <is>
          <t>LASTSCHUETZ</t>
        </is>
      </c>
      <c r="H6379" t="inlineStr">
        <is>
          <t>4kW 1Oe Federzugkl.</t>
        </is>
      </c>
      <c r="I6379">
        <v>425</v>
      </c>
      <c r="J6379">
        <f>GS49/294.2</f>
        <v>0</v>
      </c>
      <c r="M6379" t="inlineStr">
        <is>
          <t>-294Q1</t>
        </is>
      </c>
    </row>
    <row r="6380">
      <c r="A6380">
        <v>6379</v>
      </c>
      <c r="B6380">
        <f>GS49</f>
        <v>0</v>
      </c>
      <c r="C6380" t="inlineStr">
        <is>
          <t>+LS04</t>
        </is>
      </c>
      <c r="D6380" t="inlineStr">
        <is>
          <t>-294Q1</t>
        </is>
      </c>
      <c r="E6380" t="inlineStr">
        <is>
          <t>DILA-XHI22</t>
        </is>
      </c>
      <c r="F6380" t="inlineStr">
        <is>
          <t>DILA-XHI22</t>
        </is>
      </c>
      <c r="G6380" t="inlineStr">
        <is>
          <t>HILFSKONTAKTBLOCK</t>
        </is>
      </c>
      <c r="H6380" t="inlineStr">
        <is>
          <t>2S 2OE Last+Hilfssch. Cage</t>
        </is>
      </c>
      <c r="I6380">
        <v>425</v>
      </c>
      <c r="J6380">
        <f>GS49/294.2</f>
        <v>0</v>
      </c>
      <c r="M6380" t="inlineStr">
        <is>
          <t>-294Q1</t>
        </is>
      </c>
    </row>
    <row r="6381">
      <c r="A6381">
        <v>6380</v>
      </c>
      <c r="B6381">
        <f>GS90</f>
        <v>0</v>
      </c>
      <c r="C6381" t="inlineStr">
        <is>
          <t>+LS04</t>
        </is>
      </c>
      <c r="D6381" t="inlineStr">
        <is>
          <t>-294Q180.5</t>
        </is>
      </c>
      <c r="E6381" t="inlineStr">
        <is>
          <t>DILM-9-10</t>
        </is>
      </c>
      <c r="F6381" t="inlineStr">
        <is>
          <t>#KALK!</t>
        </is>
      </c>
      <c r="G6381" t="inlineStr">
        <is>
          <t>LASTSCHUETZ</t>
        </is>
      </c>
      <c r="H6381" t="inlineStr">
        <is>
          <t>4kW 1S Federzugkl.</t>
        </is>
      </c>
      <c r="I6381">
        <v>947</v>
      </c>
      <c r="J6381">
        <f>GS90/294.5</f>
        <v>0</v>
      </c>
      <c r="M6381" t="inlineStr">
        <is>
          <t>-294Q180.5</t>
        </is>
      </c>
    </row>
    <row r="6382">
      <c r="A6382">
        <v>6381</v>
      </c>
      <c r="B6382">
        <f>GS46</f>
        <v>0</v>
      </c>
      <c r="C6382" t="inlineStr">
        <is>
          <t>+LS04</t>
        </is>
      </c>
      <c r="D6382" t="inlineStr">
        <is>
          <t>-294Q2</t>
        </is>
      </c>
      <c r="E6382" t="inlineStr">
        <is>
          <t>DILM-9-01</t>
        </is>
      </c>
      <c r="F6382" t="inlineStr">
        <is>
          <t>DILA-XHI22</t>
        </is>
      </c>
      <c r="G6382" t="inlineStr">
        <is>
          <t>LASTSCHUETZ</t>
        </is>
      </c>
      <c r="H6382" t="inlineStr">
        <is>
          <t>4kW 1Oe Federzugkl.</t>
        </is>
      </c>
      <c r="I6382">
        <v>763</v>
      </c>
      <c r="J6382">
        <f>GS46/294.3</f>
        <v>0</v>
      </c>
      <c r="M6382" t="inlineStr">
        <is>
          <t>-294Q2</t>
        </is>
      </c>
    </row>
    <row r="6383">
      <c r="A6383">
        <v>6382</v>
      </c>
      <c r="B6383">
        <f>GS46</f>
        <v>0</v>
      </c>
      <c r="C6383" t="inlineStr">
        <is>
          <t>+LS04</t>
        </is>
      </c>
      <c r="D6383" t="inlineStr">
        <is>
          <t>-294Q2</t>
        </is>
      </c>
      <c r="E6383" t="inlineStr">
        <is>
          <t>DILA-XHI22</t>
        </is>
      </c>
      <c r="F6383" t="inlineStr">
        <is>
          <t>DILA-XHI22</t>
        </is>
      </c>
      <c r="G6383" t="inlineStr">
        <is>
          <t>HILFSKONTAKTBLOCK</t>
        </is>
      </c>
      <c r="H6383" t="inlineStr">
        <is>
          <t>2S 2OE Last+Hilfssch. Cage</t>
        </is>
      </c>
      <c r="I6383">
        <v>763</v>
      </c>
      <c r="J6383">
        <f>GS46/294.3</f>
        <v>0</v>
      </c>
      <c r="M6383" t="inlineStr">
        <is>
          <t>-294Q2</t>
        </is>
      </c>
    </row>
    <row r="6384">
      <c r="A6384">
        <v>6383</v>
      </c>
      <c r="B6384">
        <f>GS47</f>
        <v>0</v>
      </c>
      <c r="C6384" t="inlineStr">
        <is>
          <t>+LS04</t>
        </is>
      </c>
      <c r="D6384" t="inlineStr">
        <is>
          <t>-294Q2</t>
        </is>
      </c>
      <c r="E6384" t="inlineStr">
        <is>
          <t>DILA-XHI22</t>
        </is>
      </c>
      <c r="F6384" t="inlineStr">
        <is>
          <t>DILA-XHI22</t>
        </is>
      </c>
      <c r="G6384" t="inlineStr">
        <is>
          <t>HILFSKONTAKTBLOCK</t>
        </is>
      </c>
      <c r="H6384" t="inlineStr">
        <is>
          <t>2S 2OE Last+Hilfssch. Cage</t>
        </is>
      </c>
      <c r="I6384">
        <v>763</v>
      </c>
      <c r="J6384">
        <f>GS47/294.3</f>
        <v>0</v>
      </c>
      <c r="M6384" t="inlineStr">
        <is>
          <t>-294Q2</t>
        </is>
      </c>
    </row>
    <row r="6385">
      <c r="A6385">
        <v>6384</v>
      </c>
      <c r="B6385">
        <f>GS47</f>
        <v>0</v>
      </c>
      <c r="C6385" t="inlineStr">
        <is>
          <t>+LS04</t>
        </is>
      </c>
      <c r="D6385" t="inlineStr">
        <is>
          <t>-294Q2</t>
        </is>
      </c>
      <c r="E6385" t="inlineStr">
        <is>
          <t>DILM-9-01</t>
        </is>
      </c>
      <c r="F6385" t="inlineStr">
        <is>
          <t>DILA-XHI22</t>
        </is>
      </c>
      <c r="G6385" t="inlineStr">
        <is>
          <t>LASTSCHUETZ</t>
        </is>
      </c>
      <c r="H6385" t="inlineStr">
        <is>
          <t>4kW 1Oe Federzugkl.</t>
        </is>
      </c>
      <c r="I6385">
        <v>763</v>
      </c>
      <c r="J6385">
        <f>GS47/294.3</f>
        <v>0</v>
      </c>
      <c r="M6385" t="inlineStr">
        <is>
          <t>-294Q2</t>
        </is>
      </c>
    </row>
    <row r="6386">
      <c r="A6386">
        <v>6385</v>
      </c>
      <c r="B6386">
        <f>GS48</f>
        <v>0</v>
      </c>
      <c r="C6386" t="inlineStr">
        <is>
          <t>+LS04</t>
        </is>
      </c>
      <c r="D6386" t="inlineStr">
        <is>
          <t>-294Q2</t>
        </is>
      </c>
      <c r="E6386" t="inlineStr">
        <is>
          <t>DILA-XHI22</t>
        </is>
      </c>
      <c r="F6386" t="inlineStr">
        <is>
          <t>DILA-XHI22</t>
        </is>
      </c>
      <c r="G6386" t="inlineStr">
        <is>
          <t>HILFSKONTAKTBLOCK</t>
        </is>
      </c>
      <c r="H6386" t="inlineStr">
        <is>
          <t>2S 2OE Last+Hilfssch. Cage</t>
        </is>
      </c>
      <c r="I6386">
        <v>426</v>
      </c>
      <c r="J6386">
        <f>GS48/294.3</f>
        <v>0</v>
      </c>
      <c r="M6386" t="inlineStr">
        <is>
          <t>-294Q2</t>
        </is>
      </c>
    </row>
    <row r="6387">
      <c r="A6387">
        <v>6386</v>
      </c>
      <c r="B6387">
        <f>GS48</f>
        <v>0</v>
      </c>
      <c r="C6387" t="inlineStr">
        <is>
          <t>+LS04</t>
        </is>
      </c>
      <c r="D6387" t="inlineStr">
        <is>
          <t>-294Q2</t>
        </is>
      </c>
      <c r="E6387" t="inlineStr">
        <is>
          <t>DILM-9-01</t>
        </is>
      </c>
      <c r="F6387" t="inlineStr">
        <is>
          <t>DILA-XHI22</t>
        </is>
      </c>
      <c r="G6387" t="inlineStr">
        <is>
          <t>LASTSCHUETZ</t>
        </is>
      </c>
      <c r="H6387" t="inlineStr">
        <is>
          <t>4kW 1Oe Federzugkl.</t>
        </is>
      </c>
      <c r="I6387">
        <v>426</v>
      </c>
      <c r="J6387">
        <f>GS48/294.3</f>
        <v>0</v>
      </c>
      <c r="M6387" t="inlineStr">
        <is>
          <t>-294Q2</t>
        </is>
      </c>
    </row>
    <row r="6388">
      <c r="A6388">
        <v>6387</v>
      </c>
      <c r="B6388">
        <f>GS49</f>
        <v>0</v>
      </c>
      <c r="C6388" t="inlineStr">
        <is>
          <t>+LS04</t>
        </is>
      </c>
      <c r="D6388" t="inlineStr">
        <is>
          <t>-294Q2</t>
        </is>
      </c>
      <c r="E6388" t="inlineStr">
        <is>
          <t>DILM-9-01</t>
        </is>
      </c>
      <c r="F6388" t="inlineStr">
        <is>
          <t>DILA-XHI22</t>
        </is>
      </c>
      <c r="G6388" t="inlineStr">
        <is>
          <t>LASTSCHUETZ</t>
        </is>
      </c>
      <c r="H6388" t="inlineStr">
        <is>
          <t>4kW 1Oe Federzugkl.</t>
        </is>
      </c>
      <c r="I6388">
        <v>425</v>
      </c>
      <c r="J6388">
        <f>GS49/294.3</f>
        <v>0</v>
      </c>
      <c r="M6388" t="inlineStr">
        <is>
          <t>-294Q2</t>
        </is>
      </c>
    </row>
    <row r="6389">
      <c r="A6389">
        <v>6388</v>
      </c>
      <c r="B6389">
        <f>GS49</f>
        <v>0</v>
      </c>
      <c r="C6389" t="inlineStr">
        <is>
          <t>+LS04</t>
        </is>
      </c>
      <c r="D6389" t="inlineStr">
        <is>
          <t>-294Q2</t>
        </is>
      </c>
      <c r="E6389" t="inlineStr">
        <is>
          <t>DILA-XHI22</t>
        </is>
      </c>
      <c r="F6389" t="inlineStr">
        <is>
          <t>DILA-XHI22</t>
        </is>
      </c>
      <c r="G6389" t="inlineStr">
        <is>
          <t>HILFSKONTAKTBLOCK</t>
        </is>
      </c>
      <c r="H6389" t="inlineStr">
        <is>
          <t>2S 2OE Last+Hilfssch. Cage</t>
        </is>
      </c>
      <c r="I6389">
        <v>425</v>
      </c>
      <c r="J6389">
        <f>GS49/294.3</f>
        <v>0</v>
      </c>
      <c r="M6389" t="inlineStr">
        <is>
          <t>-294Q2</t>
        </is>
      </c>
    </row>
    <row r="6390">
      <c r="A6390">
        <v>6389</v>
      </c>
      <c r="B6390">
        <f>GS46</f>
        <v>0</v>
      </c>
      <c r="C6390" t="inlineStr">
        <is>
          <t>+LS04</t>
        </is>
      </c>
      <c r="D6390" t="inlineStr">
        <is>
          <t>-294Q3</t>
        </is>
      </c>
      <c r="E6390" t="inlineStr">
        <is>
          <t>DILM-9-01</t>
        </is>
      </c>
      <c r="F6390" t="inlineStr">
        <is>
          <t>DILA-XHI22</t>
        </is>
      </c>
      <c r="G6390" t="inlineStr">
        <is>
          <t>LASTSCHUETZ</t>
        </is>
      </c>
      <c r="H6390" t="inlineStr">
        <is>
          <t>4kW 1Oe Federzugkl.</t>
        </is>
      </c>
      <c r="I6390">
        <v>763</v>
      </c>
      <c r="J6390">
        <f>GS46/294.3</f>
        <v>0</v>
      </c>
      <c r="M6390" t="inlineStr">
        <is>
          <t>-294Q3</t>
        </is>
      </c>
    </row>
    <row r="6391">
      <c r="A6391">
        <v>6390</v>
      </c>
      <c r="B6391">
        <f>GS46</f>
        <v>0</v>
      </c>
      <c r="C6391" t="inlineStr">
        <is>
          <t>+LS04</t>
        </is>
      </c>
      <c r="D6391" t="inlineStr">
        <is>
          <t>-294Q3</t>
        </is>
      </c>
      <c r="E6391" t="inlineStr">
        <is>
          <t>DILA-XHI22</t>
        </is>
      </c>
      <c r="F6391" t="inlineStr">
        <is>
          <t>DILA-XHI22</t>
        </is>
      </c>
      <c r="G6391" t="inlineStr">
        <is>
          <t>HILFSKONTAKTBLOCK</t>
        </is>
      </c>
      <c r="H6391" t="inlineStr">
        <is>
          <t>2S 2OE Last+Hilfssch. Cage</t>
        </is>
      </c>
      <c r="I6391">
        <v>763</v>
      </c>
      <c r="J6391">
        <f>GS46/294.3</f>
        <v>0</v>
      </c>
      <c r="M6391" t="inlineStr">
        <is>
          <t>-294Q3</t>
        </is>
      </c>
    </row>
    <row r="6392">
      <c r="A6392">
        <v>6391</v>
      </c>
      <c r="B6392">
        <f>GS47</f>
        <v>0</v>
      </c>
      <c r="C6392" t="inlineStr">
        <is>
          <t>+LS04</t>
        </is>
      </c>
      <c r="D6392" t="inlineStr">
        <is>
          <t>-294Q3</t>
        </is>
      </c>
      <c r="E6392" t="inlineStr">
        <is>
          <t>DILA-XHI22</t>
        </is>
      </c>
      <c r="F6392" t="inlineStr">
        <is>
          <t>DILA-XHI22</t>
        </is>
      </c>
      <c r="G6392" t="inlineStr">
        <is>
          <t>HILFSKONTAKTBLOCK</t>
        </is>
      </c>
      <c r="H6392" t="inlineStr">
        <is>
          <t>2S 2OE Last+Hilfssch. Cage</t>
        </is>
      </c>
      <c r="I6392">
        <v>763</v>
      </c>
      <c r="J6392">
        <f>GS47/294.3</f>
        <v>0</v>
      </c>
      <c r="M6392" t="inlineStr">
        <is>
          <t>-294Q3</t>
        </is>
      </c>
    </row>
    <row r="6393">
      <c r="A6393">
        <v>6392</v>
      </c>
      <c r="B6393">
        <f>GS47</f>
        <v>0</v>
      </c>
      <c r="C6393" t="inlineStr">
        <is>
          <t>+LS04</t>
        </is>
      </c>
      <c r="D6393" t="inlineStr">
        <is>
          <t>-294Q3</t>
        </is>
      </c>
      <c r="E6393" t="inlineStr">
        <is>
          <t>DILM-9-01</t>
        </is>
      </c>
      <c r="F6393" t="inlineStr">
        <is>
          <t>DILA-XHI22</t>
        </is>
      </c>
      <c r="G6393" t="inlineStr">
        <is>
          <t>LASTSCHUETZ</t>
        </is>
      </c>
      <c r="H6393" t="inlineStr">
        <is>
          <t>4kW 1Oe Federzugkl.</t>
        </is>
      </c>
      <c r="I6393">
        <v>763</v>
      </c>
      <c r="J6393">
        <f>GS47/294.3</f>
        <v>0</v>
      </c>
      <c r="M6393" t="inlineStr">
        <is>
          <t>-294Q3</t>
        </is>
      </c>
    </row>
    <row r="6394">
      <c r="A6394">
        <v>6393</v>
      </c>
      <c r="B6394">
        <f>GS48</f>
        <v>0</v>
      </c>
      <c r="C6394" t="inlineStr">
        <is>
          <t>+LS04</t>
        </is>
      </c>
      <c r="D6394" t="inlineStr">
        <is>
          <t>-294Q3</t>
        </is>
      </c>
      <c r="E6394" t="inlineStr">
        <is>
          <t>DILA-XHI22</t>
        </is>
      </c>
      <c r="F6394" t="inlineStr">
        <is>
          <t>DILA-XHI22</t>
        </is>
      </c>
      <c r="G6394" t="inlineStr">
        <is>
          <t>HILFSKONTAKTBLOCK</t>
        </is>
      </c>
      <c r="H6394" t="inlineStr">
        <is>
          <t>2S 2OE Last+Hilfssch. Cage</t>
        </is>
      </c>
      <c r="I6394">
        <v>426</v>
      </c>
      <c r="J6394">
        <f>GS48/294.3</f>
        <v>0</v>
      </c>
      <c r="M6394" t="inlineStr">
        <is>
          <t>-294Q3</t>
        </is>
      </c>
    </row>
    <row r="6395">
      <c r="A6395">
        <v>6394</v>
      </c>
      <c r="B6395">
        <f>GS48</f>
        <v>0</v>
      </c>
      <c r="C6395" t="inlineStr">
        <is>
          <t>+LS04</t>
        </is>
      </c>
      <c r="D6395" t="inlineStr">
        <is>
          <t>-294Q3</t>
        </is>
      </c>
      <c r="E6395" t="inlineStr">
        <is>
          <t>DILM-9-01</t>
        </is>
      </c>
      <c r="F6395" t="inlineStr">
        <is>
          <t>DILA-XHI22</t>
        </is>
      </c>
      <c r="G6395" t="inlineStr">
        <is>
          <t>LASTSCHUETZ</t>
        </is>
      </c>
      <c r="H6395" t="inlineStr">
        <is>
          <t>4kW 1Oe Federzugkl.</t>
        </is>
      </c>
      <c r="I6395">
        <v>426</v>
      </c>
      <c r="J6395">
        <f>GS48/294.3</f>
        <v>0</v>
      </c>
      <c r="M6395" t="inlineStr">
        <is>
          <t>-294Q3</t>
        </is>
      </c>
    </row>
    <row r="6396">
      <c r="A6396">
        <v>6395</v>
      </c>
      <c r="B6396">
        <f>GS49</f>
        <v>0</v>
      </c>
      <c r="C6396" t="inlineStr">
        <is>
          <t>+LS04</t>
        </is>
      </c>
      <c r="D6396" t="inlineStr">
        <is>
          <t>-294Q3</t>
        </is>
      </c>
      <c r="E6396" t="inlineStr">
        <is>
          <t>DILM-9-01</t>
        </is>
      </c>
      <c r="F6396" t="inlineStr">
        <is>
          <t>DILA-XHI22</t>
        </is>
      </c>
      <c r="G6396" t="inlineStr">
        <is>
          <t>LASTSCHUETZ</t>
        </is>
      </c>
      <c r="H6396" t="inlineStr">
        <is>
          <t>4kW 1Oe Federzugkl.</t>
        </is>
      </c>
      <c r="I6396">
        <v>425</v>
      </c>
      <c r="J6396">
        <f>GS49/294.3</f>
        <v>0</v>
      </c>
      <c r="M6396" t="inlineStr">
        <is>
          <t>-294Q3</t>
        </is>
      </c>
    </row>
    <row r="6397">
      <c r="A6397">
        <v>6396</v>
      </c>
      <c r="B6397">
        <f>GS49</f>
        <v>0</v>
      </c>
      <c r="C6397" t="inlineStr">
        <is>
          <t>+LS04</t>
        </is>
      </c>
      <c r="D6397" t="inlineStr">
        <is>
          <t>-294Q3</t>
        </is>
      </c>
      <c r="E6397" t="inlineStr">
        <is>
          <t>DILA-XHI22</t>
        </is>
      </c>
      <c r="F6397" t="inlineStr">
        <is>
          <t>DILA-XHI22</t>
        </is>
      </c>
      <c r="G6397" t="inlineStr">
        <is>
          <t>HILFSKONTAKTBLOCK</t>
        </is>
      </c>
      <c r="H6397" t="inlineStr">
        <is>
          <t>2S 2OE Last+Hilfssch. Cage</t>
        </is>
      </c>
      <c r="I6397">
        <v>425</v>
      </c>
      <c r="J6397">
        <f>GS49/294.3</f>
        <v>0</v>
      </c>
      <c r="M6397" t="inlineStr">
        <is>
          <t>-294Q3</t>
        </is>
      </c>
    </row>
    <row r="6398">
      <c r="A6398">
        <v>6397</v>
      </c>
      <c r="B6398">
        <f>GS46</f>
        <v>0</v>
      </c>
      <c r="C6398" t="inlineStr">
        <is>
          <t>+LS04</t>
        </is>
      </c>
      <c r="D6398" t="inlineStr">
        <is>
          <t>-294Q4</t>
        </is>
      </c>
      <c r="E6398" t="inlineStr">
        <is>
          <t>DILM-9-01</t>
        </is>
      </c>
      <c r="F6398" t="inlineStr">
        <is>
          <t>DILA-XHI22</t>
        </is>
      </c>
      <c r="G6398" t="inlineStr">
        <is>
          <t>LASTSCHUETZ</t>
        </is>
      </c>
      <c r="H6398" t="inlineStr">
        <is>
          <t>4kW 1Oe Federzugkl.</t>
        </is>
      </c>
      <c r="I6398">
        <v>763</v>
      </c>
      <c r="J6398">
        <f>GS46/294.4</f>
        <v>0</v>
      </c>
      <c r="M6398" t="inlineStr">
        <is>
          <t>-294Q4</t>
        </is>
      </c>
    </row>
    <row r="6399">
      <c r="A6399">
        <v>6398</v>
      </c>
      <c r="B6399">
        <f>GS46</f>
        <v>0</v>
      </c>
      <c r="C6399" t="inlineStr">
        <is>
          <t>+LS04</t>
        </is>
      </c>
      <c r="D6399" t="inlineStr">
        <is>
          <t>-294Q4</t>
        </is>
      </c>
      <c r="E6399" t="inlineStr">
        <is>
          <t>DILA-XHI22</t>
        </is>
      </c>
      <c r="F6399" t="inlineStr">
        <is>
          <t>DILA-XHI22</t>
        </is>
      </c>
      <c r="G6399" t="inlineStr">
        <is>
          <t>HILFSKONTAKTBLOCK</t>
        </is>
      </c>
      <c r="H6399" t="inlineStr">
        <is>
          <t>2S 2OE Last+Hilfssch. Cage</t>
        </is>
      </c>
      <c r="I6399">
        <v>763</v>
      </c>
      <c r="J6399">
        <f>GS46/294.4</f>
        <v>0</v>
      </c>
      <c r="M6399" t="inlineStr">
        <is>
          <t>-294Q4</t>
        </is>
      </c>
    </row>
    <row r="6400">
      <c r="A6400">
        <v>6399</v>
      </c>
      <c r="B6400">
        <f>GS47</f>
        <v>0</v>
      </c>
      <c r="C6400" t="inlineStr">
        <is>
          <t>+LS04</t>
        </is>
      </c>
      <c r="D6400" t="inlineStr">
        <is>
          <t>-294Q4</t>
        </is>
      </c>
      <c r="E6400" t="inlineStr">
        <is>
          <t>DILA-XHI22</t>
        </is>
      </c>
      <c r="F6400" t="inlineStr">
        <is>
          <t>DILA-XHI22</t>
        </is>
      </c>
      <c r="G6400" t="inlineStr">
        <is>
          <t>HILFSKONTAKTBLOCK</t>
        </is>
      </c>
      <c r="H6400" t="inlineStr">
        <is>
          <t>2S 2OE Last+Hilfssch. Cage</t>
        </is>
      </c>
      <c r="I6400">
        <v>763</v>
      </c>
      <c r="J6400">
        <f>GS47/294.4</f>
        <v>0</v>
      </c>
      <c r="M6400" t="inlineStr">
        <is>
          <t>-294Q4</t>
        </is>
      </c>
    </row>
    <row r="6401">
      <c r="A6401">
        <v>6400</v>
      </c>
      <c r="B6401">
        <f>GS47</f>
        <v>0</v>
      </c>
      <c r="C6401" t="inlineStr">
        <is>
          <t>+LS04</t>
        </is>
      </c>
      <c r="D6401" t="inlineStr">
        <is>
          <t>-294Q4</t>
        </is>
      </c>
      <c r="E6401" t="inlineStr">
        <is>
          <t>DILM-9-01</t>
        </is>
      </c>
      <c r="F6401" t="inlineStr">
        <is>
          <t>DILA-XHI22</t>
        </is>
      </c>
      <c r="G6401" t="inlineStr">
        <is>
          <t>LASTSCHUETZ</t>
        </is>
      </c>
      <c r="H6401" t="inlineStr">
        <is>
          <t>4kW 1Oe Federzugkl.</t>
        </is>
      </c>
      <c r="I6401">
        <v>763</v>
      </c>
      <c r="J6401">
        <f>GS47/294.4</f>
        <v>0</v>
      </c>
      <c r="M6401" t="inlineStr">
        <is>
          <t>-294Q4</t>
        </is>
      </c>
    </row>
    <row r="6402">
      <c r="A6402">
        <v>6401</v>
      </c>
      <c r="B6402">
        <f>GS48</f>
        <v>0</v>
      </c>
      <c r="C6402" t="inlineStr">
        <is>
          <t>+LS04</t>
        </is>
      </c>
      <c r="D6402" t="inlineStr">
        <is>
          <t>-294Q4</t>
        </is>
      </c>
      <c r="E6402" t="inlineStr">
        <is>
          <t>DILA-XHI22</t>
        </is>
      </c>
      <c r="F6402" t="inlineStr">
        <is>
          <t>DILA-XHI22</t>
        </is>
      </c>
      <c r="G6402" t="inlineStr">
        <is>
          <t>HILFSKONTAKTBLOCK</t>
        </is>
      </c>
      <c r="H6402" t="inlineStr">
        <is>
          <t>2S 2OE Last+Hilfssch. Cage</t>
        </is>
      </c>
      <c r="I6402">
        <v>426</v>
      </c>
      <c r="J6402">
        <f>GS48/294.4</f>
        <v>0</v>
      </c>
      <c r="M6402" t="inlineStr">
        <is>
          <t>-294Q4</t>
        </is>
      </c>
    </row>
    <row r="6403">
      <c r="A6403">
        <v>6402</v>
      </c>
      <c r="B6403">
        <f>GS48</f>
        <v>0</v>
      </c>
      <c r="C6403" t="inlineStr">
        <is>
          <t>+LS04</t>
        </is>
      </c>
      <c r="D6403" t="inlineStr">
        <is>
          <t>-294Q4</t>
        </is>
      </c>
      <c r="E6403" t="inlineStr">
        <is>
          <t>DILM-9-01</t>
        </is>
      </c>
      <c r="F6403" t="inlineStr">
        <is>
          <t>DILA-XHI22</t>
        </is>
      </c>
      <c r="G6403" t="inlineStr">
        <is>
          <t>LASTSCHUETZ</t>
        </is>
      </c>
      <c r="H6403" t="inlineStr">
        <is>
          <t>4kW 1Oe Federzugkl.</t>
        </is>
      </c>
      <c r="I6403">
        <v>426</v>
      </c>
      <c r="J6403">
        <f>GS48/294.4</f>
        <v>0</v>
      </c>
      <c r="M6403" t="inlineStr">
        <is>
          <t>-294Q4</t>
        </is>
      </c>
    </row>
    <row r="6404">
      <c r="A6404">
        <v>6403</v>
      </c>
      <c r="B6404">
        <f>GS49</f>
        <v>0</v>
      </c>
      <c r="C6404" t="inlineStr">
        <is>
          <t>+LS04</t>
        </is>
      </c>
      <c r="D6404" t="inlineStr">
        <is>
          <t>-294Q4</t>
        </is>
      </c>
      <c r="E6404" t="inlineStr">
        <is>
          <t>DILM-9-01</t>
        </is>
      </c>
      <c r="F6404" t="inlineStr">
        <is>
          <t>DILA-XHI22</t>
        </is>
      </c>
      <c r="G6404" t="inlineStr">
        <is>
          <t>LASTSCHUETZ</t>
        </is>
      </c>
      <c r="H6404" t="inlineStr">
        <is>
          <t>4kW 1Oe Federzugkl.</t>
        </is>
      </c>
      <c r="I6404">
        <v>425</v>
      </c>
      <c r="J6404">
        <f>GS49/294.4</f>
        <v>0</v>
      </c>
      <c r="M6404" t="inlineStr">
        <is>
          <t>-294Q4</t>
        </is>
      </c>
    </row>
    <row r="6405">
      <c r="A6405">
        <v>6404</v>
      </c>
      <c r="B6405">
        <f>GS49</f>
        <v>0</v>
      </c>
      <c r="C6405" t="inlineStr">
        <is>
          <t>+LS04</t>
        </is>
      </c>
      <c r="D6405" t="inlineStr">
        <is>
          <t>-294Q4</t>
        </is>
      </c>
      <c r="E6405" t="inlineStr">
        <is>
          <t>DILA-XHI22</t>
        </is>
      </c>
      <c r="F6405" t="inlineStr">
        <is>
          <t>DILA-XHI22</t>
        </is>
      </c>
      <c r="G6405" t="inlineStr">
        <is>
          <t>HILFSKONTAKTBLOCK</t>
        </is>
      </c>
      <c r="H6405" t="inlineStr">
        <is>
          <t>2S 2OE Last+Hilfssch. Cage</t>
        </is>
      </c>
      <c r="I6405">
        <v>425</v>
      </c>
      <c r="J6405">
        <f>GS49/294.4</f>
        <v>0</v>
      </c>
      <c r="M6405" t="inlineStr">
        <is>
          <t>-294Q4</t>
        </is>
      </c>
    </row>
    <row r="6406">
      <c r="A6406">
        <v>6405</v>
      </c>
      <c r="B6406">
        <f>GS46</f>
        <v>0</v>
      </c>
      <c r="C6406" t="inlineStr">
        <is>
          <t>+LS04</t>
        </is>
      </c>
      <c r="D6406" t="inlineStr">
        <is>
          <t>-294Q5</t>
        </is>
      </c>
      <c r="E6406" t="inlineStr">
        <is>
          <t>DILMC40(RDC24)</t>
        </is>
      </c>
      <c r="F6406" t="inlineStr">
        <is>
          <t>DILM150-XHIC22</t>
        </is>
      </c>
      <c r="G6406" t="inlineStr">
        <is>
          <t>LASTSCHUETZ</t>
        </is>
      </c>
      <c r="H6406" t="inlineStr">
        <is>
          <t>18,5kW Federzugkl.</t>
        </is>
      </c>
      <c r="I6406">
        <v>763</v>
      </c>
      <c r="J6406">
        <f>GS46/294.5</f>
        <v>0</v>
      </c>
      <c r="K6406" t="inlineStr">
        <is>
          <t>DIL MC40</t>
        </is>
      </c>
      <c r="M6406" t="inlineStr">
        <is>
          <t>-294Q5</t>
        </is>
      </c>
    </row>
    <row r="6407">
      <c r="A6407">
        <v>6406</v>
      </c>
      <c r="B6407">
        <f>GS46</f>
        <v>0</v>
      </c>
      <c r="C6407" t="inlineStr">
        <is>
          <t>+LS04</t>
        </is>
      </c>
      <c r="D6407" t="inlineStr">
        <is>
          <t>-294Q5</t>
        </is>
      </c>
      <c r="E6407" t="inlineStr">
        <is>
          <t>DILM150-XHIC22</t>
        </is>
      </c>
      <c r="F6407" t="inlineStr">
        <is>
          <t>DILM150-XHIC22</t>
        </is>
      </c>
      <c r="G6407" t="inlineStr">
        <is>
          <t>HILFSKONTAKTBLOCK</t>
        </is>
      </c>
      <c r="H6407" t="inlineStr">
        <is>
          <t>2S 2OE ab DILMC40</t>
        </is>
      </c>
      <c r="I6407">
        <v>763</v>
      </c>
      <c r="J6407">
        <f>GS46/294.5</f>
        <v>0</v>
      </c>
      <c r="K6407" t="inlineStr">
        <is>
          <t>DIL MC40</t>
        </is>
      </c>
      <c r="M6407" t="inlineStr">
        <is>
          <t>-294Q5</t>
        </is>
      </c>
    </row>
    <row r="6408">
      <c r="A6408">
        <v>6407</v>
      </c>
      <c r="B6408">
        <f>GS47</f>
        <v>0</v>
      </c>
      <c r="C6408" t="inlineStr">
        <is>
          <t>+LS04</t>
        </is>
      </c>
      <c r="D6408" t="inlineStr">
        <is>
          <t>-294Q5</t>
        </is>
      </c>
      <c r="E6408" t="inlineStr">
        <is>
          <t>DILM150-XHIC22</t>
        </is>
      </c>
      <c r="F6408" t="inlineStr">
        <is>
          <t>DILM150-XHIC22</t>
        </is>
      </c>
      <c r="G6408" t="inlineStr">
        <is>
          <t>HILFSKONTAKTBLOCK</t>
        </is>
      </c>
      <c r="H6408" t="inlineStr">
        <is>
          <t>2S 2OE ab DILMC40</t>
        </is>
      </c>
      <c r="I6408">
        <v>763</v>
      </c>
      <c r="J6408">
        <f>GS47/294.5</f>
        <v>0</v>
      </c>
      <c r="K6408" t="inlineStr">
        <is>
          <t>DIL MC40</t>
        </is>
      </c>
      <c r="M6408" t="inlineStr">
        <is>
          <t>-294Q5</t>
        </is>
      </c>
    </row>
    <row r="6409">
      <c r="A6409">
        <v>6408</v>
      </c>
      <c r="B6409">
        <f>GS47</f>
        <v>0</v>
      </c>
      <c r="C6409" t="inlineStr">
        <is>
          <t>+LS04</t>
        </is>
      </c>
      <c r="D6409" t="inlineStr">
        <is>
          <t>-294Q5</t>
        </is>
      </c>
      <c r="E6409" t="inlineStr">
        <is>
          <t>DILMC40(RDC24)</t>
        </is>
      </c>
      <c r="F6409" t="inlineStr">
        <is>
          <t>DILM150-XHIC22</t>
        </is>
      </c>
      <c r="G6409" t="inlineStr">
        <is>
          <t>LASTSCHUETZ</t>
        </is>
      </c>
      <c r="H6409" t="inlineStr">
        <is>
          <t>18,5kW Federzugkl.</t>
        </is>
      </c>
      <c r="I6409">
        <v>763</v>
      </c>
      <c r="J6409">
        <f>GS47/294.5</f>
        <v>0</v>
      </c>
      <c r="K6409" t="inlineStr">
        <is>
          <t>DIL MC40</t>
        </is>
      </c>
      <c r="M6409" t="inlineStr">
        <is>
          <t>-294Q5</t>
        </is>
      </c>
    </row>
    <row r="6410">
      <c r="A6410">
        <v>6409</v>
      </c>
      <c r="B6410">
        <f>GS48</f>
        <v>0</v>
      </c>
      <c r="C6410" t="inlineStr">
        <is>
          <t>+LS04</t>
        </is>
      </c>
      <c r="D6410" t="inlineStr">
        <is>
          <t>-294Q5</t>
        </is>
      </c>
      <c r="E6410" t="inlineStr">
        <is>
          <t>DILMC40(RDC24)</t>
        </is>
      </c>
      <c r="F6410" t="inlineStr">
        <is>
          <t>DILM150-XHIC22</t>
        </is>
      </c>
      <c r="G6410" t="inlineStr">
        <is>
          <t>LASTSCHUETZ</t>
        </is>
      </c>
      <c r="H6410" t="inlineStr">
        <is>
          <t>18,5kW Federzugkl.</t>
        </is>
      </c>
      <c r="I6410">
        <v>426</v>
      </c>
      <c r="J6410">
        <f>GS48/294.5</f>
        <v>0</v>
      </c>
      <c r="K6410" t="inlineStr">
        <is>
          <t>DIL MC40</t>
        </is>
      </c>
      <c r="M6410" t="inlineStr">
        <is>
          <t>-294Q5</t>
        </is>
      </c>
    </row>
    <row r="6411">
      <c r="A6411">
        <v>6410</v>
      </c>
      <c r="B6411">
        <f>GS48</f>
        <v>0</v>
      </c>
      <c r="C6411" t="inlineStr">
        <is>
          <t>+LS04</t>
        </is>
      </c>
      <c r="D6411" t="inlineStr">
        <is>
          <t>-294Q5</t>
        </is>
      </c>
      <c r="E6411" t="inlineStr">
        <is>
          <t>DILM150-XHIC22</t>
        </is>
      </c>
      <c r="F6411" t="inlineStr">
        <is>
          <t>DILM150-XHIC22</t>
        </is>
      </c>
      <c r="G6411" t="inlineStr">
        <is>
          <t>HILFSKONTAKTBLOCK</t>
        </is>
      </c>
      <c r="H6411" t="inlineStr">
        <is>
          <t>2S 2OE ab DILMC40</t>
        </is>
      </c>
      <c r="I6411">
        <v>426</v>
      </c>
      <c r="J6411">
        <f>GS48/294.5</f>
        <v>0</v>
      </c>
      <c r="K6411" t="inlineStr">
        <is>
          <t>DIL MC40</t>
        </is>
      </c>
      <c r="M6411" t="inlineStr">
        <is>
          <t>-294Q5</t>
        </is>
      </c>
    </row>
    <row r="6412">
      <c r="A6412">
        <v>6411</v>
      </c>
      <c r="B6412">
        <f>GS49</f>
        <v>0</v>
      </c>
      <c r="C6412" t="inlineStr">
        <is>
          <t>+LS04</t>
        </is>
      </c>
      <c r="D6412" t="inlineStr">
        <is>
          <t>-294Q5</t>
        </is>
      </c>
      <c r="E6412" t="inlineStr">
        <is>
          <t>DILMC40(RDC24)</t>
        </is>
      </c>
      <c r="F6412" t="inlineStr">
        <is>
          <t>DILM150-XHIC22</t>
        </is>
      </c>
      <c r="G6412" t="inlineStr">
        <is>
          <t>LASTSCHUETZ</t>
        </is>
      </c>
      <c r="H6412" t="inlineStr">
        <is>
          <t>18,5kW Federzugkl.</t>
        </is>
      </c>
      <c r="I6412">
        <v>425</v>
      </c>
      <c r="J6412">
        <f>GS49/294.5</f>
        <v>0</v>
      </c>
      <c r="K6412" t="inlineStr">
        <is>
          <t>DIL MC40</t>
        </is>
      </c>
      <c r="M6412" t="inlineStr">
        <is>
          <t>-294Q5</t>
        </is>
      </c>
    </row>
    <row r="6413">
      <c r="A6413">
        <v>6412</v>
      </c>
      <c r="B6413">
        <f>GS49</f>
        <v>0</v>
      </c>
      <c r="C6413" t="inlineStr">
        <is>
          <t>+LS04</t>
        </is>
      </c>
      <c r="D6413" t="inlineStr">
        <is>
          <t>-294Q5</t>
        </is>
      </c>
      <c r="E6413" t="inlineStr">
        <is>
          <t>DILM150-XHIC22</t>
        </is>
      </c>
      <c r="F6413" t="inlineStr">
        <is>
          <t>DILM150-XHIC22</t>
        </is>
      </c>
      <c r="G6413" t="inlineStr">
        <is>
          <t>HILFSKONTAKTBLOCK</t>
        </is>
      </c>
      <c r="H6413" t="inlineStr">
        <is>
          <t>2S 2OE ab DILMC40</t>
        </is>
      </c>
      <c r="I6413">
        <v>425</v>
      </c>
      <c r="J6413">
        <f>GS49/294.5</f>
        <v>0</v>
      </c>
      <c r="K6413" t="inlineStr">
        <is>
          <t>DIL MC40</t>
        </is>
      </c>
      <c r="M6413" t="inlineStr">
        <is>
          <t>-294Q5</t>
        </is>
      </c>
    </row>
    <row r="6414">
      <c r="A6414">
        <v>6413</v>
      </c>
      <c r="B6414">
        <f>GS46</f>
        <v>0</v>
      </c>
      <c r="C6414" t="inlineStr">
        <is>
          <t>+LS04</t>
        </is>
      </c>
      <c r="D6414" t="inlineStr">
        <is>
          <t>-294Q6</t>
        </is>
      </c>
      <c r="E6414" t="inlineStr">
        <is>
          <t>DILMC40(RDC24)</t>
        </is>
      </c>
      <c r="F6414" t="inlineStr">
        <is>
          <t>DILM150-XHIC22</t>
        </is>
      </c>
      <c r="G6414" t="inlineStr">
        <is>
          <t>LASTSCHUETZ</t>
        </is>
      </c>
      <c r="H6414" t="inlineStr">
        <is>
          <t>18,5kW Federzugkl.</t>
        </is>
      </c>
      <c r="I6414">
        <v>763</v>
      </c>
      <c r="J6414">
        <f>GS46/294.6</f>
        <v>0</v>
      </c>
      <c r="K6414" t="inlineStr">
        <is>
          <t>DIL MC40</t>
        </is>
      </c>
      <c r="M6414" t="inlineStr">
        <is>
          <t>-294Q6</t>
        </is>
      </c>
    </row>
    <row r="6415">
      <c r="A6415">
        <v>6414</v>
      </c>
      <c r="B6415">
        <f>GS46</f>
        <v>0</v>
      </c>
      <c r="C6415" t="inlineStr">
        <is>
          <t>+LS04</t>
        </is>
      </c>
      <c r="D6415" t="inlineStr">
        <is>
          <t>-294Q6</t>
        </is>
      </c>
      <c r="E6415" t="inlineStr">
        <is>
          <t>DILM150-XHIC22</t>
        </is>
      </c>
      <c r="F6415" t="inlineStr">
        <is>
          <t>DILM150-XHIC22</t>
        </is>
      </c>
      <c r="G6415" t="inlineStr">
        <is>
          <t>HILFSKONTAKTBLOCK</t>
        </is>
      </c>
      <c r="H6415" t="inlineStr">
        <is>
          <t>2S 2OE ab DILMC40</t>
        </is>
      </c>
      <c r="I6415">
        <v>763</v>
      </c>
      <c r="J6415">
        <f>GS46/294.6</f>
        <v>0</v>
      </c>
      <c r="K6415" t="inlineStr">
        <is>
          <t>DIL MC40</t>
        </is>
      </c>
      <c r="M6415" t="inlineStr">
        <is>
          <t>-294Q6</t>
        </is>
      </c>
    </row>
    <row r="6416">
      <c r="A6416">
        <v>6415</v>
      </c>
      <c r="B6416">
        <f>GS47</f>
        <v>0</v>
      </c>
      <c r="C6416" t="inlineStr">
        <is>
          <t>+LS04</t>
        </is>
      </c>
      <c r="D6416" t="inlineStr">
        <is>
          <t>-294Q6</t>
        </is>
      </c>
      <c r="E6416" t="inlineStr">
        <is>
          <t>DILM150-XHIC22</t>
        </is>
      </c>
      <c r="F6416" t="inlineStr">
        <is>
          <t>DILM150-XHIC22</t>
        </is>
      </c>
      <c r="G6416" t="inlineStr">
        <is>
          <t>HILFSKONTAKTBLOCK</t>
        </is>
      </c>
      <c r="H6416" t="inlineStr">
        <is>
          <t>2S 2OE ab DILMC40</t>
        </is>
      </c>
      <c r="I6416">
        <v>763</v>
      </c>
      <c r="J6416">
        <f>GS47/294.6</f>
        <v>0</v>
      </c>
      <c r="K6416" t="inlineStr">
        <is>
          <t>DIL MC40</t>
        </is>
      </c>
      <c r="M6416" t="inlineStr">
        <is>
          <t>-294Q6</t>
        </is>
      </c>
    </row>
    <row r="6417">
      <c r="A6417">
        <v>6416</v>
      </c>
      <c r="B6417">
        <f>GS47</f>
        <v>0</v>
      </c>
      <c r="C6417" t="inlineStr">
        <is>
          <t>+LS04</t>
        </is>
      </c>
      <c r="D6417" t="inlineStr">
        <is>
          <t>-294Q6</t>
        </is>
      </c>
      <c r="E6417" t="inlineStr">
        <is>
          <t>DILMC40(RDC24)</t>
        </is>
      </c>
      <c r="F6417" t="inlineStr">
        <is>
          <t>DILM150-XHIC22</t>
        </is>
      </c>
      <c r="G6417" t="inlineStr">
        <is>
          <t>LASTSCHUETZ</t>
        </is>
      </c>
      <c r="H6417" t="inlineStr">
        <is>
          <t>18,5kW Federzugkl.</t>
        </is>
      </c>
      <c r="I6417">
        <v>763</v>
      </c>
      <c r="J6417">
        <f>GS47/294.6</f>
        <v>0</v>
      </c>
      <c r="K6417" t="inlineStr">
        <is>
          <t>DIL MC40</t>
        </is>
      </c>
      <c r="M6417" t="inlineStr">
        <is>
          <t>-294Q6</t>
        </is>
      </c>
    </row>
    <row r="6418">
      <c r="A6418">
        <v>6417</v>
      </c>
      <c r="B6418">
        <f>GS48</f>
        <v>0</v>
      </c>
      <c r="C6418" t="inlineStr">
        <is>
          <t>+LS04</t>
        </is>
      </c>
      <c r="D6418" t="inlineStr">
        <is>
          <t>-294Q6</t>
        </is>
      </c>
      <c r="E6418" t="inlineStr">
        <is>
          <t>DILMC40(RDC24)</t>
        </is>
      </c>
      <c r="F6418" t="inlineStr">
        <is>
          <t>DILM150-XHIC22</t>
        </is>
      </c>
      <c r="G6418" t="inlineStr">
        <is>
          <t>LASTSCHUETZ</t>
        </is>
      </c>
      <c r="H6418" t="inlineStr">
        <is>
          <t>18,5kW Federzugkl.</t>
        </is>
      </c>
      <c r="I6418">
        <v>426</v>
      </c>
      <c r="J6418">
        <f>GS48/294.6</f>
        <v>0</v>
      </c>
      <c r="K6418" t="inlineStr">
        <is>
          <t>DIL MC40</t>
        </is>
      </c>
      <c r="M6418" t="inlineStr">
        <is>
          <t>-294Q6</t>
        </is>
      </c>
    </row>
    <row r="6419">
      <c r="A6419">
        <v>6418</v>
      </c>
      <c r="B6419">
        <f>GS48</f>
        <v>0</v>
      </c>
      <c r="C6419" t="inlineStr">
        <is>
          <t>+LS04</t>
        </is>
      </c>
      <c r="D6419" t="inlineStr">
        <is>
          <t>-294Q6</t>
        </is>
      </c>
      <c r="E6419" t="inlineStr">
        <is>
          <t>DILM150-XHIC22</t>
        </is>
      </c>
      <c r="F6419" t="inlineStr">
        <is>
          <t>DILM150-XHIC22</t>
        </is>
      </c>
      <c r="G6419" t="inlineStr">
        <is>
          <t>HILFSKONTAKTBLOCK</t>
        </is>
      </c>
      <c r="H6419" t="inlineStr">
        <is>
          <t>2S 2OE ab DILMC40</t>
        </is>
      </c>
      <c r="I6419">
        <v>426</v>
      </c>
      <c r="J6419">
        <f>GS48/294.6</f>
        <v>0</v>
      </c>
      <c r="K6419" t="inlineStr">
        <is>
          <t>DIL MC40</t>
        </is>
      </c>
      <c r="M6419" t="inlineStr">
        <is>
          <t>-294Q6</t>
        </is>
      </c>
    </row>
    <row r="6420">
      <c r="A6420">
        <v>6419</v>
      </c>
      <c r="B6420">
        <f>GS49</f>
        <v>0</v>
      </c>
      <c r="C6420" t="inlineStr">
        <is>
          <t>+LS04</t>
        </is>
      </c>
      <c r="D6420" t="inlineStr">
        <is>
          <t>-294Q6</t>
        </is>
      </c>
      <c r="E6420" t="inlineStr">
        <is>
          <t>DILMC40(RDC24)</t>
        </is>
      </c>
      <c r="F6420" t="inlineStr">
        <is>
          <t>DILM150-XHIC22</t>
        </is>
      </c>
      <c r="G6420" t="inlineStr">
        <is>
          <t>LASTSCHUETZ</t>
        </is>
      </c>
      <c r="H6420" t="inlineStr">
        <is>
          <t>18,5kW Federzugkl.</t>
        </is>
      </c>
      <c r="I6420">
        <v>425</v>
      </c>
      <c r="J6420">
        <f>GS49/294.6</f>
        <v>0</v>
      </c>
      <c r="K6420" t="inlineStr">
        <is>
          <t>DIL MC40</t>
        </is>
      </c>
      <c r="M6420" t="inlineStr">
        <is>
          <t>-294Q6</t>
        </is>
      </c>
    </row>
    <row r="6421">
      <c r="A6421">
        <v>6420</v>
      </c>
      <c r="B6421">
        <f>GS49</f>
        <v>0</v>
      </c>
      <c r="C6421" t="inlineStr">
        <is>
          <t>+LS04</t>
        </is>
      </c>
      <c r="D6421" t="inlineStr">
        <is>
          <t>-294Q6</t>
        </is>
      </c>
      <c r="E6421" t="inlineStr">
        <is>
          <t>DILM150-XHIC22</t>
        </is>
      </c>
      <c r="F6421" t="inlineStr">
        <is>
          <t>DILM150-XHIC22</t>
        </is>
      </c>
      <c r="G6421" t="inlineStr">
        <is>
          <t>HILFSKONTAKTBLOCK</t>
        </is>
      </c>
      <c r="H6421" t="inlineStr">
        <is>
          <t>2S 2OE ab DILMC40</t>
        </is>
      </c>
      <c r="I6421">
        <v>425</v>
      </c>
      <c r="J6421">
        <f>GS49/294.6</f>
        <v>0</v>
      </c>
      <c r="K6421" t="inlineStr">
        <is>
          <t>DIL MC40</t>
        </is>
      </c>
      <c r="M6421" t="inlineStr">
        <is>
          <t>-294Q6</t>
        </is>
      </c>
    </row>
    <row r="6422">
      <c r="A6422">
        <v>6421</v>
      </c>
      <c r="B6422">
        <f>GS46</f>
        <v>0</v>
      </c>
      <c r="C6422" t="inlineStr">
        <is>
          <t>+LS04</t>
        </is>
      </c>
      <c r="D6422" t="inlineStr">
        <is>
          <t>-294Q7</t>
        </is>
      </c>
      <c r="E6422" t="inlineStr">
        <is>
          <t>DILM150-XHIC22</t>
        </is>
      </c>
      <c r="F6422" t="inlineStr">
        <is>
          <t>DILM150-XHIC22</t>
        </is>
      </c>
      <c r="G6422" t="inlineStr">
        <is>
          <t>HILFSKONTAKTBLOCK</t>
        </is>
      </c>
      <c r="H6422" t="inlineStr">
        <is>
          <t>2S 2OE ab DILMC40</t>
        </is>
      </c>
      <c r="I6422">
        <v>763</v>
      </c>
      <c r="J6422">
        <f>GS46/294.7</f>
        <v>0</v>
      </c>
      <c r="K6422" t="inlineStr">
        <is>
          <t>DIL MC40</t>
        </is>
      </c>
      <c r="M6422" t="inlineStr">
        <is>
          <t>-294Q7</t>
        </is>
      </c>
    </row>
    <row r="6423">
      <c r="A6423">
        <v>6422</v>
      </c>
      <c r="B6423">
        <f>GS46</f>
        <v>0</v>
      </c>
      <c r="C6423" t="inlineStr">
        <is>
          <t>+LS04</t>
        </is>
      </c>
      <c r="D6423" t="inlineStr">
        <is>
          <t>-294Q7</t>
        </is>
      </c>
      <c r="E6423" t="inlineStr">
        <is>
          <t>DILMC40(RDC24)</t>
        </is>
      </c>
      <c r="F6423" t="inlineStr">
        <is>
          <t>DILM150-XHIC22</t>
        </is>
      </c>
      <c r="G6423" t="inlineStr">
        <is>
          <t>LASTSCHUETZ</t>
        </is>
      </c>
      <c r="H6423" t="inlineStr">
        <is>
          <t>18,5kW Federzugkl.</t>
        </is>
      </c>
      <c r="I6423">
        <v>763</v>
      </c>
      <c r="J6423">
        <f>GS46/294.7</f>
        <v>0</v>
      </c>
      <c r="K6423" t="inlineStr">
        <is>
          <t>DIL MC40</t>
        </is>
      </c>
      <c r="M6423" t="inlineStr">
        <is>
          <t>-294Q7</t>
        </is>
      </c>
    </row>
    <row r="6424">
      <c r="A6424">
        <v>6423</v>
      </c>
      <c r="B6424">
        <f>GS47</f>
        <v>0</v>
      </c>
      <c r="C6424" t="inlineStr">
        <is>
          <t>+LS04</t>
        </is>
      </c>
      <c r="D6424" t="inlineStr">
        <is>
          <t>-294Q7</t>
        </is>
      </c>
      <c r="E6424" t="inlineStr">
        <is>
          <t>DILM150-XHIC22</t>
        </is>
      </c>
      <c r="F6424" t="inlineStr">
        <is>
          <t>DILM150-XHIC22</t>
        </is>
      </c>
      <c r="G6424" t="inlineStr">
        <is>
          <t>HILFSKONTAKTBLOCK</t>
        </is>
      </c>
      <c r="H6424" t="inlineStr">
        <is>
          <t>2S 2OE ab DILMC40</t>
        </is>
      </c>
      <c r="I6424">
        <v>763</v>
      </c>
      <c r="J6424">
        <f>GS47/294.7</f>
        <v>0</v>
      </c>
      <c r="K6424" t="inlineStr">
        <is>
          <t>DIL MC40</t>
        </is>
      </c>
      <c r="M6424" t="inlineStr">
        <is>
          <t>-294Q7</t>
        </is>
      </c>
    </row>
    <row r="6425">
      <c r="A6425">
        <v>6424</v>
      </c>
      <c r="B6425">
        <f>GS47</f>
        <v>0</v>
      </c>
      <c r="C6425" t="inlineStr">
        <is>
          <t>+LS04</t>
        </is>
      </c>
      <c r="D6425" t="inlineStr">
        <is>
          <t>-294Q7</t>
        </is>
      </c>
      <c r="E6425" t="inlineStr">
        <is>
          <t>DILMC40(RDC24)</t>
        </is>
      </c>
      <c r="F6425" t="inlineStr">
        <is>
          <t>DILM150-XHIC22</t>
        </is>
      </c>
      <c r="G6425" t="inlineStr">
        <is>
          <t>LASTSCHUETZ</t>
        </is>
      </c>
      <c r="H6425" t="inlineStr">
        <is>
          <t>18,5kW Federzugkl.</t>
        </is>
      </c>
      <c r="I6425">
        <v>763</v>
      </c>
      <c r="J6425">
        <f>GS47/294.7</f>
        <v>0</v>
      </c>
      <c r="K6425" t="inlineStr">
        <is>
          <t>DIL MC40</t>
        </is>
      </c>
      <c r="M6425" t="inlineStr">
        <is>
          <t>-294Q7</t>
        </is>
      </c>
    </row>
    <row r="6426">
      <c r="A6426">
        <v>6425</v>
      </c>
      <c r="B6426">
        <f>GS48</f>
        <v>0</v>
      </c>
      <c r="C6426" t="inlineStr">
        <is>
          <t>+LS04</t>
        </is>
      </c>
      <c r="D6426" t="inlineStr">
        <is>
          <t>-294Q7</t>
        </is>
      </c>
      <c r="E6426" t="inlineStr">
        <is>
          <t>DILMC40(RDC24)</t>
        </is>
      </c>
      <c r="F6426" t="inlineStr">
        <is>
          <t>DILM150-XHIC22</t>
        </is>
      </c>
      <c r="G6426" t="inlineStr">
        <is>
          <t>LASTSCHUETZ</t>
        </is>
      </c>
      <c r="H6426" t="inlineStr">
        <is>
          <t>18,5kW Federzugkl.</t>
        </is>
      </c>
      <c r="I6426">
        <v>426</v>
      </c>
      <c r="J6426">
        <f>GS48/294.7</f>
        <v>0</v>
      </c>
      <c r="K6426" t="inlineStr">
        <is>
          <t>DIL MC40</t>
        </is>
      </c>
      <c r="M6426" t="inlineStr">
        <is>
          <t>-294Q7</t>
        </is>
      </c>
    </row>
    <row r="6427">
      <c r="A6427">
        <v>6426</v>
      </c>
      <c r="B6427">
        <f>GS48</f>
        <v>0</v>
      </c>
      <c r="C6427" t="inlineStr">
        <is>
          <t>+LS04</t>
        </is>
      </c>
      <c r="D6427" t="inlineStr">
        <is>
          <t>-294Q7</t>
        </is>
      </c>
      <c r="E6427" t="inlineStr">
        <is>
          <t>DILM150-XHIC22</t>
        </is>
      </c>
      <c r="F6427" t="inlineStr">
        <is>
          <t>DILM150-XHIC22</t>
        </is>
      </c>
      <c r="G6427" t="inlineStr">
        <is>
          <t>HILFSKONTAKTBLOCK</t>
        </is>
      </c>
      <c r="H6427" t="inlineStr">
        <is>
          <t>2S 2OE ab DILMC40</t>
        </is>
      </c>
      <c r="I6427">
        <v>426</v>
      </c>
      <c r="J6427">
        <f>GS48/294.7</f>
        <v>0</v>
      </c>
      <c r="K6427" t="inlineStr">
        <is>
          <t>DIL MC40</t>
        </is>
      </c>
      <c r="M6427" t="inlineStr">
        <is>
          <t>-294Q7</t>
        </is>
      </c>
    </row>
    <row r="6428">
      <c r="A6428">
        <v>6427</v>
      </c>
      <c r="B6428">
        <f>GS49</f>
        <v>0</v>
      </c>
      <c r="C6428" t="inlineStr">
        <is>
          <t>+LS04</t>
        </is>
      </c>
      <c r="D6428" t="inlineStr">
        <is>
          <t>-294Q7</t>
        </is>
      </c>
      <c r="E6428" t="inlineStr">
        <is>
          <t>DILMC40(RDC24)</t>
        </is>
      </c>
      <c r="F6428" t="inlineStr">
        <is>
          <t>DILM150-XHIC22</t>
        </is>
      </c>
      <c r="G6428" t="inlineStr">
        <is>
          <t>LASTSCHUETZ</t>
        </is>
      </c>
      <c r="H6428" t="inlineStr">
        <is>
          <t>18,5kW Federzugkl.</t>
        </is>
      </c>
      <c r="I6428">
        <v>425</v>
      </c>
      <c r="J6428">
        <f>GS49/294.7</f>
        <v>0</v>
      </c>
      <c r="K6428" t="inlineStr">
        <is>
          <t>DIL MC40</t>
        </is>
      </c>
      <c r="M6428" t="inlineStr">
        <is>
          <t>-294Q7</t>
        </is>
      </c>
    </row>
    <row r="6429">
      <c r="A6429">
        <v>6428</v>
      </c>
      <c r="B6429">
        <f>GS49</f>
        <v>0</v>
      </c>
      <c r="C6429" t="inlineStr">
        <is>
          <t>+LS04</t>
        </is>
      </c>
      <c r="D6429" t="inlineStr">
        <is>
          <t>-294Q7</t>
        </is>
      </c>
      <c r="E6429" t="inlineStr">
        <is>
          <t>DILM150-XHIC22</t>
        </is>
      </c>
      <c r="F6429" t="inlineStr">
        <is>
          <t>DILM150-XHIC22</t>
        </is>
      </c>
      <c r="G6429" t="inlineStr">
        <is>
          <t>HILFSKONTAKTBLOCK</t>
        </is>
      </c>
      <c r="H6429" t="inlineStr">
        <is>
          <t>2S 2OE ab DILMC40</t>
        </is>
      </c>
      <c r="I6429">
        <v>425</v>
      </c>
      <c r="J6429">
        <f>GS49/294.7</f>
        <v>0</v>
      </c>
      <c r="K6429" t="inlineStr">
        <is>
          <t>DIL MC40</t>
        </is>
      </c>
      <c r="M6429" t="inlineStr">
        <is>
          <t>-294Q7</t>
        </is>
      </c>
    </row>
    <row r="6430">
      <c r="A6430">
        <v>6429</v>
      </c>
      <c r="B6430">
        <f>GS46</f>
        <v>0</v>
      </c>
      <c r="C6430" t="inlineStr">
        <is>
          <t>+LS04</t>
        </is>
      </c>
      <c r="D6430" t="inlineStr">
        <is>
          <t>-294Q8</t>
        </is>
      </c>
      <c r="E6430" t="inlineStr">
        <is>
          <t>DILMC17-10(RDC24)</t>
        </is>
      </c>
      <c r="F6430" t="inlineStr">
        <is>
          <t>#KALK!</t>
        </is>
      </c>
      <c r="G6430" t="inlineStr">
        <is>
          <t>LASTSCHUETZ</t>
        </is>
      </c>
      <c r="H6430" t="inlineStr">
        <is>
          <t>7,5kW 1S Federzugkl.</t>
        </is>
      </c>
      <c r="I6430">
        <v>763</v>
      </c>
      <c r="J6430">
        <f>GS46/294.8</f>
        <v>0</v>
      </c>
      <c r="K6430" t="inlineStr">
        <is>
          <t>DIL MC17-10</t>
        </is>
      </c>
      <c r="M6430" t="inlineStr">
        <is>
          <t>-294Q8</t>
        </is>
      </c>
    </row>
    <row r="6431">
      <c r="A6431">
        <v>6430</v>
      </c>
      <c r="B6431">
        <f>GS47</f>
        <v>0</v>
      </c>
      <c r="C6431" t="inlineStr">
        <is>
          <t>+LS04</t>
        </is>
      </c>
      <c r="D6431" t="inlineStr">
        <is>
          <t>-294Q8</t>
        </is>
      </c>
      <c r="E6431" t="inlineStr">
        <is>
          <t>DILMC17-10(RDC24)</t>
        </is>
      </c>
      <c r="F6431" t="inlineStr">
        <is>
          <t>#KALK!</t>
        </is>
      </c>
      <c r="G6431" t="inlineStr">
        <is>
          <t>LASTSCHUETZ</t>
        </is>
      </c>
      <c r="H6431" t="inlineStr">
        <is>
          <t>7,5kW 1S Federzugkl.</t>
        </is>
      </c>
      <c r="I6431">
        <v>763</v>
      </c>
      <c r="J6431">
        <f>GS47/294.8</f>
        <v>0</v>
      </c>
      <c r="K6431" t="inlineStr">
        <is>
          <t>DIL MC17-10</t>
        </is>
      </c>
      <c r="M6431" t="inlineStr">
        <is>
          <t>-294Q8</t>
        </is>
      </c>
    </row>
    <row r="6432">
      <c r="A6432">
        <v>6431</v>
      </c>
      <c r="B6432">
        <f>GS48</f>
        <v>0</v>
      </c>
      <c r="C6432" t="inlineStr">
        <is>
          <t>+LS04</t>
        </is>
      </c>
      <c r="D6432" t="inlineStr">
        <is>
          <t>-294Q8</t>
        </is>
      </c>
      <c r="E6432" t="inlineStr">
        <is>
          <t>DILMC17-10(RDC24)</t>
        </is>
      </c>
      <c r="F6432" t="inlineStr">
        <is>
          <t>#KALK!</t>
        </is>
      </c>
      <c r="G6432" t="inlineStr">
        <is>
          <t>LASTSCHUETZ</t>
        </is>
      </c>
      <c r="H6432" t="inlineStr">
        <is>
          <t>7,5kW 1S Federzugkl.</t>
        </is>
      </c>
      <c r="I6432">
        <v>426</v>
      </c>
      <c r="J6432">
        <f>GS48/294.8</f>
        <v>0</v>
      </c>
      <c r="K6432" t="inlineStr">
        <is>
          <t>DIL MC17-10</t>
        </is>
      </c>
      <c r="M6432" t="inlineStr">
        <is>
          <t>-294Q8</t>
        </is>
      </c>
    </row>
    <row r="6433">
      <c r="A6433">
        <v>6432</v>
      </c>
      <c r="B6433">
        <f>GS49</f>
        <v>0</v>
      </c>
      <c r="C6433" t="inlineStr">
        <is>
          <t>+LS04</t>
        </is>
      </c>
      <c r="D6433" t="inlineStr">
        <is>
          <t>-294Q8</t>
        </is>
      </c>
      <c r="E6433" t="inlineStr">
        <is>
          <t>DILMC17-10(RDC24)</t>
        </is>
      </c>
      <c r="F6433" t="inlineStr">
        <is>
          <t>#KALK!</t>
        </is>
      </c>
      <c r="G6433" t="inlineStr">
        <is>
          <t>LASTSCHUETZ</t>
        </is>
      </c>
      <c r="H6433" t="inlineStr">
        <is>
          <t>7,5kW 1S Federzugkl.</t>
        </is>
      </c>
      <c r="I6433">
        <v>425</v>
      </c>
      <c r="J6433">
        <f>GS49/294.8</f>
        <v>0</v>
      </c>
      <c r="K6433" t="inlineStr">
        <is>
          <t>DIL MC17-10</t>
        </is>
      </c>
      <c r="M6433" t="inlineStr">
        <is>
          <t>-294Q8</t>
        </is>
      </c>
    </row>
    <row r="6434">
      <c r="A6434">
        <v>6433</v>
      </c>
      <c r="B6434">
        <f>GS13</f>
        <v>0</v>
      </c>
      <c r="C6434" t="inlineStr">
        <is>
          <t>+LS6</t>
        </is>
      </c>
      <c r="D6434" t="inlineStr">
        <is>
          <t>-29582.6</t>
        </is>
      </c>
      <c r="E6434" t="inlineStr">
        <is>
          <t>DIL_EM-10-G</t>
        </is>
      </c>
      <c r="F6434" t="inlineStr">
        <is>
          <t>#KALK!</t>
        </is>
      </c>
      <c r="G6434" t="inlineStr">
        <is>
          <t>LASTSCHUETZ</t>
        </is>
      </c>
      <c r="H6434" t="inlineStr">
        <is>
          <t>4kW 1S</t>
        </is>
      </c>
      <c r="I6434">
        <v>538</v>
      </c>
      <c r="J6434">
        <f>GS13/295.6</f>
        <v>0</v>
      </c>
      <c r="M6434" t="inlineStr">
        <is>
          <t>-29582.6</t>
        </is>
      </c>
    </row>
    <row r="6435">
      <c r="A6435">
        <v>6434</v>
      </c>
      <c r="B6435">
        <f>GS13</f>
        <v>0</v>
      </c>
      <c r="C6435" t="inlineStr">
        <is>
          <t>+LS6</t>
        </is>
      </c>
      <c r="D6435" t="inlineStr">
        <is>
          <t>-29582.7</t>
        </is>
      </c>
      <c r="E6435" t="inlineStr">
        <is>
          <t>DIL_EM-10-G</t>
        </is>
      </c>
      <c r="F6435" t="inlineStr">
        <is>
          <t>#KALK!</t>
        </is>
      </c>
      <c r="G6435" t="inlineStr">
        <is>
          <t>LASTSCHUETZ</t>
        </is>
      </c>
      <c r="H6435" t="inlineStr">
        <is>
          <t>4kW 1S</t>
        </is>
      </c>
      <c r="I6435">
        <v>538</v>
      </c>
      <c r="J6435">
        <f>GS13/295.6</f>
        <v>0</v>
      </c>
      <c r="M6435" t="inlineStr">
        <is>
          <t>-29582.7</t>
        </is>
      </c>
    </row>
    <row r="6436">
      <c r="A6436">
        <v>6435</v>
      </c>
      <c r="B6436">
        <f>GS04</f>
        <v>0</v>
      </c>
      <c r="C6436" t="inlineStr">
        <is>
          <t>+LS7</t>
        </is>
      </c>
      <c r="D6436" t="inlineStr">
        <is>
          <t>-295K1</t>
        </is>
      </c>
      <c r="E6436" t="inlineStr">
        <is>
          <t>DIL_0AM</t>
        </is>
      </c>
      <c r="F6436" t="inlineStr">
        <is>
          <t>22_DIL-M</t>
        </is>
      </c>
      <c r="G6436" t="inlineStr">
        <is>
          <t>LASTSCHUETZ</t>
        </is>
      </c>
      <c r="H6436" t="inlineStr">
        <is>
          <t>11 kW</t>
        </is>
      </c>
      <c r="I6436">
        <v>546</v>
      </c>
      <c r="J6436">
        <f>GS04/295.2</f>
        <v>0</v>
      </c>
      <c r="K6436" t="inlineStr">
        <is>
          <t>DIL0AM</t>
        </is>
      </c>
      <c r="M6436" t="inlineStr">
        <is>
          <t>-295K1</t>
        </is>
      </c>
    </row>
    <row r="6437">
      <c r="A6437">
        <v>6436</v>
      </c>
      <c r="B6437">
        <f>GS04</f>
        <v>0</v>
      </c>
      <c r="C6437" t="inlineStr">
        <is>
          <t>+LS7</t>
        </is>
      </c>
      <c r="D6437" t="inlineStr">
        <is>
          <t>-295K1</t>
        </is>
      </c>
      <c r="E6437" t="inlineStr">
        <is>
          <t>22_DIL-M</t>
        </is>
      </c>
      <c r="F6437" t="inlineStr">
        <is>
          <t>22_DIL-M</t>
        </is>
      </c>
      <c r="G6437" t="inlineStr">
        <is>
          <t>HILFSKONTAKTBLOCK</t>
        </is>
      </c>
      <c r="H6437" t="inlineStr">
        <is>
          <t>2S 2OE Lastschuetz DIL M</t>
        </is>
      </c>
      <c r="I6437">
        <v>546</v>
      </c>
      <c r="J6437">
        <f>GS04/295.2</f>
        <v>0</v>
      </c>
      <c r="K6437" t="inlineStr">
        <is>
          <t>DIL0AM</t>
        </is>
      </c>
      <c r="M6437" t="inlineStr">
        <is>
          <t>-295K1</t>
        </is>
      </c>
    </row>
    <row r="6438">
      <c r="A6438">
        <v>6437</v>
      </c>
      <c r="B6438">
        <f>GS30</f>
        <v>0</v>
      </c>
      <c r="C6438" t="inlineStr">
        <is>
          <t>+LS07</t>
        </is>
      </c>
      <c r="D6438" t="inlineStr">
        <is>
          <t>-295K1</t>
        </is>
      </c>
      <c r="E6438" t="inlineStr">
        <is>
          <t>DILA-XHI22</t>
        </is>
      </c>
      <c r="F6438" t="inlineStr">
        <is>
          <t>DILA-XHI22</t>
        </is>
      </c>
      <c r="G6438" t="inlineStr">
        <is>
          <t>HILFSKONTAKTBLOCK</t>
        </is>
      </c>
      <c r="H6438" t="inlineStr">
        <is>
          <t>2S 2OE Last+Hilfssch. Cage</t>
        </is>
      </c>
      <c r="I6438">
        <v>720</v>
      </c>
      <c r="J6438">
        <f>GS30/295.5</f>
        <v>0</v>
      </c>
      <c r="M6438" t="inlineStr">
        <is>
          <t>-295K1</t>
        </is>
      </c>
    </row>
    <row r="6439">
      <c r="A6439">
        <v>6438</v>
      </c>
      <c r="B6439">
        <f>GS30</f>
        <v>0</v>
      </c>
      <c r="C6439" t="inlineStr">
        <is>
          <t>+LS07</t>
        </is>
      </c>
      <c r="D6439" t="inlineStr">
        <is>
          <t>-295K1</t>
        </is>
      </c>
      <c r="E6439" t="inlineStr">
        <is>
          <t>DILM-9-10</t>
        </is>
      </c>
      <c r="F6439" t="inlineStr">
        <is>
          <t>DILA-XHI22</t>
        </is>
      </c>
      <c r="G6439" t="inlineStr">
        <is>
          <t>LASTSCHUETZ</t>
        </is>
      </c>
      <c r="H6439" t="inlineStr">
        <is>
          <t>4kW 1S Federzugkl.</t>
        </is>
      </c>
      <c r="I6439">
        <v>720</v>
      </c>
      <c r="J6439">
        <f>GS30/295.5</f>
        <v>0</v>
      </c>
      <c r="M6439" t="inlineStr">
        <is>
          <t>-295K1</t>
        </is>
      </c>
    </row>
    <row r="6440">
      <c r="A6440">
        <v>6439</v>
      </c>
      <c r="B6440">
        <f>GS14</f>
        <v>0</v>
      </c>
      <c r="C6440" t="inlineStr">
        <is>
          <t>+LS6</t>
        </is>
      </c>
      <c r="D6440" t="inlineStr">
        <is>
          <t>-295K14.6</t>
        </is>
      </c>
      <c r="E6440" t="inlineStr">
        <is>
          <t>DIL_EM-10-G</t>
        </is>
      </c>
      <c r="F6440" t="inlineStr">
        <is>
          <t>#KALK!</t>
        </is>
      </c>
      <c r="G6440" t="inlineStr">
        <is>
          <t>LASTSCHUETZ</t>
        </is>
      </c>
      <c r="H6440" t="inlineStr">
        <is>
          <t>4kW 1S</t>
        </is>
      </c>
      <c r="I6440">
        <v>424</v>
      </c>
      <c r="J6440">
        <f>GS14/295.6</f>
        <v>0</v>
      </c>
      <c r="M6440" t="inlineStr">
        <is>
          <t>-295K14.6</t>
        </is>
      </c>
    </row>
    <row r="6441">
      <c r="A6441">
        <v>6440</v>
      </c>
      <c r="B6441">
        <f>GS14</f>
        <v>0</v>
      </c>
      <c r="C6441" t="inlineStr">
        <is>
          <t>+LS6</t>
        </is>
      </c>
      <c r="D6441" t="inlineStr">
        <is>
          <t>-295K14.7</t>
        </is>
      </c>
      <c r="E6441" t="inlineStr">
        <is>
          <t>DIL_EM-10-G</t>
        </is>
      </c>
      <c r="F6441" t="inlineStr">
        <is>
          <t>#KALK!</t>
        </is>
      </c>
      <c r="G6441" t="inlineStr">
        <is>
          <t>LASTSCHUETZ</t>
        </is>
      </c>
      <c r="H6441" t="inlineStr">
        <is>
          <t>4kW 1S</t>
        </is>
      </c>
      <c r="I6441">
        <v>424</v>
      </c>
      <c r="J6441">
        <f>GS14/295.6</f>
        <v>0</v>
      </c>
      <c r="M6441" t="inlineStr">
        <is>
          <t>-295K14.7</t>
        </is>
      </c>
    </row>
    <row r="6442">
      <c r="A6442">
        <v>6441</v>
      </c>
      <c r="B6442">
        <f>GS30</f>
        <v>0</v>
      </c>
      <c r="C6442" t="inlineStr">
        <is>
          <t>+LS07</t>
        </is>
      </c>
      <c r="D6442" t="inlineStr">
        <is>
          <t>-295K2</t>
        </is>
      </c>
      <c r="E6442" t="inlineStr">
        <is>
          <t>DILA-XHI22</t>
        </is>
      </c>
      <c r="F6442" t="inlineStr">
        <is>
          <t>DILA-XHI22</t>
        </is>
      </c>
      <c r="G6442" t="inlineStr">
        <is>
          <t>HILFSKONTAKTBLOCK</t>
        </is>
      </c>
      <c r="H6442" t="inlineStr">
        <is>
          <t>2S 2OE Last+Hilfssch. Cage</t>
        </is>
      </c>
      <c r="I6442">
        <v>720</v>
      </c>
      <c r="J6442">
        <f>GS30/295.6</f>
        <v>0</v>
      </c>
      <c r="M6442" t="inlineStr">
        <is>
          <t>-295K2</t>
        </is>
      </c>
    </row>
    <row r="6443">
      <c r="A6443">
        <v>6442</v>
      </c>
      <c r="B6443">
        <f>GS30</f>
        <v>0</v>
      </c>
      <c r="C6443" t="inlineStr">
        <is>
          <t>+LS07</t>
        </is>
      </c>
      <c r="D6443" t="inlineStr">
        <is>
          <t>-295K2</t>
        </is>
      </c>
      <c r="E6443" t="inlineStr">
        <is>
          <t>DILM-9-10</t>
        </is>
      </c>
      <c r="F6443" t="inlineStr">
        <is>
          <t>DILA-XHI22</t>
        </is>
      </c>
      <c r="G6443" t="inlineStr">
        <is>
          <t>LASTSCHUETZ</t>
        </is>
      </c>
      <c r="H6443" t="inlineStr">
        <is>
          <t>4kW 1S Federzugkl.</t>
        </is>
      </c>
      <c r="I6443">
        <v>720</v>
      </c>
      <c r="J6443">
        <f>GS30/295.6</f>
        <v>0</v>
      </c>
      <c r="M6443" t="inlineStr">
        <is>
          <t>-295K2</t>
        </is>
      </c>
    </row>
    <row r="6444">
      <c r="A6444">
        <v>6443</v>
      </c>
      <c r="B6444">
        <f>GS33</f>
        <v>0</v>
      </c>
      <c r="C6444" t="inlineStr">
        <is>
          <t>+LS6</t>
        </is>
      </c>
      <c r="D6444" t="inlineStr">
        <is>
          <t>-295K44.7</t>
        </is>
      </c>
      <c r="E6444" t="inlineStr">
        <is>
          <t>DIL_EM-10-G</t>
        </is>
      </c>
      <c r="F6444" t="inlineStr">
        <is>
          <t>#KALK!</t>
        </is>
      </c>
      <c r="G6444" t="inlineStr">
        <is>
          <t>LASTSCHUETZ</t>
        </is>
      </c>
      <c r="H6444" t="inlineStr">
        <is>
          <t>4kW 1S</t>
        </is>
      </c>
      <c r="I6444">
        <v>742</v>
      </c>
      <c r="J6444">
        <f>GS33/295.7</f>
        <v>0</v>
      </c>
      <c r="M6444" t="inlineStr">
        <is>
          <t>-295K44.7</t>
        </is>
      </c>
    </row>
    <row r="6445">
      <c r="A6445">
        <v>6444</v>
      </c>
      <c r="B6445">
        <f>GS46</f>
        <v>0</v>
      </c>
      <c r="C6445" t="inlineStr">
        <is>
          <t>+LS04</t>
        </is>
      </c>
      <c r="D6445" t="inlineStr">
        <is>
          <t>-295K444.1</t>
        </is>
      </c>
      <c r="E6445" t="inlineStr">
        <is>
          <t>DILA-31</t>
        </is>
      </c>
      <c r="F6445" t="inlineStr">
        <is>
          <t>#KALK!</t>
        </is>
      </c>
      <c r="G6445" t="inlineStr">
        <is>
          <t>HILFSSCHUETZ</t>
        </is>
      </c>
      <c r="H6445" t="inlineStr">
        <is>
          <t>3S 1Oe Federzugkl.</t>
        </is>
      </c>
      <c r="I6445">
        <v>762</v>
      </c>
      <c r="J6445">
        <f>GS46/295.2</f>
        <v>0</v>
      </c>
      <c r="M6445" t="inlineStr">
        <is>
          <t>-295K444.1</t>
        </is>
      </c>
    </row>
    <row r="6446">
      <c r="A6446">
        <v>6445</v>
      </c>
      <c r="B6446">
        <f>GS47</f>
        <v>0</v>
      </c>
      <c r="C6446" t="inlineStr">
        <is>
          <t>+LS04</t>
        </is>
      </c>
      <c r="D6446" t="inlineStr">
        <is>
          <t>-295K444.1</t>
        </is>
      </c>
      <c r="E6446" t="inlineStr">
        <is>
          <t>DILA-31</t>
        </is>
      </c>
      <c r="F6446" t="inlineStr">
        <is>
          <t>#KALK!</t>
        </is>
      </c>
      <c r="G6446" t="inlineStr">
        <is>
          <t>HILFSSCHUETZ</t>
        </is>
      </c>
      <c r="H6446" t="inlineStr">
        <is>
          <t>3S 1Oe Federzugkl.</t>
        </is>
      </c>
      <c r="I6446">
        <v>762</v>
      </c>
      <c r="J6446">
        <f>GS47/295.2</f>
        <v>0</v>
      </c>
      <c r="M6446" t="inlineStr">
        <is>
          <t>-295K444.1</t>
        </is>
      </c>
    </row>
    <row r="6447">
      <c r="A6447">
        <v>6446</v>
      </c>
      <c r="B6447">
        <f>GS48</f>
        <v>0</v>
      </c>
      <c r="C6447" t="inlineStr">
        <is>
          <t>+LS04</t>
        </is>
      </c>
      <c r="D6447" t="inlineStr">
        <is>
          <t>-295K444.1</t>
        </is>
      </c>
      <c r="E6447" t="inlineStr">
        <is>
          <t>DILA-31</t>
        </is>
      </c>
      <c r="F6447" t="inlineStr">
        <is>
          <t>#KALK!</t>
        </is>
      </c>
      <c r="G6447" t="inlineStr">
        <is>
          <t>HILFSSCHUETZ</t>
        </is>
      </c>
      <c r="H6447" t="inlineStr">
        <is>
          <t>3S 1Oe Federzugkl.</t>
        </is>
      </c>
      <c r="I6447">
        <v>427</v>
      </c>
      <c r="J6447">
        <f>GS48/295.2</f>
        <v>0</v>
      </c>
      <c r="M6447" t="inlineStr">
        <is>
          <t>-295K444.1</t>
        </is>
      </c>
    </row>
    <row r="6448">
      <c r="A6448">
        <v>6447</v>
      </c>
      <c r="B6448">
        <f>GS49</f>
        <v>0</v>
      </c>
      <c r="C6448" t="inlineStr">
        <is>
          <t>+LS04</t>
        </is>
      </c>
      <c r="D6448" t="inlineStr">
        <is>
          <t>-295K444.1</t>
        </is>
      </c>
      <c r="E6448" t="inlineStr">
        <is>
          <t>DILA-31</t>
        </is>
      </c>
      <c r="F6448" t="inlineStr">
        <is>
          <t>#KALK!</t>
        </is>
      </c>
      <c r="G6448" t="inlineStr">
        <is>
          <t>HILFSSCHUETZ</t>
        </is>
      </c>
      <c r="H6448" t="inlineStr">
        <is>
          <t>3S 1Oe Federzugkl.</t>
        </is>
      </c>
      <c r="I6448">
        <v>426</v>
      </c>
      <c r="J6448">
        <f>GS49/295.2</f>
        <v>0</v>
      </c>
      <c r="M6448" t="inlineStr">
        <is>
          <t>-295K444.1</t>
        </is>
      </c>
    </row>
    <row r="6449">
      <c r="A6449">
        <v>6448</v>
      </c>
      <c r="B6449">
        <f>GS46</f>
        <v>0</v>
      </c>
      <c r="C6449" t="inlineStr">
        <is>
          <t>+LS04</t>
        </is>
      </c>
      <c r="D6449" t="inlineStr">
        <is>
          <t>-295K444.2</t>
        </is>
      </c>
      <c r="E6449" t="inlineStr">
        <is>
          <t>DILA-31</t>
        </is>
      </c>
      <c r="F6449" t="inlineStr">
        <is>
          <t>#KALK!</t>
        </is>
      </c>
      <c r="G6449" t="inlineStr">
        <is>
          <t>HILFSSCHUETZ</t>
        </is>
      </c>
      <c r="H6449" t="inlineStr">
        <is>
          <t>3S 1Oe Federzugkl.</t>
        </is>
      </c>
      <c r="I6449">
        <v>762</v>
      </c>
      <c r="J6449">
        <f>GS46/295.3</f>
        <v>0</v>
      </c>
      <c r="M6449" t="inlineStr">
        <is>
          <t>-295K444.2</t>
        </is>
      </c>
    </row>
    <row r="6450">
      <c r="A6450">
        <v>6449</v>
      </c>
      <c r="B6450">
        <f>GS47</f>
        <v>0</v>
      </c>
      <c r="C6450" t="inlineStr">
        <is>
          <t>+LS04</t>
        </is>
      </c>
      <c r="D6450" t="inlineStr">
        <is>
          <t>-295K444.2</t>
        </is>
      </c>
      <c r="E6450" t="inlineStr">
        <is>
          <t>DILA-31</t>
        </is>
      </c>
      <c r="F6450" t="inlineStr">
        <is>
          <t>#KALK!</t>
        </is>
      </c>
      <c r="G6450" t="inlineStr">
        <is>
          <t>HILFSSCHUETZ</t>
        </is>
      </c>
      <c r="H6450" t="inlineStr">
        <is>
          <t>3S 1Oe Federzugkl.</t>
        </is>
      </c>
      <c r="I6450">
        <v>762</v>
      </c>
      <c r="J6450">
        <f>GS47/295.3</f>
        <v>0</v>
      </c>
      <c r="M6450" t="inlineStr">
        <is>
          <t>-295K444.2</t>
        </is>
      </c>
    </row>
    <row r="6451">
      <c r="A6451">
        <v>6450</v>
      </c>
      <c r="B6451">
        <f>GS48</f>
        <v>0</v>
      </c>
      <c r="C6451" t="inlineStr">
        <is>
          <t>+LS04</t>
        </is>
      </c>
      <c r="D6451" t="inlineStr">
        <is>
          <t>-295K444.2</t>
        </is>
      </c>
      <c r="E6451" t="inlineStr">
        <is>
          <t>DILA-31</t>
        </is>
      </c>
      <c r="F6451" t="inlineStr">
        <is>
          <t>#KALK!</t>
        </is>
      </c>
      <c r="G6451" t="inlineStr">
        <is>
          <t>HILFSSCHUETZ</t>
        </is>
      </c>
      <c r="H6451" t="inlineStr">
        <is>
          <t>3S 1Oe Federzugkl.</t>
        </is>
      </c>
      <c r="I6451">
        <v>427</v>
      </c>
      <c r="J6451">
        <f>GS48/295.3</f>
        <v>0</v>
      </c>
      <c r="M6451" t="inlineStr">
        <is>
          <t>-295K444.2</t>
        </is>
      </c>
    </row>
    <row r="6452">
      <c r="A6452">
        <v>6451</v>
      </c>
      <c r="B6452">
        <f>GS49</f>
        <v>0</v>
      </c>
      <c r="C6452" t="inlineStr">
        <is>
          <t>+LS04</t>
        </is>
      </c>
      <c r="D6452" t="inlineStr">
        <is>
          <t>-295K444.2</t>
        </is>
      </c>
      <c r="E6452" t="inlineStr">
        <is>
          <t>DILA-31</t>
        </is>
      </c>
      <c r="F6452" t="inlineStr">
        <is>
          <t>#KALK!</t>
        </is>
      </c>
      <c r="G6452" t="inlineStr">
        <is>
          <t>HILFSSCHUETZ</t>
        </is>
      </c>
      <c r="H6452" t="inlineStr">
        <is>
          <t>3S 1Oe Federzugkl.</t>
        </is>
      </c>
      <c r="I6452">
        <v>426</v>
      </c>
      <c r="J6452">
        <f>GS49/295.3</f>
        <v>0</v>
      </c>
      <c r="M6452" t="inlineStr">
        <is>
          <t>-295K444.2</t>
        </is>
      </c>
    </row>
    <row r="6453">
      <c r="A6453">
        <v>6452</v>
      </c>
      <c r="B6453">
        <f>GS46</f>
        <v>0</v>
      </c>
      <c r="C6453" t="inlineStr">
        <is>
          <t>+LS04</t>
        </is>
      </c>
      <c r="D6453" t="inlineStr">
        <is>
          <t>-295K444.3</t>
        </is>
      </c>
      <c r="E6453" t="inlineStr">
        <is>
          <t>DILA-31</t>
        </is>
      </c>
      <c r="F6453" t="inlineStr">
        <is>
          <t>#KALK!</t>
        </is>
      </c>
      <c r="G6453" t="inlineStr">
        <is>
          <t>HILFSSCHUETZ</t>
        </is>
      </c>
      <c r="H6453" t="inlineStr">
        <is>
          <t>3S 1Oe Federzugkl.</t>
        </is>
      </c>
      <c r="I6453">
        <v>762</v>
      </c>
      <c r="J6453">
        <f>GS46/295.6</f>
        <v>0</v>
      </c>
      <c r="M6453" t="inlineStr">
        <is>
          <t>-295K444.3</t>
        </is>
      </c>
    </row>
    <row r="6454">
      <c r="A6454">
        <v>6453</v>
      </c>
      <c r="B6454">
        <f>GS47</f>
        <v>0</v>
      </c>
      <c r="C6454" t="inlineStr">
        <is>
          <t>+LS04</t>
        </is>
      </c>
      <c r="D6454" t="inlineStr">
        <is>
          <t>-295K444.3</t>
        </is>
      </c>
      <c r="E6454" t="inlineStr">
        <is>
          <t>DILA-31</t>
        </is>
      </c>
      <c r="F6454" t="inlineStr">
        <is>
          <t>#KALK!</t>
        </is>
      </c>
      <c r="G6454" t="inlineStr">
        <is>
          <t>HILFSSCHUETZ</t>
        </is>
      </c>
      <c r="H6454" t="inlineStr">
        <is>
          <t>3S 1Oe Federzugkl.</t>
        </is>
      </c>
      <c r="I6454">
        <v>762</v>
      </c>
      <c r="J6454">
        <f>GS47/295.6</f>
        <v>0</v>
      </c>
      <c r="M6454" t="inlineStr">
        <is>
          <t>-295K444.3</t>
        </is>
      </c>
    </row>
    <row r="6455">
      <c r="A6455">
        <v>6454</v>
      </c>
      <c r="B6455">
        <f>GS48</f>
        <v>0</v>
      </c>
      <c r="C6455" t="inlineStr">
        <is>
          <t>+LS04</t>
        </is>
      </c>
      <c r="D6455" t="inlineStr">
        <is>
          <t>-295K444.3</t>
        </is>
      </c>
      <c r="E6455" t="inlineStr">
        <is>
          <t>DILA-31</t>
        </is>
      </c>
      <c r="F6455" t="inlineStr">
        <is>
          <t>#KALK!</t>
        </is>
      </c>
      <c r="G6455" t="inlineStr">
        <is>
          <t>HILFSSCHUETZ</t>
        </is>
      </c>
      <c r="H6455" t="inlineStr">
        <is>
          <t>3S 1Oe Federzugkl.</t>
        </is>
      </c>
      <c r="I6455">
        <v>427</v>
      </c>
      <c r="J6455">
        <f>GS48/295.6</f>
        <v>0</v>
      </c>
      <c r="M6455" t="inlineStr">
        <is>
          <t>-295K444.3</t>
        </is>
      </c>
    </row>
    <row r="6456">
      <c r="A6456">
        <v>6455</v>
      </c>
      <c r="B6456">
        <f>GS49</f>
        <v>0</v>
      </c>
      <c r="C6456" t="inlineStr">
        <is>
          <t>+LS04</t>
        </is>
      </c>
      <c r="D6456" t="inlineStr">
        <is>
          <t>-295K444.3</t>
        </is>
      </c>
      <c r="E6456" t="inlineStr">
        <is>
          <t>DILA-31</t>
        </is>
      </c>
      <c r="F6456" t="inlineStr">
        <is>
          <t>#KALK!</t>
        </is>
      </c>
      <c r="G6456" t="inlineStr">
        <is>
          <t>HILFSSCHUETZ</t>
        </is>
      </c>
      <c r="H6456" t="inlineStr">
        <is>
          <t>3S 1Oe Federzugkl.</t>
        </is>
      </c>
      <c r="I6456">
        <v>426</v>
      </c>
      <c r="J6456">
        <f>GS49/295.6</f>
        <v>0</v>
      </c>
      <c r="M6456" t="inlineStr">
        <is>
          <t>-295K444.3</t>
        </is>
      </c>
    </row>
    <row r="6457">
      <c r="A6457">
        <v>6456</v>
      </c>
      <c r="B6457">
        <f>GS46</f>
        <v>0</v>
      </c>
      <c r="C6457" t="inlineStr">
        <is>
          <t>+LS04</t>
        </is>
      </c>
      <c r="D6457" t="inlineStr">
        <is>
          <t>-295K447.1</t>
        </is>
      </c>
      <c r="E6457" t="inlineStr">
        <is>
          <t>DILA-31</t>
        </is>
      </c>
      <c r="F6457" t="inlineStr">
        <is>
          <t>#KALK!</t>
        </is>
      </c>
      <c r="G6457" t="inlineStr">
        <is>
          <t>HILFSSCHUETZ</t>
        </is>
      </c>
      <c r="H6457" t="inlineStr">
        <is>
          <t>3S 1Oe Federzugkl.</t>
        </is>
      </c>
      <c r="I6457">
        <v>762</v>
      </c>
      <c r="J6457">
        <f>GS46/295.3</f>
        <v>0</v>
      </c>
      <c r="M6457" t="inlineStr">
        <is>
          <t>-295K447.1</t>
        </is>
      </c>
    </row>
    <row r="6458">
      <c r="A6458">
        <v>6457</v>
      </c>
      <c r="B6458">
        <f>GS47</f>
        <v>0</v>
      </c>
      <c r="C6458" t="inlineStr">
        <is>
          <t>+LS04</t>
        </is>
      </c>
      <c r="D6458" t="inlineStr">
        <is>
          <t>-295K447.1</t>
        </is>
      </c>
      <c r="E6458" t="inlineStr">
        <is>
          <t>DILA-31</t>
        </is>
      </c>
      <c r="F6458" t="inlineStr">
        <is>
          <t>#KALK!</t>
        </is>
      </c>
      <c r="G6458" t="inlineStr">
        <is>
          <t>HILFSSCHUETZ</t>
        </is>
      </c>
      <c r="H6458" t="inlineStr">
        <is>
          <t>3S 1Oe Federzugkl.</t>
        </is>
      </c>
      <c r="I6458">
        <v>762</v>
      </c>
      <c r="J6458">
        <f>GS47/295.3</f>
        <v>0</v>
      </c>
      <c r="M6458" t="inlineStr">
        <is>
          <t>-295K447.1</t>
        </is>
      </c>
    </row>
    <row r="6459">
      <c r="A6459">
        <v>6458</v>
      </c>
      <c r="B6459">
        <f>GS48</f>
        <v>0</v>
      </c>
      <c r="C6459" t="inlineStr">
        <is>
          <t>+LS04</t>
        </is>
      </c>
      <c r="D6459" t="inlineStr">
        <is>
          <t>-295K447.1</t>
        </is>
      </c>
      <c r="E6459" t="inlineStr">
        <is>
          <t>DILA-31</t>
        </is>
      </c>
      <c r="F6459" t="inlineStr">
        <is>
          <t>#KALK!</t>
        </is>
      </c>
      <c r="G6459" t="inlineStr">
        <is>
          <t>HILFSSCHUETZ</t>
        </is>
      </c>
      <c r="H6459" t="inlineStr">
        <is>
          <t>3S 1Oe Federzugkl.</t>
        </is>
      </c>
      <c r="I6459">
        <v>427</v>
      </c>
      <c r="J6459">
        <f>GS48/295.3</f>
        <v>0</v>
      </c>
      <c r="M6459" t="inlineStr">
        <is>
          <t>-295K447.1</t>
        </is>
      </c>
    </row>
    <row r="6460">
      <c r="A6460">
        <v>6459</v>
      </c>
      <c r="B6460">
        <f>GS49</f>
        <v>0</v>
      </c>
      <c r="C6460" t="inlineStr">
        <is>
          <t>+LS04</t>
        </is>
      </c>
      <c r="D6460" t="inlineStr">
        <is>
          <t>-295K447.1</t>
        </is>
      </c>
      <c r="E6460" t="inlineStr">
        <is>
          <t>DILA-31</t>
        </is>
      </c>
      <c r="F6460" t="inlineStr">
        <is>
          <t>#KALK!</t>
        </is>
      </c>
      <c r="G6460" t="inlineStr">
        <is>
          <t>HILFSSCHUETZ</t>
        </is>
      </c>
      <c r="H6460" t="inlineStr">
        <is>
          <t>3S 1Oe Federzugkl.</t>
        </is>
      </c>
      <c r="I6460">
        <v>426</v>
      </c>
      <c r="J6460">
        <f>GS49/295.3</f>
        <v>0</v>
      </c>
      <c r="M6460" t="inlineStr">
        <is>
          <t>-295K447.1</t>
        </is>
      </c>
    </row>
    <row r="6461">
      <c r="A6461">
        <v>6460</v>
      </c>
      <c r="B6461">
        <f>GS46</f>
        <v>0</v>
      </c>
      <c r="C6461" t="inlineStr">
        <is>
          <t>+LS04</t>
        </is>
      </c>
      <c r="D6461" t="inlineStr">
        <is>
          <t>-295K447.2</t>
        </is>
      </c>
      <c r="E6461" t="inlineStr">
        <is>
          <t>DILA-31</t>
        </is>
      </c>
      <c r="F6461" t="inlineStr">
        <is>
          <t>#KALK!</t>
        </is>
      </c>
      <c r="G6461" t="inlineStr">
        <is>
          <t>HILFSSCHUETZ</t>
        </is>
      </c>
      <c r="H6461" t="inlineStr">
        <is>
          <t>3S 1Oe Federzugkl.</t>
        </is>
      </c>
      <c r="I6461">
        <v>762</v>
      </c>
      <c r="J6461">
        <f>GS46/295.4</f>
        <v>0</v>
      </c>
      <c r="M6461" t="inlineStr">
        <is>
          <t>-295K447.2</t>
        </is>
      </c>
    </row>
    <row r="6462">
      <c r="A6462">
        <v>6461</v>
      </c>
      <c r="B6462">
        <f>GS47</f>
        <v>0</v>
      </c>
      <c r="C6462" t="inlineStr">
        <is>
          <t>+LS04</t>
        </is>
      </c>
      <c r="D6462" t="inlineStr">
        <is>
          <t>-295K447.2</t>
        </is>
      </c>
      <c r="E6462" t="inlineStr">
        <is>
          <t>DILA-31</t>
        </is>
      </c>
      <c r="F6462" t="inlineStr">
        <is>
          <t>#KALK!</t>
        </is>
      </c>
      <c r="G6462" t="inlineStr">
        <is>
          <t>HILFSSCHUETZ</t>
        </is>
      </c>
      <c r="H6462" t="inlineStr">
        <is>
          <t>3S 1Oe Federzugkl.</t>
        </is>
      </c>
      <c r="I6462">
        <v>762</v>
      </c>
      <c r="J6462">
        <f>GS47/295.4</f>
        <v>0</v>
      </c>
      <c r="M6462" t="inlineStr">
        <is>
          <t>-295K447.2</t>
        </is>
      </c>
    </row>
    <row r="6463">
      <c r="A6463">
        <v>6462</v>
      </c>
      <c r="B6463">
        <f>GS48</f>
        <v>0</v>
      </c>
      <c r="C6463" t="inlineStr">
        <is>
          <t>+LS04</t>
        </is>
      </c>
      <c r="D6463" t="inlineStr">
        <is>
          <t>-295K447.2</t>
        </is>
      </c>
      <c r="E6463" t="inlineStr">
        <is>
          <t>DILA-31</t>
        </is>
      </c>
      <c r="F6463" t="inlineStr">
        <is>
          <t>#KALK!</t>
        </is>
      </c>
      <c r="G6463" t="inlineStr">
        <is>
          <t>HILFSSCHUETZ</t>
        </is>
      </c>
      <c r="H6463" t="inlineStr">
        <is>
          <t>3S 1Oe Federzugkl.</t>
        </is>
      </c>
      <c r="I6463">
        <v>427</v>
      </c>
      <c r="J6463">
        <f>GS48/295.4</f>
        <v>0</v>
      </c>
      <c r="M6463" t="inlineStr">
        <is>
          <t>-295K447.2</t>
        </is>
      </c>
    </row>
    <row r="6464">
      <c r="A6464">
        <v>6463</v>
      </c>
      <c r="B6464">
        <f>GS49</f>
        <v>0</v>
      </c>
      <c r="C6464" t="inlineStr">
        <is>
          <t>+LS04</t>
        </is>
      </c>
      <c r="D6464" t="inlineStr">
        <is>
          <t>-295K447.2</t>
        </is>
      </c>
      <c r="E6464" t="inlineStr">
        <is>
          <t>DILA-31</t>
        </is>
      </c>
      <c r="F6464" t="inlineStr">
        <is>
          <t>#KALK!</t>
        </is>
      </c>
      <c r="G6464" t="inlineStr">
        <is>
          <t>HILFSSCHUETZ</t>
        </is>
      </c>
      <c r="H6464" t="inlineStr">
        <is>
          <t>3S 1Oe Federzugkl.</t>
        </is>
      </c>
      <c r="I6464">
        <v>426</v>
      </c>
      <c r="J6464">
        <f>GS49/295.4</f>
        <v>0</v>
      </c>
      <c r="M6464" t="inlineStr">
        <is>
          <t>-295K447.2</t>
        </is>
      </c>
    </row>
    <row r="6465">
      <c r="A6465">
        <v>6464</v>
      </c>
      <c r="B6465">
        <f>GS46</f>
        <v>0</v>
      </c>
      <c r="C6465" t="inlineStr">
        <is>
          <t>+LS04</t>
        </is>
      </c>
      <c r="D6465" t="inlineStr">
        <is>
          <t>-295K447.3</t>
        </is>
      </c>
      <c r="E6465" t="inlineStr">
        <is>
          <t>DILA-31</t>
        </is>
      </c>
      <c r="F6465" t="inlineStr">
        <is>
          <t>#KALK!</t>
        </is>
      </c>
      <c r="G6465" t="inlineStr">
        <is>
          <t>HILFSSCHUETZ</t>
        </is>
      </c>
      <c r="H6465" t="inlineStr">
        <is>
          <t>3S 1Oe Federzugkl.</t>
        </is>
      </c>
      <c r="I6465">
        <v>762</v>
      </c>
      <c r="J6465">
        <f>GS46/295.5</f>
        <v>0</v>
      </c>
      <c r="M6465" t="inlineStr">
        <is>
          <t>-295K447.3</t>
        </is>
      </c>
    </row>
    <row r="6466">
      <c r="A6466">
        <v>6465</v>
      </c>
      <c r="B6466">
        <f>GS47</f>
        <v>0</v>
      </c>
      <c r="C6466" t="inlineStr">
        <is>
          <t>+LS04</t>
        </is>
      </c>
      <c r="D6466" t="inlineStr">
        <is>
          <t>-295K447.3</t>
        </is>
      </c>
      <c r="E6466" t="inlineStr">
        <is>
          <t>DILA-31</t>
        </is>
      </c>
      <c r="F6466" t="inlineStr">
        <is>
          <t>#KALK!</t>
        </is>
      </c>
      <c r="G6466" t="inlineStr">
        <is>
          <t>HILFSSCHUETZ</t>
        </is>
      </c>
      <c r="H6466" t="inlineStr">
        <is>
          <t>3S 1Oe Federzugkl.</t>
        </is>
      </c>
      <c r="I6466">
        <v>762</v>
      </c>
      <c r="J6466">
        <f>GS47/295.5</f>
        <v>0</v>
      </c>
      <c r="M6466" t="inlineStr">
        <is>
          <t>-295K447.3</t>
        </is>
      </c>
    </row>
    <row r="6467">
      <c r="A6467">
        <v>6466</v>
      </c>
      <c r="B6467">
        <f>GS48</f>
        <v>0</v>
      </c>
      <c r="C6467" t="inlineStr">
        <is>
          <t>+LS04</t>
        </is>
      </c>
      <c r="D6467" t="inlineStr">
        <is>
          <t>-295K447.3</t>
        </is>
      </c>
      <c r="E6467" t="inlineStr">
        <is>
          <t>DILA-31</t>
        </is>
      </c>
      <c r="F6467" t="inlineStr">
        <is>
          <t>#KALK!</t>
        </is>
      </c>
      <c r="G6467" t="inlineStr">
        <is>
          <t>HILFSSCHUETZ</t>
        </is>
      </c>
      <c r="H6467" t="inlineStr">
        <is>
          <t>3S 1Oe Federzugkl.</t>
        </is>
      </c>
      <c r="I6467">
        <v>427</v>
      </c>
      <c r="J6467">
        <f>GS48/295.5</f>
        <v>0</v>
      </c>
      <c r="M6467" t="inlineStr">
        <is>
          <t>-295K447.3</t>
        </is>
      </c>
    </row>
    <row r="6468">
      <c r="A6468">
        <v>6467</v>
      </c>
      <c r="B6468">
        <f>GS49</f>
        <v>0</v>
      </c>
      <c r="C6468" t="inlineStr">
        <is>
          <t>+LS04</t>
        </is>
      </c>
      <c r="D6468" t="inlineStr">
        <is>
          <t>-295K447.3</t>
        </is>
      </c>
      <c r="E6468" t="inlineStr">
        <is>
          <t>DILA-31</t>
        </is>
      </c>
      <c r="F6468" t="inlineStr">
        <is>
          <t>#KALK!</t>
        </is>
      </c>
      <c r="G6468" t="inlineStr">
        <is>
          <t>HILFSSCHUETZ</t>
        </is>
      </c>
      <c r="H6468" t="inlineStr">
        <is>
          <t>3S 1Oe Federzugkl.</t>
        </is>
      </c>
      <c r="I6468">
        <v>426</v>
      </c>
      <c r="J6468">
        <f>GS49/295.5</f>
        <v>0</v>
      </c>
      <c r="M6468" t="inlineStr">
        <is>
          <t>-295K447.3</t>
        </is>
      </c>
    </row>
    <row r="6469">
      <c r="A6469">
        <v>6468</v>
      </c>
      <c r="B6469">
        <f>GS94</f>
        <v>0</v>
      </c>
      <c r="C6469" t="inlineStr">
        <is>
          <t>+LS19</t>
        </is>
      </c>
      <c r="D6469" t="inlineStr">
        <is>
          <t>-295K491.4</t>
        </is>
      </c>
      <c r="E6469" t="inlineStr">
        <is>
          <t>DILA-40</t>
        </is>
      </c>
      <c r="F6469" t="inlineStr">
        <is>
          <t>#KALK!</t>
        </is>
      </c>
      <c r="G6469" t="inlineStr">
        <is>
          <t>HILFSSCHUETZ</t>
        </is>
      </c>
      <c r="H6469" t="inlineStr">
        <is>
          <t>4S Federzugkl.</t>
        </is>
      </c>
      <c r="I6469">
        <v>385</v>
      </c>
      <c r="J6469">
        <f>GS94/295.7</f>
        <v>0</v>
      </c>
      <c r="M6469" t="inlineStr">
        <is>
          <t>-295K491.4</t>
        </is>
      </c>
    </row>
    <row r="6470">
      <c r="A6470">
        <v>6469</v>
      </c>
      <c r="B6470">
        <f>GS95</f>
        <v>0</v>
      </c>
      <c r="C6470" t="inlineStr">
        <is>
          <t>+LS19</t>
        </is>
      </c>
      <c r="D6470" t="inlineStr">
        <is>
          <t>-295K491.4</t>
        </is>
      </c>
      <c r="E6470" t="inlineStr">
        <is>
          <t>DILA-40</t>
        </is>
      </c>
      <c r="F6470" t="inlineStr">
        <is>
          <t>#KALK!</t>
        </is>
      </c>
      <c r="G6470" t="inlineStr">
        <is>
          <t>HILFSSCHUETZ</t>
        </is>
      </c>
      <c r="H6470" t="inlineStr">
        <is>
          <t>4S Federzugkl.</t>
        </is>
      </c>
      <c r="I6470">
        <v>385</v>
      </c>
      <c r="J6470">
        <f>GS95/295.7</f>
        <v>0</v>
      </c>
      <c r="M6470" t="inlineStr">
        <is>
          <t>-295K491.4</t>
        </is>
      </c>
    </row>
    <row r="6471">
      <c r="A6471">
        <v>6470</v>
      </c>
      <c r="B6471">
        <f>GS96</f>
        <v>0</v>
      </c>
      <c r="C6471" t="inlineStr">
        <is>
          <t>+LS19</t>
        </is>
      </c>
      <c r="D6471" t="inlineStr">
        <is>
          <t>-295K491.4</t>
        </is>
      </c>
      <c r="E6471" t="inlineStr">
        <is>
          <t>DILA-40</t>
        </is>
      </c>
      <c r="F6471" t="inlineStr">
        <is>
          <t>#KALK!</t>
        </is>
      </c>
      <c r="G6471" t="inlineStr">
        <is>
          <t>HILFSSCHUETZ</t>
        </is>
      </c>
      <c r="H6471" t="inlineStr">
        <is>
          <t>4S Federzugkl.</t>
        </is>
      </c>
      <c r="I6471">
        <v>385</v>
      </c>
      <c r="J6471">
        <f>GS96/295.7</f>
        <v>0</v>
      </c>
      <c r="M6471" t="inlineStr">
        <is>
          <t>-295K491.4</t>
        </is>
      </c>
    </row>
    <row r="6472">
      <c r="A6472">
        <v>6471</v>
      </c>
      <c r="B6472">
        <f>GS97</f>
        <v>0</v>
      </c>
      <c r="C6472" t="inlineStr">
        <is>
          <t>+LS19</t>
        </is>
      </c>
      <c r="D6472" t="inlineStr">
        <is>
          <t>-295K491.4</t>
        </is>
      </c>
      <c r="E6472" t="inlineStr">
        <is>
          <t>DILA-40</t>
        </is>
      </c>
      <c r="F6472" t="inlineStr">
        <is>
          <t>#KALK!</t>
        </is>
      </c>
      <c r="G6472" t="inlineStr">
        <is>
          <t>HILFSSCHUETZ</t>
        </is>
      </c>
      <c r="H6472" t="inlineStr">
        <is>
          <t>4S Federzugkl.</t>
        </is>
      </c>
      <c r="I6472">
        <v>385</v>
      </c>
      <c r="J6472">
        <f>GS97/295.7</f>
        <v>0</v>
      </c>
      <c r="M6472" t="inlineStr">
        <is>
          <t>-295K491.4</t>
        </is>
      </c>
    </row>
    <row r="6473">
      <c r="A6473">
        <v>6472</v>
      </c>
      <c r="B6473">
        <f>GS01</f>
        <v>0</v>
      </c>
      <c r="C6473" t="inlineStr">
        <is>
          <t>+LS6</t>
        </is>
      </c>
      <c r="D6473" t="inlineStr">
        <is>
          <t>-295K59.2</t>
        </is>
      </c>
      <c r="E6473" t="inlineStr">
        <is>
          <t>DIL_EM-10-G</t>
        </is>
      </c>
      <c r="F6473" t="inlineStr">
        <is>
          <t>#KALK!</t>
        </is>
      </c>
      <c r="G6473" t="inlineStr">
        <is>
          <t>LASTSCHUETZ</t>
        </is>
      </c>
      <c r="H6473" t="inlineStr">
        <is>
          <t>4kW 1S</t>
        </is>
      </c>
      <c r="I6473">
        <v>458</v>
      </c>
      <c r="J6473">
        <f>GS01/295.6</f>
        <v>0</v>
      </c>
      <c r="M6473" t="inlineStr">
        <is>
          <t>-295K59.2</t>
        </is>
      </c>
    </row>
    <row r="6474">
      <c r="A6474">
        <v>6473</v>
      </c>
      <c r="B6474">
        <f>GS01</f>
        <v>0</v>
      </c>
      <c r="C6474" t="inlineStr">
        <is>
          <t>+LS6</t>
        </is>
      </c>
      <c r="D6474" t="inlineStr">
        <is>
          <t>-295K59.3</t>
        </is>
      </c>
      <c r="E6474" t="inlineStr">
        <is>
          <t>DIL_EM-10-G</t>
        </is>
      </c>
      <c r="F6474" t="inlineStr">
        <is>
          <t>#KALK!</t>
        </is>
      </c>
      <c r="G6474" t="inlineStr">
        <is>
          <t>LASTSCHUETZ</t>
        </is>
      </c>
      <c r="H6474" t="inlineStr">
        <is>
          <t>4kW 1S</t>
        </is>
      </c>
      <c r="I6474">
        <v>458</v>
      </c>
      <c r="J6474">
        <f>GS01/295.6</f>
        <v>0</v>
      </c>
      <c r="M6474" t="inlineStr">
        <is>
          <t>-295K59.3</t>
        </is>
      </c>
    </row>
    <row r="6475">
      <c r="A6475">
        <v>6474</v>
      </c>
      <c r="B6475">
        <f>GS23</f>
        <v>0</v>
      </c>
      <c r="C6475" t="inlineStr">
        <is>
          <t>+LS6</t>
        </is>
      </c>
      <c r="D6475" t="inlineStr">
        <is>
          <t>-295K82.6</t>
        </is>
      </c>
      <c r="E6475" t="inlineStr">
        <is>
          <t>DIL_EM-10-G</t>
        </is>
      </c>
      <c r="F6475" t="inlineStr">
        <is>
          <t>#KALK!</t>
        </is>
      </c>
      <c r="G6475" t="inlineStr">
        <is>
          <t>LASTSCHUETZ</t>
        </is>
      </c>
      <c r="H6475" t="inlineStr">
        <is>
          <t>4kW 1S</t>
        </is>
      </c>
      <c r="I6475">
        <v>596</v>
      </c>
      <c r="J6475">
        <f>GS23/295.6</f>
        <v>0</v>
      </c>
      <c r="M6475" t="inlineStr">
        <is>
          <t>-295K82.6</t>
        </is>
      </c>
    </row>
    <row r="6476">
      <c r="A6476">
        <v>6475</v>
      </c>
      <c r="B6476">
        <f>GS23</f>
        <v>0</v>
      </c>
      <c r="C6476" t="inlineStr">
        <is>
          <t>+LS6</t>
        </is>
      </c>
      <c r="D6476" t="inlineStr">
        <is>
          <t>-295K82.7</t>
        </is>
      </c>
      <c r="E6476" t="inlineStr">
        <is>
          <t>DIL_EM-10-G</t>
        </is>
      </c>
      <c r="F6476" t="inlineStr">
        <is>
          <t>#KALK!</t>
        </is>
      </c>
      <c r="G6476" t="inlineStr">
        <is>
          <t>LASTSCHUETZ</t>
        </is>
      </c>
      <c r="H6476" t="inlineStr">
        <is>
          <t>4kW 1S</t>
        </is>
      </c>
      <c r="I6476">
        <v>596</v>
      </c>
      <c r="J6476">
        <f>GS23/295.6</f>
        <v>0</v>
      </c>
      <c r="M6476" t="inlineStr">
        <is>
          <t>-295K82.7</t>
        </is>
      </c>
    </row>
    <row r="6477">
      <c r="A6477">
        <v>6476</v>
      </c>
      <c r="B6477">
        <f>GS94</f>
        <v>0</v>
      </c>
      <c r="C6477" t="inlineStr">
        <is>
          <t>+LS19</t>
        </is>
      </c>
      <c r="D6477" t="inlineStr">
        <is>
          <t>-295Q1</t>
        </is>
      </c>
      <c r="E6477" t="inlineStr">
        <is>
          <t>DILMC25-10(RDC24)</t>
        </is>
      </c>
      <c r="F6477" t="inlineStr">
        <is>
          <t>DILA-XHI22</t>
        </is>
      </c>
      <c r="G6477" t="inlineStr">
        <is>
          <t>LASTSCHUETZ</t>
        </is>
      </c>
      <c r="H6477" t="inlineStr">
        <is>
          <t>11kW 1S Federzugkl.</t>
        </is>
      </c>
      <c r="I6477">
        <v>385</v>
      </c>
      <c r="J6477">
        <f>GS94/295.4</f>
        <v>0</v>
      </c>
      <c r="K6477" t="inlineStr">
        <is>
          <t>DIL MC25</t>
        </is>
      </c>
      <c r="M6477" t="inlineStr">
        <is>
          <t>-295Q1</t>
        </is>
      </c>
    </row>
    <row r="6478">
      <c r="A6478">
        <v>6477</v>
      </c>
      <c r="B6478">
        <f>GS94</f>
        <v>0</v>
      </c>
      <c r="C6478" t="inlineStr">
        <is>
          <t>+LS19</t>
        </is>
      </c>
      <c r="D6478" t="inlineStr">
        <is>
          <t>-295Q1</t>
        </is>
      </c>
      <c r="E6478" t="inlineStr">
        <is>
          <t>DILA-XHI22</t>
        </is>
      </c>
      <c r="F6478" t="inlineStr">
        <is>
          <t>DILA-XHI22</t>
        </is>
      </c>
      <c r="G6478" t="inlineStr">
        <is>
          <t>HILFSKONTAKTBLOCK</t>
        </is>
      </c>
      <c r="H6478" t="inlineStr">
        <is>
          <t>2S 2OE Last+Hilfssch. Cage</t>
        </is>
      </c>
      <c r="I6478">
        <v>385</v>
      </c>
      <c r="J6478">
        <f>GS94/295.4</f>
        <v>0</v>
      </c>
      <c r="K6478" t="inlineStr">
        <is>
          <t>DIL MC25</t>
        </is>
      </c>
      <c r="M6478" t="inlineStr">
        <is>
          <t>-295Q1</t>
        </is>
      </c>
    </row>
    <row r="6479">
      <c r="A6479">
        <v>6478</v>
      </c>
      <c r="B6479">
        <f>GS95</f>
        <v>0</v>
      </c>
      <c r="C6479" t="inlineStr">
        <is>
          <t>+LS19</t>
        </is>
      </c>
      <c r="D6479" t="inlineStr">
        <is>
          <t>-295Q1</t>
        </is>
      </c>
      <c r="E6479" t="inlineStr">
        <is>
          <t>DILA-XHI22</t>
        </is>
      </c>
      <c r="F6479" t="inlineStr">
        <is>
          <t>DILA-XHI22</t>
        </is>
      </c>
      <c r="G6479" t="inlineStr">
        <is>
          <t>HILFSKONTAKTBLOCK</t>
        </is>
      </c>
      <c r="H6479" t="inlineStr">
        <is>
          <t>2S 2OE Last+Hilfssch. Cage</t>
        </is>
      </c>
      <c r="I6479">
        <v>385</v>
      </c>
      <c r="J6479">
        <f>GS95/295.4</f>
        <v>0</v>
      </c>
      <c r="K6479" t="inlineStr">
        <is>
          <t>DIL MC25</t>
        </is>
      </c>
      <c r="M6479" t="inlineStr">
        <is>
          <t>-295Q1</t>
        </is>
      </c>
    </row>
    <row r="6480">
      <c r="A6480">
        <v>6479</v>
      </c>
      <c r="B6480">
        <f>GS95</f>
        <v>0</v>
      </c>
      <c r="C6480" t="inlineStr">
        <is>
          <t>+LS19</t>
        </is>
      </c>
      <c r="D6480" t="inlineStr">
        <is>
          <t>-295Q1</t>
        </is>
      </c>
      <c r="E6480" t="inlineStr">
        <is>
          <t>DILMC25-10(RDC24)</t>
        </is>
      </c>
      <c r="F6480" t="inlineStr">
        <is>
          <t>DILA-XHI22</t>
        </is>
      </c>
      <c r="G6480" t="inlineStr">
        <is>
          <t>LASTSCHUETZ</t>
        </is>
      </c>
      <c r="H6480" t="inlineStr">
        <is>
          <t>11kW 1S Federzugkl.</t>
        </is>
      </c>
      <c r="I6480">
        <v>385</v>
      </c>
      <c r="J6480">
        <f>GS95/295.4</f>
        <v>0</v>
      </c>
      <c r="K6480" t="inlineStr">
        <is>
          <t>DIL MC25</t>
        </is>
      </c>
      <c r="M6480" t="inlineStr">
        <is>
          <t>-295Q1</t>
        </is>
      </c>
    </row>
    <row r="6481">
      <c r="A6481">
        <v>6480</v>
      </c>
      <c r="B6481">
        <f>GS96</f>
        <v>0</v>
      </c>
      <c r="C6481" t="inlineStr">
        <is>
          <t>+LS19</t>
        </is>
      </c>
      <c r="D6481" t="inlineStr">
        <is>
          <t>-295Q1</t>
        </is>
      </c>
      <c r="E6481" t="inlineStr">
        <is>
          <t>DILMC25-10(RDC24)</t>
        </is>
      </c>
      <c r="F6481" t="inlineStr">
        <is>
          <t>DILA-XHI22</t>
        </is>
      </c>
      <c r="G6481" t="inlineStr">
        <is>
          <t>LASTSCHUETZ</t>
        </is>
      </c>
      <c r="H6481" t="inlineStr">
        <is>
          <t>11kW 1S Federzugkl.</t>
        </is>
      </c>
      <c r="I6481">
        <v>385</v>
      </c>
      <c r="J6481">
        <f>GS96/295.4</f>
        <v>0</v>
      </c>
      <c r="K6481" t="inlineStr">
        <is>
          <t>DIL MC25</t>
        </is>
      </c>
      <c r="M6481" t="inlineStr">
        <is>
          <t>-295Q1</t>
        </is>
      </c>
    </row>
    <row r="6482">
      <c r="A6482">
        <v>6481</v>
      </c>
      <c r="B6482">
        <f>GS96</f>
        <v>0</v>
      </c>
      <c r="C6482" t="inlineStr">
        <is>
          <t>+LS19</t>
        </is>
      </c>
      <c r="D6482" t="inlineStr">
        <is>
          <t>-295Q1</t>
        </is>
      </c>
      <c r="E6482" t="inlineStr">
        <is>
          <t>DILA-XHI22</t>
        </is>
      </c>
      <c r="F6482" t="inlineStr">
        <is>
          <t>DILA-XHI22</t>
        </is>
      </c>
      <c r="G6482" t="inlineStr">
        <is>
          <t>HILFSKONTAKTBLOCK</t>
        </is>
      </c>
      <c r="H6482" t="inlineStr">
        <is>
          <t>2S 2OE Last+Hilfssch. Cage</t>
        </is>
      </c>
      <c r="I6482">
        <v>385</v>
      </c>
      <c r="J6482">
        <f>GS96/295.4</f>
        <v>0</v>
      </c>
      <c r="K6482" t="inlineStr">
        <is>
          <t>DIL MC25</t>
        </is>
      </c>
      <c r="M6482" t="inlineStr">
        <is>
          <t>-295Q1</t>
        </is>
      </c>
    </row>
    <row r="6483">
      <c r="A6483">
        <v>6482</v>
      </c>
      <c r="B6483">
        <f>GS97</f>
        <v>0</v>
      </c>
      <c r="C6483" t="inlineStr">
        <is>
          <t>+LS19</t>
        </is>
      </c>
      <c r="D6483" t="inlineStr">
        <is>
          <t>-295Q1</t>
        </is>
      </c>
      <c r="E6483" t="inlineStr">
        <is>
          <t>DILMC25-10(RDC24)</t>
        </is>
      </c>
      <c r="F6483" t="inlineStr">
        <is>
          <t>DILA-XHI22</t>
        </is>
      </c>
      <c r="G6483" t="inlineStr">
        <is>
          <t>LASTSCHUETZ</t>
        </is>
      </c>
      <c r="H6483" t="inlineStr">
        <is>
          <t>11kW 1S Federzugkl.</t>
        </is>
      </c>
      <c r="I6483">
        <v>385</v>
      </c>
      <c r="J6483">
        <f>GS97/295.4</f>
        <v>0</v>
      </c>
      <c r="K6483" t="inlineStr">
        <is>
          <t>DIL MC25</t>
        </is>
      </c>
      <c r="M6483" t="inlineStr">
        <is>
          <t>-295Q1</t>
        </is>
      </c>
    </row>
    <row r="6484">
      <c r="A6484">
        <v>6483</v>
      </c>
      <c r="B6484">
        <f>GS97</f>
        <v>0</v>
      </c>
      <c r="C6484" t="inlineStr">
        <is>
          <t>+LS19</t>
        </is>
      </c>
      <c r="D6484" t="inlineStr">
        <is>
          <t>-295Q1</t>
        </is>
      </c>
      <c r="E6484" t="inlineStr">
        <is>
          <t>DILA-XHI22</t>
        </is>
      </c>
      <c r="F6484" t="inlineStr">
        <is>
          <t>DILA-XHI22</t>
        </is>
      </c>
      <c r="G6484" t="inlineStr">
        <is>
          <t>HILFSKONTAKTBLOCK</t>
        </is>
      </c>
      <c r="H6484" t="inlineStr">
        <is>
          <t>2S 2OE Last+Hilfssch. Cage</t>
        </is>
      </c>
      <c r="I6484">
        <v>385</v>
      </c>
      <c r="J6484">
        <f>GS97/295.4</f>
        <v>0</v>
      </c>
      <c r="K6484" t="inlineStr">
        <is>
          <t>DIL MC25</t>
        </is>
      </c>
      <c r="M6484" t="inlineStr">
        <is>
          <t>-295Q1</t>
        </is>
      </c>
    </row>
    <row r="6485">
      <c r="A6485">
        <v>6484</v>
      </c>
      <c r="B6485">
        <f>GS90</f>
        <v>0</v>
      </c>
      <c r="C6485" t="inlineStr">
        <is>
          <t>+LS04</t>
        </is>
      </c>
      <c r="D6485" t="inlineStr">
        <is>
          <t>-295Q180.6</t>
        </is>
      </c>
      <c r="E6485" t="inlineStr">
        <is>
          <t>DILM-9-10</t>
        </is>
      </c>
      <c r="F6485" t="inlineStr">
        <is>
          <t>#KALK!</t>
        </is>
      </c>
      <c r="G6485" t="inlineStr">
        <is>
          <t>LASTSCHUETZ</t>
        </is>
      </c>
      <c r="H6485" t="inlineStr">
        <is>
          <t>4kW 1S Federzugkl.</t>
        </is>
      </c>
      <c r="I6485">
        <v>946</v>
      </c>
      <c r="J6485">
        <f>GS90/295.5</f>
        <v>0</v>
      </c>
      <c r="M6485" t="inlineStr">
        <is>
          <t>-295Q180.6</t>
        </is>
      </c>
    </row>
    <row r="6486">
      <c r="A6486">
        <v>6485</v>
      </c>
      <c r="B6486">
        <f>GS13</f>
        <v>0</v>
      </c>
      <c r="C6486" t="inlineStr">
        <is>
          <t>+LS6</t>
        </is>
      </c>
      <c r="D6486" t="inlineStr">
        <is>
          <t>-29683.0</t>
        </is>
      </c>
      <c r="E6486" t="inlineStr">
        <is>
          <t>DIL_EM-10-G</t>
        </is>
      </c>
      <c r="F6486" t="inlineStr">
        <is>
          <t>#KALK!</t>
        </is>
      </c>
      <c r="G6486" t="inlineStr">
        <is>
          <t>LASTSCHUETZ</t>
        </is>
      </c>
      <c r="H6486" t="inlineStr">
        <is>
          <t>4kW 1S</t>
        </is>
      </c>
      <c r="I6486">
        <v>539</v>
      </c>
      <c r="J6486">
        <f>GS13/296.6</f>
        <v>0</v>
      </c>
      <c r="M6486" t="inlineStr">
        <is>
          <t>-29683.0</t>
        </is>
      </c>
    </row>
    <row r="6487">
      <c r="A6487">
        <v>6486</v>
      </c>
      <c r="B6487">
        <f>GS13</f>
        <v>0</v>
      </c>
      <c r="C6487" t="inlineStr">
        <is>
          <t>+LS6</t>
        </is>
      </c>
      <c r="D6487" t="inlineStr">
        <is>
          <t>-29683.1</t>
        </is>
      </c>
      <c r="E6487" t="inlineStr">
        <is>
          <t>DIL_EM-10-G</t>
        </is>
      </c>
      <c r="F6487" t="inlineStr">
        <is>
          <t>#KALK!</t>
        </is>
      </c>
      <c r="G6487" t="inlineStr">
        <is>
          <t>LASTSCHUETZ</t>
        </is>
      </c>
      <c r="H6487" t="inlineStr">
        <is>
          <t>4kW 1S</t>
        </is>
      </c>
      <c r="I6487">
        <v>539</v>
      </c>
      <c r="J6487">
        <f>GS13/296.6</f>
        <v>0</v>
      </c>
      <c r="M6487" t="inlineStr">
        <is>
          <t>-29683.1</t>
        </is>
      </c>
    </row>
    <row r="6488">
      <c r="A6488">
        <v>6487</v>
      </c>
      <c r="B6488">
        <f>GS30</f>
        <v>0</v>
      </c>
      <c r="C6488" t="inlineStr">
        <is>
          <t>+LS07</t>
        </is>
      </c>
      <c r="D6488" t="inlineStr">
        <is>
          <t>-296K1</t>
        </is>
      </c>
      <c r="E6488" t="inlineStr">
        <is>
          <t>DILA-XHI22</t>
        </is>
      </c>
      <c r="F6488" t="inlineStr">
        <is>
          <t>DILA-XHI22</t>
        </is>
      </c>
      <c r="G6488" t="inlineStr">
        <is>
          <t>HILFSKONTAKTBLOCK</t>
        </is>
      </c>
      <c r="H6488" t="inlineStr">
        <is>
          <t>2S 2OE Last+Hilfssch. Cage</t>
        </is>
      </c>
      <c r="I6488">
        <v>1003</v>
      </c>
      <c r="J6488">
        <f>GS30/296.5</f>
        <v>0</v>
      </c>
      <c r="M6488" t="inlineStr">
        <is>
          <t>-296K1</t>
        </is>
      </c>
    </row>
    <row r="6489">
      <c r="A6489">
        <v>6488</v>
      </c>
      <c r="B6489">
        <f>GS30</f>
        <v>0</v>
      </c>
      <c r="C6489" t="inlineStr">
        <is>
          <t>+LS07</t>
        </is>
      </c>
      <c r="D6489" t="inlineStr">
        <is>
          <t>-296K1</t>
        </is>
      </c>
      <c r="E6489" t="inlineStr">
        <is>
          <t>DILM-9-10</t>
        </is>
      </c>
      <c r="F6489" t="inlineStr">
        <is>
          <t>DILA-XHI22</t>
        </is>
      </c>
      <c r="G6489" t="inlineStr">
        <is>
          <t>LASTSCHUETZ</t>
        </is>
      </c>
      <c r="H6489" t="inlineStr">
        <is>
          <t>4kW 1S Federzugkl.</t>
        </is>
      </c>
      <c r="I6489">
        <v>1003</v>
      </c>
      <c r="J6489">
        <f>GS30/296.5</f>
        <v>0</v>
      </c>
      <c r="M6489" t="inlineStr">
        <is>
          <t>-296K1</t>
        </is>
      </c>
    </row>
    <row r="6490">
      <c r="A6490">
        <v>6489</v>
      </c>
      <c r="B6490">
        <f>GS30</f>
        <v>0</v>
      </c>
      <c r="C6490" t="inlineStr">
        <is>
          <t>+LS07</t>
        </is>
      </c>
      <c r="D6490" t="inlineStr">
        <is>
          <t>-296K2</t>
        </is>
      </c>
      <c r="E6490" t="inlineStr">
        <is>
          <t>DILA-XHI22</t>
        </is>
      </c>
      <c r="F6490" t="inlineStr">
        <is>
          <t>DILA-XHI22</t>
        </is>
      </c>
      <c r="G6490" t="inlineStr">
        <is>
          <t>HILFSKONTAKTBLOCK</t>
        </is>
      </c>
      <c r="H6490" t="inlineStr">
        <is>
          <t>2S 2OE Last+Hilfssch. Cage</t>
        </is>
      </c>
      <c r="I6490">
        <v>1003</v>
      </c>
      <c r="J6490">
        <f>GS30/296.6</f>
        <v>0</v>
      </c>
      <c r="M6490" t="inlineStr">
        <is>
          <t>-296K2</t>
        </is>
      </c>
    </row>
    <row r="6491">
      <c r="A6491">
        <v>6490</v>
      </c>
      <c r="B6491">
        <f>GS30</f>
        <v>0</v>
      </c>
      <c r="C6491" t="inlineStr">
        <is>
          <t>+LS07</t>
        </is>
      </c>
      <c r="D6491" t="inlineStr">
        <is>
          <t>-296K2</t>
        </is>
      </c>
      <c r="E6491" t="inlineStr">
        <is>
          <t>DILM-9-10</t>
        </is>
      </c>
      <c r="F6491" t="inlineStr">
        <is>
          <t>DILA-XHI22</t>
        </is>
      </c>
      <c r="G6491" t="inlineStr">
        <is>
          <t>LASTSCHUETZ</t>
        </is>
      </c>
      <c r="H6491" t="inlineStr">
        <is>
          <t>4kW 1S Federzugkl.</t>
        </is>
      </c>
      <c r="I6491">
        <v>1003</v>
      </c>
      <c r="J6491">
        <f>GS30/296.6</f>
        <v>0</v>
      </c>
      <c r="M6491" t="inlineStr">
        <is>
          <t>-296K2</t>
        </is>
      </c>
    </row>
    <row r="6492">
      <c r="A6492">
        <v>6491</v>
      </c>
      <c r="B6492">
        <f>GS33</f>
        <v>0</v>
      </c>
      <c r="C6492" t="inlineStr">
        <is>
          <t>+LS6</t>
        </is>
      </c>
      <c r="D6492" t="inlineStr">
        <is>
          <t>-296K45.0</t>
        </is>
      </c>
      <c r="E6492" t="inlineStr">
        <is>
          <t>DIL_EM-10-G</t>
        </is>
      </c>
      <c r="F6492" t="inlineStr">
        <is>
          <t>#KALK!</t>
        </is>
      </c>
      <c r="G6492" t="inlineStr">
        <is>
          <t>LASTSCHUETZ</t>
        </is>
      </c>
      <c r="H6492" t="inlineStr">
        <is>
          <t>4kW 1S</t>
        </is>
      </c>
      <c r="I6492">
        <v>743</v>
      </c>
      <c r="J6492">
        <f>GS33/296.6</f>
        <v>0</v>
      </c>
      <c r="M6492" t="inlineStr">
        <is>
          <t>-296K45.0</t>
        </is>
      </c>
    </row>
    <row r="6493">
      <c r="A6493">
        <v>6492</v>
      </c>
      <c r="B6493">
        <f>GS33</f>
        <v>0</v>
      </c>
      <c r="C6493" t="inlineStr">
        <is>
          <t>+LS6</t>
        </is>
      </c>
      <c r="D6493" t="inlineStr">
        <is>
          <t>-296K57.2</t>
        </is>
      </c>
      <c r="E6493" t="inlineStr">
        <is>
          <t>DIL_EM-10-G</t>
        </is>
      </c>
      <c r="F6493" t="inlineStr">
        <is>
          <t>#KALK!</t>
        </is>
      </c>
      <c r="G6493" t="inlineStr">
        <is>
          <t>LASTSCHUETZ</t>
        </is>
      </c>
      <c r="H6493" t="inlineStr">
        <is>
          <t>4kW 1S</t>
        </is>
      </c>
      <c r="I6493">
        <v>743</v>
      </c>
      <c r="J6493">
        <f>GS33/296.6</f>
        <v>0</v>
      </c>
      <c r="M6493" t="inlineStr">
        <is>
          <t>-296K57.2</t>
        </is>
      </c>
    </row>
    <row r="6494">
      <c r="A6494">
        <v>6493</v>
      </c>
      <c r="B6494">
        <f>GS01</f>
        <v>0</v>
      </c>
      <c r="C6494" t="inlineStr">
        <is>
          <t>+LS6</t>
        </is>
      </c>
      <c r="D6494" t="inlineStr">
        <is>
          <t>-296K59.4</t>
        </is>
      </c>
      <c r="E6494" t="inlineStr">
        <is>
          <t>DIL_EM-10-G</t>
        </is>
      </c>
      <c r="F6494" t="inlineStr">
        <is>
          <t>#KALK!</t>
        </is>
      </c>
      <c r="G6494" t="inlineStr">
        <is>
          <t>LASTSCHUETZ</t>
        </is>
      </c>
      <c r="H6494" t="inlineStr">
        <is>
          <t>4kW 1S</t>
        </is>
      </c>
      <c r="I6494">
        <v>459</v>
      </c>
      <c r="J6494">
        <f>GS01/296.6</f>
        <v>0</v>
      </c>
      <c r="M6494" t="inlineStr">
        <is>
          <t>-296K59.4</t>
        </is>
      </c>
    </row>
    <row r="6495">
      <c r="A6495">
        <v>6494</v>
      </c>
      <c r="B6495">
        <f>GS01</f>
        <v>0</v>
      </c>
      <c r="C6495" t="inlineStr">
        <is>
          <t>+LS6</t>
        </is>
      </c>
      <c r="D6495" t="inlineStr">
        <is>
          <t>-296K59.5</t>
        </is>
      </c>
      <c r="E6495" t="inlineStr">
        <is>
          <t>DIL_EM-10-G</t>
        </is>
      </c>
      <c r="F6495" t="inlineStr">
        <is>
          <t>#KALK!</t>
        </is>
      </c>
      <c r="G6495" t="inlineStr">
        <is>
          <t>LASTSCHUETZ</t>
        </is>
      </c>
      <c r="H6495" t="inlineStr">
        <is>
          <t>4kW 1S</t>
        </is>
      </c>
      <c r="I6495">
        <v>459</v>
      </c>
      <c r="J6495">
        <f>GS01/296.6</f>
        <v>0</v>
      </c>
      <c r="M6495" t="inlineStr">
        <is>
          <t>-296K59.5</t>
        </is>
      </c>
    </row>
    <row r="6496">
      <c r="A6496">
        <v>6495</v>
      </c>
      <c r="B6496">
        <f>GS23</f>
        <v>0</v>
      </c>
      <c r="C6496" t="inlineStr">
        <is>
          <t>+LS6</t>
        </is>
      </c>
      <c r="D6496" t="inlineStr">
        <is>
          <t>-296K83.0</t>
        </is>
      </c>
      <c r="E6496" t="inlineStr">
        <is>
          <t>DIL_EM-10-G</t>
        </is>
      </c>
      <c r="F6496" t="inlineStr">
        <is>
          <t>#KALK!</t>
        </is>
      </c>
      <c r="G6496" t="inlineStr">
        <is>
          <t>LASTSCHUETZ</t>
        </is>
      </c>
      <c r="H6496" t="inlineStr">
        <is>
          <t>4kW 1S</t>
        </is>
      </c>
      <c r="I6496">
        <v>597</v>
      </c>
      <c r="J6496">
        <f>GS23/296.6</f>
        <v>0</v>
      </c>
      <c r="M6496" t="inlineStr">
        <is>
          <t>-296K83.0</t>
        </is>
      </c>
    </row>
    <row r="6497">
      <c r="A6497">
        <v>6496</v>
      </c>
      <c r="B6497">
        <f>GS23</f>
        <v>0</v>
      </c>
      <c r="C6497" t="inlineStr">
        <is>
          <t>+LS6</t>
        </is>
      </c>
      <c r="D6497" t="inlineStr">
        <is>
          <t>-296K83.1</t>
        </is>
      </c>
      <c r="E6497" t="inlineStr">
        <is>
          <t>DIL_EM-10-G</t>
        </is>
      </c>
      <c r="F6497" t="inlineStr">
        <is>
          <t>#KALK!</t>
        </is>
      </c>
      <c r="G6497" t="inlineStr">
        <is>
          <t>LASTSCHUETZ</t>
        </is>
      </c>
      <c r="H6497" t="inlineStr">
        <is>
          <t>4kW 1S</t>
        </is>
      </c>
      <c r="I6497">
        <v>597</v>
      </c>
      <c r="J6497">
        <f>GS23/296.6</f>
        <v>0</v>
      </c>
      <c r="M6497" t="inlineStr">
        <is>
          <t>-296K83.1</t>
        </is>
      </c>
    </row>
    <row r="6498">
      <c r="A6498">
        <v>6497</v>
      </c>
      <c r="B6498">
        <f>GS79</f>
        <v>0</v>
      </c>
      <c r="C6498" t="inlineStr">
        <is>
          <t>+LS[l1]</t>
        </is>
      </c>
      <c r="D6498" t="inlineStr">
        <is>
          <t>-296Q[a+214].6</t>
        </is>
      </c>
      <c r="E6498" t="inlineStr">
        <is>
          <t>DILM-9-10</t>
        </is>
      </c>
      <c r="F6498" t="inlineStr">
        <is>
          <t>#KALK!</t>
        </is>
      </c>
      <c r="G6498" t="inlineStr">
        <is>
          <t>LASTSCHUETZ</t>
        </is>
      </c>
      <c r="H6498" t="inlineStr">
        <is>
          <t>4kW 1S Federzugkl.</t>
        </is>
      </c>
      <c r="I6498">
        <v>197</v>
      </c>
      <c r="J6498">
        <f>GS79/296.6</f>
        <v>0</v>
      </c>
      <c r="M6498" t="inlineStr">
        <is>
          <t>-296Q[a+214].6</t>
        </is>
      </c>
    </row>
    <row r="6499">
      <c r="A6499">
        <v>6498</v>
      </c>
      <c r="B6499">
        <f>GS79</f>
        <v>0</v>
      </c>
      <c r="C6499" t="inlineStr">
        <is>
          <t>+LS[l1]</t>
        </is>
      </c>
      <c r="D6499" t="inlineStr">
        <is>
          <t>-296Q[a+214].6</t>
        </is>
      </c>
      <c r="E6499" t="inlineStr">
        <is>
          <t>DILM-9-10</t>
        </is>
      </c>
      <c r="F6499" t="inlineStr">
        <is>
          <t>#KALK!</t>
        </is>
      </c>
      <c r="G6499" t="inlineStr">
        <is>
          <t>LASTSCHUETZ</t>
        </is>
      </c>
      <c r="H6499" t="inlineStr">
        <is>
          <t>4kW 1S Federzugkl.</t>
        </is>
      </c>
      <c r="I6499">
        <v>180</v>
      </c>
      <c r="J6499">
        <f>GS79/296.6</f>
        <v>0</v>
      </c>
      <c r="M6499" t="inlineStr">
        <is>
          <t>-296Q[a+214].6</t>
        </is>
      </c>
    </row>
    <row r="6500">
      <c r="A6500">
        <v>6499</v>
      </c>
      <c r="B6500">
        <f>GS79</f>
        <v>0</v>
      </c>
      <c r="C6500" t="inlineStr">
        <is>
          <t>+LS[l1]</t>
        </is>
      </c>
      <c r="D6500" t="inlineStr">
        <is>
          <t>-296Q[a+214].6</t>
        </is>
      </c>
      <c r="E6500" t="inlineStr">
        <is>
          <t>DILM-9-10</t>
        </is>
      </c>
      <c r="F6500" t="inlineStr">
        <is>
          <t>#KALK!</t>
        </is>
      </c>
      <c r="G6500" t="inlineStr">
        <is>
          <t>LASTSCHUETZ</t>
        </is>
      </c>
      <c r="H6500" t="inlineStr">
        <is>
          <t>4kW 1S Federzugkl.</t>
        </is>
      </c>
      <c r="I6500">
        <v>263</v>
      </c>
      <c r="J6500">
        <f>GS79/296.6</f>
        <v>0</v>
      </c>
      <c r="M6500" t="inlineStr">
        <is>
          <t>-296Q[a+214].6</t>
        </is>
      </c>
    </row>
    <row r="6501">
      <c r="A6501">
        <v>6500</v>
      </c>
      <c r="B6501">
        <f>GS52</f>
        <v>0</v>
      </c>
      <c r="C6501" t="inlineStr">
        <is>
          <t>+LS04</t>
        </is>
      </c>
      <c r="D6501" t="inlineStr">
        <is>
          <t>-296Q137.5</t>
        </is>
      </c>
      <c r="E6501" t="inlineStr">
        <is>
          <t>DILM-9-10</t>
        </is>
      </c>
      <c r="F6501" t="inlineStr">
        <is>
          <t>#KALK!</t>
        </is>
      </c>
      <c r="G6501" t="inlineStr">
        <is>
          <t>LASTSCHUETZ</t>
        </is>
      </c>
      <c r="H6501" t="inlineStr">
        <is>
          <t>4kW 1S Federzugkl.</t>
        </is>
      </c>
      <c r="I6501">
        <v>1730</v>
      </c>
      <c r="J6501">
        <f>GS52/296.6</f>
        <v>0</v>
      </c>
      <c r="K6501" t="inlineStr">
        <is>
          <t>DIL MC9</t>
        </is>
      </c>
      <c r="M6501" t="inlineStr">
        <is>
          <t>-296Q137.5</t>
        </is>
      </c>
    </row>
    <row r="6502">
      <c r="A6502">
        <v>6501</v>
      </c>
      <c r="B6502">
        <f>GS91</f>
        <v>0</v>
      </c>
      <c r="C6502" t="inlineStr">
        <is>
          <t>+LS04</t>
        </is>
      </c>
      <c r="D6502" t="inlineStr">
        <is>
          <t>-296Q175.6</t>
        </is>
      </c>
      <c r="E6502" t="inlineStr">
        <is>
          <t>DILM-9-10</t>
        </is>
      </c>
      <c r="F6502" t="inlineStr">
        <is>
          <t>#KALK!</t>
        </is>
      </c>
      <c r="G6502" t="inlineStr">
        <is>
          <t>LASTSCHUETZ</t>
        </is>
      </c>
      <c r="H6502" t="inlineStr">
        <is>
          <t>4kW 1S Federzugkl.</t>
        </is>
      </c>
      <c r="I6502">
        <v>444</v>
      </c>
      <c r="J6502">
        <f>GS91/296.5</f>
        <v>0</v>
      </c>
      <c r="M6502" t="inlineStr">
        <is>
          <t>-296Q175.6</t>
        </is>
      </c>
    </row>
    <row r="6503">
      <c r="A6503">
        <v>6502</v>
      </c>
      <c r="B6503">
        <f>GS35</f>
        <v>0</v>
      </c>
      <c r="C6503" t="inlineStr">
        <is>
          <t>+LS06</t>
        </is>
      </c>
      <c r="D6503" t="inlineStr">
        <is>
          <t>-296Q434.2</t>
        </is>
      </c>
      <c r="E6503" t="inlineStr">
        <is>
          <t>DILM-9-10</t>
        </is>
      </c>
      <c r="F6503" t="inlineStr">
        <is>
          <t>#KALK!</t>
        </is>
      </c>
      <c r="G6503" t="inlineStr">
        <is>
          <t>LASTSCHUETZ</t>
        </is>
      </c>
      <c r="H6503" t="inlineStr">
        <is>
          <t>4kW 1S Federzugkl.</t>
        </is>
      </c>
      <c r="I6503">
        <v>450</v>
      </c>
      <c r="J6503">
        <f>GS35/296.5</f>
        <v>0</v>
      </c>
      <c r="M6503" t="inlineStr">
        <is>
          <t>-296Q434.2</t>
        </is>
      </c>
    </row>
    <row r="6504">
      <c r="A6504">
        <v>6503</v>
      </c>
      <c r="B6504">
        <f>GS13</f>
        <v>0</v>
      </c>
      <c r="C6504" t="inlineStr">
        <is>
          <t>+LS6</t>
        </is>
      </c>
      <c r="D6504" t="inlineStr">
        <is>
          <t>-29783.6</t>
        </is>
      </c>
      <c r="E6504" t="inlineStr">
        <is>
          <t>DIL_EM-10-G</t>
        </is>
      </c>
      <c r="F6504" t="inlineStr">
        <is>
          <t>#KALK!</t>
        </is>
      </c>
      <c r="G6504" t="inlineStr">
        <is>
          <t>LASTSCHUETZ</t>
        </is>
      </c>
      <c r="H6504" t="inlineStr">
        <is>
          <t>4kW 1S</t>
        </is>
      </c>
      <c r="I6504">
        <v>540</v>
      </c>
      <c r="J6504">
        <f>GS13/297.6</f>
        <v>0</v>
      </c>
      <c r="M6504" t="inlineStr">
        <is>
          <t>-29783.6</t>
        </is>
      </c>
    </row>
    <row r="6505">
      <c r="A6505">
        <v>6504</v>
      </c>
      <c r="B6505">
        <f>GS16</f>
        <v>0</v>
      </c>
      <c r="C6505" t="inlineStr">
        <is>
          <t>+LS5</t>
        </is>
      </c>
      <c r="D6505" t="inlineStr">
        <is>
          <t>-297K3752.3</t>
        </is>
      </c>
      <c r="E6505" t="inlineStr">
        <is>
          <t>DIL_EM-10-G</t>
        </is>
      </c>
      <c r="F6505" t="inlineStr">
        <is>
          <t>#KALK!</t>
        </is>
      </c>
      <c r="G6505" t="inlineStr">
        <is>
          <t>LASTSCHUETZ</t>
        </is>
      </c>
      <c r="H6505" t="inlineStr">
        <is>
          <t>4kW 1S</t>
        </is>
      </c>
      <c r="I6505">
        <v>525</v>
      </c>
      <c r="J6505">
        <f>GS16/297.7</f>
        <v>0</v>
      </c>
      <c r="M6505" t="inlineStr">
        <is>
          <t>-297K3752.3</t>
        </is>
      </c>
    </row>
    <row r="6506">
      <c r="A6506">
        <v>6505</v>
      </c>
      <c r="B6506">
        <f>GS33</f>
        <v>0</v>
      </c>
      <c r="C6506" t="inlineStr">
        <is>
          <t>+LS6</t>
        </is>
      </c>
      <c r="D6506" t="inlineStr">
        <is>
          <t>-297K45.1</t>
        </is>
      </c>
      <c r="E6506" t="inlineStr">
        <is>
          <t>DIL_EM-10-G</t>
        </is>
      </c>
      <c r="F6506" t="inlineStr">
        <is>
          <t>#KALK!</t>
        </is>
      </c>
      <c r="G6506" t="inlineStr">
        <is>
          <t>LASTSCHUETZ</t>
        </is>
      </c>
      <c r="H6506" t="inlineStr">
        <is>
          <t>4kW 1S</t>
        </is>
      </c>
      <c r="I6506">
        <v>744</v>
      </c>
      <c r="J6506">
        <f>GS33/297.6</f>
        <v>0</v>
      </c>
      <c r="M6506" t="inlineStr">
        <is>
          <t>-297K45.1</t>
        </is>
      </c>
    </row>
    <row r="6507">
      <c r="A6507">
        <v>6506</v>
      </c>
      <c r="B6507">
        <f>GS33</f>
        <v>0</v>
      </c>
      <c r="C6507" t="inlineStr">
        <is>
          <t>+LS6</t>
        </is>
      </c>
      <c r="D6507" t="inlineStr">
        <is>
          <t>-297K57.3</t>
        </is>
      </c>
      <c r="E6507" t="inlineStr">
        <is>
          <t>DIL_EM-10-G</t>
        </is>
      </c>
      <c r="F6507" t="inlineStr">
        <is>
          <t>#KALK!</t>
        </is>
      </c>
      <c r="G6507" t="inlineStr">
        <is>
          <t>LASTSCHUETZ</t>
        </is>
      </c>
      <c r="H6507" t="inlineStr">
        <is>
          <t>4kW 1S</t>
        </is>
      </c>
      <c r="I6507">
        <v>744</v>
      </c>
      <c r="J6507">
        <f>GS33/297.6</f>
        <v>0</v>
      </c>
      <c r="M6507" t="inlineStr">
        <is>
          <t>-297K57.3</t>
        </is>
      </c>
    </row>
    <row r="6508">
      <c r="A6508">
        <v>6507</v>
      </c>
      <c r="B6508">
        <f>GS01</f>
        <v>0</v>
      </c>
      <c r="C6508" t="inlineStr">
        <is>
          <t>+LS6</t>
        </is>
      </c>
      <c r="D6508" t="inlineStr">
        <is>
          <t>-297K59.6</t>
        </is>
      </c>
      <c r="E6508" t="inlineStr">
        <is>
          <t>DIL_EM-10-G</t>
        </is>
      </c>
      <c r="F6508" t="inlineStr">
        <is>
          <t>#KALK!</t>
        </is>
      </c>
      <c r="G6508" t="inlineStr">
        <is>
          <t>LASTSCHUETZ</t>
        </is>
      </c>
      <c r="H6508" t="inlineStr">
        <is>
          <t>4kW 1S</t>
        </is>
      </c>
      <c r="I6508">
        <v>460</v>
      </c>
      <c r="J6508">
        <f>GS01/297.6</f>
        <v>0</v>
      </c>
      <c r="M6508" t="inlineStr">
        <is>
          <t>-297K59.6</t>
        </is>
      </c>
    </row>
    <row r="6509">
      <c r="A6509">
        <v>6508</v>
      </c>
      <c r="B6509">
        <f>GS01</f>
        <v>0</v>
      </c>
      <c r="C6509" t="inlineStr">
        <is>
          <t>+LS6</t>
        </is>
      </c>
      <c r="D6509" t="inlineStr">
        <is>
          <t>-297K59.7</t>
        </is>
      </c>
      <c r="E6509" t="inlineStr">
        <is>
          <t>DIL_EM-10-G</t>
        </is>
      </c>
      <c r="F6509" t="inlineStr">
        <is>
          <t>#KALK!</t>
        </is>
      </c>
      <c r="G6509" t="inlineStr">
        <is>
          <t>LASTSCHUETZ</t>
        </is>
      </c>
      <c r="H6509" t="inlineStr">
        <is>
          <t>4kW 1S</t>
        </is>
      </c>
      <c r="I6509">
        <v>460</v>
      </c>
      <c r="J6509">
        <f>GS01/297.6</f>
        <v>0</v>
      </c>
      <c r="M6509" t="inlineStr">
        <is>
          <t>-297K59.7</t>
        </is>
      </c>
    </row>
    <row r="6510">
      <c r="A6510">
        <v>6509</v>
      </c>
      <c r="B6510">
        <f>GS23</f>
        <v>0</v>
      </c>
      <c r="C6510" t="inlineStr">
        <is>
          <t>+LS6</t>
        </is>
      </c>
      <c r="D6510" t="inlineStr">
        <is>
          <t>-297K83.6</t>
        </is>
      </c>
      <c r="E6510" t="inlineStr">
        <is>
          <t>DIL_EM-10-G</t>
        </is>
      </c>
      <c r="F6510" t="inlineStr">
        <is>
          <t>#KALK!</t>
        </is>
      </c>
      <c r="G6510" t="inlineStr">
        <is>
          <t>LASTSCHUETZ</t>
        </is>
      </c>
      <c r="H6510" t="inlineStr">
        <is>
          <t>4kW 1S</t>
        </is>
      </c>
      <c r="I6510">
        <v>598</v>
      </c>
      <c r="J6510">
        <f>GS23/297.6</f>
        <v>0</v>
      </c>
      <c r="M6510" t="inlineStr">
        <is>
          <t>-297K83.6</t>
        </is>
      </c>
    </row>
    <row r="6511">
      <c r="A6511">
        <v>6510</v>
      </c>
      <c r="B6511">
        <f>GS52</f>
        <v>0</v>
      </c>
      <c r="C6511" t="inlineStr">
        <is>
          <t>+LS04</t>
        </is>
      </c>
      <c r="D6511" t="inlineStr">
        <is>
          <t>-297Q137.6</t>
        </is>
      </c>
      <c r="E6511" t="inlineStr">
        <is>
          <t>DILM-9-10</t>
        </is>
      </c>
      <c r="F6511" t="inlineStr">
        <is>
          <t>#KALK!</t>
        </is>
      </c>
      <c r="G6511" t="inlineStr">
        <is>
          <t>LASTSCHUETZ</t>
        </is>
      </c>
      <c r="H6511" t="inlineStr">
        <is>
          <t>4kW 1S Federzugkl.</t>
        </is>
      </c>
      <c r="I6511">
        <v>1729</v>
      </c>
      <c r="J6511">
        <f>GS52/297.6</f>
        <v>0</v>
      </c>
      <c r="K6511" t="inlineStr">
        <is>
          <t>DIL MC9</t>
        </is>
      </c>
      <c r="M6511" t="inlineStr">
        <is>
          <t>-297Q137.6</t>
        </is>
      </c>
    </row>
    <row r="6512">
      <c r="A6512">
        <v>6511</v>
      </c>
      <c r="B6512">
        <f>GS91</f>
        <v>0</v>
      </c>
      <c r="C6512" t="inlineStr">
        <is>
          <t>+LS04</t>
        </is>
      </c>
      <c r="D6512" t="inlineStr">
        <is>
          <t>-297Q175.7</t>
        </is>
      </c>
      <c r="E6512" t="inlineStr">
        <is>
          <t>DILM-9-10</t>
        </is>
      </c>
      <c r="F6512" t="inlineStr">
        <is>
          <t>#KALK!</t>
        </is>
      </c>
      <c r="G6512" t="inlineStr">
        <is>
          <t>LASTSCHUETZ</t>
        </is>
      </c>
      <c r="H6512" t="inlineStr">
        <is>
          <t>4kW 1S Federzugkl.</t>
        </is>
      </c>
      <c r="I6512">
        <v>445</v>
      </c>
      <c r="J6512">
        <f>GS91/297.5</f>
        <v>0</v>
      </c>
      <c r="M6512" t="inlineStr">
        <is>
          <t>-297Q175.7</t>
        </is>
      </c>
    </row>
    <row r="6513">
      <c r="A6513">
        <v>6512</v>
      </c>
      <c r="B6513">
        <f>GS35</f>
        <v>0</v>
      </c>
      <c r="C6513" t="inlineStr">
        <is>
          <t>+LS06</t>
        </is>
      </c>
      <c r="D6513" t="inlineStr">
        <is>
          <t>-297Q434.3</t>
        </is>
      </c>
      <c r="E6513" t="inlineStr">
        <is>
          <t>DILM-12-10</t>
        </is>
      </c>
      <c r="F6513" t="inlineStr">
        <is>
          <t>#KALK!</t>
        </is>
      </c>
      <c r="G6513" t="inlineStr">
        <is>
          <t>LASTSCHUETZ</t>
        </is>
      </c>
      <c r="H6513" t="inlineStr">
        <is>
          <t>5,5kW 1S Federzugkl.</t>
        </is>
      </c>
      <c r="I6513">
        <v>451</v>
      </c>
      <c r="J6513">
        <f>GS35/297.5</f>
        <v>0</v>
      </c>
      <c r="K6513" t="inlineStr">
        <is>
          <t>DIL MC12</t>
        </is>
      </c>
      <c r="M6513" t="inlineStr">
        <is>
          <t>-297Q434.3</t>
        </is>
      </c>
    </row>
    <row r="6514">
      <c r="A6514">
        <v>6513</v>
      </c>
      <c r="B6514">
        <f>GS13</f>
        <v>0</v>
      </c>
      <c r="C6514" t="inlineStr">
        <is>
          <t>+LS6</t>
        </is>
      </c>
      <c r="D6514" t="inlineStr">
        <is>
          <t>-29884.4</t>
        </is>
      </c>
      <c r="E6514" t="inlineStr">
        <is>
          <t>DIL_EM-10-G</t>
        </is>
      </c>
      <c r="F6514" t="inlineStr">
        <is>
          <t>#KALK!</t>
        </is>
      </c>
      <c r="G6514" t="inlineStr">
        <is>
          <t>LASTSCHUETZ</t>
        </is>
      </c>
      <c r="H6514" t="inlineStr">
        <is>
          <t>4kW 1S</t>
        </is>
      </c>
      <c r="I6514">
        <v>541</v>
      </c>
      <c r="J6514">
        <f>GS13/298.6</f>
        <v>0</v>
      </c>
      <c r="M6514" t="inlineStr">
        <is>
          <t>-29884.4</t>
        </is>
      </c>
    </row>
    <row r="6515">
      <c r="A6515">
        <v>6514</v>
      </c>
      <c r="B6515">
        <f>GS36</f>
        <v>0</v>
      </c>
      <c r="C6515" t="inlineStr">
        <is>
          <t>+LS06</t>
        </is>
      </c>
      <c r="D6515" t="inlineStr">
        <is>
          <t>-308.1K2</t>
        </is>
      </c>
      <c r="E6515" t="inlineStr">
        <is>
          <t>DILM-9-01</t>
        </is>
      </c>
      <c r="F6515" t="inlineStr">
        <is>
          <t>#KALK!</t>
        </is>
      </c>
      <c r="G6515" t="inlineStr">
        <is>
          <t>LASTSCHUETZ</t>
        </is>
      </c>
      <c r="H6515" t="inlineStr">
        <is>
          <t>4kW 1Oe Federzugkl.</t>
        </is>
      </c>
      <c r="I6515">
        <v>1425</v>
      </c>
      <c r="J6515">
        <f>GS36/308.1.7</f>
        <v>0</v>
      </c>
      <c r="L6515" t="inlineStr">
        <is>
          <t>Lichtvorhang KF</t>
        </is>
      </c>
      <c r="M6515" t="inlineStr">
        <is>
          <t>Lichtvorhang KF
-308.1K2</t>
        </is>
      </c>
    </row>
    <row r="6516">
      <c r="A6516">
        <v>6515</v>
      </c>
      <c r="B6516">
        <f>GS36</f>
        <v>0</v>
      </c>
      <c r="C6516" t="inlineStr">
        <is>
          <t>+LS06</t>
        </is>
      </c>
      <c r="D6516" t="inlineStr">
        <is>
          <t>-308K1</t>
        </is>
      </c>
      <c r="E6516" t="inlineStr">
        <is>
          <t>DILM-9-01</t>
        </is>
      </c>
      <c r="F6516" t="inlineStr">
        <is>
          <t>#KALK!</t>
        </is>
      </c>
      <c r="G6516" t="inlineStr">
        <is>
          <t>LASTSCHUETZ</t>
        </is>
      </c>
      <c r="H6516" t="inlineStr">
        <is>
          <t>4kW 1Oe Federzugkl.</t>
        </is>
      </c>
      <c r="I6516">
        <v>481</v>
      </c>
      <c r="J6516">
        <f>GS36/308.6</f>
        <v>0</v>
      </c>
      <c r="L6516" t="inlineStr">
        <is>
          <t>Lichtvorhang KF</t>
        </is>
      </c>
      <c r="M6516" t="inlineStr">
        <is>
          <t>Lichtvorhang KF
-308K1</t>
        </is>
      </c>
    </row>
    <row r="6517">
      <c r="A6517">
        <v>6516</v>
      </c>
      <c r="B6517">
        <f>GS16</f>
        <v>0</v>
      </c>
      <c r="C6517" t="inlineStr">
        <is>
          <t>+LS5</t>
        </is>
      </c>
      <c r="D6517" t="inlineStr">
        <is>
          <t>-298K3753.3</t>
        </is>
      </c>
      <c r="E6517" t="inlineStr">
        <is>
          <t>DIL_EM-10-G</t>
        </is>
      </c>
      <c r="F6517" t="inlineStr">
        <is>
          <t>#KALK!</t>
        </is>
      </c>
      <c r="G6517" t="inlineStr">
        <is>
          <t>LASTSCHUETZ</t>
        </is>
      </c>
      <c r="H6517" t="inlineStr">
        <is>
          <t>4kW 1S</t>
        </is>
      </c>
      <c r="I6517">
        <v>526</v>
      </c>
      <c r="J6517">
        <f>GS16/298.7</f>
        <v>0</v>
      </c>
      <c r="M6517" t="inlineStr">
        <is>
          <t>-298K3753.3</t>
        </is>
      </c>
    </row>
    <row r="6518">
      <c r="A6518">
        <v>6517</v>
      </c>
      <c r="B6518">
        <f>GS33</f>
        <v>0</v>
      </c>
      <c r="C6518" t="inlineStr">
        <is>
          <t>+LS6</t>
        </is>
      </c>
      <c r="D6518" t="inlineStr">
        <is>
          <t>-298K45.2</t>
        </is>
      </c>
      <c r="E6518" t="inlineStr">
        <is>
          <t>DIL_EM-10-G</t>
        </is>
      </c>
      <c r="F6518" t="inlineStr">
        <is>
          <t>#KALK!</t>
        </is>
      </c>
      <c r="G6518" t="inlineStr">
        <is>
          <t>LASTSCHUETZ</t>
        </is>
      </c>
      <c r="H6518" t="inlineStr">
        <is>
          <t>4kW 1S</t>
        </is>
      </c>
      <c r="I6518">
        <v>745</v>
      </c>
      <c r="J6518">
        <f>GS33/298.6</f>
        <v>0</v>
      </c>
      <c r="M6518" t="inlineStr">
        <is>
          <t>-298K45.2</t>
        </is>
      </c>
    </row>
    <row r="6519">
      <c r="A6519">
        <v>6518</v>
      </c>
      <c r="B6519">
        <f>GS33</f>
        <v>0</v>
      </c>
      <c r="C6519" t="inlineStr">
        <is>
          <t>+LS6</t>
        </is>
      </c>
      <c r="D6519" t="inlineStr">
        <is>
          <t>-298K57.4</t>
        </is>
      </c>
      <c r="E6519" t="inlineStr">
        <is>
          <t>DIL_EM-10-G</t>
        </is>
      </c>
      <c r="F6519" t="inlineStr">
        <is>
          <t>#KALK!</t>
        </is>
      </c>
      <c r="G6519" t="inlineStr">
        <is>
          <t>LASTSCHUETZ</t>
        </is>
      </c>
      <c r="H6519" t="inlineStr">
        <is>
          <t>4kW 1S</t>
        </is>
      </c>
      <c r="I6519">
        <v>745</v>
      </c>
      <c r="J6519">
        <f>GS33/298.6</f>
        <v>0</v>
      </c>
      <c r="M6519" t="inlineStr">
        <is>
          <t>-298K57.4</t>
        </is>
      </c>
    </row>
    <row r="6520">
      <c r="A6520">
        <v>6519</v>
      </c>
      <c r="B6520">
        <f>GS01</f>
        <v>0</v>
      </c>
      <c r="C6520" t="inlineStr">
        <is>
          <t>+LS6</t>
        </is>
      </c>
      <c r="D6520" t="inlineStr">
        <is>
          <t>-298K60.0</t>
        </is>
      </c>
      <c r="E6520" t="inlineStr">
        <is>
          <t>DIL_EM-10-G</t>
        </is>
      </c>
      <c r="F6520" t="inlineStr">
        <is>
          <t>#KALK!</t>
        </is>
      </c>
      <c r="G6520" t="inlineStr">
        <is>
          <t>LASTSCHUETZ</t>
        </is>
      </c>
      <c r="H6520" t="inlineStr">
        <is>
          <t>4kW 1S</t>
        </is>
      </c>
      <c r="I6520">
        <v>461</v>
      </c>
      <c r="J6520">
        <f>GS01/298.6</f>
        <v>0</v>
      </c>
      <c r="M6520" t="inlineStr">
        <is>
          <t>-298K60.0</t>
        </is>
      </c>
    </row>
    <row r="6521">
      <c r="A6521">
        <v>6520</v>
      </c>
      <c r="B6521">
        <f>GS01</f>
        <v>0</v>
      </c>
      <c r="C6521" t="inlineStr">
        <is>
          <t>+LS6</t>
        </is>
      </c>
      <c r="D6521" t="inlineStr">
        <is>
          <t>-298K60.1</t>
        </is>
      </c>
      <c r="E6521" t="inlineStr">
        <is>
          <t>DIL_EM-10-G</t>
        </is>
      </c>
      <c r="F6521" t="inlineStr">
        <is>
          <t>#KALK!</t>
        </is>
      </c>
      <c r="G6521" t="inlineStr">
        <is>
          <t>LASTSCHUETZ</t>
        </is>
      </c>
      <c r="H6521" t="inlineStr">
        <is>
          <t>4kW 1S</t>
        </is>
      </c>
      <c r="I6521">
        <v>461</v>
      </c>
      <c r="J6521">
        <f>GS01/298.6</f>
        <v>0</v>
      </c>
      <c r="M6521" t="inlineStr">
        <is>
          <t>-298K60.1</t>
        </is>
      </c>
    </row>
    <row r="6522">
      <c r="A6522">
        <v>6521</v>
      </c>
      <c r="B6522">
        <f>GS04</f>
        <v>0</v>
      </c>
      <c r="C6522" t="inlineStr">
        <is>
          <t>+LS7</t>
        </is>
      </c>
      <c r="D6522" t="inlineStr">
        <is>
          <t>-298K64.0</t>
        </is>
      </c>
      <c r="E6522" t="inlineStr">
        <is>
          <t>DIL_EM-10-G</t>
        </is>
      </c>
      <c r="F6522" t="inlineStr">
        <is>
          <t>#KALK!</t>
        </is>
      </c>
      <c r="G6522" t="inlineStr">
        <is>
          <t>LASTSCHUETZ</t>
        </is>
      </c>
      <c r="H6522" t="inlineStr">
        <is>
          <t>4kW 1S</t>
        </is>
      </c>
      <c r="I6522">
        <v>549</v>
      </c>
      <c r="J6522">
        <f>GS04/298.6</f>
        <v>0</v>
      </c>
      <c r="M6522" t="inlineStr">
        <is>
          <t>-298K64.0</t>
        </is>
      </c>
    </row>
    <row r="6523">
      <c r="A6523">
        <v>6522</v>
      </c>
      <c r="B6523">
        <f>GS04</f>
        <v>0</v>
      </c>
      <c r="C6523" t="inlineStr">
        <is>
          <t>+LS7</t>
        </is>
      </c>
      <c r="D6523" t="inlineStr">
        <is>
          <t>-298K64.1</t>
        </is>
      </c>
      <c r="E6523" t="inlineStr">
        <is>
          <t>DIL_EM-10-G</t>
        </is>
      </c>
      <c r="F6523" t="inlineStr">
        <is>
          <t>#KALK!</t>
        </is>
      </c>
      <c r="G6523" t="inlineStr">
        <is>
          <t>LASTSCHUETZ</t>
        </is>
      </c>
      <c r="H6523" t="inlineStr">
        <is>
          <t>4kW 1S</t>
        </is>
      </c>
      <c r="I6523">
        <v>549</v>
      </c>
      <c r="J6523">
        <f>GS04/298.6</f>
        <v>0</v>
      </c>
      <c r="M6523" t="inlineStr">
        <is>
          <t>-298K64.1</t>
        </is>
      </c>
    </row>
    <row r="6524">
      <c r="A6524">
        <v>6523</v>
      </c>
      <c r="B6524">
        <f>GS23</f>
        <v>0</v>
      </c>
      <c r="C6524" t="inlineStr">
        <is>
          <t>+LS6</t>
        </is>
      </c>
      <c r="D6524" t="inlineStr">
        <is>
          <t>-298K84.4</t>
        </is>
      </c>
      <c r="E6524" t="inlineStr">
        <is>
          <t>DIL_EM-10-G</t>
        </is>
      </c>
      <c r="F6524" t="inlineStr">
        <is>
          <t>#KALK!</t>
        </is>
      </c>
      <c r="G6524" t="inlineStr">
        <is>
          <t>LASTSCHUETZ</t>
        </is>
      </c>
      <c r="H6524" t="inlineStr">
        <is>
          <t>4kW 1S</t>
        </is>
      </c>
      <c r="I6524">
        <v>599</v>
      </c>
      <c r="J6524">
        <f>GS23/298.6</f>
        <v>0</v>
      </c>
      <c r="M6524" t="inlineStr">
        <is>
          <t>-298K84.4</t>
        </is>
      </c>
    </row>
    <row r="6525">
      <c r="A6525">
        <v>6524</v>
      </c>
      <c r="B6525">
        <f>GS07</f>
        <v>0</v>
      </c>
      <c r="C6525" t="inlineStr">
        <is>
          <t>+LS04</t>
        </is>
      </c>
      <c r="D6525" t="inlineStr">
        <is>
          <t>-298Q404.3</t>
        </is>
      </c>
      <c r="E6525" t="inlineStr">
        <is>
          <t>DILM-9-10</t>
        </is>
      </c>
      <c r="F6525" t="inlineStr">
        <is>
          <t>#KALK!</t>
        </is>
      </c>
      <c r="G6525" t="inlineStr">
        <is>
          <t>LASTSCHUETZ</t>
        </is>
      </c>
      <c r="H6525" t="inlineStr">
        <is>
          <t>4kW 1S Federzugkl.</t>
        </is>
      </c>
      <c r="I6525">
        <v>471</v>
      </c>
      <c r="J6525">
        <f>GS07/298.6</f>
        <v>0</v>
      </c>
      <c r="K6525" t="inlineStr">
        <is>
          <t>DIL MC9</t>
        </is>
      </c>
      <c r="M6525" t="inlineStr">
        <is>
          <t>-298Q404.3</t>
        </is>
      </c>
    </row>
    <row r="6526">
      <c r="A6526">
        <v>6525</v>
      </c>
      <c r="B6526">
        <f>GC22</f>
        <v>0</v>
      </c>
      <c r="C6526" t="inlineStr">
        <is>
          <t>+LS4</t>
        </is>
      </c>
      <c r="D6526" t="inlineStr">
        <is>
          <t>-299K1</t>
        </is>
      </c>
      <c r="E6526" t="inlineStr">
        <is>
          <t>DIL_0AM</t>
        </is>
      </c>
      <c r="F6526" t="inlineStr">
        <is>
          <t>22_DIL-M</t>
        </is>
      </c>
      <c r="G6526" t="inlineStr">
        <is>
          <t>LASTSCHUETZ</t>
        </is>
      </c>
      <c r="H6526" t="inlineStr">
        <is>
          <t>11 kW</t>
        </is>
      </c>
      <c r="I6526">
        <v>3243</v>
      </c>
      <c r="J6526">
        <f>GC22/299.2</f>
        <v>0</v>
      </c>
      <c r="K6526" t="inlineStr">
        <is>
          <t>DIL0AM</t>
        </is>
      </c>
      <c r="M6526" t="inlineStr">
        <is>
          <t>-299K1</t>
        </is>
      </c>
    </row>
    <row r="6527">
      <c r="A6527">
        <v>6526</v>
      </c>
      <c r="B6527">
        <f>GC22</f>
        <v>0</v>
      </c>
      <c r="C6527" t="inlineStr">
        <is>
          <t>+LS4</t>
        </is>
      </c>
      <c r="D6527" t="inlineStr">
        <is>
          <t>-299K1</t>
        </is>
      </c>
      <c r="E6527" t="inlineStr">
        <is>
          <t>22_DIL-M</t>
        </is>
      </c>
      <c r="F6527" t="inlineStr">
        <is>
          <t>22_DIL-M</t>
        </is>
      </c>
      <c r="G6527" t="inlineStr">
        <is>
          <t>HILFSKONTAKTBLOCK</t>
        </is>
      </c>
      <c r="H6527" t="inlineStr">
        <is>
          <t>2S 2OE Lastschuetz DIL M</t>
        </is>
      </c>
      <c r="I6527">
        <v>3243</v>
      </c>
      <c r="J6527">
        <f>GC22/299.2</f>
        <v>0</v>
      </c>
      <c r="K6527" t="inlineStr">
        <is>
          <t>DIL0AM</t>
        </is>
      </c>
      <c r="M6527" t="inlineStr">
        <is>
          <t>-299K1</t>
        </is>
      </c>
    </row>
    <row r="6528">
      <c r="A6528">
        <v>6527</v>
      </c>
      <c r="B6528">
        <f>GS12</f>
        <v>0</v>
      </c>
      <c r="C6528" t="inlineStr">
        <is>
          <t>+LS4</t>
        </is>
      </c>
      <c r="D6528" t="inlineStr">
        <is>
          <t>-299K1</t>
        </is>
      </c>
      <c r="E6528" t="inlineStr">
        <is>
          <t>DIL_0AM</t>
        </is>
      </c>
      <c r="F6528" t="inlineStr">
        <is>
          <t>22_DIL-M</t>
        </is>
      </c>
      <c r="G6528" t="inlineStr">
        <is>
          <t>LASTSCHUETZ</t>
        </is>
      </c>
      <c r="H6528" t="inlineStr">
        <is>
          <t>11 kW</t>
        </is>
      </c>
      <c r="I6528">
        <v>431</v>
      </c>
      <c r="J6528">
        <f>GS12/299.2</f>
        <v>0</v>
      </c>
      <c r="K6528" t="inlineStr">
        <is>
          <t>DIL0AM</t>
        </is>
      </c>
      <c r="M6528" t="inlineStr">
        <is>
          <t>-299K1</t>
        </is>
      </c>
    </row>
    <row r="6529">
      <c r="A6529">
        <v>6528</v>
      </c>
      <c r="B6529">
        <f>GS12</f>
        <v>0</v>
      </c>
      <c r="C6529" t="inlineStr">
        <is>
          <t>+LS4</t>
        </is>
      </c>
      <c r="D6529" t="inlineStr">
        <is>
          <t>-299K1</t>
        </is>
      </c>
      <c r="E6529" t="inlineStr">
        <is>
          <t>22_DIL-M</t>
        </is>
      </c>
      <c r="F6529" t="inlineStr">
        <is>
          <t>22_DIL-M</t>
        </is>
      </c>
      <c r="G6529" t="inlineStr">
        <is>
          <t>HILFSKONTAKTBLOCK</t>
        </is>
      </c>
      <c r="H6529" t="inlineStr">
        <is>
          <t>2S 2OE Lastschuetz DIL M</t>
        </is>
      </c>
      <c r="I6529">
        <v>431</v>
      </c>
      <c r="J6529">
        <f>GS12/299.2</f>
        <v>0</v>
      </c>
      <c r="K6529" t="inlineStr">
        <is>
          <t>DIL0AM</t>
        </is>
      </c>
      <c r="M6529" t="inlineStr">
        <is>
          <t>-299K1</t>
        </is>
      </c>
    </row>
    <row r="6530">
      <c r="A6530">
        <v>6529</v>
      </c>
      <c r="B6530">
        <f>GS16</f>
        <v>0</v>
      </c>
      <c r="C6530" t="inlineStr">
        <is>
          <t>+LS5</t>
        </is>
      </c>
      <c r="D6530" t="inlineStr">
        <is>
          <t>-299K3754.3</t>
        </is>
      </c>
      <c r="E6530" t="inlineStr">
        <is>
          <t>DIL_EM-10-G</t>
        </is>
      </c>
      <c r="F6530" t="inlineStr">
        <is>
          <t>#KALK!</t>
        </is>
      </c>
      <c r="G6530" t="inlineStr">
        <is>
          <t>LASTSCHUETZ</t>
        </is>
      </c>
      <c r="H6530" t="inlineStr">
        <is>
          <t>4kW 1S</t>
        </is>
      </c>
      <c r="I6530">
        <v>527</v>
      </c>
      <c r="J6530">
        <f>GS16/299.7</f>
        <v>0</v>
      </c>
      <c r="M6530" t="inlineStr">
        <is>
          <t>-299K3754.3</t>
        </is>
      </c>
    </row>
    <row r="6531">
      <c r="A6531">
        <v>6530</v>
      </c>
      <c r="B6531">
        <f>GS04</f>
        <v>0</v>
      </c>
      <c r="C6531" t="inlineStr">
        <is>
          <t>+LS7</t>
        </is>
      </c>
      <c r="D6531" t="inlineStr">
        <is>
          <t>-299K64.7</t>
        </is>
      </c>
      <c r="E6531" t="inlineStr">
        <is>
          <t>DIL_EM-10-G</t>
        </is>
      </c>
      <c r="F6531" t="inlineStr">
        <is>
          <t>#KALK!</t>
        </is>
      </c>
      <c r="G6531" t="inlineStr">
        <is>
          <t>LASTSCHUETZ</t>
        </is>
      </c>
      <c r="H6531" t="inlineStr">
        <is>
          <t>4kW 1S</t>
        </is>
      </c>
      <c r="I6531">
        <v>550</v>
      </c>
      <c r="J6531">
        <f>GS04/299.7</f>
        <v>0</v>
      </c>
      <c r="M6531" t="inlineStr">
        <is>
          <t>-299K64.7</t>
        </is>
      </c>
    </row>
    <row r="6532">
      <c r="A6532">
        <v>6531</v>
      </c>
      <c r="B6532">
        <f>GS7x</f>
        <v>0</v>
      </c>
      <c r="C6532" t="inlineStr">
        <is>
          <t>+ES02</t>
        </is>
      </c>
      <c r="D6532" t="inlineStr">
        <is>
          <t>-29K1</t>
        </is>
      </c>
      <c r="E6532" t="inlineStr">
        <is>
          <t>DILA-40</t>
        </is>
      </c>
      <c r="F6532" t="inlineStr">
        <is>
          <t>#ÜBERLAUF!</t>
        </is>
      </c>
      <c r="G6532" t="inlineStr">
        <is>
          <t>HILFSSCHUETZ</t>
        </is>
      </c>
      <c r="H6532" t="inlineStr">
        <is>
          <t>4S Federzugkl.</t>
        </is>
      </c>
      <c r="I6532">
        <v>204</v>
      </c>
      <c r="J6532">
        <f>GS7x/29.5</f>
        <v>0</v>
      </c>
      <c r="M6532" t="inlineStr">
        <is>
          <t>-29K1</t>
        </is>
      </c>
    </row>
    <row r="6533">
      <c r="A6533">
        <v>6532</v>
      </c>
      <c r="B6533">
        <f>GS7x</f>
        <v>0</v>
      </c>
      <c r="C6533" t="inlineStr">
        <is>
          <t>+ES02</t>
        </is>
      </c>
      <c r="D6533" t="inlineStr">
        <is>
          <t>-29K1</t>
        </is>
      </c>
      <c r="E6533" t="inlineStr">
        <is>
          <t>DILA-XHI04</t>
        </is>
      </c>
      <c r="F6533" t="inlineStr">
        <is>
          <t>#ÜBERLAUF!</t>
        </is>
      </c>
      <c r="G6533" t="inlineStr">
        <is>
          <t>HILFSKONTAKTBLOCK</t>
        </is>
      </c>
      <c r="H6533" t="inlineStr">
        <is>
          <t>4OE Last+Hilfssch. Cage</t>
        </is>
      </c>
      <c r="I6533">
        <v>204</v>
      </c>
      <c r="J6533">
        <f>GS7x/29.5</f>
        <v>0</v>
      </c>
      <c r="M6533" t="inlineStr">
        <is>
          <t>-29K1</t>
        </is>
      </c>
    </row>
    <row r="6534">
      <c r="A6534">
        <v>6533</v>
      </c>
      <c r="B6534">
        <f>GS7x</f>
        <v>0</v>
      </c>
      <c r="C6534" t="inlineStr">
        <is>
          <t>+ES02</t>
        </is>
      </c>
      <c r="D6534" t="inlineStr">
        <is>
          <t>-29K1</t>
        </is>
      </c>
      <c r="E6534" t="inlineStr">
        <is>
          <t>DILA-XHI04</t>
        </is>
      </c>
      <c r="F6534" t="inlineStr">
        <is>
          <t>#ÜBERLAUF!</t>
        </is>
      </c>
      <c r="G6534" t="inlineStr">
        <is>
          <t>HILFSKONTAKTBLOCK</t>
        </is>
      </c>
      <c r="H6534" t="inlineStr">
        <is>
          <t>4OE Last+Hilfssch. Cage</t>
        </is>
      </c>
      <c r="I6534">
        <v>226</v>
      </c>
      <c r="J6534">
        <f>GS7x/29.5</f>
        <v>0</v>
      </c>
      <c r="M6534" t="inlineStr">
        <is>
          <t>-29K1</t>
        </is>
      </c>
    </row>
    <row r="6535">
      <c r="A6535">
        <v>6534</v>
      </c>
      <c r="B6535">
        <f>GS7x</f>
        <v>0</v>
      </c>
      <c r="C6535" t="inlineStr">
        <is>
          <t>+ES02</t>
        </is>
      </c>
      <c r="D6535" t="inlineStr">
        <is>
          <t>-29K1</t>
        </is>
      </c>
      <c r="E6535" t="inlineStr">
        <is>
          <t>DILA-40</t>
        </is>
      </c>
      <c r="F6535" t="inlineStr">
        <is>
          <t>#ÜBERLAUF!</t>
        </is>
      </c>
      <c r="G6535" t="inlineStr">
        <is>
          <t>HILFSSCHUETZ</t>
        </is>
      </c>
      <c r="H6535" t="inlineStr">
        <is>
          <t>4S Federzugkl.</t>
        </is>
      </c>
      <c r="I6535">
        <v>226</v>
      </c>
      <c r="J6535">
        <f>GS7x/29.5</f>
        <v>0</v>
      </c>
      <c r="M6535" t="inlineStr">
        <is>
          <t>-29K1</t>
        </is>
      </c>
    </row>
    <row r="6536">
      <c r="A6536">
        <v>6535</v>
      </c>
      <c r="B6536">
        <f>GS7x</f>
        <v>0</v>
      </c>
      <c r="C6536" t="inlineStr">
        <is>
          <t>+ES02</t>
        </is>
      </c>
      <c r="D6536" t="inlineStr">
        <is>
          <t>-29K2</t>
        </is>
      </c>
      <c r="E6536" t="inlineStr">
        <is>
          <t>DILA-XHI04</t>
        </is>
      </c>
      <c r="F6536" t="inlineStr">
        <is>
          <t>DILA-XHI04</t>
        </is>
      </c>
      <c r="G6536" t="inlineStr">
        <is>
          <t>HILFSKONTAKTBLOCK</t>
        </is>
      </c>
      <c r="H6536" t="inlineStr">
        <is>
          <t>4OE Last+Hilfssch. Cage</t>
        </is>
      </c>
      <c r="I6536">
        <v>226</v>
      </c>
      <c r="J6536">
        <f>GS7x/29.6</f>
        <v>0</v>
      </c>
      <c r="M6536" t="inlineStr">
        <is>
          <t>-29K2</t>
        </is>
      </c>
    </row>
    <row r="6537">
      <c r="A6537">
        <v>6536</v>
      </c>
      <c r="B6537">
        <f>GS7x</f>
        <v>0</v>
      </c>
      <c r="C6537" t="inlineStr">
        <is>
          <t>+ES02</t>
        </is>
      </c>
      <c r="D6537" t="inlineStr">
        <is>
          <t>-29K2</t>
        </is>
      </c>
      <c r="E6537" t="inlineStr">
        <is>
          <t>DILA-40</t>
        </is>
      </c>
      <c r="F6537" t="inlineStr">
        <is>
          <t>DILA-XHI04</t>
        </is>
      </c>
      <c r="G6537" t="inlineStr">
        <is>
          <t>HILFSSCHUETZ</t>
        </is>
      </c>
      <c r="H6537" t="inlineStr">
        <is>
          <t>4S Federzugkl.</t>
        </is>
      </c>
      <c r="I6537">
        <v>226</v>
      </c>
      <c r="J6537">
        <f>GS7x/29.6</f>
        <v>0</v>
      </c>
      <c r="M6537" t="inlineStr">
        <is>
          <t>-29K2</t>
        </is>
      </c>
    </row>
    <row r="6538">
      <c r="A6538">
        <v>6537</v>
      </c>
      <c r="B6538">
        <f>GS66</f>
        <v>0</v>
      </c>
      <c r="C6538" t="inlineStr">
        <is>
          <t>+LS[ll]</t>
        </is>
      </c>
      <c r="D6538" t="inlineStr">
        <is>
          <t>-29Q1</t>
        </is>
      </c>
      <c r="E6538" t="inlineStr">
        <is>
          <t>DILMC25-10(RDC24)</t>
        </is>
      </c>
      <c r="F6538" t="inlineStr">
        <is>
          <t>#KALK!</t>
        </is>
      </c>
      <c r="G6538" t="inlineStr">
        <is>
          <t>LASTSCHUETZ</t>
        </is>
      </c>
      <c r="H6538" t="inlineStr">
        <is>
          <t>11kW 1S Federzugkl.</t>
        </is>
      </c>
      <c r="I6538">
        <v>168</v>
      </c>
      <c r="J6538">
        <f>GS66/29.7</f>
        <v>0</v>
      </c>
      <c r="K6538" t="inlineStr">
        <is>
          <t>DIL MC25</t>
        </is>
      </c>
      <c r="M6538" t="inlineStr">
        <is>
          <t>-29Q1</t>
        </is>
      </c>
    </row>
    <row r="6539">
      <c r="A6539">
        <v>6538</v>
      </c>
      <c r="B6539">
        <f>GS05</f>
        <v>0</v>
      </c>
      <c r="C6539" t="inlineStr">
        <is>
          <t>+ES02</t>
        </is>
      </c>
      <c r="D6539" t="inlineStr">
        <is>
          <t>-30.1K1</t>
        </is>
      </c>
      <c r="E6539" t="inlineStr">
        <is>
          <t>DILA-40</t>
        </is>
      </c>
      <c r="F6539" t="inlineStr">
        <is>
          <t>DILA-XHIC31</t>
        </is>
      </c>
      <c r="G6539" t="inlineStr">
        <is>
          <t>HILFSSCHUETZ</t>
        </is>
      </c>
      <c r="H6539" t="inlineStr">
        <is>
          <t>4S Federzugkl.</t>
        </is>
      </c>
      <c r="I6539">
        <v>419</v>
      </c>
      <c r="J6539">
        <f>GS05/30.1.4</f>
        <v>0</v>
      </c>
      <c r="M6539" t="inlineStr">
        <is>
          <t>-30.1K1</t>
        </is>
      </c>
    </row>
    <row r="6540">
      <c r="A6540">
        <v>6539</v>
      </c>
      <c r="B6540">
        <f>GS05</f>
        <v>0</v>
      </c>
      <c r="C6540" t="inlineStr">
        <is>
          <t>+ES02</t>
        </is>
      </c>
      <c r="D6540" t="inlineStr">
        <is>
          <t>-30.1K1</t>
        </is>
      </c>
      <c r="E6540" t="inlineStr">
        <is>
          <t>DILA-XHIC31</t>
        </is>
      </c>
      <c r="F6540" t="inlineStr">
        <is>
          <t>DILA-XHIC31</t>
        </is>
      </c>
      <c r="G6540" t="inlineStr">
        <is>
          <t>HILFSKONTAKTBLOCK</t>
        </is>
      </c>
      <c r="H6540" t="inlineStr">
        <is>
          <t>3S 1OE Last+Hilfssch. Cage</t>
        </is>
      </c>
      <c r="I6540">
        <v>419</v>
      </c>
      <c r="J6540">
        <f>GS05/30.1.4</f>
        <v>0</v>
      </c>
      <c r="M6540" t="inlineStr">
        <is>
          <t>-30.1K1</t>
        </is>
      </c>
    </row>
    <row r="6541">
      <c r="A6541">
        <v>6540</v>
      </c>
      <c r="B6541">
        <f>GS06</f>
        <v>0</v>
      </c>
      <c r="C6541" t="inlineStr">
        <is>
          <t>+ES02</t>
        </is>
      </c>
      <c r="D6541" t="inlineStr">
        <is>
          <t>-30.1K1</t>
        </is>
      </c>
      <c r="E6541" t="inlineStr">
        <is>
          <t>DILA-40</t>
        </is>
      </c>
      <c r="F6541" t="inlineStr">
        <is>
          <t>DILA-XHIC31</t>
        </is>
      </c>
      <c r="G6541" t="inlineStr">
        <is>
          <t>HILFSSCHUETZ</t>
        </is>
      </c>
      <c r="H6541" t="inlineStr">
        <is>
          <t>4S Federzugkl.</t>
        </is>
      </c>
      <c r="I6541">
        <v>419</v>
      </c>
      <c r="J6541">
        <f>GS06/30.1.4</f>
        <v>0</v>
      </c>
      <c r="M6541" t="inlineStr">
        <is>
          <t>-30.1K1</t>
        </is>
      </c>
    </row>
    <row r="6542">
      <c r="A6542">
        <v>6541</v>
      </c>
      <c r="B6542">
        <f>GS06</f>
        <v>0</v>
      </c>
      <c r="C6542" t="inlineStr">
        <is>
          <t>+ES02</t>
        </is>
      </c>
      <c r="D6542" t="inlineStr">
        <is>
          <t>-30.1K1</t>
        </is>
      </c>
      <c r="E6542" t="inlineStr">
        <is>
          <t>DILA-XHIC31</t>
        </is>
      </c>
      <c r="F6542" t="inlineStr">
        <is>
          <t>DILA-XHIC31</t>
        </is>
      </c>
      <c r="G6542" t="inlineStr">
        <is>
          <t>HILFSKONTAKTBLOCK</t>
        </is>
      </c>
      <c r="H6542" t="inlineStr">
        <is>
          <t>3S 1OE Last+Hilfssch. Cage</t>
        </is>
      </c>
      <c r="I6542">
        <v>419</v>
      </c>
      <c r="J6542">
        <f>GS06/30.1.4</f>
        <v>0</v>
      </c>
      <c r="M6542" t="inlineStr">
        <is>
          <t>-30.1K1</t>
        </is>
      </c>
    </row>
    <row r="6543">
      <c r="A6543">
        <v>6542</v>
      </c>
      <c r="B6543">
        <f>GS08</f>
        <v>0</v>
      </c>
      <c r="C6543" t="inlineStr">
        <is>
          <t>+ES02</t>
        </is>
      </c>
      <c r="D6543" t="inlineStr">
        <is>
          <t>-30.1K1</t>
        </is>
      </c>
      <c r="E6543" t="inlineStr">
        <is>
          <t>DILA-XHIC31</t>
        </is>
      </c>
      <c r="F6543" t="inlineStr">
        <is>
          <t>DILA-XHIC31</t>
        </is>
      </c>
      <c r="G6543" t="inlineStr">
        <is>
          <t>HILFSKONTAKTBLOCK</t>
        </is>
      </c>
      <c r="H6543" t="inlineStr">
        <is>
          <t>3S 1OE Last+Hilfssch. Cage</t>
        </is>
      </c>
      <c r="I6543">
        <v>427</v>
      </c>
      <c r="J6543">
        <f>GS08/30.1.4</f>
        <v>0</v>
      </c>
      <c r="M6543" t="inlineStr">
        <is>
          <t>-30.1K1</t>
        </is>
      </c>
    </row>
    <row r="6544">
      <c r="A6544">
        <v>6543</v>
      </c>
      <c r="B6544">
        <f>GS08</f>
        <v>0</v>
      </c>
      <c r="C6544" t="inlineStr">
        <is>
          <t>+ES02</t>
        </is>
      </c>
      <c r="D6544" t="inlineStr">
        <is>
          <t>-30.1K1</t>
        </is>
      </c>
      <c r="E6544" t="inlineStr">
        <is>
          <t>DILA-40</t>
        </is>
      </c>
      <c r="F6544" t="inlineStr">
        <is>
          <t>DILA-XHIC31</t>
        </is>
      </c>
      <c r="G6544" t="inlineStr">
        <is>
          <t>HILFSSCHUETZ</t>
        </is>
      </c>
      <c r="H6544" t="inlineStr">
        <is>
          <t>4S Federzugkl.</t>
        </is>
      </c>
      <c r="I6544">
        <v>427</v>
      </c>
      <c r="J6544">
        <f>GS08/30.1.4</f>
        <v>0</v>
      </c>
      <c r="M6544" t="inlineStr">
        <is>
          <t>-30.1K1</t>
        </is>
      </c>
    </row>
    <row r="6545">
      <c r="A6545">
        <v>6544</v>
      </c>
      <c r="B6545">
        <f>GS20</f>
        <v>0</v>
      </c>
      <c r="C6545" t="inlineStr">
        <is>
          <t>+ES02</t>
        </is>
      </c>
      <c r="D6545" t="inlineStr">
        <is>
          <t>-30.1K1</t>
        </is>
      </c>
      <c r="E6545" t="inlineStr">
        <is>
          <t>DILA-XHI22</t>
        </is>
      </c>
      <c r="F6545" t="inlineStr">
        <is>
          <t>DILA-XHI22</t>
        </is>
      </c>
      <c r="G6545" t="inlineStr">
        <is>
          <t>HILFSKONTAKTBLOCK</t>
        </is>
      </c>
      <c r="H6545" t="inlineStr">
        <is>
          <t>2S 2OE Last+Hilfssch. Cage</t>
        </is>
      </c>
      <c r="I6545">
        <v>2070</v>
      </c>
      <c r="J6545">
        <f>GS20/30.1.3</f>
        <v>0</v>
      </c>
      <c r="M6545" t="inlineStr">
        <is>
          <t>-30.1K1</t>
        </is>
      </c>
    </row>
    <row r="6546">
      <c r="A6546">
        <v>6545</v>
      </c>
      <c r="B6546">
        <f>GS20</f>
        <v>0</v>
      </c>
      <c r="C6546" t="inlineStr">
        <is>
          <t>+ES02</t>
        </is>
      </c>
      <c r="D6546" t="inlineStr">
        <is>
          <t>-30.1K1</t>
        </is>
      </c>
      <c r="E6546" t="inlineStr">
        <is>
          <t>DILA-40</t>
        </is>
      </c>
      <c r="F6546" t="inlineStr">
        <is>
          <t>DILA-XHI22</t>
        </is>
      </c>
      <c r="G6546" t="inlineStr">
        <is>
          <t>HILFSSCHUETZ</t>
        </is>
      </c>
      <c r="H6546" t="inlineStr">
        <is>
          <t>4S Federzugkl.</t>
        </is>
      </c>
      <c r="I6546">
        <v>2070</v>
      </c>
      <c r="J6546">
        <f>GS20/30.1.3</f>
        <v>0</v>
      </c>
      <c r="M6546" t="inlineStr">
        <is>
          <t>-30.1K1</t>
        </is>
      </c>
    </row>
    <row r="6547">
      <c r="A6547">
        <v>6546</v>
      </c>
      <c r="B6547">
        <f>GS30</f>
        <v>0</v>
      </c>
      <c r="C6547" t="inlineStr">
        <is>
          <t>+ES02</t>
        </is>
      </c>
      <c r="D6547" t="inlineStr">
        <is>
          <t>-30.1K1</t>
        </is>
      </c>
      <c r="E6547" t="inlineStr">
        <is>
          <t>DILA-XHI22</t>
        </is>
      </c>
      <c r="F6547" t="inlineStr">
        <is>
          <t>DILA-XHI22</t>
        </is>
      </c>
      <c r="G6547" t="inlineStr">
        <is>
          <t>HILFSKONTAKTBLOCK</t>
        </is>
      </c>
      <c r="H6547" t="inlineStr">
        <is>
          <t>2S 2OE Last+Hilfssch. Cage</t>
        </is>
      </c>
      <c r="I6547">
        <v>2070</v>
      </c>
      <c r="J6547">
        <f>GS30/30.1.3</f>
        <v>0</v>
      </c>
      <c r="M6547" t="inlineStr">
        <is>
          <t>-30.1K1</t>
        </is>
      </c>
    </row>
    <row r="6548">
      <c r="A6548">
        <v>6547</v>
      </c>
      <c r="B6548">
        <f>GS30</f>
        <v>0</v>
      </c>
      <c r="C6548" t="inlineStr">
        <is>
          <t>+ES02</t>
        </is>
      </c>
      <c r="D6548" t="inlineStr">
        <is>
          <t>-30.1K1</t>
        </is>
      </c>
      <c r="E6548" t="inlineStr">
        <is>
          <t>DILA-40</t>
        </is>
      </c>
      <c r="F6548" t="inlineStr">
        <is>
          <t>DILA-XHI22</t>
        </is>
      </c>
      <c r="G6548" t="inlineStr">
        <is>
          <t>HILFSSCHUETZ</t>
        </is>
      </c>
      <c r="H6548" t="inlineStr">
        <is>
          <t>4S Federzugkl.</t>
        </is>
      </c>
      <c r="I6548">
        <v>2070</v>
      </c>
      <c r="J6548">
        <f>GS30/30.1.3</f>
        <v>0</v>
      </c>
      <c r="M6548" t="inlineStr">
        <is>
          <t>-30.1K1</t>
        </is>
      </c>
    </row>
    <row r="6549">
      <c r="A6549">
        <v>6548</v>
      </c>
      <c r="B6549">
        <f>GS51</f>
        <v>0</v>
      </c>
      <c r="C6549" t="inlineStr">
        <is>
          <t>+ES02</t>
        </is>
      </c>
      <c r="D6549" t="inlineStr">
        <is>
          <t>-30.1K1</t>
        </is>
      </c>
      <c r="E6549" t="inlineStr">
        <is>
          <t>DILA-XHIC31</t>
        </is>
      </c>
      <c r="F6549" t="inlineStr">
        <is>
          <t>DILA-XHIC31</t>
        </is>
      </c>
      <c r="G6549" t="inlineStr">
        <is>
          <t>HILFSKONTAKTBLOCK</t>
        </is>
      </c>
      <c r="H6549" t="inlineStr">
        <is>
          <t>3S 1OE Last+Hilfssch. Cage</t>
        </is>
      </c>
      <c r="I6549">
        <v>247</v>
      </c>
      <c r="J6549">
        <f>GS51/30.1.4</f>
        <v>0</v>
      </c>
      <c r="M6549" t="inlineStr">
        <is>
          <t>-30.1K1</t>
        </is>
      </c>
    </row>
    <row r="6550">
      <c r="A6550">
        <v>6549</v>
      </c>
      <c r="B6550">
        <f>GS51</f>
        <v>0</v>
      </c>
      <c r="C6550" t="inlineStr">
        <is>
          <t>+ES02</t>
        </is>
      </c>
      <c r="D6550" t="inlineStr">
        <is>
          <t>-30.1K1</t>
        </is>
      </c>
      <c r="E6550" t="inlineStr">
        <is>
          <t>DILA-40</t>
        </is>
      </c>
      <c r="F6550" t="inlineStr">
        <is>
          <t>DILA-XHIC31</t>
        </is>
      </c>
      <c r="G6550" t="inlineStr">
        <is>
          <t>HILFSSCHUETZ</t>
        </is>
      </c>
      <c r="H6550" t="inlineStr">
        <is>
          <t>4S Federzugkl.</t>
        </is>
      </c>
      <c r="I6550">
        <v>247</v>
      </c>
      <c r="J6550">
        <f>GS51/30.1.4</f>
        <v>0</v>
      </c>
      <c r="M6550" t="inlineStr">
        <is>
          <t>-30.1K1</t>
        </is>
      </c>
    </row>
    <row r="6551">
      <c r="A6551">
        <v>6550</v>
      </c>
      <c r="B6551">
        <f>GS55</f>
        <v>0</v>
      </c>
      <c r="C6551" t="inlineStr">
        <is>
          <t>+ES02</t>
        </is>
      </c>
      <c r="D6551" t="inlineStr">
        <is>
          <t>-30.1K1</t>
        </is>
      </c>
      <c r="E6551" t="inlineStr">
        <is>
          <t>DILA-40</t>
        </is>
      </c>
      <c r="F6551" t="inlineStr">
        <is>
          <t>DILA-XHIC31</t>
        </is>
      </c>
      <c r="G6551" t="inlineStr">
        <is>
          <t>HILFSSCHUETZ</t>
        </is>
      </c>
      <c r="H6551" t="inlineStr">
        <is>
          <t>4S Federzugkl.</t>
        </is>
      </c>
      <c r="I6551">
        <v>268</v>
      </c>
      <c r="J6551">
        <f>GS55/30.1.4</f>
        <v>0</v>
      </c>
      <c r="M6551" t="inlineStr">
        <is>
          <t>-30.1K1</t>
        </is>
      </c>
    </row>
    <row r="6552">
      <c r="A6552">
        <v>6551</v>
      </c>
      <c r="B6552">
        <f>GS55</f>
        <v>0</v>
      </c>
      <c r="C6552" t="inlineStr">
        <is>
          <t>+ES02</t>
        </is>
      </c>
      <c r="D6552" t="inlineStr">
        <is>
          <t>-30.1K1</t>
        </is>
      </c>
      <c r="E6552" t="inlineStr">
        <is>
          <t>DILA-XHIC31</t>
        </is>
      </c>
      <c r="F6552" t="inlineStr">
        <is>
          <t>DILA-XHIC31</t>
        </is>
      </c>
      <c r="G6552" t="inlineStr">
        <is>
          <t>HILFSKONTAKTBLOCK</t>
        </is>
      </c>
      <c r="H6552" t="inlineStr">
        <is>
          <t>3S 1OE Last+Hilfssch. Cage</t>
        </is>
      </c>
      <c r="I6552">
        <v>268</v>
      </c>
      <c r="J6552">
        <f>GS55/30.1.4</f>
        <v>0</v>
      </c>
      <c r="M6552" t="inlineStr">
        <is>
          <t>-30.1K1</t>
        </is>
      </c>
    </row>
    <row r="6553">
      <c r="A6553">
        <v>6552</v>
      </c>
      <c r="B6553">
        <f>GS05</f>
        <v>0</v>
      </c>
      <c r="C6553" t="inlineStr">
        <is>
          <t>+ES02</t>
        </is>
      </c>
      <c r="D6553" t="inlineStr">
        <is>
          <t>-30.1K2</t>
        </is>
      </c>
      <c r="E6553" t="inlineStr">
        <is>
          <t>DILA-40</t>
        </is>
      </c>
      <c r="F6553" t="inlineStr">
        <is>
          <t>DILA-XHIC31</t>
        </is>
      </c>
      <c r="G6553" t="inlineStr">
        <is>
          <t>HILFSSCHUETZ</t>
        </is>
      </c>
      <c r="H6553" t="inlineStr">
        <is>
          <t>4S Federzugkl.</t>
        </is>
      </c>
      <c r="I6553">
        <v>419</v>
      </c>
      <c r="J6553">
        <f>GS05/30.1.5</f>
        <v>0</v>
      </c>
      <c r="M6553" t="inlineStr">
        <is>
          <t>-30.1K2</t>
        </is>
      </c>
    </row>
    <row r="6554">
      <c r="A6554">
        <v>6553</v>
      </c>
      <c r="B6554">
        <f>GS05</f>
        <v>0</v>
      </c>
      <c r="C6554" t="inlineStr">
        <is>
          <t>+ES02</t>
        </is>
      </c>
      <c r="D6554" t="inlineStr">
        <is>
          <t>-30.1K2</t>
        </is>
      </c>
      <c r="E6554" t="inlineStr">
        <is>
          <t>DILA-XHIC31</t>
        </is>
      </c>
      <c r="F6554" t="inlineStr">
        <is>
          <t>DILA-XHIC31</t>
        </is>
      </c>
      <c r="G6554" t="inlineStr">
        <is>
          <t>HILFSKONTAKTBLOCK</t>
        </is>
      </c>
      <c r="H6554" t="inlineStr">
        <is>
          <t>3S 1OE Last+Hilfssch. Cage</t>
        </is>
      </c>
      <c r="I6554">
        <v>419</v>
      </c>
      <c r="J6554">
        <f>GS05/30.1.5</f>
        <v>0</v>
      </c>
      <c r="M6554" t="inlineStr">
        <is>
          <t>-30.1K2</t>
        </is>
      </c>
    </row>
    <row r="6555">
      <c r="A6555">
        <v>6554</v>
      </c>
      <c r="B6555">
        <f>GS06</f>
        <v>0</v>
      </c>
      <c r="C6555" t="inlineStr">
        <is>
          <t>+ES02</t>
        </is>
      </c>
      <c r="D6555" t="inlineStr">
        <is>
          <t>-30.1K2</t>
        </is>
      </c>
      <c r="E6555" t="inlineStr">
        <is>
          <t>DILA-XHIC31</t>
        </is>
      </c>
      <c r="F6555" t="inlineStr">
        <is>
          <t>DILA-XHIC31</t>
        </is>
      </c>
      <c r="G6555" t="inlineStr">
        <is>
          <t>HILFSKONTAKTBLOCK</t>
        </is>
      </c>
      <c r="H6555" t="inlineStr">
        <is>
          <t>3S 1OE Last+Hilfssch. Cage</t>
        </is>
      </c>
      <c r="I6555">
        <v>419</v>
      </c>
      <c r="J6555">
        <f>GS06/30.1.5</f>
        <v>0</v>
      </c>
      <c r="M6555" t="inlineStr">
        <is>
          <t>-30.1K2</t>
        </is>
      </c>
    </row>
    <row r="6556">
      <c r="A6556">
        <v>6555</v>
      </c>
      <c r="B6556">
        <f>GS06</f>
        <v>0</v>
      </c>
      <c r="C6556" t="inlineStr">
        <is>
          <t>+ES02</t>
        </is>
      </c>
      <c r="D6556" t="inlineStr">
        <is>
          <t>-30.1K2</t>
        </is>
      </c>
      <c r="E6556" t="inlineStr">
        <is>
          <t>DILA-40</t>
        </is>
      </c>
      <c r="F6556" t="inlineStr">
        <is>
          <t>DILA-XHIC31</t>
        </is>
      </c>
      <c r="G6556" t="inlineStr">
        <is>
          <t>HILFSSCHUETZ</t>
        </is>
      </c>
      <c r="H6556" t="inlineStr">
        <is>
          <t>4S Federzugkl.</t>
        </is>
      </c>
      <c r="I6556">
        <v>419</v>
      </c>
      <c r="J6556">
        <f>GS06/30.1.5</f>
        <v>0</v>
      </c>
      <c r="M6556" t="inlineStr">
        <is>
          <t>-30.1K2</t>
        </is>
      </c>
    </row>
    <row r="6557">
      <c r="A6557">
        <v>6556</v>
      </c>
      <c r="B6557">
        <f>GS08</f>
        <v>0</v>
      </c>
      <c r="C6557" t="inlineStr">
        <is>
          <t>+ES02</t>
        </is>
      </c>
      <c r="D6557" t="inlineStr">
        <is>
          <t>-30.1K2</t>
        </is>
      </c>
      <c r="E6557" t="inlineStr">
        <is>
          <t>DILA-XHIC31</t>
        </is>
      </c>
      <c r="F6557" t="inlineStr">
        <is>
          <t>DILA-XHIC31</t>
        </is>
      </c>
      <c r="G6557" t="inlineStr">
        <is>
          <t>HILFSKONTAKTBLOCK</t>
        </is>
      </c>
      <c r="H6557" t="inlineStr">
        <is>
          <t>3S 1OE Last+Hilfssch. Cage</t>
        </is>
      </c>
      <c r="I6557">
        <v>427</v>
      </c>
      <c r="J6557">
        <f>GS08/30.1.5</f>
        <v>0</v>
      </c>
      <c r="M6557" t="inlineStr">
        <is>
          <t>-30.1K2</t>
        </is>
      </c>
    </row>
    <row r="6558">
      <c r="A6558">
        <v>6557</v>
      </c>
      <c r="B6558">
        <f>GS08</f>
        <v>0</v>
      </c>
      <c r="C6558" t="inlineStr">
        <is>
          <t>+ES02</t>
        </is>
      </c>
      <c r="D6558" t="inlineStr">
        <is>
          <t>-30.1K2</t>
        </is>
      </c>
      <c r="E6558" t="inlineStr">
        <is>
          <t>DILA-40</t>
        </is>
      </c>
      <c r="F6558" t="inlineStr">
        <is>
          <t>DILA-XHIC31</t>
        </is>
      </c>
      <c r="G6558" t="inlineStr">
        <is>
          <t>HILFSSCHUETZ</t>
        </is>
      </c>
      <c r="H6558" t="inlineStr">
        <is>
          <t>4S Federzugkl.</t>
        </is>
      </c>
      <c r="I6558">
        <v>427</v>
      </c>
      <c r="J6558">
        <f>GS08/30.1.5</f>
        <v>0</v>
      </c>
      <c r="M6558" t="inlineStr">
        <is>
          <t>-30.1K2</t>
        </is>
      </c>
    </row>
    <row r="6559">
      <c r="A6559">
        <v>6558</v>
      </c>
      <c r="B6559">
        <f>GS20</f>
        <v>0</v>
      </c>
      <c r="C6559" t="inlineStr">
        <is>
          <t>+ES02</t>
        </is>
      </c>
      <c r="D6559" t="inlineStr">
        <is>
          <t>-30.1K2</t>
        </is>
      </c>
      <c r="E6559" t="inlineStr">
        <is>
          <t>DILA-XHI22</t>
        </is>
      </c>
      <c r="F6559" t="inlineStr">
        <is>
          <t>DILA-XHI22</t>
        </is>
      </c>
      <c r="G6559" t="inlineStr">
        <is>
          <t>HILFSKONTAKTBLOCK</t>
        </is>
      </c>
      <c r="H6559" t="inlineStr">
        <is>
          <t>2S 2OE Last+Hilfssch. Cage</t>
        </is>
      </c>
      <c r="I6559">
        <v>2070</v>
      </c>
      <c r="J6559">
        <f>GS20/30.1.3</f>
        <v>0</v>
      </c>
      <c r="M6559" t="inlineStr">
        <is>
          <t>-30.1K2</t>
        </is>
      </c>
    </row>
    <row r="6560">
      <c r="A6560">
        <v>6559</v>
      </c>
      <c r="B6560">
        <f>GS20</f>
        <v>0</v>
      </c>
      <c r="C6560" t="inlineStr">
        <is>
          <t>+ES02</t>
        </is>
      </c>
      <c r="D6560" t="inlineStr">
        <is>
          <t>-30.1K2</t>
        </is>
      </c>
      <c r="E6560" t="inlineStr">
        <is>
          <t>DILA-40</t>
        </is>
      </c>
      <c r="F6560" t="inlineStr">
        <is>
          <t>DILA-XHI22</t>
        </is>
      </c>
      <c r="G6560" t="inlineStr">
        <is>
          <t>HILFSSCHUETZ</t>
        </is>
      </c>
      <c r="H6560" t="inlineStr">
        <is>
          <t>4S Federzugkl.</t>
        </is>
      </c>
      <c r="I6560">
        <v>2070</v>
      </c>
      <c r="J6560">
        <f>GS20/30.1.3</f>
        <v>0</v>
      </c>
      <c r="M6560" t="inlineStr">
        <is>
          <t>-30.1K2</t>
        </is>
      </c>
    </row>
    <row r="6561">
      <c r="A6561">
        <v>6560</v>
      </c>
      <c r="B6561">
        <f>GS30</f>
        <v>0</v>
      </c>
      <c r="C6561" t="inlineStr">
        <is>
          <t>+ES02</t>
        </is>
      </c>
      <c r="D6561" t="inlineStr">
        <is>
          <t>-30.1K2</t>
        </is>
      </c>
      <c r="E6561" t="inlineStr">
        <is>
          <t>DILA-XHI22</t>
        </is>
      </c>
      <c r="F6561" t="inlineStr">
        <is>
          <t>DILA-XHI22</t>
        </is>
      </c>
      <c r="G6561" t="inlineStr">
        <is>
          <t>HILFSKONTAKTBLOCK</t>
        </is>
      </c>
      <c r="H6561" t="inlineStr">
        <is>
          <t>2S 2OE Last+Hilfssch. Cage</t>
        </is>
      </c>
      <c r="I6561">
        <v>2070</v>
      </c>
      <c r="J6561">
        <f>GS30/30.1.3</f>
        <v>0</v>
      </c>
      <c r="M6561" t="inlineStr">
        <is>
          <t>-30.1K2</t>
        </is>
      </c>
    </row>
    <row r="6562">
      <c r="A6562">
        <v>6561</v>
      </c>
      <c r="B6562">
        <f>GS30</f>
        <v>0</v>
      </c>
      <c r="C6562" t="inlineStr">
        <is>
          <t>+ES02</t>
        </is>
      </c>
      <c r="D6562" t="inlineStr">
        <is>
          <t>-30.1K2</t>
        </is>
      </c>
      <c r="E6562" t="inlineStr">
        <is>
          <t>DILA-40</t>
        </is>
      </c>
      <c r="F6562" t="inlineStr">
        <is>
          <t>DILA-XHI22</t>
        </is>
      </c>
      <c r="G6562" t="inlineStr">
        <is>
          <t>HILFSSCHUETZ</t>
        </is>
      </c>
      <c r="H6562" t="inlineStr">
        <is>
          <t>4S Federzugkl.</t>
        </is>
      </c>
      <c r="I6562">
        <v>2070</v>
      </c>
      <c r="J6562">
        <f>GS30/30.1.3</f>
        <v>0</v>
      </c>
      <c r="M6562" t="inlineStr">
        <is>
          <t>-30.1K2</t>
        </is>
      </c>
    </row>
    <row r="6563">
      <c r="A6563">
        <v>6562</v>
      </c>
      <c r="B6563">
        <f>GS51</f>
        <v>0</v>
      </c>
      <c r="C6563" t="inlineStr">
        <is>
          <t>+ES02</t>
        </is>
      </c>
      <c r="D6563" t="inlineStr">
        <is>
          <t>-30.1K2</t>
        </is>
      </c>
      <c r="E6563" t="inlineStr">
        <is>
          <t>DILA-XHIC31</t>
        </is>
      </c>
      <c r="F6563" t="inlineStr">
        <is>
          <t>DILA-XHIC31</t>
        </is>
      </c>
      <c r="G6563" t="inlineStr">
        <is>
          <t>HILFSKONTAKTBLOCK</t>
        </is>
      </c>
      <c r="H6563" t="inlineStr">
        <is>
          <t>3S 1OE Last+Hilfssch. Cage</t>
        </is>
      </c>
      <c r="I6563">
        <v>247</v>
      </c>
      <c r="J6563">
        <f>GS51/30.1.5</f>
        <v>0</v>
      </c>
      <c r="M6563" t="inlineStr">
        <is>
          <t>-30.1K2</t>
        </is>
      </c>
    </row>
    <row r="6564">
      <c r="A6564">
        <v>6563</v>
      </c>
      <c r="B6564">
        <f>GS51</f>
        <v>0</v>
      </c>
      <c r="C6564" t="inlineStr">
        <is>
          <t>+ES02</t>
        </is>
      </c>
      <c r="D6564" t="inlineStr">
        <is>
          <t>-30.1K2</t>
        </is>
      </c>
      <c r="E6564" t="inlineStr">
        <is>
          <t>DILA-40</t>
        </is>
      </c>
      <c r="F6564" t="inlineStr">
        <is>
          <t>DILA-XHIC31</t>
        </is>
      </c>
      <c r="G6564" t="inlineStr">
        <is>
          <t>HILFSSCHUETZ</t>
        </is>
      </c>
      <c r="H6564" t="inlineStr">
        <is>
          <t>4S Federzugkl.</t>
        </is>
      </c>
      <c r="I6564">
        <v>247</v>
      </c>
      <c r="J6564">
        <f>GS51/30.1.5</f>
        <v>0</v>
      </c>
      <c r="M6564" t="inlineStr">
        <is>
          <t>-30.1K2</t>
        </is>
      </c>
    </row>
    <row r="6565">
      <c r="A6565">
        <v>6564</v>
      </c>
      <c r="B6565">
        <f>GS55</f>
        <v>0</v>
      </c>
      <c r="C6565" t="inlineStr">
        <is>
          <t>+ES02</t>
        </is>
      </c>
      <c r="D6565" t="inlineStr">
        <is>
          <t>-30.1K2</t>
        </is>
      </c>
      <c r="E6565" t="inlineStr">
        <is>
          <t>DILA-40</t>
        </is>
      </c>
      <c r="F6565" t="inlineStr">
        <is>
          <t>DILA-XHIC31</t>
        </is>
      </c>
      <c r="G6565" t="inlineStr">
        <is>
          <t>HILFSSCHUETZ</t>
        </is>
      </c>
      <c r="H6565" t="inlineStr">
        <is>
          <t>4S Federzugkl.</t>
        </is>
      </c>
      <c r="I6565">
        <v>268</v>
      </c>
      <c r="J6565">
        <f>GS55/30.1.5</f>
        <v>0</v>
      </c>
      <c r="M6565" t="inlineStr">
        <is>
          <t>-30.1K2</t>
        </is>
      </c>
    </row>
    <row r="6566">
      <c r="A6566">
        <v>6565</v>
      </c>
      <c r="B6566">
        <f>GS55</f>
        <v>0</v>
      </c>
      <c r="C6566" t="inlineStr">
        <is>
          <t>+ES02</t>
        </is>
      </c>
      <c r="D6566" t="inlineStr">
        <is>
          <t>-30.1K2</t>
        </is>
      </c>
      <c r="E6566" t="inlineStr">
        <is>
          <t>DILA-XHIC31</t>
        </is>
      </c>
      <c r="F6566" t="inlineStr">
        <is>
          <t>DILA-XHIC31</t>
        </is>
      </c>
      <c r="G6566" t="inlineStr">
        <is>
          <t>HILFSKONTAKTBLOCK</t>
        </is>
      </c>
      <c r="H6566" t="inlineStr">
        <is>
          <t>3S 1OE Last+Hilfssch. Cage</t>
        </is>
      </c>
      <c r="I6566">
        <v>268</v>
      </c>
      <c r="J6566">
        <f>GS55/30.1.5</f>
        <v>0</v>
      </c>
      <c r="M6566" t="inlineStr">
        <is>
          <t>-30.1K2</t>
        </is>
      </c>
    </row>
    <row r="6567">
      <c r="A6567">
        <v>6566</v>
      </c>
      <c r="B6567">
        <f>GS90</f>
        <v>0</v>
      </c>
      <c r="C6567" t="inlineStr">
        <is>
          <t>+ES01</t>
        </is>
      </c>
      <c r="D6567" t="inlineStr">
        <is>
          <t>-30.3K1</t>
        </is>
      </c>
      <c r="E6567" t="inlineStr">
        <is>
          <t>DILA-XHIC31</t>
        </is>
      </c>
      <c r="F6567" t="inlineStr">
        <is>
          <t>DILA-XHIC31</t>
        </is>
      </c>
      <c r="G6567" t="inlineStr">
        <is>
          <t>HILFSKONTAKTBLOCK</t>
        </is>
      </c>
      <c r="H6567" t="inlineStr">
        <is>
          <t>3S 1OE Last+Hilfssch. Cage</t>
        </is>
      </c>
      <c r="I6567">
        <v>2227</v>
      </c>
      <c r="J6567">
        <f>GS90/30.3.2</f>
        <v>0</v>
      </c>
      <c r="M6567" t="inlineStr">
        <is>
          <t>-30.3K1</t>
        </is>
      </c>
    </row>
    <row r="6568">
      <c r="A6568">
        <v>6567</v>
      </c>
      <c r="B6568">
        <f>GS90</f>
        <v>0</v>
      </c>
      <c r="C6568" t="inlineStr">
        <is>
          <t>+ES01</t>
        </is>
      </c>
      <c r="D6568" t="inlineStr">
        <is>
          <t>-30.3K1</t>
        </is>
      </c>
      <c r="E6568" t="inlineStr">
        <is>
          <t>DILM-9-01</t>
        </is>
      </c>
      <c r="F6568" t="inlineStr">
        <is>
          <t>DILA-XHIC31</t>
        </is>
      </c>
      <c r="G6568" t="inlineStr">
        <is>
          <t>LASTSCHUETZ</t>
        </is>
      </c>
      <c r="H6568" t="inlineStr">
        <is>
          <t>4kW 1Oe Federzugkl.</t>
        </is>
      </c>
      <c r="I6568">
        <v>2227</v>
      </c>
      <c r="J6568">
        <f>GS90/30.3.2</f>
        <v>0</v>
      </c>
      <c r="M6568" t="inlineStr">
        <is>
          <t>-30.3K1</t>
        </is>
      </c>
    </row>
    <row r="6569">
      <c r="A6569">
        <v>6568</v>
      </c>
      <c r="B6569">
        <f>GS90</f>
        <v>0</v>
      </c>
      <c r="C6569" t="inlineStr">
        <is>
          <t>+ES01</t>
        </is>
      </c>
      <c r="D6569" t="inlineStr">
        <is>
          <t>-30.3K2</t>
        </is>
      </c>
      <c r="E6569" t="inlineStr">
        <is>
          <t>DILA-XHIC31</t>
        </is>
      </c>
      <c r="F6569" t="inlineStr">
        <is>
          <t>DILA-XHIC31</t>
        </is>
      </c>
      <c r="G6569" t="inlineStr">
        <is>
          <t>HILFSKONTAKTBLOCK</t>
        </is>
      </c>
      <c r="H6569" t="inlineStr">
        <is>
          <t>3S 1OE Last+Hilfssch. Cage</t>
        </is>
      </c>
      <c r="I6569">
        <v>2227</v>
      </c>
      <c r="J6569">
        <f>GS90/30.3.3</f>
        <v>0</v>
      </c>
      <c r="M6569" t="inlineStr">
        <is>
          <t>-30.3K2</t>
        </is>
      </c>
    </row>
    <row r="6570">
      <c r="A6570">
        <v>6569</v>
      </c>
      <c r="B6570">
        <f>GS90</f>
        <v>0</v>
      </c>
      <c r="C6570" t="inlineStr">
        <is>
          <t>+ES01</t>
        </is>
      </c>
      <c r="D6570" t="inlineStr">
        <is>
          <t>-30.3K2</t>
        </is>
      </c>
      <c r="E6570" t="inlineStr">
        <is>
          <t>DILM-9-01</t>
        </is>
      </c>
      <c r="F6570" t="inlineStr">
        <is>
          <t>DILA-XHIC31</t>
        </is>
      </c>
      <c r="G6570" t="inlineStr">
        <is>
          <t>LASTSCHUETZ</t>
        </is>
      </c>
      <c r="H6570" t="inlineStr">
        <is>
          <t>4kW 1Oe Federzugkl.</t>
        </is>
      </c>
      <c r="I6570">
        <v>2227</v>
      </c>
      <c r="J6570">
        <f>GS90/30.3.3</f>
        <v>0</v>
      </c>
      <c r="M6570" t="inlineStr">
        <is>
          <t>-30.3K2</t>
        </is>
      </c>
    </row>
    <row r="6571">
      <c r="A6571">
        <v>6570</v>
      </c>
      <c r="B6571">
        <f>GS02</f>
        <v>0</v>
      </c>
      <c r="C6571" t="inlineStr">
        <is>
          <t>+LS6</t>
        </is>
      </c>
      <c r="D6571" t="inlineStr">
        <is>
          <t>-300K1</t>
        </is>
      </c>
      <c r="E6571" t="inlineStr">
        <is>
          <t>DIL_2AM</t>
        </is>
      </c>
      <c r="F6571" t="inlineStr">
        <is>
          <t>22_DIL-M</t>
        </is>
      </c>
      <c r="G6571" t="inlineStr">
        <is>
          <t>LASTSCHUETZ</t>
        </is>
      </c>
      <c r="H6571" t="inlineStr">
        <is>
          <t>30 kW</t>
        </is>
      </c>
      <c r="I6571">
        <v>706</v>
      </c>
      <c r="J6571">
        <f>GS02/300.3</f>
        <v>0</v>
      </c>
      <c r="K6571" t="inlineStr">
        <is>
          <t>DIL2AM</t>
        </is>
      </c>
      <c r="M6571" t="inlineStr">
        <is>
          <t>-300K1</t>
        </is>
      </c>
    </row>
    <row r="6572">
      <c r="A6572">
        <v>6571</v>
      </c>
      <c r="B6572">
        <f>GS02</f>
        <v>0</v>
      </c>
      <c r="C6572" t="inlineStr">
        <is>
          <t>+LS6</t>
        </is>
      </c>
      <c r="D6572" t="inlineStr">
        <is>
          <t>-300K1</t>
        </is>
      </c>
      <c r="E6572" t="inlineStr">
        <is>
          <t>22_DIL-M</t>
        </is>
      </c>
      <c r="F6572" t="inlineStr">
        <is>
          <t>22_DIL-M</t>
        </is>
      </c>
      <c r="G6572" t="inlineStr">
        <is>
          <t>HILFSKONTAKTBLOCK</t>
        </is>
      </c>
      <c r="H6572" t="inlineStr">
        <is>
          <t>2S 2OE Lastschuetz DIL M</t>
        </is>
      </c>
      <c r="I6572">
        <v>706</v>
      </c>
      <c r="J6572">
        <f>GS02/300.3</f>
        <v>0</v>
      </c>
      <c r="K6572" t="inlineStr">
        <is>
          <t>DIL2AM</t>
        </is>
      </c>
      <c r="M6572" t="inlineStr">
        <is>
          <t>-300K1</t>
        </is>
      </c>
    </row>
    <row r="6573">
      <c r="A6573">
        <v>6572</v>
      </c>
      <c r="B6573">
        <f>GS36</f>
        <v>0</v>
      </c>
      <c r="C6573" t="inlineStr">
        <is>
          <t>+LS06</t>
        </is>
      </c>
      <c r="D6573" t="inlineStr">
        <is>
          <t>-308K2</t>
        </is>
      </c>
      <c r="E6573" t="inlineStr">
        <is>
          <t>DILM-9-01</t>
        </is>
      </c>
      <c r="F6573" t="inlineStr">
        <is>
          <t>#KALK!</t>
        </is>
      </c>
      <c r="G6573" t="inlineStr">
        <is>
          <t>LASTSCHUETZ</t>
        </is>
      </c>
      <c r="H6573" t="inlineStr">
        <is>
          <t>4kW 1Oe Federzugkl.</t>
        </is>
      </c>
      <c r="I6573">
        <v>481</v>
      </c>
      <c r="J6573">
        <f>GS36/308.7</f>
        <v>0</v>
      </c>
      <c r="L6573" t="inlineStr">
        <is>
          <t>Lichtvorhang KF</t>
        </is>
      </c>
      <c r="M6573" t="inlineStr">
        <is>
          <t>Lichtvorhang KF
-308K2</t>
        </is>
      </c>
    </row>
    <row r="6574">
      <c r="A6574">
        <v>6573</v>
      </c>
      <c r="B6574">
        <f>GS36</f>
        <v>0</v>
      </c>
      <c r="C6574" t="inlineStr">
        <is>
          <t>+LS06</t>
        </is>
      </c>
      <c r="D6574" t="inlineStr">
        <is>
          <t>-300K1</t>
        </is>
      </c>
      <c r="E6574" t="inlineStr">
        <is>
          <t>DILA-XHIC40</t>
        </is>
      </c>
      <c r="F6574" t="inlineStr">
        <is>
          <t>DILA-XHIC40</t>
        </is>
      </c>
      <c r="G6574" t="inlineStr">
        <is>
          <t>HILFSKONTAKTBLOCK</t>
        </is>
      </c>
      <c r="H6574" t="inlineStr">
        <is>
          <t>4S Last+Hilfssch. Cage</t>
        </is>
      </c>
      <c r="I6574">
        <v>473</v>
      </c>
      <c r="J6574">
        <f>GS36/300.4</f>
        <v>0</v>
      </c>
      <c r="M6574" t="inlineStr">
        <is>
          <t>-300K1</t>
        </is>
      </c>
    </row>
    <row r="6575">
      <c r="A6575">
        <v>6574</v>
      </c>
      <c r="B6575">
        <f>GS37</f>
        <v>0</v>
      </c>
      <c r="C6575" t="inlineStr">
        <is>
          <t>+LS06</t>
        </is>
      </c>
      <c r="D6575" t="inlineStr">
        <is>
          <t>-300K107.0</t>
        </is>
      </c>
      <c r="E6575" t="inlineStr">
        <is>
          <t>DILA-40</t>
        </is>
      </c>
      <c r="F6575" t="inlineStr">
        <is>
          <t>#KALK!</t>
        </is>
      </c>
      <c r="G6575" t="inlineStr">
        <is>
          <t>HILFSSCHUETZ</t>
        </is>
      </c>
      <c r="H6575" t="inlineStr">
        <is>
          <t>4S Federzugkl.</t>
        </is>
      </c>
      <c r="I6575">
        <v>448</v>
      </c>
      <c r="J6575">
        <f>GS37/300.7</f>
        <v>0</v>
      </c>
      <c r="M6575" t="inlineStr">
        <is>
          <t>-300K107.0</t>
        </is>
      </c>
    </row>
    <row r="6576">
      <c r="A6576">
        <v>6575</v>
      </c>
      <c r="B6576">
        <f>GS31</f>
        <v>0</v>
      </c>
      <c r="C6576" t="inlineStr">
        <is>
          <t>+LS5</t>
        </is>
      </c>
      <c r="D6576" t="inlineStr">
        <is>
          <t>-300K3508.5</t>
        </is>
      </c>
      <c r="E6576" t="inlineStr">
        <is>
          <t>22_DIL-E</t>
        </is>
      </c>
      <c r="F6576" t="inlineStr">
        <is>
          <t>22_DIL-E</t>
        </is>
      </c>
      <c r="G6576" t="inlineStr">
        <is>
          <t>HILFSKONTAKTBLOCK</t>
        </is>
      </c>
      <c r="H6576" t="inlineStr">
        <is>
          <t>2S 2OE Last+Hilfsschuetz</t>
        </is>
      </c>
      <c r="I6576">
        <v>591</v>
      </c>
      <c r="J6576">
        <f>GS31/300.2</f>
        <v>0</v>
      </c>
      <c r="M6576" t="inlineStr">
        <is>
          <t>-300K3508.5</t>
        </is>
      </c>
    </row>
    <row r="6577">
      <c r="A6577">
        <v>6576</v>
      </c>
      <c r="B6577">
        <f>GS31</f>
        <v>0</v>
      </c>
      <c r="C6577" t="inlineStr">
        <is>
          <t>+LS5</t>
        </is>
      </c>
      <c r="D6577" t="inlineStr">
        <is>
          <t>-300K3508.5</t>
        </is>
      </c>
      <c r="E6577" t="inlineStr">
        <is>
          <t>DIL_EM-10-G</t>
        </is>
      </c>
      <c r="F6577" t="inlineStr">
        <is>
          <t>22_DIL-E</t>
        </is>
      </c>
      <c r="G6577" t="inlineStr">
        <is>
          <t>LASTSCHUETZ</t>
        </is>
      </c>
      <c r="H6577" t="inlineStr">
        <is>
          <t>4kW 1S</t>
        </is>
      </c>
      <c r="I6577">
        <v>591</v>
      </c>
      <c r="J6577">
        <f>GS31/300.2</f>
        <v>0</v>
      </c>
      <c r="M6577" t="inlineStr">
        <is>
          <t>-300K3508.5</t>
        </is>
      </c>
    </row>
    <row r="6578">
      <c r="A6578">
        <v>6577</v>
      </c>
      <c r="B6578">
        <f>GS31</f>
        <v>0</v>
      </c>
      <c r="C6578" t="inlineStr">
        <is>
          <t>+LS5</t>
        </is>
      </c>
      <c r="D6578" t="inlineStr">
        <is>
          <t>-300K3508.6</t>
        </is>
      </c>
      <c r="E6578" t="inlineStr">
        <is>
          <t>22_DIL-E</t>
        </is>
      </c>
      <c r="F6578" t="inlineStr">
        <is>
          <t>22_DIL-E</t>
        </is>
      </c>
      <c r="G6578" t="inlineStr">
        <is>
          <t>HILFSKONTAKTBLOCK</t>
        </is>
      </c>
      <c r="H6578" t="inlineStr">
        <is>
          <t>2S 2OE Last+Hilfsschuetz</t>
        </is>
      </c>
      <c r="I6578">
        <v>591</v>
      </c>
      <c r="J6578">
        <f>GS31/300.3</f>
        <v>0</v>
      </c>
      <c r="M6578" t="inlineStr">
        <is>
          <t>-300K3508.6</t>
        </is>
      </c>
    </row>
    <row r="6579">
      <c r="A6579">
        <v>6578</v>
      </c>
      <c r="B6579">
        <f>GS31</f>
        <v>0</v>
      </c>
      <c r="C6579" t="inlineStr">
        <is>
          <t>+LS5</t>
        </is>
      </c>
      <c r="D6579" t="inlineStr">
        <is>
          <t>-300K3508.6</t>
        </is>
      </c>
      <c r="E6579" t="inlineStr">
        <is>
          <t>DIL_EM-10-G</t>
        </is>
      </c>
      <c r="F6579" t="inlineStr">
        <is>
          <t>22_DIL-E</t>
        </is>
      </c>
      <c r="G6579" t="inlineStr">
        <is>
          <t>LASTSCHUETZ</t>
        </is>
      </c>
      <c r="H6579" t="inlineStr">
        <is>
          <t>4kW 1S</t>
        </is>
      </c>
      <c r="I6579">
        <v>591</v>
      </c>
      <c r="J6579">
        <f>GS31/300.3</f>
        <v>0</v>
      </c>
      <c r="M6579" t="inlineStr">
        <is>
          <t>-300K3508.6</t>
        </is>
      </c>
    </row>
    <row r="6580">
      <c r="A6580">
        <v>6579</v>
      </c>
      <c r="B6580">
        <f>GS16</f>
        <v>0</v>
      </c>
      <c r="C6580" t="inlineStr">
        <is>
          <t>+LS5</t>
        </is>
      </c>
      <c r="D6580" t="inlineStr">
        <is>
          <t>-300K3754.6</t>
        </is>
      </c>
      <c r="E6580" t="inlineStr">
        <is>
          <t>DIL_EM-01-G</t>
        </is>
      </c>
      <c r="F6580" t="inlineStr">
        <is>
          <t>#KALK!</t>
        </is>
      </c>
      <c r="G6580" t="inlineStr">
        <is>
          <t>LASTSCHUETZ</t>
        </is>
      </c>
      <c r="H6580" t="inlineStr">
        <is>
          <t>4kW 1OE</t>
        </is>
      </c>
      <c r="I6580">
        <v>528</v>
      </c>
      <c r="J6580">
        <f>GS16/300.6</f>
        <v>0</v>
      </c>
      <c r="M6580" t="inlineStr">
        <is>
          <t>-300K3754.6</t>
        </is>
      </c>
    </row>
    <row r="6581">
      <c r="A6581">
        <v>6580</v>
      </c>
      <c r="B6581">
        <f>GS16</f>
        <v>0</v>
      </c>
      <c r="C6581" t="inlineStr">
        <is>
          <t>+LS5</t>
        </is>
      </c>
      <c r="D6581" t="inlineStr">
        <is>
          <t>-300K3754.7</t>
        </is>
      </c>
      <c r="E6581" t="inlineStr">
        <is>
          <t>DIL_EM-01-G</t>
        </is>
      </c>
      <c r="F6581" t="inlineStr">
        <is>
          <t>#KALK!</t>
        </is>
      </c>
      <c r="G6581" t="inlineStr">
        <is>
          <t>LASTSCHUETZ</t>
        </is>
      </c>
      <c r="H6581" t="inlineStr">
        <is>
          <t>4kW 1OE</t>
        </is>
      </c>
      <c r="I6581">
        <v>528</v>
      </c>
      <c r="J6581">
        <f>GS16/300.6</f>
        <v>0</v>
      </c>
      <c r="M6581" t="inlineStr">
        <is>
          <t>-300K3754.7</t>
        </is>
      </c>
    </row>
    <row r="6582">
      <c r="A6582">
        <v>6581</v>
      </c>
      <c r="B6582">
        <f>GS36</f>
        <v>0</v>
      </c>
      <c r="C6582" t="inlineStr">
        <is>
          <t>+LS07</t>
        </is>
      </c>
      <c r="D6582" t="inlineStr">
        <is>
          <t>-315K1</t>
        </is>
      </c>
      <c r="E6582" t="inlineStr">
        <is>
          <t>DILA-40</t>
        </is>
      </c>
      <c r="F6582" t="inlineStr">
        <is>
          <t>#KALK!</t>
        </is>
      </c>
      <c r="G6582" t="inlineStr">
        <is>
          <t>HILFSSCHUETZ</t>
        </is>
      </c>
      <c r="H6582" t="inlineStr">
        <is>
          <t>4S Federzugkl.</t>
        </is>
      </c>
      <c r="I6582">
        <v>488</v>
      </c>
      <c r="J6582">
        <f>GS36/315.5</f>
        <v>0</v>
      </c>
      <c r="M6582" t="inlineStr">
        <is>
          <t>-315K1</t>
        </is>
      </c>
    </row>
    <row r="6583">
      <c r="A6583">
        <v>6582</v>
      </c>
      <c r="B6583">
        <f>GS04</f>
        <v>0</v>
      </c>
      <c r="C6583" t="inlineStr">
        <is>
          <t>+LS7</t>
        </is>
      </c>
      <c r="D6583" t="inlineStr">
        <is>
          <t>-300K65.5</t>
        </is>
      </c>
      <c r="E6583" t="inlineStr">
        <is>
          <t>DIL_EM-10-G</t>
        </is>
      </c>
      <c r="F6583" t="inlineStr">
        <is>
          <t>#KALK!</t>
        </is>
      </c>
      <c r="G6583" t="inlineStr">
        <is>
          <t>LASTSCHUETZ</t>
        </is>
      </c>
      <c r="H6583" t="inlineStr">
        <is>
          <t>4kW 1S</t>
        </is>
      </c>
      <c r="I6583">
        <v>551</v>
      </c>
      <c r="J6583">
        <f>GS04/300.7</f>
        <v>0</v>
      </c>
      <c r="M6583" t="inlineStr">
        <is>
          <t>-300K65.5</t>
        </is>
      </c>
    </row>
    <row r="6584">
      <c r="A6584">
        <v>6583</v>
      </c>
      <c r="B6584">
        <f>GS31</f>
        <v>0</v>
      </c>
      <c r="C6584" t="inlineStr">
        <is>
          <t>+LS5</t>
        </is>
      </c>
      <c r="D6584" t="inlineStr">
        <is>
          <t>-300KA1</t>
        </is>
      </c>
      <c r="E6584" t="inlineStr">
        <is>
          <t>31_DIL-E</t>
        </is>
      </c>
      <c r="F6584" t="inlineStr">
        <is>
          <t>31_DIL-E</t>
        </is>
      </c>
      <c r="G6584" t="inlineStr">
        <is>
          <t>HILFSKONTAKTBLOCK</t>
        </is>
      </c>
      <c r="H6584" t="inlineStr">
        <is>
          <t>3S 1OE Last+Hilsschuetz</t>
        </is>
      </c>
      <c r="I6584">
        <v>591</v>
      </c>
      <c r="J6584">
        <f>GS31/300.4</f>
        <v>0</v>
      </c>
      <c r="M6584" t="inlineStr">
        <is>
          <t>-300KA1</t>
        </is>
      </c>
    </row>
    <row r="6585">
      <c r="A6585">
        <v>6584</v>
      </c>
      <c r="B6585">
        <f>GS31</f>
        <v>0</v>
      </c>
      <c r="C6585" t="inlineStr">
        <is>
          <t>+LS5</t>
        </is>
      </c>
      <c r="D6585" t="inlineStr">
        <is>
          <t>-300KA1</t>
        </is>
      </c>
      <c r="E6585" t="inlineStr">
        <is>
          <t>DIL_ER-31-G</t>
        </is>
      </c>
      <c r="F6585" t="inlineStr">
        <is>
          <t>31_DIL-E</t>
        </is>
      </c>
      <c r="G6585" t="inlineStr">
        <is>
          <t>HILFSSCHUETZ</t>
        </is>
      </c>
      <c r="H6585" t="inlineStr">
        <is>
          <t>3S 1OE</t>
        </is>
      </c>
      <c r="I6585">
        <v>591</v>
      </c>
      <c r="J6585">
        <f>GS31/300.4</f>
        <v>0</v>
      </c>
      <c r="M6585" t="inlineStr">
        <is>
          <t>-300KA1</t>
        </is>
      </c>
    </row>
    <row r="6586">
      <c r="A6586">
        <v>6585</v>
      </c>
      <c r="B6586">
        <f>GS31</f>
        <v>0</v>
      </c>
      <c r="C6586" t="inlineStr">
        <is>
          <t>+LS5</t>
        </is>
      </c>
      <c r="D6586" t="inlineStr">
        <is>
          <t>-300KA2</t>
        </is>
      </c>
      <c r="E6586" t="inlineStr">
        <is>
          <t>DIL_ER-22-G</t>
        </is>
      </c>
      <c r="F6586" t="inlineStr">
        <is>
          <t>#KALK!</t>
        </is>
      </c>
      <c r="G6586" t="inlineStr">
        <is>
          <t>HILFSSCHUETZ</t>
        </is>
      </c>
      <c r="H6586" t="inlineStr">
        <is>
          <t>2S 2OE</t>
        </is>
      </c>
      <c r="I6586">
        <v>591</v>
      </c>
      <c r="J6586">
        <f>GS31/300.5</f>
        <v>0</v>
      </c>
      <c r="M6586" t="inlineStr">
        <is>
          <t>-300KA2</t>
        </is>
      </c>
    </row>
    <row r="6587">
      <c r="A6587">
        <v>6586</v>
      </c>
      <c r="B6587">
        <f>GS31</f>
        <v>0</v>
      </c>
      <c r="C6587" t="inlineStr">
        <is>
          <t>+LS5</t>
        </is>
      </c>
      <c r="D6587" t="inlineStr">
        <is>
          <t>-300KA3</t>
        </is>
      </c>
      <c r="E6587" t="inlineStr">
        <is>
          <t>DIL_ER-40-G</t>
        </is>
      </c>
      <c r="F6587" t="inlineStr">
        <is>
          <t>#KALK!</t>
        </is>
      </c>
      <c r="G6587" t="inlineStr">
        <is>
          <t>HILFSSCHUETZ</t>
        </is>
      </c>
      <c r="H6587" t="inlineStr">
        <is>
          <t>4S</t>
        </is>
      </c>
      <c r="I6587">
        <v>591</v>
      </c>
      <c r="J6587">
        <f>GS31/300.6</f>
        <v>0</v>
      </c>
      <c r="M6587" t="inlineStr">
        <is>
          <t>-300KA3</t>
        </is>
      </c>
    </row>
    <row r="6588">
      <c r="A6588">
        <v>6587</v>
      </c>
      <c r="B6588">
        <f>GS36</f>
        <v>0</v>
      </c>
      <c r="C6588" t="inlineStr">
        <is>
          <t>+LS06</t>
        </is>
      </c>
      <c r="D6588" t="inlineStr">
        <is>
          <t>-300Q1</t>
        </is>
      </c>
      <c r="E6588" t="inlineStr">
        <is>
          <t>DILMC25-10(RDC24)</t>
        </is>
      </c>
      <c r="F6588" t="inlineStr">
        <is>
          <t>DILA-XHI22</t>
        </is>
      </c>
      <c r="G6588" t="inlineStr">
        <is>
          <t>LASTSCHUETZ</t>
        </is>
      </c>
      <c r="H6588" t="inlineStr">
        <is>
          <t>11kW 1S Federzugkl.</t>
        </is>
      </c>
      <c r="I6588">
        <v>473</v>
      </c>
      <c r="J6588">
        <f>GS36/300.3</f>
        <v>0</v>
      </c>
      <c r="K6588" t="inlineStr">
        <is>
          <t>DIL MC25</t>
        </is>
      </c>
      <c r="L6588" t="inlineStr">
        <is>
          <t>HVO 08</t>
        </is>
      </c>
      <c r="M6588" t="inlineStr">
        <is>
          <t>HVO 08
-300Q1</t>
        </is>
      </c>
      <c r="N6588" t="inlineStr">
        <is>
          <t>P</t>
        </is>
      </c>
    </row>
    <row r="6589">
      <c r="A6589">
        <v>6588</v>
      </c>
      <c r="B6589">
        <f>GS36</f>
        <v>0</v>
      </c>
      <c r="C6589" t="inlineStr">
        <is>
          <t>+LS06</t>
        </is>
      </c>
      <c r="D6589" t="inlineStr">
        <is>
          <t>-300Q1</t>
        </is>
      </c>
      <c r="E6589" t="inlineStr">
        <is>
          <t>DILA-XHI22</t>
        </is>
      </c>
      <c r="F6589" t="inlineStr">
        <is>
          <t>DILA-XHI22</t>
        </is>
      </c>
      <c r="G6589" t="inlineStr">
        <is>
          <t>HILFSKONTAKTBLOCK</t>
        </is>
      </c>
      <c r="H6589" t="inlineStr">
        <is>
          <t>2S 2OE Last+Hilfssch. Cage</t>
        </is>
      </c>
      <c r="I6589">
        <v>473</v>
      </c>
      <c r="J6589">
        <f>GS36/300.3</f>
        <v>0</v>
      </c>
      <c r="K6589" t="inlineStr">
        <is>
          <t>DIL MC25</t>
        </is>
      </c>
      <c r="L6589" t="inlineStr">
        <is>
          <t>HVO 08</t>
        </is>
      </c>
      <c r="M6589" t="inlineStr">
        <is>
          <t>HVO 08
-300Q1</t>
        </is>
      </c>
      <c r="N6589" t="inlineStr">
        <is>
          <t>P</t>
        </is>
      </c>
    </row>
    <row r="6590">
      <c r="A6590">
        <v>6589</v>
      </c>
      <c r="B6590">
        <f>GS37</f>
        <v>0</v>
      </c>
      <c r="C6590" t="inlineStr">
        <is>
          <t>+LS06</t>
        </is>
      </c>
      <c r="D6590" t="inlineStr">
        <is>
          <t>-300Q1</t>
        </is>
      </c>
      <c r="E6590" t="inlineStr">
        <is>
          <t>DILMC25-10(RDC24)</t>
        </is>
      </c>
      <c r="F6590" t="inlineStr">
        <is>
          <t>DILA-XHI22</t>
        </is>
      </c>
      <c r="G6590" t="inlineStr">
        <is>
          <t>LASTSCHUETZ</t>
        </is>
      </c>
      <c r="H6590" t="inlineStr">
        <is>
          <t>11kW 1S Federzugkl.</t>
        </is>
      </c>
      <c r="I6590">
        <v>448</v>
      </c>
      <c r="J6590">
        <f>GS37/300.4</f>
        <v>0</v>
      </c>
      <c r="K6590" t="inlineStr">
        <is>
          <t>DIL MC25</t>
        </is>
      </c>
      <c r="M6590" t="inlineStr">
        <is>
          <t>-300Q1</t>
        </is>
      </c>
    </row>
    <row r="6591">
      <c r="A6591">
        <v>6590</v>
      </c>
      <c r="B6591">
        <f>GS37</f>
        <v>0</v>
      </c>
      <c r="C6591" t="inlineStr">
        <is>
          <t>+LS06</t>
        </is>
      </c>
      <c r="D6591" t="inlineStr">
        <is>
          <t>-300Q1</t>
        </is>
      </c>
      <c r="E6591" t="inlineStr">
        <is>
          <t>DILA-XHI22</t>
        </is>
      </c>
      <c r="F6591" t="inlineStr">
        <is>
          <t>DILA-XHI22</t>
        </is>
      </c>
      <c r="G6591" t="inlineStr">
        <is>
          <t>HILFSKONTAKTBLOCK</t>
        </is>
      </c>
      <c r="H6591" t="inlineStr">
        <is>
          <t>2S 2OE Last+Hilfssch. Cage</t>
        </is>
      </c>
      <c r="I6591">
        <v>448</v>
      </c>
      <c r="J6591">
        <f>GS37/300.4</f>
        <v>0</v>
      </c>
      <c r="K6591" t="inlineStr">
        <is>
          <t>DIL MC25</t>
        </is>
      </c>
      <c r="M6591" t="inlineStr">
        <is>
          <t>-300Q1</t>
        </is>
      </c>
    </row>
    <row r="6592">
      <c r="A6592">
        <v>6591</v>
      </c>
      <c r="B6592">
        <f>GS13</f>
        <v>0</v>
      </c>
      <c r="C6592" t="inlineStr">
        <is>
          <t>+ES1</t>
        </is>
      </c>
      <c r="D6592" t="inlineStr">
        <is>
          <t>-301</t>
        </is>
      </c>
      <c r="E6592" t="inlineStr">
        <is>
          <t>DIL_ER-40-G</t>
        </is>
      </c>
      <c r="F6592" t="inlineStr">
        <is>
          <t>22_DIL-E</t>
        </is>
      </c>
      <c r="G6592" t="inlineStr">
        <is>
          <t>HILFSSCHUETZ</t>
        </is>
      </c>
      <c r="H6592" t="inlineStr">
        <is>
          <t>4S</t>
        </is>
      </c>
      <c r="I6592">
        <v>260</v>
      </c>
      <c r="J6592">
        <f>GS13/30.5</f>
        <v>0</v>
      </c>
      <c r="M6592" t="inlineStr">
        <is>
          <t>-301</t>
        </is>
      </c>
    </row>
    <row r="6593">
      <c r="A6593">
        <v>6592</v>
      </c>
      <c r="B6593">
        <f>GS13</f>
        <v>0</v>
      </c>
      <c r="C6593" t="inlineStr">
        <is>
          <t>+ES1</t>
        </is>
      </c>
      <c r="D6593" t="inlineStr">
        <is>
          <t>-301</t>
        </is>
      </c>
      <c r="E6593" t="inlineStr">
        <is>
          <t>22_DIL-E</t>
        </is>
      </c>
      <c r="F6593" t="inlineStr">
        <is>
          <t>22_DIL-E</t>
        </is>
      </c>
      <c r="G6593" t="inlineStr">
        <is>
          <t>HILFSKONTAKTBLOCK</t>
        </is>
      </c>
      <c r="H6593" t="inlineStr">
        <is>
          <t>2S 2OE Last+Hilfsschuetz</t>
        </is>
      </c>
      <c r="I6593">
        <v>260</v>
      </c>
      <c r="J6593">
        <f>GS13/30.5</f>
        <v>0</v>
      </c>
      <c r="M6593" t="inlineStr">
        <is>
          <t>-301</t>
        </is>
      </c>
    </row>
    <row r="6594">
      <c r="A6594">
        <v>6593</v>
      </c>
      <c r="B6594">
        <f>GS11</f>
        <v>0</v>
      </c>
      <c r="C6594" t="inlineStr">
        <is>
          <t>+LS7</t>
        </is>
      </c>
      <c r="D6594" t="inlineStr">
        <is>
          <t>-301K1</t>
        </is>
      </c>
      <c r="E6594" t="inlineStr">
        <is>
          <t>22_DIL-M</t>
        </is>
      </c>
      <c r="F6594" t="inlineStr">
        <is>
          <t>22_DIL-M</t>
        </is>
      </c>
      <c r="G6594" t="inlineStr">
        <is>
          <t>HILFSKONTAKTBLOCK</t>
        </is>
      </c>
      <c r="H6594" t="inlineStr">
        <is>
          <t>2S 2OE Lastschuetz DIL M</t>
        </is>
      </c>
      <c r="I6594">
        <v>415</v>
      </c>
      <c r="J6594">
        <f>GS11/301.2</f>
        <v>0</v>
      </c>
      <c r="K6594" t="inlineStr">
        <is>
          <t>DIL0AM</t>
        </is>
      </c>
      <c r="M6594" t="inlineStr">
        <is>
          <t>-301K1</t>
        </is>
      </c>
    </row>
    <row r="6595">
      <c r="A6595">
        <v>6594</v>
      </c>
      <c r="B6595">
        <f>GS11</f>
        <v>0</v>
      </c>
      <c r="C6595" t="inlineStr">
        <is>
          <t>+LS7</t>
        </is>
      </c>
      <c r="D6595" t="inlineStr">
        <is>
          <t>-301K1</t>
        </is>
      </c>
      <c r="E6595" t="inlineStr">
        <is>
          <t>DIL_0AM</t>
        </is>
      </c>
      <c r="F6595" t="inlineStr">
        <is>
          <t>22_DIL-M</t>
        </is>
      </c>
      <c r="G6595" t="inlineStr">
        <is>
          <t>LASTSCHUETZ</t>
        </is>
      </c>
      <c r="H6595" t="inlineStr">
        <is>
          <t>11 kW</t>
        </is>
      </c>
      <c r="I6595">
        <v>415</v>
      </c>
      <c r="J6595">
        <f>GS11/301.2</f>
        <v>0</v>
      </c>
      <c r="K6595" t="inlineStr">
        <is>
          <t>DIL0AM</t>
        </is>
      </c>
      <c r="M6595" t="inlineStr">
        <is>
          <t>-301K1</t>
        </is>
      </c>
    </row>
    <row r="6596">
      <c r="A6596">
        <v>6595</v>
      </c>
      <c r="B6596">
        <f>GS21</f>
        <v>0</v>
      </c>
      <c r="C6596" t="inlineStr">
        <is>
          <t>+LS7</t>
        </is>
      </c>
      <c r="D6596" t="inlineStr">
        <is>
          <t>-301K1</t>
        </is>
      </c>
      <c r="E6596" t="inlineStr">
        <is>
          <t>DIL_0AM</t>
        </is>
      </c>
      <c r="F6596" t="inlineStr">
        <is>
          <t>22_DIL-M</t>
        </is>
      </c>
      <c r="G6596" t="inlineStr">
        <is>
          <t>LASTSCHUETZ</t>
        </is>
      </c>
      <c r="H6596" t="inlineStr">
        <is>
          <t>11 kW</t>
        </is>
      </c>
      <c r="I6596">
        <v>389</v>
      </c>
      <c r="J6596">
        <f>GS21/301.2</f>
        <v>0</v>
      </c>
      <c r="K6596" t="inlineStr">
        <is>
          <t>DIL0AM</t>
        </is>
      </c>
      <c r="M6596" t="inlineStr">
        <is>
          <t>-301K1</t>
        </is>
      </c>
    </row>
    <row r="6597">
      <c r="A6597">
        <v>6596</v>
      </c>
      <c r="B6597">
        <f>GS21</f>
        <v>0</v>
      </c>
      <c r="C6597" t="inlineStr">
        <is>
          <t>+LS7</t>
        </is>
      </c>
      <c r="D6597" t="inlineStr">
        <is>
          <t>-301K1</t>
        </is>
      </c>
      <c r="E6597" t="inlineStr">
        <is>
          <t>22_DIL-M</t>
        </is>
      </c>
      <c r="F6597" t="inlineStr">
        <is>
          <t>22_DIL-M</t>
        </is>
      </c>
      <c r="G6597" t="inlineStr">
        <is>
          <t>HILFSKONTAKTBLOCK</t>
        </is>
      </c>
      <c r="H6597" t="inlineStr">
        <is>
          <t>2S 2OE Lastschuetz DIL M</t>
        </is>
      </c>
      <c r="I6597">
        <v>389</v>
      </c>
      <c r="J6597">
        <f>GS21/301.2</f>
        <v>0</v>
      </c>
      <c r="K6597" t="inlineStr">
        <is>
          <t>DIL0AM</t>
        </is>
      </c>
      <c r="M6597" t="inlineStr">
        <is>
          <t>-301K1</t>
        </is>
      </c>
    </row>
    <row r="6598">
      <c r="A6598">
        <v>6597</v>
      </c>
      <c r="B6598">
        <f>GS11</f>
        <v>0</v>
      </c>
      <c r="C6598" t="inlineStr">
        <is>
          <t>+LS7</t>
        </is>
      </c>
      <c r="D6598" t="inlineStr">
        <is>
          <t>-301K2</t>
        </is>
      </c>
      <c r="E6598" t="inlineStr">
        <is>
          <t>22_DIL-M</t>
        </is>
      </c>
      <c r="F6598" t="inlineStr">
        <is>
          <t>22_DIL-M</t>
        </is>
      </c>
      <c r="G6598" t="inlineStr">
        <is>
          <t>HILFSKONTAKTBLOCK</t>
        </is>
      </c>
      <c r="H6598" t="inlineStr">
        <is>
          <t>2S 2OE Lastschuetz DIL M</t>
        </is>
      </c>
      <c r="I6598">
        <v>415</v>
      </c>
      <c r="J6598">
        <f>GS11/301.3</f>
        <v>0</v>
      </c>
      <c r="K6598" t="inlineStr">
        <is>
          <t>DIL0AM</t>
        </is>
      </c>
      <c r="M6598" t="inlineStr">
        <is>
          <t>-301K2</t>
        </is>
      </c>
    </row>
    <row r="6599">
      <c r="A6599">
        <v>6598</v>
      </c>
      <c r="B6599">
        <f>GS11</f>
        <v>0</v>
      </c>
      <c r="C6599" t="inlineStr">
        <is>
          <t>+LS7</t>
        </is>
      </c>
      <c r="D6599" t="inlineStr">
        <is>
          <t>-301K2</t>
        </is>
      </c>
      <c r="E6599" t="inlineStr">
        <is>
          <t>DIL_0AM</t>
        </is>
      </c>
      <c r="F6599" t="inlineStr">
        <is>
          <t>22_DIL-M</t>
        </is>
      </c>
      <c r="G6599" t="inlineStr">
        <is>
          <t>LASTSCHUETZ</t>
        </is>
      </c>
      <c r="H6599" t="inlineStr">
        <is>
          <t>11 kW</t>
        </is>
      </c>
      <c r="I6599">
        <v>415</v>
      </c>
      <c r="J6599">
        <f>GS11/301.3</f>
        <v>0</v>
      </c>
      <c r="K6599" t="inlineStr">
        <is>
          <t>DIL0AM</t>
        </is>
      </c>
      <c r="M6599" t="inlineStr">
        <is>
          <t>-301K2</t>
        </is>
      </c>
    </row>
    <row r="6600">
      <c r="A6600">
        <v>6599</v>
      </c>
      <c r="B6600">
        <f>GS21</f>
        <v>0</v>
      </c>
      <c r="C6600" t="inlineStr">
        <is>
          <t>+LS7</t>
        </is>
      </c>
      <c r="D6600" t="inlineStr">
        <is>
          <t>-301K2</t>
        </is>
      </c>
      <c r="E6600" t="inlineStr">
        <is>
          <t>DIL_0AM</t>
        </is>
      </c>
      <c r="F6600" t="inlineStr">
        <is>
          <t>22_DIL-M</t>
        </is>
      </c>
      <c r="G6600" t="inlineStr">
        <is>
          <t>LASTSCHUETZ</t>
        </is>
      </c>
      <c r="H6600" t="inlineStr">
        <is>
          <t>11 kW</t>
        </is>
      </c>
      <c r="I6600">
        <v>389</v>
      </c>
      <c r="J6600">
        <f>GS21/301.3</f>
        <v>0</v>
      </c>
      <c r="K6600" t="inlineStr">
        <is>
          <t>DIL0AM</t>
        </is>
      </c>
      <c r="M6600" t="inlineStr">
        <is>
          <t>-301K2</t>
        </is>
      </c>
    </row>
    <row r="6601">
      <c r="A6601">
        <v>6600</v>
      </c>
      <c r="B6601">
        <f>GS21</f>
        <v>0</v>
      </c>
      <c r="C6601" t="inlineStr">
        <is>
          <t>+LS7</t>
        </is>
      </c>
      <c r="D6601" t="inlineStr">
        <is>
          <t>-301K2</t>
        </is>
      </c>
      <c r="E6601" t="inlineStr">
        <is>
          <t>22_DIL-M</t>
        </is>
      </c>
      <c r="F6601" t="inlineStr">
        <is>
          <t>22_DIL-M</t>
        </is>
      </c>
      <c r="G6601" t="inlineStr">
        <is>
          <t>HILFSKONTAKTBLOCK</t>
        </is>
      </c>
      <c r="H6601" t="inlineStr">
        <is>
          <t>2S 2OE Lastschuetz DIL M</t>
        </is>
      </c>
      <c r="I6601">
        <v>389</v>
      </c>
      <c r="J6601">
        <f>GS21/301.3</f>
        <v>0</v>
      </c>
      <c r="K6601" t="inlineStr">
        <is>
          <t>DIL0AM</t>
        </is>
      </c>
      <c r="M6601" t="inlineStr">
        <is>
          <t>-301K2</t>
        </is>
      </c>
    </row>
    <row r="6602">
      <c r="A6602">
        <v>6601</v>
      </c>
      <c r="B6602">
        <f>GS16</f>
        <v>0</v>
      </c>
      <c r="C6602" t="inlineStr">
        <is>
          <t>+LS5</t>
        </is>
      </c>
      <c r="D6602" t="inlineStr">
        <is>
          <t>-301K3755.5</t>
        </is>
      </c>
      <c r="E6602" t="inlineStr">
        <is>
          <t>DIL_EM-10-G</t>
        </is>
      </c>
      <c r="F6602" t="inlineStr">
        <is>
          <t>#KALK!</t>
        </is>
      </c>
      <c r="G6602" t="inlineStr">
        <is>
          <t>LASTSCHUETZ</t>
        </is>
      </c>
      <c r="H6602" t="inlineStr">
        <is>
          <t>4kW 1S</t>
        </is>
      </c>
      <c r="I6602">
        <v>529</v>
      </c>
      <c r="J6602">
        <f>GS16/301.7</f>
        <v>0</v>
      </c>
      <c r="M6602" t="inlineStr">
        <is>
          <t>-301K3755.5</t>
        </is>
      </c>
    </row>
    <row r="6603">
      <c r="A6603">
        <v>6602</v>
      </c>
      <c r="B6603">
        <f>GC22</f>
        <v>0</v>
      </c>
      <c r="C6603" t="inlineStr">
        <is>
          <t>+LS4</t>
        </is>
      </c>
      <c r="D6603" t="inlineStr">
        <is>
          <t>-301K38.3</t>
        </is>
      </c>
      <c r="E6603" t="inlineStr">
        <is>
          <t>DIL_EM-10-G</t>
        </is>
      </c>
      <c r="F6603" t="inlineStr">
        <is>
          <t>#KALK!</t>
        </is>
      </c>
      <c r="G6603" t="inlineStr">
        <is>
          <t>LASTSCHUETZ</t>
        </is>
      </c>
      <c r="H6603" t="inlineStr">
        <is>
          <t>4kW 1S</t>
        </is>
      </c>
      <c r="I6603">
        <v>3614</v>
      </c>
      <c r="J6603">
        <f>GC22/301.7</f>
        <v>0</v>
      </c>
      <c r="M6603" t="inlineStr">
        <is>
          <t>-301K38.3</t>
        </is>
      </c>
    </row>
    <row r="6604">
      <c r="A6604">
        <v>6603</v>
      </c>
      <c r="B6604">
        <f>GS12</f>
        <v>0</v>
      </c>
      <c r="C6604" t="inlineStr">
        <is>
          <t>+LS4</t>
        </is>
      </c>
      <c r="D6604" t="inlineStr">
        <is>
          <t>-301K38.3</t>
        </is>
      </c>
      <c r="E6604" t="inlineStr">
        <is>
          <t>DIL_EM-10-G</t>
        </is>
      </c>
      <c r="F6604" t="inlineStr">
        <is>
          <t>#KALK!</t>
        </is>
      </c>
      <c r="G6604" t="inlineStr">
        <is>
          <t>LASTSCHUETZ</t>
        </is>
      </c>
      <c r="H6604" t="inlineStr">
        <is>
          <t>4kW 1S</t>
        </is>
      </c>
      <c r="I6604">
        <v>433</v>
      </c>
      <c r="J6604">
        <f>GS12/301.7</f>
        <v>0</v>
      </c>
      <c r="M6604" t="inlineStr">
        <is>
          <t>-301K38.3</t>
        </is>
      </c>
    </row>
    <row r="6605">
      <c r="A6605">
        <v>6604</v>
      </c>
      <c r="B6605">
        <f>GS04</f>
        <v>0</v>
      </c>
      <c r="C6605" t="inlineStr">
        <is>
          <t>+LS7</t>
        </is>
      </c>
      <c r="D6605" t="inlineStr">
        <is>
          <t>-301K65.6</t>
        </is>
      </c>
      <c r="E6605" t="inlineStr">
        <is>
          <t>DIL_EM-10-G</t>
        </is>
      </c>
      <c r="F6605" t="inlineStr">
        <is>
          <t>22_DIL-E</t>
        </is>
      </c>
      <c r="G6605" t="inlineStr">
        <is>
          <t>LASTSCHUETZ</t>
        </is>
      </c>
      <c r="H6605" t="inlineStr">
        <is>
          <t>4kW 1S</t>
        </is>
      </c>
      <c r="I6605">
        <v>552</v>
      </c>
      <c r="J6605">
        <f>GS04/301.6</f>
        <v>0</v>
      </c>
      <c r="M6605" t="inlineStr">
        <is>
          <t>-301K65.6</t>
        </is>
      </c>
    </row>
    <row r="6606">
      <c r="A6606">
        <v>6605</v>
      </c>
      <c r="B6606">
        <f>GS04</f>
        <v>0</v>
      </c>
      <c r="C6606" t="inlineStr">
        <is>
          <t>+LS7</t>
        </is>
      </c>
      <c r="D6606" t="inlineStr">
        <is>
          <t>-301K65.6</t>
        </is>
      </c>
      <c r="E6606" t="inlineStr">
        <is>
          <t>22_DIL-E</t>
        </is>
      </c>
      <c r="F6606" t="inlineStr">
        <is>
          <t>22_DIL-E</t>
        </is>
      </c>
      <c r="G6606" t="inlineStr">
        <is>
          <t>HILFSKONTAKTBLOCK</t>
        </is>
      </c>
      <c r="H6606" t="inlineStr">
        <is>
          <t>2S 2OE Last+Hilfsschuetz</t>
        </is>
      </c>
      <c r="I6606">
        <v>552</v>
      </c>
      <c r="J6606">
        <f>GS04/301.6</f>
        <v>0</v>
      </c>
      <c r="M6606" t="inlineStr">
        <is>
          <t>-301K65.6</t>
        </is>
      </c>
    </row>
    <row r="6607">
      <c r="A6607">
        <v>6606</v>
      </c>
      <c r="B6607">
        <f>GS04</f>
        <v>0</v>
      </c>
      <c r="C6607" t="inlineStr">
        <is>
          <t>+LS7</t>
        </is>
      </c>
      <c r="D6607" t="inlineStr">
        <is>
          <t>-301K65.7</t>
        </is>
      </c>
      <c r="E6607" t="inlineStr">
        <is>
          <t>DIL_EM-10-G</t>
        </is>
      </c>
      <c r="F6607" t="inlineStr">
        <is>
          <t>22_DIL-E</t>
        </is>
      </c>
      <c r="G6607" t="inlineStr">
        <is>
          <t>LASTSCHUETZ</t>
        </is>
      </c>
      <c r="H6607" t="inlineStr">
        <is>
          <t>4kW 1S</t>
        </is>
      </c>
      <c r="I6607">
        <v>552</v>
      </c>
      <c r="J6607">
        <f>GS04/301.6</f>
        <v>0</v>
      </c>
      <c r="M6607" t="inlineStr">
        <is>
          <t>-301K65.7</t>
        </is>
      </c>
    </row>
    <row r="6608">
      <c r="A6608">
        <v>6607</v>
      </c>
      <c r="B6608">
        <f>GS04</f>
        <v>0</v>
      </c>
      <c r="C6608" t="inlineStr">
        <is>
          <t>+LS7</t>
        </is>
      </c>
      <c r="D6608" t="inlineStr">
        <is>
          <t>-301K65.7</t>
        </is>
      </c>
      <c r="E6608" t="inlineStr">
        <is>
          <t>22_DIL-E</t>
        </is>
      </c>
      <c r="F6608" t="inlineStr">
        <is>
          <t>22_DIL-E</t>
        </is>
      </c>
      <c r="G6608" t="inlineStr">
        <is>
          <t>HILFSKONTAKTBLOCK</t>
        </is>
      </c>
      <c r="H6608" t="inlineStr">
        <is>
          <t>2S 2OE Last+Hilfsschuetz</t>
        </is>
      </c>
      <c r="I6608">
        <v>552</v>
      </c>
      <c r="J6608">
        <f>GS04/301.6</f>
        <v>0</v>
      </c>
      <c r="M6608" t="inlineStr">
        <is>
          <t>-301K65.7</t>
        </is>
      </c>
    </row>
    <row r="6609">
      <c r="A6609">
        <v>6608</v>
      </c>
      <c r="B6609">
        <f>GS13</f>
        <v>0</v>
      </c>
      <c r="C6609" t="inlineStr">
        <is>
          <t>+ES1</t>
        </is>
      </c>
      <c r="D6609" t="inlineStr">
        <is>
          <t>-302</t>
        </is>
      </c>
      <c r="E6609" t="inlineStr">
        <is>
          <t>DIL_ER-40-G</t>
        </is>
      </c>
      <c r="F6609" t="inlineStr">
        <is>
          <t>22_DIL-E</t>
        </is>
      </c>
      <c r="G6609" t="inlineStr">
        <is>
          <t>HILFSSCHUETZ</t>
        </is>
      </c>
      <c r="H6609" t="inlineStr">
        <is>
          <t>4S</t>
        </is>
      </c>
      <c r="I6609">
        <v>260</v>
      </c>
      <c r="J6609">
        <f>GS13/30.6</f>
        <v>0</v>
      </c>
      <c r="M6609" t="inlineStr">
        <is>
          <t>-302</t>
        </is>
      </c>
    </row>
    <row r="6610">
      <c r="A6610">
        <v>6609</v>
      </c>
      <c r="B6610">
        <f>GS13</f>
        <v>0</v>
      </c>
      <c r="C6610" t="inlineStr">
        <is>
          <t>+ES1</t>
        </is>
      </c>
      <c r="D6610" t="inlineStr">
        <is>
          <t>-302</t>
        </is>
      </c>
      <c r="E6610" t="inlineStr">
        <is>
          <t>22_DIL-E</t>
        </is>
      </c>
      <c r="F6610" t="inlineStr">
        <is>
          <t>22_DIL-E</t>
        </is>
      </c>
      <c r="G6610" t="inlineStr">
        <is>
          <t>HILFSKONTAKTBLOCK</t>
        </is>
      </c>
      <c r="H6610" t="inlineStr">
        <is>
          <t>2S 2OE Last+Hilfsschuetz</t>
        </is>
      </c>
      <c r="I6610">
        <v>260</v>
      </c>
      <c r="J6610">
        <f>GS13/30.6</f>
        <v>0</v>
      </c>
      <c r="M6610" t="inlineStr">
        <is>
          <t>-302</t>
        </is>
      </c>
    </row>
    <row r="6611">
      <c r="A6611">
        <v>6610</v>
      </c>
      <c r="B6611">
        <f>GS14</f>
        <v>0</v>
      </c>
      <c r="C6611" t="inlineStr">
        <is>
          <t>+LS6</t>
        </is>
      </c>
      <c r="D6611" t="inlineStr">
        <is>
          <t>-302K1</t>
        </is>
      </c>
      <c r="E6611" t="inlineStr">
        <is>
          <t>DIL_0AM</t>
        </is>
      </c>
      <c r="F6611" t="inlineStr">
        <is>
          <t>22_DIL-M</t>
        </is>
      </c>
      <c r="G6611" t="inlineStr">
        <is>
          <t>LASTSCHUETZ</t>
        </is>
      </c>
      <c r="H6611" t="inlineStr">
        <is>
          <t>11 kW</t>
        </is>
      </c>
      <c r="I6611">
        <v>431</v>
      </c>
      <c r="J6611">
        <f>GS14/302.2</f>
        <v>0</v>
      </c>
      <c r="K6611" t="inlineStr">
        <is>
          <t>DIL0AM</t>
        </is>
      </c>
      <c r="M6611" t="inlineStr">
        <is>
          <t>-302K1</t>
        </is>
      </c>
    </row>
    <row r="6612">
      <c r="A6612">
        <v>6611</v>
      </c>
      <c r="B6612">
        <f>GS14</f>
        <v>0</v>
      </c>
      <c r="C6612" t="inlineStr">
        <is>
          <t>+LS6</t>
        </is>
      </c>
      <c r="D6612" t="inlineStr">
        <is>
          <t>-302K1</t>
        </is>
      </c>
      <c r="E6612" t="inlineStr">
        <is>
          <t>22_DIL-M</t>
        </is>
      </c>
      <c r="F6612" t="inlineStr">
        <is>
          <t>22_DIL-M</t>
        </is>
      </c>
      <c r="G6612" t="inlineStr">
        <is>
          <t>HILFSKONTAKTBLOCK</t>
        </is>
      </c>
      <c r="H6612" t="inlineStr">
        <is>
          <t>2S 2OE Lastschuetz DIL M</t>
        </is>
      </c>
      <c r="I6612">
        <v>431</v>
      </c>
      <c r="J6612">
        <f>GS14/302.2</f>
        <v>0</v>
      </c>
      <c r="K6612" t="inlineStr">
        <is>
          <t>DIL0AM</t>
        </is>
      </c>
      <c r="M6612" t="inlineStr">
        <is>
          <t>-302K1</t>
        </is>
      </c>
    </row>
    <row r="6613">
      <c r="A6613">
        <v>6612</v>
      </c>
      <c r="B6613">
        <f>GS52</f>
        <v>0</v>
      </c>
      <c r="C6613" t="inlineStr">
        <is>
          <t>+LS04</t>
        </is>
      </c>
      <c r="D6613" t="inlineStr">
        <is>
          <t>-302K138.0</t>
        </is>
      </c>
      <c r="E6613" t="inlineStr">
        <is>
          <t>DILA-22</t>
        </is>
      </c>
      <c r="F6613" t="inlineStr">
        <is>
          <t>#KALK!</t>
        </is>
      </c>
      <c r="G6613" t="inlineStr">
        <is>
          <t>HILFSSCHUETZ</t>
        </is>
      </c>
      <c r="H6613" t="inlineStr">
        <is>
          <t>2S 2Oe Federzugkl.</t>
        </is>
      </c>
      <c r="I6613">
        <v>1724</v>
      </c>
      <c r="J6613">
        <f>GS52/302.5</f>
        <v>0</v>
      </c>
      <c r="M6613" t="inlineStr">
        <is>
          <t>-302K138.0</t>
        </is>
      </c>
    </row>
    <row r="6614">
      <c r="A6614">
        <v>6613</v>
      </c>
      <c r="B6614">
        <f>GS31</f>
        <v>0</v>
      </c>
      <c r="C6614" t="inlineStr">
        <is>
          <t>+LS5</t>
        </is>
      </c>
      <c r="D6614" t="inlineStr">
        <is>
          <t>-302K3509.5</t>
        </is>
      </c>
      <c r="E6614" t="inlineStr">
        <is>
          <t>DIL_EM-10-G</t>
        </is>
      </c>
      <c r="F6614" t="inlineStr">
        <is>
          <t>#KALK!</t>
        </is>
      </c>
      <c r="G6614" t="inlineStr">
        <is>
          <t>LASTSCHUETZ</t>
        </is>
      </c>
      <c r="H6614" t="inlineStr">
        <is>
          <t>4kW 1S</t>
        </is>
      </c>
      <c r="I6614">
        <v>593</v>
      </c>
      <c r="J6614">
        <f>GS31/302.7</f>
        <v>0</v>
      </c>
      <c r="M6614" t="inlineStr">
        <is>
          <t>-302K3509.5</t>
        </is>
      </c>
    </row>
    <row r="6615">
      <c r="A6615">
        <v>6614</v>
      </c>
      <c r="B6615">
        <f>GS16</f>
        <v>0</v>
      </c>
      <c r="C6615" t="inlineStr">
        <is>
          <t>+LS5</t>
        </is>
      </c>
      <c r="D6615" t="inlineStr">
        <is>
          <t>-302K3756.0</t>
        </is>
      </c>
      <c r="E6615" t="inlineStr">
        <is>
          <t>DIL_EM-01-G</t>
        </is>
      </c>
      <c r="F6615" t="inlineStr">
        <is>
          <t>#KALK!</t>
        </is>
      </c>
      <c r="G6615" t="inlineStr">
        <is>
          <t>LASTSCHUETZ</t>
        </is>
      </c>
      <c r="H6615" t="inlineStr">
        <is>
          <t>4kW 1OE</t>
        </is>
      </c>
      <c r="I6615">
        <v>530</v>
      </c>
      <c r="J6615">
        <f>GS16/302.6</f>
        <v>0</v>
      </c>
      <c r="M6615" t="inlineStr">
        <is>
          <t>-302K3756.0</t>
        </is>
      </c>
    </row>
    <row r="6616">
      <c r="A6616">
        <v>6615</v>
      </c>
      <c r="B6616">
        <f>GS16</f>
        <v>0</v>
      </c>
      <c r="C6616" t="inlineStr">
        <is>
          <t>+LS5</t>
        </is>
      </c>
      <c r="D6616" t="inlineStr">
        <is>
          <t>-302K3756.1</t>
        </is>
      </c>
      <c r="E6616" t="inlineStr">
        <is>
          <t>DIL_EM-01-G</t>
        </is>
      </c>
      <c r="F6616" t="inlineStr">
        <is>
          <t>#KALK!</t>
        </is>
      </c>
      <c r="G6616" t="inlineStr">
        <is>
          <t>LASTSCHUETZ</t>
        </is>
      </c>
      <c r="H6616" t="inlineStr">
        <is>
          <t>4kW 1OE</t>
        </is>
      </c>
      <c r="I6616">
        <v>530</v>
      </c>
      <c r="J6616">
        <f>GS16/302.6</f>
        <v>0</v>
      </c>
      <c r="M6616" t="inlineStr">
        <is>
          <t>-302K3756.1</t>
        </is>
      </c>
    </row>
    <row r="6617">
      <c r="A6617">
        <v>6616</v>
      </c>
      <c r="B6617">
        <f>GC22</f>
        <v>0</v>
      </c>
      <c r="C6617" t="inlineStr">
        <is>
          <t>+LS4</t>
        </is>
      </c>
      <c r="D6617" t="inlineStr">
        <is>
          <t>-302K38.4</t>
        </is>
      </c>
      <c r="E6617" t="inlineStr">
        <is>
          <t>DILM-9-01</t>
        </is>
      </c>
      <c r="F6617" t="inlineStr">
        <is>
          <t>#KALK!</t>
        </is>
      </c>
      <c r="G6617" t="inlineStr">
        <is>
          <t>LASTSCHUETZ</t>
        </is>
      </c>
      <c r="H6617" t="inlineStr">
        <is>
          <t>4kW 1Oe Federzugkl.</t>
        </is>
      </c>
      <c r="I6617">
        <v>3615</v>
      </c>
      <c r="J6617">
        <f>GC22/302.6</f>
        <v>0</v>
      </c>
      <c r="M6617" t="inlineStr">
        <is>
          <t>-302K38.4</t>
        </is>
      </c>
    </row>
    <row r="6618">
      <c r="A6618">
        <v>6617</v>
      </c>
      <c r="B6618">
        <f>GS12</f>
        <v>0</v>
      </c>
      <c r="C6618" t="inlineStr">
        <is>
          <t>+LS4</t>
        </is>
      </c>
      <c r="D6618" t="inlineStr">
        <is>
          <t>-302K38.4</t>
        </is>
      </c>
      <c r="E6618" t="inlineStr">
        <is>
          <t>DILM-9-01</t>
        </is>
      </c>
      <c r="F6618" t="inlineStr">
        <is>
          <t>#KALK!</t>
        </is>
      </c>
      <c r="G6618" t="inlineStr">
        <is>
          <t>LASTSCHUETZ</t>
        </is>
      </c>
      <c r="H6618" t="inlineStr">
        <is>
          <t>4kW 1Oe Federzugkl.</t>
        </is>
      </c>
      <c r="I6618">
        <v>434</v>
      </c>
      <c r="J6618">
        <f>GS12/302.6</f>
        <v>0</v>
      </c>
      <c r="M6618" t="inlineStr">
        <is>
          <t>-302K38.4</t>
        </is>
      </c>
    </row>
    <row r="6619">
      <c r="A6619">
        <v>6618</v>
      </c>
      <c r="B6619">
        <f>GC22</f>
        <v>0</v>
      </c>
      <c r="C6619" t="inlineStr">
        <is>
          <t>+LS4</t>
        </is>
      </c>
      <c r="D6619" t="inlineStr">
        <is>
          <t>-302K38.5</t>
        </is>
      </c>
      <c r="E6619" t="inlineStr">
        <is>
          <t>DIL_EM-10-G</t>
        </is>
      </c>
      <c r="F6619" t="inlineStr">
        <is>
          <t>#KALK!</t>
        </is>
      </c>
      <c r="G6619" t="inlineStr">
        <is>
          <t>LASTSCHUETZ</t>
        </is>
      </c>
      <c r="H6619" t="inlineStr">
        <is>
          <t>4kW 1S</t>
        </is>
      </c>
      <c r="I6619">
        <v>3615</v>
      </c>
      <c r="J6619">
        <f>GC22/302.7</f>
        <v>0</v>
      </c>
      <c r="M6619" t="inlineStr">
        <is>
          <t>-302K38.5</t>
        </is>
      </c>
    </row>
    <row r="6620">
      <c r="A6620">
        <v>6619</v>
      </c>
      <c r="B6620">
        <f>GS12</f>
        <v>0</v>
      </c>
      <c r="C6620" t="inlineStr">
        <is>
          <t>+LS4</t>
        </is>
      </c>
      <c r="D6620" t="inlineStr">
        <is>
          <t>-302K38.5</t>
        </is>
      </c>
      <c r="E6620" t="inlineStr">
        <is>
          <t>DIL_EM-10-G</t>
        </is>
      </c>
      <c r="F6620" t="inlineStr">
        <is>
          <t>#KALK!</t>
        </is>
      </c>
      <c r="G6620" t="inlineStr">
        <is>
          <t>LASTSCHUETZ</t>
        </is>
      </c>
      <c r="H6620" t="inlineStr">
        <is>
          <t>4kW 1S</t>
        </is>
      </c>
      <c r="I6620">
        <v>434</v>
      </c>
      <c r="J6620">
        <f>GS12/302.7</f>
        <v>0</v>
      </c>
      <c r="M6620" t="inlineStr">
        <is>
          <t>-302K38.5</t>
        </is>
      </c>
    </row>
    <row r="6621">
      <c r="A6621">
        <v>6620</v>
      </c>
      <c r="B6621">
        <f>GC22</f>
        <v>0</v>
      </c>
      <c r="C6621" t="inlineStr">
        <is>
          <t>+LS4</t>
        </is>
      </c>
      <c r="D6621" t="inlineStr">
        <is>
          <t>-302K40.6</t>
        </is>
      </c>
      <c r="E6621" t="inlineStr">
        <is>
          <t>DILM-9-01</t>
        </is>
      </c>
      <c r="F6621" t="inlineStr">
        <is>
          <t>#KALK!</t>
        </is>
      </c>
      <c r="G6621" t="inlineStr">
        <is>
          <t>LASTSCHUETZ</t>
        </is>
      </c>
      <c r="H6621" t="inlineStr">
        <is>
          <t>4kW 1Oe Federzugkl.</t>
        </is>
      </c>
      <c r="I6621">
        <v>3615</v>
      </c>
      <c r="J6621">
        <f>GC22/302.6</f>
        <v>0</v>
      </c>
      <c r="M6621" t="inlineStr">
        <is>
          <t>-302K40.6</t>
        </is>
      </c>
    </row>
    <row r="6622">
      <c r="A6622">
        <v>6621</v>
      </c>
      <c r="B6622">
        <f>GS12</f>
        <v>0</v>
      </c>
      <c r="C6622" t="inlineStr">
        <is>
          <t>+LS4</t>
        </is>
      </c>
      <c r="D6622" t="inlineStr">
        <is>
          <t>-302K40.6</t>
        </is>
      </c>
      <c r="E6622" t="inlineStr">
        <is>
          <t>DILM-9-01</t>
        </is>
      </c>
      <c r="F6622" t="inlineStr">
        <is>
          <t>#KALK!</t>
        </is>
      </c>
      <c r="G6622" t="inlineStr">
        <is>
          <t>LASTSCHUETZ</t>
        </is>
      </c>
      <c r="H6622" t="inlineStr">
        <is>
          <t>4kW 1Oe Federzugkl.</t>
        </is>
      </c>
      <c r="I6622">
        <v>434</v>
      </c>
      <c r="J6622">
        <f>GS12/302.6</f>
        <v>0</v>
      </c>
      <c r="M6622" t="inlineStr">
        <is>
          <t>-302K40.6</t>
        </is>
      </c>
    </row>
    <row r="6623">
      <c r="A6623">
        <v>6622</v>
      </c>
      <c r="B6623">
        <f>GS04</f>
        <v>0</v>
      </c>
      <c r="C6623" t="inlineStr">
        <is>
          <t>+LS7</t>
        </is>
      </c>
      <c r="D6623" t="inlineStr">
        <is>
          <t>-302K66.0</t>
        </is>
      </c>
      <c r="E6623" t="inlineStr">
        <is>
          <t>DIL_EM-10-G</t>
        </is>
      </c>
      <c r="F6623" t="inlineStr">
        <is>
          <t>22_DIL-E</t>
        </is>
      </c>
      <c r="G6623" t="inlineStr">
        <is>
          <t>LASTSCHUETZ</t>
        </is>
      </c>
      <c r="H6623" t="inlineStr">
        <is>
          <t>4kW 1S</t>
        </is>
      </c>
      <c r="I6623">
        <v>553</v>
      </c>
      <c r="J6623">
        <f>GS04/302.6</f>
        <v>0</v>
      </c>
      <c r="M6623" t="inlineStr">
        <is>
          <t>-302K66.0</t>
        </is>
      </c>
    </row>
    <row r="6624">
      <c r="A6624">
        <v>6623</v>
      </c>
      <c r="B6624">
        <f>GS04</f>
        <v>0</v>
      </c>
      <c r="C6624" t="inlineStr">
        <is>
          <t>+LS7</t>
        </is>
      </c>
      <c r="D6624" t="inlineStr">
        <is>
          <t>-302K66.0</t>
        </is>
      </c>
      <c r="E6624" t="inlineStr">
        <is>
          <t>22_DIL-E</t>
        </is>
      </c>
      <c r="F6624" t="inlineStr">
        <is>
          <t>22_DIL-E</t>
        </is>
      </c>
      <c r="G6624" t="inlineStr">
        <is>
          <t>HILFSKONTAKTBLOCK</t>
        </is>
      </c>
      <c r="H6624" t="inlineStr">
        <is>
          <t>2S 2OE Last+Hilfsschuetz</t>
        </is>
      </c>
      <c r="I6624">
        <v>553</v>
      </c>
      <c r="J6624">
        <f>GS04/302.6</f>
        <v>0</v>
      </c>
      <c r="M6624" t="inlineStr">
        <is>
          <t>-302K66.0</t>
        </is>
      </c>
    </row>
    <row r="6625">
      <c r="A6625">
        <v>6624</v>
      </c>
      <c r="B6625">
        <f>GS04</f>
        <v>0</v>
      </c>
      <c r="C6625" t="inlineStr">
        <is>
          <t>+LS7</t>
        </is>
      </c>
      <c r="D6625" t="inlineStr">
        <is>
          <t>-302K66.1</t>
        </is>
      </c>
      <c r="E6625" t="inlineStr">
        <is>
          <t>DIL_EM-10-G</t>
        </is>
      </c>
      <c r="F6625" t="inlineStr">
        <is>
          <t>22_DIL-E</t>
        </is>
      </c>
      <c r="G6625" t="inlineStr">
        <is>
          <t>LASTSCHUETZ</t>
        </is>
      </c>
      <c r="H6625" t="inlineStr">
        <is>
          <t>4kW 1S</t>
        </is>
      </c>
      <c r="I6625">
        <v>553</v>
      </c>
      <c r="J6625">
        <f>GS04/302.6</f>
        <v>0</v>
      </c>
      <c r="M6625" t="inlineStr">
        <is>
          <t>-302K66.1</t>
        </is>
      </c>
    </row>
    <row r="6626">
      <c r="A6626">
        <v>6625</v>
      </c>
      <c r="B6626">
        <f>GS04</f>
        <v>0</v>
      </c>
      <c r="C6626" t="inlineStr">
        <is>
          <t>+LS7</t>
        </is>
      </c>
      <c r="D6626" t="inlineStr">
        <is>
          <t>-302K66.1</t>
        </is>
      </c>
      <c r="E6626" t="inlineStr">
        <is>
          <t>22_DIL-E</t>
        </is>
      </c>
      <c r="F6626" t="inlineStr">
        <is>
          <t>22_DIL-E</t>
        </is>
      </c>
      <c r="G6626" t="inlineStr">
        <is>
          <t>HILFSKONTAKTBLOCK</t>
        </is>
      </c>
      <c r="H6626" t="inlineStr">
        <is>
          <t>2S 2OE Last+Hilfsschuetz</t>
        </is>
      </c>
      <c r="I6626">
        <v>553</v>
      </c>
      <c r="J6626">
        <f>GS04/302.6</f>
        <v>0</v>
      </c>
      <c r="M6626" t="inlineStr">
        <is>
          <t>-302K66.1</t>
        </is>
      </c>
    </row>
    <row r="6627">
      <c r="A6627">
        <v>6626</v>
      </c>
      <c r="B6627">
        <f>GS79</f>
        <v>0</v>
      </c>
      <c r="C6627" t="inlineStr">
        <is>
          <t>+LS[l1]</t>
        </is>
      </c>
      <c r="D6627" t="inlineStr">
        <is>
          <t>-302Q[a+218].0</t>
        </is>
      </c>
      <c r="E6627" t="inlineStr">
        <is>
          <t>DILM-9-10</t>
        </is>
      </c>
      <c r="F6627" t="inlineStr">
        <is>
          <t>#KALK!</t>
        </is>
      </c>
      <c r="G6627" t="inlineStr">
        <is>
          <t>LASTSCHUETZ</t>
        </is>
      </c>
      <c r="H6627" t="inlineStr">
        <is>
          <t>4kW 1S Federzugkl.</t>
        </is>
      </c>
      <c r="I6627">
        <v>203</v>
      </c>
      <c r="J6627">
        <f>GS79/302.6</f>
        <v>0</v>
      </c>
      <c r="M6627" t="inlineStr">
        <is>
          <t>-302Q[a+218].0</t>
        </is>
      </c>
    </row>
    <row r="6628">
      <c r="A6628">
        <v>6627</v>
      </c>
      <c r="B6628">
        <f>GS79</f>
        <v>0</v>
      </c>
      <c r="C6628" t="inlineStr">
        <is>
          <t>+LS[l1]</t>
        </is>
      </c>
      <c r="D6628" t="inlineStr">
        <is>
          <t>-302Q[a+218].0</t>
        </is>
      </c>
      <c r="E6628" t="inlineStr">
        <is>
          <t>DILM-9-10</t>
        </is>
      </c>
      <c r="F6628" t="inlineStr">
        <is>
          <t>#KALK!</t>
        </is>
      </c>
      <c r="G6628" t="inlineStr">
        <is>
          <t>LASTSCHUETZ</t>
        </is>
      </c>
      <c r="H6628" t="inlineStr">
        <is>
          <t>4kW 1S Federzugkl.</t>
        </is>
      </c>
      <c r="I6628">
        <v>174</v>
      </c>
      <c r="J6628">
        <f>GS79/302.6</f>
        <v>0</v>
      </c>
      <c r="M6628" t="inlineStr">
        <is>
          <t>-302Q[a+218].0</t>
        </is>
      </c>
    </row>
    <row r="6629">
      <c r="A6629">
        <v>6628</v>
      </c>
      <c r="B6629">
        <f>GS79</f>
        <v>0</v>
      </c>
      <c r="C6629" t="inlineStr">
        <is>
          <t>+LS[l1]</t>
        </is>
      </c>
      <c r="D6629" t="inlineStr">
        <is>
          <t>-302Q[a+218].0</t>
        </is>
      </c>
      <c r="E6629" t="inlineStr">
        <is>
          <t>DILM-9-10</t>
        </is>
      </c>
      <c r="F6629" t="inlineStr">
        <is>
          <t>#KALK!</t>
        </is>
      </c>
      <c r="G6629" t="inlineStr">
        <is>
          <t>LASTSCHUETZ</t>
        </is>
      </c>
      <c r="H6629" t="inlineStr">
        <is>
          <t>4kW 1S Federzugkl.</t>
        </is>
      </c>
      <c r="I6629">
        <v>270</v>
      </c>
      <c r="J6629">
        <f>GS79/302.6</f>
        <v>0</v>
      </c>
      <c r="M6629" t="inlineStr">
        <is>
          <t>-302Q[a+218].0</t>
        </is>
      </c>
    </row>
    <row r="6630">
      <c r="A6630">
        <v>6629</v>
      </c>
      <c r="B6630">
        <f>GS52</f>
        <v>0</v>
      </c>
      <c r="C6630" t="inlineStr">
        <is>
          <t>+LS04</t>
        </is>
      </c>
      <c r="D6630" t="inlineStr">
        <is>
          <t>-302Q1</t>
        </is>
      </c>
      <c r="E6630" t="inlineStr">
        <is>
          <t>DILA-XHIC31</t>
        </is>
      </c>
      <c r="F6630" t="inlineStr">
        <is>
          <t>DILA-XHIC31</t>
        </is>
      </c>
      <c r="G6630" t="inlineStr">
        <is>
          <t>HILFSKONTAKTBLOCK</t>
        </is>
      </c>
      <c r="H6630" t="inlineStr">
        <is>
          <t>3S 1OE Last+Hilfssch. Cage</t>
        </is>
      </c>
      <c r="I6630">
        <v>1724</v>
      </c>
      <c r="J6630">
        <f>GS52/302.4</f>
        <v>0</v>
      </c>
      <c r="M6630" t="inlineStr">
        <is>
          <t>-302Q1</t>
        </is>
      </c>
    </row>
    <row r="6631">
      <c r="A6631">
        <v>6630</v>
      </c>
      <c r="B6631">
        <f>GS13</f>
        <v>0</v>
      </c>
      <c r="C6631" t="inlineStr">
        <is>
          <t>+ES1</t>
        </is>
      </c>
      <c r="D6631" t="inlineStr">
        <is>
          <t>-303</t>
        </is>
      </c>
      <c r="E6631" t="inlineStr">
        <is>
          <t>DIL_ER-40-G</t>
        </is>
      </c>
      <c r="F6631" t="inlineStr">
        <is>
          <t>22_DIL-E</t>
        </is>
      </c>
      <c r="G6631" t="inlineStr">
        <is>
          <t>HILFSSCHUETZ</t>
        </is>
      </c>
      <c r="H6631" t="inlineStr">
        <is>
          <t>4S</t>
        </is>
      </c>
      <c r="I6631">
        <v>260</v>
      </c>
      <c r="J6631">
        <f>GS13/30.7</f>
        <v>0</v>
      </c>
      <c r="M6631" t="inlineStr">
        <is>
          <t>-303</t>
        </is>
      </c>
    </row>
    <row r="6632">
      <c r="A6632">
        <v>6631</v>
      </c>
      <c r="B6632">
        <f>GS13</f>
        <v>0</v>
      </c>
      <c r="C6632" t="inlineStr">
        <is>
          <t>+ES1</t>
        </is>
      </c>
      <c r="D6632" t="inlineStr">
        <is>
          <t>-303</t>
        </is>
      </c>
      <c r="E6632" t="inlineStr">
        <is>
          <t>22_DIL-E</t>
        </is>
      </c>
      <c r="F6632" t="inlineStr">
        <is>
          <t>22_DIL-E</t>
        </is>
      </c>
      <c r="G6632" t="inlineStr">
        <is>
          <t>HILFSKONTAKTBLOCK</t>
        </is>
      </c>
      <c r="H6632" t="inlineStr">
        <is>
          <t>2S 2OE Last+Hilfsschuetz</t>
        </is>
      </c>
      <c r="I6632">
        <v>260</v>
      </c>
      <c r="J6632">
        <f>GS13/30.7</f>
        <v>0</v>
      </c>
      <c r="M6632" t="inlineStr">
        <is>
          <t>-303</t>
        </is>
      </c>
    </row>
    <row r="6633">
      <c r="A6633">
        <v>6632</v>
      </c>
      <c r="B6633">
        <f>GS11</f>
        <v>0</v>
      </c>
      <c r="C6633" t="inlineStr">
        <is>
          <t>+LS7</t>
        </is>
      </c>
      <c r="D6633" t="inlineStr">
        <is>
          <t>-303K18.3</t>
        </is>
      </c>
      <c r="E6633" t="inlineStr">
        <is>
          <t>DIL_EM-10-G</t>
        </is>
      </c>
      <c r="F6633" t="inlineStr">
        <is>
          <t>#KALK!</t>
        </is>
      </c>
      <c r="G6633" t="inlineStr">
        <is>
          <t>LASTSCHUETZ</t>
        </is>
      </c>
      <c r="H6633" t="inlineStr">
        <is>
          <t>4kW 1S</t>
        </is>
      </c>
      <c r="I6633">
        <v>408</v>
      </c>
      <c r="J6633">
        <f>GS11/303.7</f>
        <v>0</v>
      </c>
      <c r="M6633" t="inlineStr">
        <is>
          <t>-303K18.3</t>
        </is>
      </c>
    </row>
    <row r="6634">
      <c r="A6634">
        <v>6633</v>
      </c>
      <c r="B6634">
        <f>GS21</f>
        <v>0</v>
      </c>
      <c r="C6634" t="inlineStr">
        <is>
          <t>+LS7</t>
        </is>
      </c>
      <c r="D6634" t="inlineStr">
        <is>
          <t>-303K18.3</t>
        </is>
      </c>
      <c r="E6634" t="inlineStr">
        <is>
          <t>DIL_EM-10-G</t>
        </is>
      </c>
      <c r="F6634" t="inlineStr">
        <is>
          <t>#KALK!</t>
        </is>
      </c>
      <c r="G6634" t="inlineStr">
        <is>
          <t>LASTSCHUETZ</t>
        </is>
      </c>
      <c r="H6634" t="inlineStr">
        <is>
          <t>4kW 1S</t>
        </is>
      </c>
      <c r="I6634">
        <v>391</v>
      </c>
      <c r="J6634">
        <f>GS21/303.7</f>
        <v>0</v>
      </c>
      <c r="M6634" t="inlineStr">
        <is>
          <t>-303K18.3</t>
        </is>
      </c>
    </row>
    <row r="6635">
      <c r="A6635">
        <v>6634</v>
      </c>
      <c r="B6635">
        <f>GS31</f>
        <v>0</v>
      </c>
      <c r="C6635" t="inlineStr">
        <is>
          <t>+LS5</t>
        </is>
      </c>
      <c r="D6635" t="inlineStr">
        <is>
          <t>-303K3510.3</t>
        </is>
      </c>
      <c r="E6635" t="inlineStr">
        <is>
          <t>DIL_EM-10-G</t>
        </is>
      </c>
      <c r="F6635" t="inlineStr">
        <is>
          <t>#KALK!</t>
        </is>
      </c>
      <c r="G6635" t="inlineStr">
        <is>
          <t>LASTSCHUETZ</t>
        </is>
      </c>
      <c r="H6635" t="inlineStr">
        <is>
          <t>4kW 1S</t>
        </is>
      </c>
      <c r="I6635">
        <v>594</v>
      </c>
      <c r="J6635">
        <f>GS31/303.7</f>
        <v>0</v>
      </c>
      <c r="M6635" t="inlineStr">
        <is>
          <t>-303K3510.3</t>
        </is>
      </c>
    </row>
    <row r="6636">
      <c r="A6636">
        <v>6635</v>
      </c>
      <c r="B6636">
        <f>GS16</f>
        <v>0</v>
      </c>
      <c r="C6636" t="inlineStr">
        <is>
          <t>+LS5</t>
        </is>
      </c>
      <c r="D6636" t="inlineStr">
        <is>
          <t>-303K3757.3</t>
        </is>
      </c>
      <c r="E6636" t="inlineStr">
        <is>
          <t>DIL_EM-10-G</t>
        </is>
      </c>
      <c r="F6636" t="inlineStr">
        <is>
          <t>#KALK!</t>
        </is>
      </c>
      <c r="G6636" t="inlineStr">
        <is>
          <t>LASTSCHUETZ</t>
        </is>
      </c>
      <c r="H6636" t="inlineStr">
        <is>
          <t>4kW 1S</t>
        </is>
      </c>
      <c r="I6636">
        <v>531</v>
      </c>
      <c r="J6636">
        <f>GS16/303.7</f>
        <v>0</v>
      </c>
      <c r="M6636" t="inlineStr">
        <is>
          <t>-303K3757.3</t>
        </is>
      </c>
    </row>
    <row r="6637">
      <c r="A6637">
        <v>6636</v>
      </c>
      <c r="B6637">
        <f>GC22</f>
        <v>0</v>
      </c>
      <c r="C6637" t="inlineStr">
        <is>
          <t>+LS4</t>
        </is>
      </c>
      <c r="D6637" t="inlineStr">
        <is>
          <t>-303K39.3</t>
        </is>
      </c>
      <c r="E6637" t="inlineStr">
        <is>
          <t>DIL_EM-10-G</t>
        </is>
      </c>
      <c r="F6637" t="inlineStr">
        <is>
          <t>#KALK!</t>
        </is>
      </c>
      <c r="G6637" t="inlineStr">
        <is>
          <t>LASTSCHUETZ</t>
        </is>
      </c>
      <c r="H6637" t="inlineStr">
        <is>
          <t>4kW 1S</t>
        </is>
      </c>
      <c r="I6637">
        <v>2277</v>
      </c>
      <c r="J6637">
        <f>GC22/303.7</f>
        <v>0</v>
      </c>
      <c r="M6637" t="inlineStr">
        <is>
          <t>-303K39.3</t>
        </is>
      </c>
    </row>
    <row r="6638">
      <c r="A6638">
        <v>6637</v>
      </c>
      <c r="B6638">
        <f>GS12</f>
        <v>0</v>
      </c>
      <c r="C6638" t="inlineStr">
        <is>
          <t>+LS4</t>
        </is>
      </c>
      <c r="D6638" t="inlineStr">
        <is>
          <t>-303K39.3</t>
        </is>
      </c>
      <c r="E6638" t="inlineStr">
        <is>
          <t>DIL_EM-10-G</t>
        </is>
      </c>
      <c r="F6638" t="inlineStr">
        <is>
          <t>#KALK!</t>
        </is>
      </c>
      <c r="G6638" t="inlineStr">
        <is>
          <t>LASTSCHUETZ</t>
        </is>
      </c>
      <c r="H6638" t="inlineStr">
        <is>
          <t>4kW 1S</t>
        </is>
      </c>
      <c r="I6638">
        <v>435</v>
      </c>
      <c r="J6638">
        <f>GS12/303.7</f>
        <v>0</v>
      </c>
      <c r="M6638" t="inlineStr">
        <is>
          <t>-303K39.3</t>
        </is>
      </c>
    </row>
    <row r="6639">
      <c r="A6639">
        <v>6638</v>
      </c>
      <c r="B6639">
        <f>GS04</f>
        <v>0</v>
      </c>
      <c r="C6639" t="inlineStr">
        <is>
          <t>+LS7</t>
        </is>
      </c>
      <c r="D6639" t="inlineStr">
        <is>
          <t>-303K66.2</t>
        </is>
      </c>
      <c r="E6639" t="inlineStr">
        <is>
          <t>DIL_EM-10-G</t>
        </is>
      </c>
      <c r="F6639" t="inlineStr">
        <is>
          <t>#KALK!</t>
        </is>
      </c>
      <c r="G6639" t="inlineStr">
        <is>
          <t>LASTSCHUETZ</t>
        </is>
      </c>
      <c r="H6639" t="inlineStr">
        <is>
          <t>4kW 1S</t>
        </is>
      </c>
      <c r="I6639">
        <v>554</v>
      </c>
      <c r="J6639">
        <f>GS04/303.6</f>
        <v>0</v>
      </c>
      <c r="M6639" t="inlineStr">
        <is>
          <t>-303K66.2</t>
        </is>
      </c>
    </row>
    <row r="6640">
      <c r="A6640">
        <v>6639</v>
      </c>
      <c r="B6640">
        <f>GS04</f>
        <v>0</v>
      </c>
      <c r="C6640" t="inlineStr">
        <is>
          <t>+LS7</t>
        </is>
      </c>
      <c r="D6640" t="inlineStr">
        <is>
          <t>-303K66.3</t>
        </is>
      </c>
      <c r="E6640" t="inlineStr">
        <is>
          <t>DIL_EM-10-G</t>
        </is>
      </c>
      <c r="F6640" t="inlineStr">
        <is>
          <t>#KALK!</t>
        </is>
      </c>
      <c r="G6640" t="inlineStr">
        <is>
          <t>LASTSCHUETZ</t>
        </is>
      </c>
      <c r="H6640" t="inlineStr">
        <is>
          <t>4kW 1S</t>
        </is>
      </c>
      <c r="I6640">
        <v>554</v>
      </c>
      <c r="J6640">
        <f>GS04/303.6</f>
        <v>0</v>
      </c>
      <c r="M6640" t="inlineStr">
        <is>
          <t>-303K66.3</t>
        </is>
      </c>
    </row>
    <row r="6641">
      <c r="A6641">
        <v>6640</v>
      </c>
      <c r="B6641">
        <f>GS37</f>
        <v>0</v>
      </c>
      <c r="C6641" t="inlineStr">
        <is>
          <t>+LS06</t>
        </is>
      </c>
      <c r="D6641" t="inlineStr">
        <is>
          <t>-303Q107.4</t>
        </is>
      </c>
      <c r="E6641" t="inlineStr">
        <is>
          <t>DILM-9-10</t>
        </is>
      </c>
      <c r="F6641" t="inlineStr">
        <is>
          <t>#KALK!</t>
        </is>
      </c>
      <c r="G6641" t="inlineStr">
        <is>
          <t>LASTSCHUETZ</t>
        </is>
      </c>
      <c r="H6641" t="inlineStr">
        <is>
          <t>4kW 1S Federzugkl.</t>
        </is>
      </c>
      <c r="I6641">
        <v>451</v>
      </c>
      <c r="J6641">
        <f>GS37/303.6</f>
        <v>0</v>
      </c>
      <c r="M6641" t="inlineStr">
        <is>
          <t>-303Q107.4</t>
        </is>
      </c>
    </row>
    <row r="6642">
      <c r="A6642">
        <v>6641</v>
      </c>
      <c r="B6642">
        <f>GS13</f>
        <v>0</v>
      </c>
      <c r="C6642" t="inlineStr">
        <is>
          <t>+ES1</t>
        </is>
      </c>
      <c r="D6642" t="inlineStr">
        <is>
          <t>-304</t>
        </is>
      </c>
      <c r="E6642" t="inlineStr">
        <is>
          <t>DIL_ER-40-G</t>
        </is>
      </c>
      <c r="F6642" t="inlineStr">
        <is>
          <t>22_DIL-E</t>
        </is>
      </c>
      <c r="G6642" t="inlineStr">
        <is>
          <t>HILFSSCHUETZ</t>
        </is>
      </c>
      <c r="H6642" t="inlineStr">
        <is>
          <t>4S</t>
        </is>
      </c>
      <c r="I6642">
        <v>260</v>
      </c>
      <c r="J6642">
        <f>GS13/30.8</f>
        <v>0</v>
      </c>
      <c r="M6642" t="inlineStr">
        <is>
          <t>-304</t>
        </is>
      </c>
    </row>
    <row r="6643">
      <c r="A6643">
        <v>6642</v>
      </c>
      <c r="B6643">
        <f>GS13</f>
        <v>0</v>
      </c>
      <c r="C6643" t="inlineStr">
        <is>
          <t>+ES1</t>
        </is>
      </c>
      <c r="D6643" t="inlineStr">
        <is>
          <t>-304</t>
        </is>
      </c>
      <c r="E6643" t="inlineStr">
        <is>
          <t>22_DIL-E</t>
        </is>
      </c>
      <c r="F6643" t="inlineStr">
        <is>
          <t>22_DIL-E</t>
        </is>
      </c>
      <c r="G6643" t="inlineStr">
        <is>
          <t>HILFSKONTAKTBLOCK</t>
        </is>
      </c>
      <c r="H6643" t="inlineStr">
        <is>
          <t>2S 2OE Last+Hilfsschuetz</t>
        </is>
      </c>
      <c r="I6643">
        <v>260</v>
      </c>
      <c r="J6643">
        <f>GS13/30.8</f>
        <v>0</v>
      </c>
      <c r="M6643" t="inlineStr">
        <is>
          <t>-304</t>
        </is>
      </c>
    </row>
    <row r="6644">
      <c r="A6644">
        <v>6643</v>
      </c>
      <c r="B6644">
        <f>GS11</f>
        <v>0</v>
      </c>
      <c r="C6644" t="inlineStr">
        <is>
          <t>+LS7</t>
        </is>
      </c>
      <c r="D6644" t="inlineStr">
        <is>
          <t>-304K18.7</t>
        </is>
      </c>
      <c r="E6644" t="inlineStr">
        <is>
          <t>DIL_EM-10-G</t>
        </is>
      </c>
      <c r="F6644" t="inlineStr">
        <is>
          <t>#KALK!</t>
        </is>
      </c>
      <c r="G6644" t="inlineStr">
        <is>
          <t>LASTSCHUETZ</t>
        </is>
      </c>
      <c r="H6644" t="inlineStr">
        <is>
          <t>4kW 1S</t>
        </is>
      </c>
      <c r="I6644">
        <v>409</v>
      </c>
      <c r="J6644">
        <f>GS11/304.7</f>
        <v>0</v>
      </c>
      <c r="M6644" t="inlineStr">
        <is>
          <t>-304K18.7</t>
        </is>
      </c>
    </row>
    <row r="6645">
      <c r="A6645">
        <v>6644</v>
      </c>
      <c r="B6645">
        <f>GS21</f>
        <v>0</v>
      </c>
      <c r="C6645" t="inlineStr">
        <is>
          <t>+LS7</t>
        </is>
      </c>
      <c r="D6645" t="inlineStr">
        <is>
          <t>-304K18.7</t>
        </is>
      </c>
      <c r="E6645" t="inlineStr">
        <is>
          <t>DIL_EM-10-G</t>
        </is>
      </c>
      <c r="F6645" t="inlineStr">
        <is>
          <t>#KALK!</t>
        </is>
      </c>
      <c r="G6645" t="inlineStr">
        <is>
          <t>LASTSCHUETZ</t>
        </is>
      </c>
      <c r="H6645" t="inlineStr">
        <is>
          <t>4kW 1S</t>
        </is>
      </c>
      <c r="I6645">
        <v>392</v>
      </c>
      <c r="J6645">
        <f>GS21/304.7</f>
        <v>0</v>
      </c>
      <c r="M6645" t="inlineStr">
        <is>
          <t>-304K18.7</t>
        </is>
      </c>
    </row>
    <row r="6646">
      <c r="A6646">
        <v>6645</v>
      </c>
      <c r="B6646">
        <f>GS14</f>
        <v>0</v>
      </c>
      <c r="C6646" t="inlineStr">
        <is>
          <t>+LS6</t>
        </is>
      </c>
      <c r="D6646" t="inlineStr">
        <is>
          <t>-304K20.0</t>
        </is>
      </c>
      <c r="E6646" t="inlineStr">
        <is>
          <t>DIL_EM-10-G</t>
        </is>
      </c>
      <c r="F6646" t="inlineStr">
        <is>
          <t>#KALK!</t>
        </is>
      </c>
      <c r="G6646" t="inlineStr">
        <is>
          <t>LASTSCHUETZ</t>
        </is>
      </c>
      <c r="H6646" t="inlineStr">
        <is>
          <t>4kW 1S</t>
        </is>
      </c>
      <c r="I6646">
        <v>433</v>
      </c>
      <c r="J6646">
        <f>GS14/304.6</f>
        <v>0</v>
      </c>
      <c r="M6646" t="inlineStr">
        <is>
          <t>-304K20.0</t>
        </is>
      </c>
    </row>
    <row r="6647">
      <c r="A6647">
        <v>6646</v>
      </c>
      <c r="B6647">
        <f>GS14</f>
        <v>0</v>
      </c>
      <c r="C6647" t="inlineStr">
        <is>
          <t>+LS6</t>
        </is>
      </c>
      <c r="D6647" t="inlineStr">
        <is>
          <t>-304K20.1</t>
        </is>
      </c>
      <c r="E6647" t="inlineStr">
        <is>
          <t>DIL_EM-10-G</t>
        </is>
      </c>
      <c r="F6647" t="inlineStr">
        <is>
          <t>#KALK!</t>
        </is>
      </c>
      <c r="G6647" t="inlineStr">
        <is>
          <t>LASTSCHUETZ</t>
        </is>
      </c>
      <c r="H6647" t="inlineStr">
        <is>
          <t>4kW 1S</t>
        </is>
      </c>
      <c r="I6647">
        <v>433</v>
      </c>
      <c r="J6647">
        <f>GS14/304.6</f>
        <v>0</v>
      </c>
      <c r="M6647" t="inlineStr">
        <is>
          <t>-304K20.1</t>
        </is>
      </c>
    </row>
    <row r="6648">
      <c r="A6648">
        <v>6647</v>
      </c>
      <c r="B6648">
        <f>GS31</f>
        <v>0</v>
      </c>
      <c r="C6648" t="inlineStr">
        <is>
          <t>+LS5</t>
        </is>
      </c>
      <c r="D6648" t="inlineStr">
        <is>
          <t>-304K3515.3</t>
        </is>
      </c>
      <c r="E6648" t="inlineStr">
        <is>
          <t>DIL_EM-10-G</t>
        </is>
      </c>
      <c r="F6648" t="inlineStr">
        <is>
          <t>#KALK!</t>
        </is>
      </c>
      <c r="G6648" t="inlineStr">
        <is>
          <t>LASTSCHUETZ</t>
        </is>
      </c>
      <c r="H6648" t="inlineStr">
        <is>
          <t>4kW 1S</t>
        </is>
      </c>
      <c r="I6648">
        <v>595</v>
      </c>
      <c r="J6648">
        <f>GS31/304.7</f>
        <v>0</v>
      </c>
      <c r="M6648" t="inlineStr">
        <is>
          <t>-304K3515.3</t>
        </is>
      </c>
    </row>
    <row r="6649">
      <c r="A6649">
        <v>6648</v>
      </c>
      <c r="B6649">
        <f>GS16</f>
        <v>0</v>
      </c>
      <c r="C6649" t="inlineStr">
        <is>
          <t>+LS5</t>
        </is>
      </c>
      <c r="D6649" t="inlineStr">
        <is>
          <t>-304K3757.6</t>
        </is>
      </c>
      <c r="E6649" t="inlineStr">
        <is>
          <t>DIL_EM-01-G</t>
        </is>
      </c>
      <c r="F6649" t="inlineStr">
        <is>
          <t>#KALK!</t>
        </is>
      </c>
      <c r="G6649" t="inlineStr">
        <is>
          <t>LASTSCHUETZ</t>
        </is>
      </c>
      <c r="H6649" t="inlineStr">
        <is>
          <t>4kW 1OE</t>
        </is>
      </c>
      <c r="I6649">
        <v>532</v>
      </c>
      <c r="J6649">
        <f>GS16/304.6</f>
        <v>0</v>
      </c>
      <c r="M6649" t="inlineStr">
        <is>
          <t>-304K3757.6</t>
        </is>
      </c>
    </row>
    <row r="6650">
      <c r="A6650">
        <v>6649</v>
      </c>
      <c r="B6650">
        <f>GS16</f>
        <v>0</v>
      </c>
      <c r="C6650" t="inlineStr">
        <is>
          <t>+LS5</t>
        </is>
      </c>
      <c r="D6650" t="inlineStr">
        <is>
          <t>-304K3757.7</t>
        </is>
      </c>
      <c r="E6650" t="inlineStr">
        <is>
          <t>DIL_EM-01-G</t>
        </is>
      </c>
      <c r="F6650" t="inlineStr">
        <is>
          <t>#KALK!</t>
        </is>
      </c>
      <c r="G6650" t="inlineStr">
        <is>
          <t>LASTSCHUETZ</t>
        </is>
      </c>
      <c r="H6650" t="inlineStr">
        <is>
          <t>4kW 1OE</t>
        </is>
      </c>
      <c r="I6650">
        <v>532</v>
      </c>
      <c r="J6650">
        <f>GS16/304.6</f>
        <v>0</v>
      </c>
      <c r="M6650" t="inlineStr">
        <is>
          <t>-304K3757.7</t>
        </is>
      </c>
    </row>
    <row r="6651">
      <c r="A6651">
        <v>6650</v>
      </c>
      <c r="B6651">
        <f>GC22</f>
        <v>0</v>
      </c>
      <c r="C6651" t="inlineStr">
        <is>
          <t>+LS4</t>
        </is>
      </c>
      <c r="D6651" t="inlineStr">
        <is>
          <t>-304K39.4</t>
        </is>
      </c>
      <c r="E6651" t="inlineStr">
        <is>
          <t>DILM-9-01</t>
        </is>
      </c>
      <c r="F6651" t="inlineStr">
        <is>
          <t>#KALK!</t>
        </is>
      </c>
      <c r="G6651" t="inlineStr">
        <is>
          <t>LASTSCHUETZ</t>
        </is>
      </c>
      <c r="H6651" t="inlineStr">
        <is>
          <t>4kW 1Oe Federzugkl.</t>
        </is>
      </c>
      <c r="I6651">
        <v>2276</v>
      </c>
      <c r="J6651">
        <f>GC22/304.6</f>
        <v>0</v>
      </c>
      <c r="M6651" t="inlineStr">
        <is>
          <t>-304K39.4</t>
        </is>
      </c>
    </row>
    <row r="6652">
      <c r="A6652">
        <v>6651</v>
      </c>
      <c r="B6652">
        <f>GS12</f>
        <v>0</v>
      </c>
      <c r="C6652" t="inlineStr">
        <is>
          <t>+LS4</t>
        </is>
      </c>
      <c r="D6652" t="inlineStr">
        <is>
          <t>-304K39.4</t>
        </is>
      </c>
      <c r="E6652" t="inlineStr">
        <is>
          <t>DILM-9-01</t>
        </is>
      </c>
      <c r="F6652" t="inlineStr">
        <is>
          <t>#KALK!</t>
        </is>
      </c>
      <c r="G6652" t="inlineStr">
        <is>
          <t>LASTSCHUETZ</t>
        </is>
      </c>
      <c r="H6652" t="inlineStr">
        <is>
          <t>4kW 1Oe Federzugkl.</t>
        </is>
      </c>
      <c r="I6652">
        <v>436</v>
      </c>
      <c r="J6652">
        <f>GS12/304.6</f>
        <v>0</v>
      </c>
      <c r="M6652" t="inlineStr">
        <is>
          <t>-304K39.4</t>
        </is>
      </c>
    </row>
    <row r="6653">
      <c r="A6653">
        <v>6652</v>
      </c>
      <c r="B6653">
        <f>GC22</f>
        <v>0</v>
      </c>
      <c r="C6653" t="inlineStr">
        <is>
          <t>+LS4</t>
        </is>
      </c>
      <c r="D6653" t="inlineStr">
        <is>
          <t>-304K39.5</t>
        </is>
      </c>
      <c r="E6653" t="inlineStr">
        <is>
          <t>DIL_EM-10-G</t>
        </is>
      </c>
      <c r="F6653" t="inlineStr">
        <is>
          <t>#KALK!</t>
        </is>
      </c>
      <c r="G6653" t="inlineStr">
        <is>
          <t>LASTSCHUETZ</t>
        </is>
      </c>
      <c r="H6653" t="inlineStr">
        <is>
          <t>4kW 1S</t>
        </is>
      </c>
      <c r="I6653">
        <v>2276</v>
      </c>
      <c r="J6653">
        <f>GC22/304.7</f>
        <v>0</v>
      </c>
      <c r="M6653" t="inlineStr">
        <is>
          <t>-304K39.5</t>
        </is>
      </c>
    </row>
    <row r="6654">
      <c r="A6654">
        <v>6653</v>
      </c>
      <c r="B6654">
        <f>GS12</f>
        <v>0</v>
      </c>
      <c r="C6654" t="inlineStr">
        <is>
          <t>+LS4</t>
        </is>
      </c>
      <c r="D6654" t="inlineStr">
        <is>
          <t>-304K39.5</t>
        </is>
      </c>
      <c r="E6654" t="inlineStr">
        <is>
          <t>DIL_EM-10-G</t>
        </is>
      </c>
      <c r="F6654" t="inlineStr">
        <is>
          <t>#KALK!</t>
        </is>
      </c>
      <c r="G6654" t="inlineStr">
        <is>
          <t>LASTSCHUETZ</t>
        </is>
      </c>
      <c r="H6654" t="inlineStr">
        <is>
          <t>4kW 1S</t>
        </is>
      </c>
      <c r="I6654">
        <v>436</v>
      </c>
      <c r="J6654">
        <f>GS12/304.7</f>
        <v>0</v>
      </c>
      <c r="M6654" t="inlineStr">
        <is>
          <t>-304K39.5</t>
        </is>
      </c>
    </row>
    <row r="6655">
      <c r="A6655">
        <v>6654</v>
      </c>
      <c r="B6655">
        <f>GC22</f>
        <v>0</v>
      </c>
      <c r="C6655" t="inlineStr">
        <is>
          <t>+LS4</t>
        </is>
      </c>
      <c r="D6655" t="inlineStr">
        <is>
          <t>-304K40.7</t>
        </is>
      </c>
      <c r="E6655" t="inlineStr">
        <is>
          <t>DILM-9-01</t>
        </is>
      </c>
      <c r="F6655" t="inlineStr">
        <is>
          <t>#KALK!</t>
        </is>
      </c>
      <c r="G6655" t="inlineStr">
        <is>
          <t>LASTSCHUETZ</t>
        </is>
      </c>
      <c r="H6655" t="inlineStr">
        <is>
          <t>4kW 1Oe Federzugkl.</t>
        </is>
      </c>
      <c r="I6655">
        <v>2276</v>
      </c>
      <c r="J6655">
        <f>GC22/304.6</f>
        <v>0</v>
      </c>
      <c r="M6655" t="inlineStr">
        <is>
          <t>-304K40.7</t>
        </is>
      </c>
    </row>
    <row r="6656">
      <c r="A6656">
        <v>6655</v>
      </c>
      <c r="B6656">
        <f>GS12</f>
        <v>0</v>
      </c>
      <c r="C6656" t="inlineStr">
        <is>
          <t>+LS4</t>
        </is>
      </c>
      <c r="D6656" t="inlineStr">
        <is>
          <t>-304K40.7</t>
        </is>
      </c>
      <c r="E6656" t="inlineStr">
        <is>
          <t>DILM-9-01</t>
        </is>
      </c>
      <c r="F6656" t="inlineStr">
        <is>
          <t>#KALK!</t>
        </is>
      </c>
      <c r="G6656" t="inlineStr">
        <is>
          <t>LASTSCHUETZ</t>
        </is>
      </c>
      <c r="H6656" t="inlineStr">
        <is>
          <t>4kW 1Oe Federzugkl.</t>
        </is>
      </c>
      <c r="I6656">
        <v>436</v>
      </c>
      <c r="J6656">
        <f>GS12/304.6</f>
        <v>0</v>
      </c>
      <c r="M6656" t="inlineStr">
        <is>
          <t>-304K40.7</t>
        </is>
      </c>
    </row>
    <row r="6657">
      <c r="A6657">
        <v>6656</v>
      </c>
      <c r="B6657">
        <f>GS02</f>
        <v>0</v>
      </c>
      <c r="C6657" t="inlineStr">
        <is>
          <t>+LS6</t>
        </is>
      </c>
      <c r="D6657" t="inlineStr">
        <is>
          <t>-304K52.0</t>
        </is>
      </c>
      <c r="E6657" t="inlineStr">
        <is>
          <t>DIL_ER-22-G</t>
        </is>
      </c>
      <c r="F6657" t="inlineStr">
        <is>
          <t>#KALK!</t>
        </is>
      </c>
      <c r="G6657" t="inlineStr">
        <is>
          <t>HILFSSCHUETZ</t>
        </is>
      </c>
      <c r="H6657" t="inlineStr">
        <is>
          <t>2S 2OE</t>
        </is>
      </c>
      <c r="I6657">
        <v>710</v>
      </c>
      <c r="J6657">
        <f>GS02/304.5</f>
        <v>0</v>
      </c>
      <c r="M6657" t="inlineStr">
        <is>
          <t>-304K52.0</t>
        </is>
      </c>
    </row>
    <row r="6658">
      <c r="A6658">
        <v>6657</v>
      </c>
      <c r="B6658">
        <f>GS02</f>
        <v>0</v>
      </c>
      <c r="C6658" t="inlineStr">
        <is>
          <t>+LS6</t>
        </is>
      </c>
      <c r="D6658" t="inlineStr">
        <is>
          <t>-304K52.1</t>
        </is>
      </c>
      <c r="E6658" t="inlineStr">
        <is>
          <t>DIL_ER-22-G</t>
        </is>
      </c>
      <c r="F6658" t="inlineStr">
        <is>
          <t>#KALK!</t>
        </is>
      </c>
      <c r="G6658" t="inlineStr">
        <is>
          <t>HILFSSCHUETZ</t>
        </is>
      </c>
      <c r="H6658" t="inlineStr">
        <is>
          <t>2S 2OE</t>
        </is>
      </c>
      <c r="I6658">
        <v>710</v>
      </c>
      <c r="J6658">
        <f>GS02/304.6</f>
        <v>0</v>
      </c>
      <c r="M6658" t="inlineStr">
        <is>
          <t>-304K52.1</t>
        </is>
      </c>
    </row>
    <row r="6659">
      <c r="A6659">
        <v>6658</v>
      </c>
      <c r="B6659">
        <f>GS02</f>
        <v>0</v>
      </c>
      <c r="C6659" t="inlineStr">
        <is>
          <t>+LS6</t>
        </is>
      </c>
      <c r="D6659" t="inlineStr">
        <is>
          <t>-304K52.2</t>
        </is>
      </c>
      <c r="E6659" t="inlineStr">
        <is>
          <t>DIL_ER-22-G</t>
        </is>
      </c>
      <c r="F6659" t="inlineStr">
        <is>
          <t>#KALK!</t>
        </is>
      </c>
      <c r="G6659" t="inlineStr">
        <is>
          <t>HILFSSCHUETZ</t>
        </is>
      </c>
      <c r="H6659" t="inlineStr">
        <is>
          <t>2S 2OE</t>
        </is>
      </c>
      <c r="I6659">
        <v>710</v>
      </c>
      <c r="J6659">
        <f>GS02/304.7</f>
        <v>0</v>
      </c>
      <c r="M6659" t="inlineStr">
        <is>
          <t>-304K52.2</t>
        </is>
      </c>
    </row>
    <row r="6660">
      <c r="A6660">
        <v>6659</v>
      </c>
      <c r="B6660">
        <f>GS02</f>
        <v>0</v>
      </c>
      <c r="C6660" t="inlineStr">
        <is>
          <t>+LS6</t>
        </is>
      </c>
      <c r="D6660" t="inlineStr">
        <is>
          <t>-304K52.4</t>
        </is>
      </c>
      <c r="E6660" t="inlineStr">
        <is>
          <t>DIL_EM-10-G</t>
        </is>
      </c>
      <c r="F6660" t="inlineStr">
        <is>
          <t>#KALK!</t>
        </is>
      </c>
      <c r="G6660" t="inlineStr">
        <is>
          <t>LASTSCHUETZ</t>
        </is>
      </c>
      <c r="H6660" t="inlineStr">
        <is>
          <t>4kW 1S</t>
        </is>
      </c>
      <c r="I6660">
        <v>710</v>
      </c>
      <c r="J6660">
        <f>GS02/304.7</f>
        <v>0</v>
      </c>
      <c r="M6660" t="inlineStr">
        <is>
          <t>-304K52.4</t>
        </is>
      </c>
    </row>
    <row r="6661">
      <c r="A6661">
        <v>6660</v>
      </c>
      <c r="B6661">
        <f>GS04</f>
        <v>0</v>
      </c>
      <c r="C6661" t="inlineStr">
        <is>
          <t>+LS7</t>
        </is>
      </c>
      <c r="D6661" t="inlineStr">
        <is>
          <t>-304K67.1</t>
        </is>
      </c>
      <c r="E6661" t="inlineStr">
        <is>
          <t>DIL_EM-10-G</t>
        </is>
      </c>
      <c r="F6661" t="inlineStr">
        <is>
          <t>#KALK!</t>
        </is>
      </c>
      <c r="G6661" t="inlineStr">
        <is>
          <t>LASTSCHUETZ</t>
        </is>
      </c>
      <c r="H6661" t="inlineStr">
        <is>
          <t>4kW 1S</t>
        </is>
      </c>
      <c r="I6661">
        <v>555</v>
      </c>
      <c r="J6661">
        <f>GS04/304.7</f>
        <v>0</v>
      </c>
      <c r="M6661" t="inlineStr">
        <is>
          <t>-304K67.1</t>
        </is>
      </c>
    </row>
    <row r="6662">
      <c r="A6662">
        <v>6661</v>
      </c>
      <c r="B6662">
        <f>GC03</f>
        <v>0</v>
      </c>
      <c r="C6662" t="inlineStr">
        <is>
          <t>+LS8</t>
        </is>
      </c>
      <c r="D6662" t="inlineStr">
        <is>
          <t>-305K1</t>
        </is>
      </c>
      <c r="E6662" t="inlineStr">
        <is>
          <t>22_DIL-M</t>
        </is>
      </c>
      <c r="F6662" t="inlineStr">
        <is>
          <t>22_DIL-M</t>
        </is>
      </c>
      <c r="G6662" t="inlineStr">
        <is>
          <t>HILFSKONTAKTBLOCK</t>
        </is>
      </c>
      <c r="H6662" t="inlineStr">
        <is>
          <t>2S 2OE Lastschuetz DIL M</t>
        </is>
      </c>
      <c r="I6662">
        <v>3489</v>
      </c>
      <c r="J6662">
        <f>GC03/305.2</f>
        <v>0</v>
      </c>
      <c r="K6662" t="inlineStr">
        <is>
          <t>DIL0AM</t>
        </is>
      </c>
      <c r="M6662" t="inlineStr">
        <is>
          <t>-305K1</t>
        </is>
      </c>
    </row>
    <row r="6663">
      <c r="A6663">
        <v>6662</v>
      </c>
      <c r="B6663">
        <f>GC03</f>
        <v>0</v>
      </c>
      <c r="C6663" t="inlineStr">
        <is>
          <t>+LS8</t>
        </is>
      </c>
      <c r="D6663" t="inlineStr">
        <is>
          <t>-305K1</t>
        </is>
      </c>
      <c r="E6663" t="inlineStr">
        <is>
          <t>DIL_0AM</t>
        </is>
      </c>
      <c r="F6663" t="inlineStr">
        <is>
          <t>22_DIL-M</t>
        </is>
      </c>
      <c r="G6663" t="inlineStr">
        <is>
          <t>LASTSCHUETZ</t>
        </is>
      </c>
      <c r="H6663" t="inlineStr">
        <is>
          <t>11 kW</t>
        </is>
      </c>
      <c r="I6663">
        <v>3489</v>
      </c>
      <c r="J6663">
        <f>GC03/305.2</f>
        <v>0</v>
      </c>
      <c r="K6663" t="inlineStr">
        <is>
          <t>DIL0AM</t>
        </is>
      </c>
      <c r="M6663" t="inlineStr">
        <is>
          <t>-305K1</t>
        </is>
      </c>
    </row>
    <row r="6664">
      <c r="A6664">
        <v>6663</v>
      </c>
      <c r="B6664">
        <f>GS13</f>
        <v>0</v>
      </c>
      <c r="C6664" t="inlineStr">
        <is>
          <t>+LS6</t>
        </is>
      </c>
      <c r="D6664" t="inlineStr">
        <is>
          <t>-305K1</t>
        </is>
      </c>
      <c r="E6664" t="inlineStr">
        <is>
          <t>DIL_0AM</t>
        </is>
      </c>
      <c r="F6664" t="inlineStr">
        <is>
          <t>22_DIL-M</t>
        </is>
      </c>
      <c r="G6664" t="inlineStr">
        <is>
          <t>LASTSCHUETZ</t>
        </is>
      </c>
      <c r="H6664" t="inlineStr">
        <is>
          <t>11 kW</t>
        </is>
      </c>
      <c r="I6664">
        <v>548</v>
      </c>
      <c r="J6664">
        <f>GS13/305.2</f>
        <v>0</v>
      </c>
      <c r="K6664" t="inlineStr">
        <is>
          <t>DIL0AM</t>
        </is>
      </c>
      <c r="M6664" t="inlineStr">
        <is>
          <t>-305K1</t>
        </is>
      </c>
    </row>
    <row r="6665">
      <c r="A6665">
        <v>6664</v>
      </c>
      <c r="B6665">
        <f>GS13</f>
        <v>0</v>
      </c>
      <c r="C6665" t="inlineStr">
        <is>
          <t>+LS6</t>
        </is>
      </c>
      <c r="D6665" t="inlineStr">
        <is>
          <t>-305K1</t>
        </is>
      </c>
      <c r="E6665" t="inlineStr">
        <is>
          <t>22_DIL-M</t>
        </is>
      </c>
      <c r="F6665" t="inlineStr">
        <is>
          <t>22_DIL-M</t>
        </is>
      </c>
      <c r="G6665" t="inlineStr">
        <is>
          <t>HILFSKONTAKTBLOCK</t>
        </is>
      </c>
      <c r="H6665" t="inlineStr">
        <is>
          <t>2S 2OE Lastschuetz DIL M</t>
        </is>
      </c>
      <c r="I6665">
        <v>548</v>
      </c>
      <c r="J6665">
        <f>GS13/305.2</f>
        <v>0</v>
      </c>
      <c r="K6665" t="inlineStr">
        <is>
          <t>DIL0AM</t>
        </is>
      </c>
      <c r="M6665" t="inlineStr">
        <is>
          <t>-305K1</t>
        </is>
      </c>
    </row>
    <row r="6666">
      <c r="A6666">
        <v>6665</v>
      </c>
      <c r="B6666">
        <f>GS23</f>
        <v>0</v>
      </c>
      <c r="C6666" t="inlineStr">
        <is>
          <t>+LS6</t>
        </is>
      </c>
      <c r="D6666" t="inlineStr">
        <is>
          <t>-305K1</t>
        </is>
      </c>
      <c r="E6666" t="inlineStr">
        <is>
          <t>22_DIL-M</t>
        </is>
      </c>
      <c r="F6666" t="inlineStr">
        <is>
          <t>22_DIL-M</t>
        </is>
      </c>
      <c r="G6666" t="inlineStr">
        <is>
          <t>HILFSKONTAKTBLOCK</t>
        </is>
      </c>
      <c r="H6666" t="inlineStr">
        <is>
          <t>2S 2OE Lastschuetz DIL M</t>
        </is>
      </c>
      <c r="I6666">
        <v>606</v>
      </c>
      <c r="J6666">
        <f>GS23/305.2</f>
        <v>0</v>
      </c>
      <c r="K6666" t="inlineStr">
        <is>
          <t>DIL0AM</t>
        </is>
      </c>
      <c r="M6666" t="inlineStr">
        <is>
          <t>-305K1</t>
        </is>
      </c>
    </row>
    <row r="6667">
      <c r="A6667">
        <v>6666</v>
      </c>
      <c r="B6667">
        <f>GS23</f>
        <v>0</v>
      </c>
      <c r="C6667" t="inlineStr">
        <is>
          <t>+LS6</t>
        </is>
      </c>
      <c r="D6667" t="inlineStr">
        <is>
          <t>-305K1</t>
        </is>
      </c>
      <c r="E6667" t="inlineStr">
        <is>
          <t>DIL_0AM</t>
        </is>
      </c>
      <c r="F6667" t="inlineStr">
        <is>
          <t>22_DIL-M</t>
        </is>
      </c>
      <c r="G6667" t="inlineStr">
        <is>
          <t>LASTSCHUETZ</t>
        </is>
      </c>
      <c r="H6667" t="inlineStr">
        <is>
          <t>11 kW</t>
        </is>
      </c>
      <c r="I6667">
        <v>606</v>
      </c>
      <c r="J6667">
        <f>GS23/305.2</f>
        <v>0</v>
      </c>
      <c r="K6667" t="inlineStr">
        <is>
          <t>DIL0AM</t>
        </is>
      </c>
      <c r="M6667" t="inlineStr">
        <is>
          <t>-305K1</t>
        </is>
      </c>
    </row>
    <row r="6668">
      <c r="A6668">
        <v>6667</v>
      </c>
      <c r="B6668">
        <f>GS25</f>
        <v>0</v>
      </c>
      <c r="C6668" t="inlineStr">
        <is>
          <t>+LS6</t>
        </is>
      </c>
      <c r="D6668" t="inlineStr">
        <is>
          <t>-305K1</t>
        </is>
      </c>
      <c r="E6668" t="inlineStr">
        <is>
          <t>DIL_0AM</t>
        </is>
      </c>
      <c r="F6668" t="inlineStr">
        <is>
          <t>22_DIL-M</t>
        </is>
      </c>
      <c r="G6668" t="inlineStr">
        <is>
          <t>LASTSCHUETZ</t>
        </is>
      </c>
      <c r="H6668" t="inlineStr">
        <is>
          <t>11 kW</t>
        </is>
      </c>
      <c r="I6668">
        <v>429</v>
      </c>
      <c r="J6668">
        <f>GS25/305.2</f>
        <v>0</v>
      </c>
      <c r="K6668" t="inlineStr">
        <is>
          <t>DIL0AM</t>
        </is>
      </c>
      <c r="M6668" t="inlineStr">
        <is>
          <t>-305K1</t>
        </is>
      </c>
    </row>
    <row r="6669">
      <c r="A6669">
        <v>6668</v>
      </c>
      <c r="B6669">
        <f>GS25</f>
        <v>0</v>
      </c>
      <c r="C6669" t="inlineStr">
        <is>
          <t>+LS6</t>
        </is>
      </c>
      <c r="D6669" t="inlineStr">
        <is>
          <t>-305K1</t>
        </is>
      </c>
      <c r="E6669" t="inlineStr">
        <is>
          <t>22_DIL-M</t>
        </is>
      </c>
      <c r="F6669" t="inlineStr">
        <is>
          <t>22_DIL-M</t>
        </is>
      </c>
      <c r="G6669" t="inlineStr">
        <is>
          <t>HILFSKONTAKTBLOCK</t>
        </is>
      </c>
      <c r="H6669" t="inlineStr">
        <is>
          <t>2S 2OE Lastschuetz DIL M</t>
        </is>
      </c>
      <c r="I6669">
        <v>429</v>
      </c>
      <c r="J6669">
        <f>GS25/305.2</f>
        <v>0</v>
      </c>
      <c r="K6669" t="inlineStr">
        <is>
          <t>DIL0AM</t>
        </is>
      </c>
      <c r="M6669" t="inlineStr">
        <is>
          <t>-305K1</t>
        </is>
      </c>
    </row>
    <row r="6670">
      <c r="A6670">
        <v>6669</v>
      </c>
      <c r="B6670">
        <f>GS32</f>
        <v>0</v>
      </c>
      <c r="C6670" t="inlineStr">
        <is>
          <t>+LS7</t>
        </is>
      </c>
      <c r="D6670" t="inlineStr">
        <is>
          <t>-305K1</t>
        </is>
      </c>
      <c r="E6670" t="inlineStr">
        <is>
          <t>22_DIL-M</t>
        </is>
      </c>
      <c r="F6670" t="inlineStr">
        <is>
          <t>22_DIL-M</t>
        </is>
      </c>
      <c r="G6670" t="inlineStr">
        <is>
          <t>HILFSKONTAKTBLOCK</t>
        </is>
      </c>
      <c r="H6670" t="inlineStr">
        <is>
          <t>2S 2OE Lastschuetz DIL M</t>
        </is>
      </c>
      <c r="I6670">
        <v>1302</v>
      </c>
      <c r="J6670">
        <f>GS32/305.2</f>
        <v>0</v>
      </c>
      <c r="K6670" t="inlineStr">
        <is>
          <t>DIL0AM</t>
        </is>
      </c>
      <c r="M6670" t="inlineStr">
        <is>
          <t>-305K1</t>
        </is>
      </c>
    </row>
    <row r="6671">
      <c r="A6671">
        <v>6670</v>
      </c>
      <c r="B6671">
        <f>GS32</f>
        <v>0</v>
      </c>
      <c r="C6671" t="inlineStr">
        <is>
          <t>+LS7</t>
        </is>
      </c>
      <c r="D6671" t="inlineStr">
        <is>
          <t>-305K1</t>
        </is>
      </c>
      <c r="E6671" t="inlineStr">
        <is>
          <t>DIL_0AM</t>
        </is>
      </c>
      <c r="F6671" t="inlineStr">
        <is>
          <t>22_DIL-M</t>
        </is>
      </c>
      <c r="G6671" t="inlineStr">
        <is>
          <t>LASTSCHUETZ</t>
        </is>
      </c>
      <c r="H6671" t="inlineStr">
        <is>
          <t>11 kW</t>
        </is>
      </c>
      <c r="I6671">
        <v>1302</v>
      </c>
      <c r="J6671">
        <f>GS32/305.2</f>
        <v>0</v>
      </c>
      <c r="K6671" t="inlineStr">
        <is>
          <t>DIL0AM</t>
        </is>
      </c>
      <c r="M6671" t="inlineStr">
        <is>
          <t>-305K1</t>
        </is>
      </c>
    </row>
    <row r="6672">
      <c r="A6672">
        <v>6671</v>
      </c>
      <c r="B6672">
        <f>GS34</f>
        <v>0</v>
      </c>
      <c r="C6672" t="inlineStr">
        <is>
          <t>+LS7</t>
        </is>
      </c>
      <c r="D6672" t="inlineStr">
        <is>
          <t>-305K1</t>
        </is>
      </c>
      <c r="E6672" t="inlineStr">
        <is>
          <t>22_DIL-M</t>
        </is>
      </c>
      <c r="F6672" t="inlineStr">
        <is>
          <t>22_DIL-M</t>
        </is>
      </c>
      <c r="G6672" t="inlineStr">
        <is>
          <t>HILFSKONTAKTBLOCK</t>
        </is>
      </c>
      <c r="H6672" t="inlineStr">
        <is>
          <t>2S 2OE Lastschuetz DIL M</t>
        </is>
      </c>
      <c r="I6672">
        <v>430</v>
      </c>
      <c r="J6672">
        <f>GS34/305.2</f>
        <v>0</v>
      </c>
      <c r="K6672" t="inlineStr">
        <is>
          <t>DIL2AM</t>
        </is>
      </c>
      <c r="M6672" t="inlineStr">
        <is>
          <t>-305K1</t>
        </is>
      </c>
    </row>
    <row r="6673">
      <c r="A6673">
        <v>6672</v>
      </c>
      <c r="B6673">
        <f>GS34</f>
        <v>0</v>
      </c>
      <c r="C6673" t="inlineStr">
        <is>
          <t>+LS7</t>
        </is>
      </c>
      <c r="D6673" t="inlineStr">
        <is>
          <t>-305K1</t>
        </is>
      </c>
      <c r="E6673" t="inlineStr">
        <is>
          <t>DIL_2AM</t>
        </is>
      </c>
      <c r="F6673" t="inlineStr">
        <is>
          <t>22_DIL-M</t>
        </is>
      </c>
      <c r="G6673" t="inlineStr">
        <is>
          <t>LASTSCHUETZ</t>
        </is>
      </c>
      <c r="H6673" t="inlineStr">
        <is>
          <t>30 kW</t>
        </is>
      </c>
      <c r="I6673">
        <v>430</v>
      </c>
      <c r="J6673">
        <f>GS34/305.2</f>
        <v>0</v>
      </c>
      <c r="K6673" t="inlineStr">
        <is>
          <t>DIL2AM</t>
        </is>
      </c>
      <c r="M6673" t="inlineStr">
        <is>
          <t>-305K1</t>
        </is>
      </c>
    </row>
    <row r="6674">
      <c r="A6674">
        <v>6673</v>
      </c>
      <c r="B6674">
        <f>GS36</f>
        <v>0</v>
      </c>
      <c r="C6674" t="inlineStr">
        <is>
          <t>+LS07</t>
        </is>
      </c>
      <c r="D6674" t="inlineStr">
        <is>
          <t>-315K413.0</t>
        </is>
      </c>
      <c r="E6674" t="inlineStr">
        <is>
          <t>DILA-40</t>
        </is>
      </c>
      <c r="F6674" t="inlineStr">
        <is>
          <t>#KALK!</t>
        </is>
      </c>
      <c r="G6674" t="inlineStr">
        <is>
          <t>HILFSSCHUETZ</t>
        </is>
      </c>
      <c r="H6674" t="inlineStr">
        <is>
          <t>4S Federzugkl.</t>
        </is>
      </c>
      <c r="I6674">
        <v>488</v>
      </c>
      <c r="J6674">
        <f>GS36/315.6</f>
        <v>0</v>
      </c>
      <c r="M6674" t="inlineStr">
        <is>
          <t>-315K413.0</t>
        </is>
      </c>
    </row>
    <row r="6675">
      <c r="A6675">
        <v>6674</v>
      </c>
      <c r="B6675">
        <f>GS79</f>
        <v>0</v>
      </c>
      <c r="C6675" t="inlineStr">
        <is>
          <t>+LS[l1]</t>
        </is>
      </c>
      <c r="D6675" t="inlineStr">
        <is>
          <t>-305K1</t>
        </is>
      </c>
      <c r="E6675" t="inlineStr">
        <is>
          <t>DILM-9-10</t>
        </is>
      </c>
      <c r="F6675" t="inlineStr">
        <is>
          <t>#ÜBERLAUF!</t>
        </is>
      </c>
      <c r="G6675" t="inlineStr">
        <is>
          <t>LASTSCHUETZ</t>
        </is>
      </c>
      <c r="H6675" t="inlineStr">
        <is>
          <t>4kW 1S Federzugkl.</t>
        </is>
      </c>
      <c r="I6675">
        <v>206</v>
      </c>
      <c r="J6675">
        <f>GS79/305.6</f>
        <v>0</v>
      </c>
      <c r="M6675" t="inlineStr">
        <is>
          <t>-305K1</t>
        </is>
      </c>
    </row>
    <row r="6676">
      <c r="A6676">
        <v>6675</v>
      </c>
      <c r="B6676">
        <f>GS79</f>
        <v>0</v>
      </c>
      <c r="C6676" t="inlineStr">
        <is>
          <t>+LS[l1]</t>
        </is>
      </c>
      <c r="D6676" t="inlineStr">
        <is>
          <t>-305K1</t>
        </is>
      </c>
      <c r="E6676" t="inlineStr">
        <is>
          <t>DILM-9-10</t>
        </is>
      </c>
      <c r="F6676" t="inlineStr">
        <is>
          <t>#ÜBERLAUF!</t>
        </is>
      </c>
      <c r="G6676" t="inlineStr">
        <is>
          <t>LASTSCHUETZ</t>
        </is>
      </c>
      <c r="H6676" t="inlineStr">
        <is>
          <t>4kW 1S Federzugkl.</t>
        </is>
      </c>
      <c r="I6676">
        <v>171</v>
      </c>
      <c r="J6676">
        <f>GS79/305.6</f>
        <v>0</v>
      </c>
      <c r="M6676" t="inlineStr">
        <is>
          <t>-305K1</t>
        </is>
      </c>
    </row>
    <row r="6677">
      <c r="A6677">
        <v>6676</v>
      </c>
      <c r="B6677">
        <f>GS79</f>
        <v>0</v>
      </c>
      <c r="C6677" t="inlineStr">
        <is>
          <t>+LS[l1]</t>
        </is>
      </c>
      <c r="D6677" t="inlineStr">
        <is>
          <t>-305K1</t>
        </is>
      </c>
      <c r="E6677" t="inlineStr">
        <is>
          <t>DILM-9-10</t>
        </is>
      </c>
      <c r="F6677" t="inlineStr">
        <is>
          <t>#ÜBERLAUF!</t>
        </is>
      </c>
      <c r="G6677" t="inlineStr">
        <is>
          <t>LASTSCHUETZ</t>
        </is>
      </c>
      <c r="H6677" t="inlineStr">
        <is>
          <t>4kW 1S Federzugkl.</t>
        </is>
      </c>
      <c r="I6677">
        <v>274</v>
      </c>
      <c r="J6677">
        <f>GS79/305.6</f>
        <v>0</v>
      </c>
      <c r="M6677" t="inlineStr">
        <is>
          <t>-305K1</t>
        </is>
      </c>
    </row>
    <row r="6678">
      <c r="A6678">
        <v>6677</v>
      </c>
      <c r="B6678">
        <f>GS79</f>
        <v>0</v>
      </c>
      <c r="C6678" t="inlineStr">
        <is>
          <t>+LS[l1]</t>
        </is>
      </c>
      <c r="D6678" t="inlineStr">
        <is>
          <t>-305K1</t>
        </is>
      </c>
      <c r="E6678" t="inlineStr">
        <is>
          <t>DILA-XHIC40</t>
        </is>
      </c>
      <c r="F6678" t="inlineStr">
        <is>
          <t>#ÜBERLAUF!</t>
        </is>
      </c>
      <c r="G6678" t="inlineStr">
        <is>
          <t>HILFSKONTAKTBLOCK</t>
        </is>
      </c>
      <c r="H6678" t="inlineStr">
        <is>
          <t>4S Last+Hilfssch. Cage</t>
        </is>
      </c>
      <c r="I6678">
        <v>274</v>
      </c>
      <c r="J6678">
        <f>GS79/305.6</f>
        <v>0</v>
      </c>
      <c r="M6678" t="inlineStr">
        <is>
          <t>-305K1</t>
        </is>
      </c>
    </row>
    <row r="6679">
      <c r="A6679">
        <v>6678</v>
      </c>
      <c r="B6679">
        <f>GS79</f>
        <v>0</v>
      </c>
      <c r="C6679" t="inlineStr">
        <is>
          <t>+LS[l1]</t>
        </is>
      </c>
      <c r="D6679" t="inlineStr">
        <is>
          <t>-305K1</t>
        </is>
      </c>
      <c r="E6679" t="inlineStr">
        <is>
          <t>DILA-XHIC40</t>
        </is>
      </c>
      <c r="F6679" t="inlineStr">
        <is>
          <t>#ÜBERLAUF!</t>
        </is>
      </c>
      <c r="G6679" t="inlineStr">
        <is>
          <t>HILFSKONTAKTBLOCK</t>
        </is>
      </c>
      <c r="H6679" t="inlineStr">
        <is>
          <t>4S Last+Hilfssch. Cage</t>
        </is>
      </c>
      <c r="I6679">
        <v>206</v>
      </c>
      <c r="J6679">
        <f>GS79/305.6</f>
        <v>0</v>
      </c>
      <c r="M6679" t="inlineStr">
        <is>
          <t>-305K1</t>
        </is>
      </c>
    </row>
    <row r="6680">
      <c r="A6680">
        <v>6679</v>
      </c>
      <c r="B6680">
        <f>GS79</f>
        <v>0</v>
      </c>
      <c r="C6680" t="inlineStr">
        <is>
          <t>+LS[l1]</t>
        </is>
      </c>
      <c r="D6680" t="inlineStr">
        <is>
          <t>-305K1</t>
        </is>
      </c>
      <c r="E6680" t="inlineStr">
        <is>
          <t>DILA-XHIC40</t>
        </is>
      </c>
      <c r="F6680" t="inlineStr">
        <is>
          <t>#ÜBERLAUF!</t>
        </is>
      </c>
      <c r="G6680" t="inlineStr">
        <is>
          <t>HILFSKONTAKTBLOCK</t>
        </is>
      </c>
      <c r="H6680" t="inlineStr">
        <is>
          <t>4S Last+Hilfssch. Cage</t>
        </is>
      </c>
      <c r="I6680">
        <v>171</v>
      </c>
      <c r="J6680">
        <f>GS79/305.6</f>
        <v>0</v>
      </c>
      <c r="M6680" t="inlineStr">
        <is>
          <t>-305K1</t>
        </is>
      </c>
    </row>
    <row r="6681">
      <c r="A6681">
        <v>6680</v>
      </c>
      <c r="B6681">
        <f>GS92</f>
        <v>0</v>
      </c>
      <c r="C6681" t="inlineStr">
        <is>
          <t>+LS05</t>
        </is>
      </c>
      <c r="D6681" t="inlineStr">
        <is>
          <t>-305K1320.0</t>
        </is>
      </c>
      <c r="E6681" t="inlineStr">
        <is>
          <t>DILA-40</t>
        </is>
      </c>
      <c r="F6681" t="inlineStr">
        <is>
          <t>#KALK!</t>
        </is>
      </c>
      <c r="G6681" t="inlineStr">
        <is>
          <t>HILFSSCHUETZ</t>
        </is>
      </c>
      <c r="H6681" t="inlineStr">
        <is>
          <t>4S Federzugkl.</t>
        </is>
      </c>
      <c r="I6681">
        <v>452</v>
      </c>
      <c r="J6681">
        <f>GS92/305.7</f>
        <v>0</v>
      </c>
      <c r="M6681" t="inlineStr">
        <is>
          <t>-305K1320.0</t>
        </is>
      </c>
    </row>
    <row r="6682">
      <c r="A6682">
        <v>6681</v>
      </c>
      <c r="B6682">
        <f>GS93</f>
        <v>0</v>
      </c>
      <c r="C6682" t="inlineStr">
        <is>
          <t>+LS05</t>
        </is>
      </c>
      <c r="D6682" t="inlineStr">
        <is>
          <t>-305K1320.0</t>
        </is>
      </c>
      <c r="E6682" t="inlineStr">
        <is>
          <t>DILA-40</t>
        </is>
      </c>
      <c r="F6682" t="inlineStr">
        <is>
          <t>#KALK!</t>
        </is>
      </c>
      <c r="G6682" t="inlineStr">
        <is>
          <t>HILFSSCHUETZ</t>
        </is>
      </c>
      <c r="H6682" t="inlineStr">
        <is>
          <t>4S Federzugkl.</t>
        </is>
      </c>
      <c r="I6682">
        <v>859</v>
      </c>
      <c r="J6682">
        <f>GS93/305.7</f>
        <v>0</v>
      </c>
      <c r="M6682" t="inlineStr">
        <is>
          <t>-305K1320.0</t>
        </is>
      </c>
    </row>
    <row r="6683">
      <c r="A6683">
        <v>6682</v>
      </c>
      <c r="B6683">
        <f>GS91</f>
        <v>0</v>
      </c>
      <c r="C6683" t="inlineStr">
        <is>
          <t>+LS04</t>
        </is>
      </c>
      <c r="D6683" t="inlineStr">
        <is>
          <t>-305K177.0</t>
        </is>
      </c>
      <c r="E6683" t="inlineStr">
        <is>
          <t>DILA-40</t>
        </is>
      </c>
      <c r="F6683" t="inlineStr">
        <is>
          <t>#KALK!</t>
        </is>
      </c>
      <c r="G6683" t="inlineStr">
        <is>
          <t>HILFSSCHUETZ</t>
        </is>
      </c>
      <c r="H6683" t="inlineStr">
        <is>
          <t>4S Federzugkl.</t>
        </is>
      </c>
      <c r="I6683">
        <v>453</v>
      </c>
      <c r="J6683">
        <f>GS91/305.7</f>
        <v>0</v>
      </c>
      <c r="M6683" t="inlineStr">
        <is>
          <t>-305K177.0</t>
        </is>
      </c>
    </row>
    <row r="6684">
      <c r="A6684">
        <v>6683</v>
      </c>
      <c r="B6684">
        <f>GS90</f>
        <v>0</v>
      </c>
      <c r="C6684" t="inlineStr">
        <is>
          <t>+LS05</t>
        </is>
      </c>
      <c r="D6684" t="inlineStr">
        <is>
          <t>-305K184.4</t>
        </is>
      </c>
      <c r="E6684" t="inlineStr">
        <is>
          <t>DILA-40</t>
        </is>
      </c>
      <c r="F6684" t="inlineStr">
        <is>
          <t>#KALK!</t>
        </is>
      </c>
      <c r="G6684" t="inlineStr">
        <is>
          <t>HILFSSCHUETZ</t>
        </is>
      </c>
      <c r="H6684" t="inlineStr">
        <is>
          <t>4S Federzugkl.</t>
        </is>
      </c>
      <c r="I6684">
        <v>936</v>
      </c>
      <c r="J6684">
        <f>GS90/305.7</f>
        <v>0</v>
      </c>
      <c r="M6684" t="inlineStr">
        <is>
          <t>-305K184.4</t>
        </is>
      </c>
    </row>
    <row r="6685">
      <c r="A6685">
        <v>6684</v>
      </c>
      <c r="B6685">
        <f>GS11</f>
        <v>0</v>
      </c>
      <c r="C6685" t="inlineStr">
        <is>
          <t>+LS7</t>
        </is>
      </c>
      <c r="D6685" t="inlineStr">
        <is>
          <t>-305K19.0</t>
        </is>
      </c>
      <c r="E6685" t="inlineStr">
        <is>
          <t>DIL_EM-10-G</t>
        </is>
      </c>
      <c r="F6685" t="inlineStr">
        <is>
          <t>#KALK!</t>
        </is>
      </c>
      <c r="G6685" t="inlineStr">
        <is>
          <t>LASTSCHUETZ</t>
        </is>
      </c>
      <c r="H6685" t="inlineStr">
        <is>
          <t>4kW 1S</t>
        </is>
      </c>
      <c r="I6685">
        <v>416</v>
      </c>
      <c r="J6685">
        <f>GS11/305.6</f>
        <v>0</v>
      </c>
      <c r="M6685" t="inlineStr">
        <is>
          <t>-305K19.0</t>
        </is>
      </c>
    </row>
    <row r="6686">
      <c r="A6686">
        <v>6685</v>
      </c>
      <c r="B6686">
        <f>GS21</f>
        <v>0</v>
      </c>
      <c r="C6686" t="inlineStr">
        <is>
          <t>+LS7</t>
        </is>
      </c>
      <c r="D6686" t="inlineStr">
        <is>
          <t>-305K19.0</t>
        </is>
      </c>
      <c r="E6686" t="inlineStr">
        <is>
          <t>DIL_EM-10-G</t>
        </is>
      </c>
      <c r="F6686" t="inlineStr">
        <is>
          <t>#KALK!</t>
        </is>
      </c>
      <c r="G6686" t="inlineStr">
        <is>
          <t>LASTSCHUETZ</t>
        </is>
      </c>
      <c r="H6686" t="inlineStr">
        <is>
          <t>4kW 1S</t>
        </is>
      </c>
      <c r="I6686">
        <v>393</v>
      </c>
      <c r="J6686">
        <f>GS21/305.6</f>
        <v>0</v>
      </c>
      <c r="M6686" t="inlineStr">
        <is>
          <t>-305K19.0</t>
        </is>
      </c>
    </row>
    <row r="6687">
      <c r="A6687">
        <v>6686</v>
      </c>
      <c r="B6687">
        <f>GS34</f>
        <v>0</v>
      </c>
      <c r="C6687" t="inlineStr">
        <is>
          <t>+LS7</t>
        </is>
      </c>
      <c r="D6687" t="inlineStr">
        <is>
          <t>-305K2</t>
        </is>
      </c>
      <c r="E6687" t="inlineStr">
        <is>
          <t>22_DIL-M</t>
        </is>
      </c>
      <c r="F6687" t="inlineStr">
        <is>
          <t>22_DIL-M</t>
        </is>
      </c>
      <c r="G6687" t="inlineStr">
        <is>
          <t>HILFSKONTAKTBLOCK</t>
        </is>
      </c>
      <c r="H6687" t="inlineStr">
        <is>
          <t>2S 2OE Lastschuetz DIL M</t>
        </is>
      </c>
      <c r="I6687">
        <v>430</v>
      </c>
      <c r="J6687">
        <f>GS34/305.3</f>
        <v>0</v>
      </c>
      <c r="K6687" t="inlineStr">
        <is>
          <t>DIL0AM</t>
        </is>
      </c>
      <c r="M6687" t="inlineStr">
        <is>
          <t>-305K2</t>
        </is>
      </c>
    </row>
    <row r="6688">
      <c r="A6688">
        <v>6687</v>
      </c>
      <c r="B6688">
        <f>GS34</f>
        <v>0</v>
      </c>
      <c r="C6688" t="inlineStr">
        <is>
          <t>+LS7</t>
        </is>
      </c>
      <c r="D6688" t="inlineStr">
        <is>
          <t>-305K2</t>
        </is>
      </c>
      <c r="E6688" t="inlineStr">
        <is>
          <t>DIL_0AM</t>
        </is>
      </c>
      <c r="F6688" t="inlineStr">
        <is>
          <t>22_DIL-M</t>
        </is>
      </c>
      <c r="G6688" t="inlineStr">
        <is>
          <t>LASTSCHUETZ</t>
        </is>
      </c>
      <c r="H6688" t="inlineStr">
        <is>
          <t>11 kW</t>
        </is>
      </c>
      <c r="I6688">
        <v>430</v>
      </c>
      <c r="J6688">
        <f>GS34/305.3</f>
        <v>0</v>
      </c>
      <c r="K6688" t="inlineStr">
        <is>
          <t>DIL0AM</t>
        </is>
      </c>
      <c r="M6688" t="inlineStr">
        <is>
          <t>-305K2</t>
        </is>
      </c>
    </row>
    <row r="6689">
      <c r="A6689">
        <v>6688</v>
      </c>
      <c r="B6689">
        <f>GS36</f>
        <v>0</v>
      </c>
      <c r="C6689" t="inlineStr">
        <is>
          <t>+LS07</t>
        </is>
      </c>
      <c r="D6689" t="inlineStr">
        <is>
          <t>-323K1</t>
        </is>
      </c>
      <c r="E6689" t="inlineStr">
        <is>
          <t>DILM-9-01</t>
        </is>
      </c>
      <c r="F6689" t="inlineStr">
        <is>
          <t>#KALK!</t>
        </is>
      </c>
      <c r="G6689" t="inlineStr">
        <is>
          <t>LASTSCHUETZ</t>
        </is>
      </c>
      <c r="H6689" t="inlineStr">
        <is>
          <t>4kW 1Oe Federzugkl.</t>
        </is>
      </c>
      <c r="I6689">
        <v>496</v>
      </c>
      <c r="J6689">
        <f>GS36/323.6</f>
        <v>0</v>
      </c>
      <c r="L6689" t="inlineStr">
        <is>
          <t>Lichtvorhang KF</t>
        </is>
      </c>
      <c r="M6689" t="inlineStr">
        <is>
          <t>Lichtvorhang KF
-323K1</t>
        </is>
      </c>
    </row>
    <row r="6690">
      <c r="A6690">
        <v>6689</v>
      </c>
      <c r="B6690">
        <f>GS14</f>
        <v>0</v>
      </c>
      <c r="C6690" t="inlineStr">
        <is>
          <t>+LS6</t>
        </is>
      </c>
      <c r="D6690" t="inlineStr">
        <is>
          <t>-305K20.2</t>
        </is>
      </c>
      <c r="E6690" t="inlineStr">
        <is>
          <t>DIL_EM-10-G</t>
        </is>
      </c>
      <c r="F6690" t="inlineStr">
        <is>
          <t>#KALK!</t>
        </is>
      </c>
      <c r="G6690" t="inlineStr">
        <is>
          <t>LASTSCHUETZ</t>
        </is>
      </c>
      <c r="H6690" t="inlineStr">
        <is>
          <t>4kW 1S</t>
        </is>
      </c>
      <c r="I6690">
        <v>434</v>
      </c>
      <c r="J6690">
        <f>GS14/305.6</f>
        <v>0</v>
      </c>
      <c r="M6690" t="inlineStr">
        <is>
          <t>-305K20.2</t>
        </is>
      </c>
    </row>
    <row r="6691">
      <c r="A6691">
        <v>6690</v>
      </c>
      <c r="B6691">
        <f>GS14</f>
        <v>0</v>
      </c>
      <c r="C6691" t="inlineStr">
        <is>
          <t>+LS6</t>
        </is>
      </c>
      <c r="D6691" t="inlineStr">
        <is>
          <t>-305K20.3</t>
        </is>
      </c>
      <c r="E6691" t="inlineStr">
        <is>
          <t>DIL_EM-10-G</t>
        </is>
      </c>
      <c r="F6691" t="inlineStr">
        <is>
          <t>#KALK!</t>
        </is>
      </c>
      <c r="G6691" t="inlineStr">
        <is>
          <t>LASTSCHUETZ</t>
        </is>
      </c>
      <c r="H6691" t="inlineStr">
        <is>
          <t>4kW 1S</t>
        </is>
      </c>
      <c r="I6691">
        <v>434</v>
      </c>
      <c r="J6691">
        <f>GS14/305.6</f>
        <v>0</v>
      </c>
      <c r="M6691" t="inlineStr">
        <is>
          <t>-305K20.3</t>
        </is>
      </c>
    </row>
    <row r="6692">
      <c r="A6692">
        <v>6691</v>
      </c>
      <c r="B6692">
        <f>GS31</f>
        <v>0</v>
      </c>
      <c r="C6692" t="inlineStr">
        <is>
          <t>+LS5</t>
        </is>
      </c>
      <c r="D6692" t="inlineStr">
        <is>
          <t>-305K3514.3</t>
        </is>
      </c>
      <c r="E6692" t="inlineStr">
        <is>
          <t>DIL_EM-10-G</t>
        </is>
      </c>
      <c r="F6692" t="inlineStr">
        <is>
          <t>#KALK!</t>
        </is>
      </c>
      <c r="G6692" t="inlineStr">
        <is>
          <t>LASTSCHUETZ</t>
        </is>
      </c>
      <c r="H6692" t="inlineStr">
        <is>
          <t>4kW 1S</t>
        </is>
      </c>
      <c r="I6692">
        <v>596</v>
      </c>
      <c r="J6692">
        <f>GS31/305.7</f>
        <v>0</v>
      </c>
      <c r="M6692" t="inlineStr">
        <is>
          <t>-305K3514.3</t>
        </is>
      </c>
    </row>
    <row r="6693">
      <c r="A6693">
        <v>6692</v>
      </c>
      <c r="B6693">
        <f>GS16</f>
        <v>0</v>
      </c>
      <c r="C6693" t="inlineStr">
        <is>
          <t>+LS5</t>
        </is>
      </c>
      <c r="D6693" t="inlineStr">
        <is>
          <t>-305K3758.5</t>
        </is>
      </c>
      <c r="E6693" t="inlineStr">
        <is>
          <t>DIL_EM-10-G</t>
        </is>
      </c>
      <c r="F6693" t="inlineStr">
        <is>
          <t>#KALK!</t>
        </is>
      </c>
      <c r="G6693" t="inlineStr">
        <is>
          <t>LASTSCHUETZ</t>
        </is>
      </c>
      <c r="H6693" t="inlineStr">
        <is>
          <t>4kW 1S</t>
        </is>
      </c>
      <c r="I6693">
        <v>533</v>
      </c>
      <c r="J6693">
        <f>GS16/305.7</f>
        <v>0</v>
      </c>
      <c r="M6693" t="inlineStr">
        <is>
          <t>-305K3758.5</t>
        </is>
      </c>
    </row>
    <row r="6694">
      <c r="A6694">
        <v>6693</v>
      </c>
      <c r="B6694">
        <f>GC22</f>
        <v>0</v>
      </c>
      <c r="C6694" t="inlineStr">
        <is>
          <t>+LS4</t>
        </is>
      </c>
      <c r="D6694" t="inlineStr">
        <is>
          <t>-305K40.1</t>
        </is>
      </c>
      <c r="E6694" t="inlineStr">
        <is>
          <t>DIL_EM-10-G</t>
        </is>
      </c>
      <c r="F6694" t="inlineStr">
        <is>
          <t>#KALK!</t>
        </is>
      </c>
      <c r="G6694" t="inlineStr">
        <is>
          <t>LASTSCHUETZ</t>
        </is>
      </c>
      <c r="H6694" t="inlineStr">
        <is>
          <t>4kW 1S</t>
        </is>
      </c>
      <c r="I6694">
        <v>2275</v>
      </c>
      <c r="J6694">
        <f>GC22/305.7</f>
        <v>0</v>
      </c>
      <c r="M6694" t="inlineStr">
        <is>
          <t>-305K40.1</t>
        </is>
      </c>
    </row>
    <row r="6695">
      <c r="A6695">
        <v>6694</v>
      </c>
      <c r="B6695">
        <f>GS12</f>
        <v>0</v>
      </c>
      <c r="C6695" t="inlineStr">
        <is>
          <t>+LS4</t>
        </is>
      </c>
      <c r="D6695" t="inlineStr">
        <is>
          <t>-305K40.1</t>
        </is>
      </c>
      <c r="E6695" t="inlineStr">
        <is>
          <t>DIL_EM-10-G</t>
        </is>
      </c>
      <c r="F6695" t="inlineStr">
        <is>
          <t>#KALK!</t>
        </is>
      </c>
      <c r="G6695" t="inlineStr">
        <is>
          <t>LASTSCHUETZ</t>
        </is>
      </c>
      <c r="H6695" t="inlineStr">
        <is>
          <t>4kW 1S</t>
        </is>
      </c>
      <c r="I6695">
        <v>437</v>
      </c>
      <c r="J6695">
        <f>GS12/305.7</f>
        <v>0</v>
      </c>
      <c r="M6695" t="inlineStr">
        <is>
          <t>-305K40.1</t>
        </is>
      </c>
    </row>
    <row r="6696">
      <c r="A6696">
        <v>6695</v>
      </c>
      <c r="B6696">
        <f>GS20</f>
        <v>0</v>
      </c>
      <c r="C6696" t="inlineStr">
        <is>
          <t>+LS07</t>
        </is>
      </c>
      <c r="D6696" t="inlineStr">
        <is>
          <t>-305K402.4</t>
        </is>
      </c>
      <c r="E6696" t="inlineStr">
        <is>
          <t>DILA-40</t>
        </is>
      </c>
      <c r="F6696" t="inlineStr">
        <is>
          <t>#KALK!</t>
        </is>
      </c>
      <c r="G6696" t="inlineStr">
        <is>
          <t>HILFSSCHUETZ</t>
        </is>
      </c>
      <c r="H6696" t="inlineStr">
        <is>
          <t>4S Federzugkl.</t>
        </is>
      </c>
      <c r="I6696">
        <v>2600</v>
      </c>
      <c r="J6696">
        <f>GS20/305.7</f>
        <v>0</v>
      </c>
      <c r="M6696" t="inlineStr">
        <is>
          <t>-305K402.4</t>
        </is>
      </c>
    </row>
    <row r="6697">
      <c r="A6697">
        <v>6696</v>
      </c>
      <c r="B6697">
        <f>GS38</f>
        <v>0</v>
      </c>
      <c r="C6697" t="inlineStr">
        <is>
          <t>+LS06</t>
        </is>
      </c>
      <c r="D6697" t="inlineStr">
        <is>
          <t>-305K422.0</t>
        </is>
      </c>
      <c r="E6697" t="inlineStr">
        <is>
          <t>DILA-40</t>
        </is>
      </c>
      <c r="F6697" t="inlineStr">
        <is>
          <t>#KALK!</t>
        </is>
      </c>
      <c r="G6697" t="inlineStr">
        <is>
          <t>HILFSSCHUETZ</t>
        </is>
      </c>
      <c r="H6697" t="inlineStr">
        <is>
          <t>4S Federzugkl.</t>
        </is>
      </c>
      <c r="I6697">
        <v>470</v>
      </c>
      <c r="J6697">
        <f>GS38/305.7</f>
        <v>0</v>
      </c>
      <c r="M6697" t="inlineStr">
        <is>
          <t>-305K422.0</t>
        </is>
      </c>
    </row>
    <row r="6698">
      <c r="A6698">
        <v>6697</v>
      </c>
      <c r="B6698">
        <f>GS39</f>
        <v>0</v>
      </c>
      <c r="C6698" t="inlineStr">
        <is>
          <t>+LS06</t>
        </is>
      </c>
      <c r="D6698" t="inlineStr">
        <is>
          <t>-305K422.0</t>
        </is>
      </c>
      <c r="E6698" t="inlineStr">
        <is>
          <t>DILA-40</t>
        </is>
      </c>
      <c r="F6698" t="inlineStr">
        <is>
          <t>#KALK!</t>
        </is>
      </c>
      <c r="G6698" t="inlineStr">
        <is>
          <t>HILFSSCHUETZ</t>
        </is>
      </c>
      <c r="H6698" t="inlineStr">
        <is>
          <t>4S Federzugkl.</t>
        </is>
      </c>
      <c r="I6698">
        <v>471</v>
      </c>
      <c r="J6698">
        <f>GS39/305.7</f>
        <v>0</v>
      </c>
      <c r="M6698" t="inlineStr">
        <is>
          <t>-305K422.0</t>
        </is>
      </c>
    </row>
    <row r="6699">
      <c r="A6699">
        <v>6698</v>
      </c>
      <c r="B6699">
        <f>GS94</f>
        <v>0</v>
      </c>
      <c r="C6699" t="inlineStr">
        <is>
          <t>+LS19</t>
        </is>
      </c>
      <c r="D6699" t="inlineStr">
        <is>
          <t>-305K493.4</t>
        </is>
      </c>
      <c r="E6699" t="inlineStr">
        <is>
          <t>DILA-40</t>
        </is>
      </c>
      <c r="F6699" t="inlineStr">
        <is>
          <t>#KALK!</t>
        </is>
      </c>
      <c r="G6699" t="inlineStr">
        <is>
          <t>HILFSSCHUETZ</t>
        </is>
      </c>
      <c r="H6699" t="inlineStr">
        <is>
          <t>4S Federzugkl.</t>
        </is>
      </c>
      <c r="I6699">
        <v>395</v>
      </c>
      <c r="J6699">
        <f>GS94/305.7</f>
        <v>0</v>
      </c>
      <c r="M6699" t="inlineStr">
        <is>
          <t>-305K493.4</t>
        </is>
      </c>
    </row>
    <row r="6700">
      <c r="A6700">
        <v>6699</v>
      </c>
      <c r="B6700">
        <f>GS95</f>
        <v>0</v>
      </c>
      <c r="C6700" t="inlineStr">
        <is>
          <t>+LS19</t>
        </is>
      </c>
      <c r="D6700" t="inlineStr">
        <is>
          <t>-305K493.4</t>
        </is>
      </c>
      <c r="E6700" t="inlineStr">
        <is>
          <t>DILA-40</t>
        </is>
      </c>
      <c r="F6700" t="inlineStr">
        <is>
          <t>#KALK!</t>
        </is>
      </c>
      <c r="G6700" t="inlineStr">
        <is>
          <t>HILFSSCHUETZ</t>
        </is>
      </c>
      <c r="H6700" t="inlineStr">
        <is>
          <t>4S Federzugkl.</t>
        </is>
      </c>
      <c r="I6700">
        <v>395</v>
      </c>
      <c r="J6700">
        <f>GS95/305.7</f>
        <v>0</v>
      </c>
      <c r="M6700" t="inlineStr">
        <is>
          <t>-305K493.4</t>
        </is>
      </c>
    </row>
    <row r="6701">
      <c r="A6701">
        <v>6700</v>
      </c>
      <c r="B6701">
        <f>GS96</f>
        <v>0</v>
      </c>
      <c r="C6701" t="inlineStr">
        <is>
          <t>+LS19</t>
        </is>
      </c>
      <c r="D6701" t="inlineStr">
        <is>
          <t>-305K493.4</t>
        </is>
      </c>
      <c r="E6701" t="inlineStr">
        <is>
          <t>DILA-40</t>
        </is>
      </c>
      <c r="F6701" t="inlineStr">
        <is>
          <t>#KALK!</t>
        </is>
      </c>
      <c r="G6701" t="inlineStr">
        <is>
          <t>HILFSSCHUETZ</t>
        </is>
      </c>
      <c r="H6701" t="inlineStr">
        <is>
          <t>4S Federzugkl.</t>
        </is>
      </c>
      <c r="I6701">
        <v>395</v>
      </c>
      <c r="J6701">
        <f>GS96/305.7</f>
        <v>0</v>
      </c>
      <c r="M6701" t="inlineStr">
        <is>
          <t>-305K493.4</t>
        </is>
      </c>
    </row>
    <row r="6702">
      <c r="A6702">
        <v>6701</v>
      </c>
      <c r="B6702">
        <f>GS97</f>
        <v>0</v>
      </c>
      <c r="C6702" t="inlineStr">
        <is>
          <t>+LS19</t>
        </is>
      </c>
      <c r="D6702" t="inlineStr">
        <is>
          <t>-305K493.4</t>
        </is>
      </c>
      <c r="E6702" t="inlineStr">
        <is>
          <t>DILA-40</t>
        </is>
      </c>
      <c r="F6702" t="inlineStr">
        <is>
          <t>#KALK!</t>
        </is>
      </c>
      <c r="G6702" t="inlineStr">
        <is>
          <t>HILFSSCHUETZ</t>
        </is>
      </c>
      <c r="H6702" t="inlineStr">
        <is>
          <t>4S Federzugkl.</t>
        </is>
      </c>
      <c r="I6702">
        <v>395</v>
      </c>
      <c r="J6702">
        <f>GS97/305.7</f>
        <v>0</v>
      </c>
      <c r="M6702" t="inlineStr">
        <is>
          <t>-305K493.4</t>
        </is>
      </c>
    </row>
    <row r="6703">
      <c r="A6703">
        <v>6702</v>
      </c>
      <c r="B6703">
        <f>GS04</f>
        <v>0</v>
      </c>
      <c r="C6703" t="inlineStr">
        <is>
          <t>+LS7</t>
        </is>
      </c>
      <c r="D6703" t="inlineStr">
        <is>
          <t>-305K67.2</t>
        </is>
      </c>
      <c r="E6703" t="inlineStr">
        <is>
          <t>DIL_EM-10-G</t>
        </is>
      </c>
      <c r="F6703" t="inlineStr">
        <is>
          <t>#KALK!</t>
        </is>
      </c>
      <c r="G6703" t="inlineStr">
        <is>
          <t>LASTSCHUETZ</t>
        </is>
      </c>
      <c r="H6703" t="inlineStr">
        <is>
          <t>4kW 1S</t>
        </is>
      </c>
      <c r="I6703">
        <v>556</v>
      </c>
      <c r="J6703">
        <f>GS04/305.6</f>
        <v>0</v>
      </c>
      <c r="M6703" t="inlineStr">
        <is>
          <t>-305K67.2</t>
        </is>
      </c>
    </row>
    <row r="6704">
      <c r="A6704">
        <v>6703</v>
      </c>
      <c r="B6704">
        <f>GS20</f>
        <v>0</v>
      </c>
      <c r="C6704" t="inlineStr">
        <is>
          <t>+LS07</t>
        </is>
      </c>
      <c r="D6704" t="inlineStr">
        <is>
          <t>-305Q1</t>
        </is>
      </c>
      <c r="E6704" t="inlineStr">
        <is>
          <t>DILA-XHI22</t>
        </is>
      </c>
      <c r="F6704" t="inlineStr">
        <is>
          <t>DILA-XHI22</t>
        </is>
      </c>
      <c r="G6704" t="inlineStr">
        <is>
          <t>HILFSKONTAKTBLOCK</t>
        </is>
      </c>
      <c r="H6704" t="inlineStr">
        <is>
          <t>2S 2OE Last+Hilfssch. Cage</t>
        </is>
      </c>
      <c r="I6704">
        <v>2600</v>
      </c>
      <c r="J6704">
        <f>GS20/305.4</f>
        <v>0</v>
      </c>
      <c r="K6704" t="inlineStr">
        <is>
          <t>DIL MC25</t>
        </is>
      </c>
      <c r="M6704" t="inlineStr">
        <is>
          <t>-305Q1</t>
        </is>
      </c>
    </row>
    <row r="6705">
      <c r="A6705">
        <v>6704</v>
      </c>
      <c r="B6705">
        <f>GS20</f>
        <v>0</v>
      </c>
      <c r="C6705" t="inlineStr">
        <is>
          <t>+LS07</t>
        </is>
      </c>
      <c r="D6705" t="inlineStr">
        <is>
          <t>-305Q1</t>
        </is>
      </c>
      <c r="E6705" t="inlineStr">
        <is>
          <t>DILMC25-10(RDC24)</t>
        </is>
      </c>
      <c r="F6705" t="inlineStr">
        <is>
          <t>DILA-XHI22</t>
        </is>
      </c>
      <c r="G6705" t="inlineStr">
        <is>
          <t>LASTSCHUETZ</t>
        </is>
      </c>
      <c r="H6705" t="inlineStr">
        <is>
          <t>11kW 1S Federzugkl.</t>
        </is>
      </c>
      <c r="I6705">
        <v>2600</v>
      </c>
      <c r="J6705">
        <f>GS20/305.4</f>
        <v>0</v>
      </c>
      <c r="K6705" t="inlineStr">
        <is>
          <t>DIL MC25</t>
        </is>
      </c>
      <c r="M6705" t="inlineStr">
        <is>
          <t>-305Q1</t>
        </is>
      </c>
    </row>
    <row r="6706">
      <c r="A6706">
        <v>6705</v>
      </c>
      <c r="B6706">
        <f>GS38</f>
        <v>0</v>
      </c>
      <c r="C6706" t="inlineStr">
        <is>
          <t>+LS06</t>
        </is>
      </c>
      <c r="D6706" t="inlineStr">
        <is>
          <t>-305Q1</t>
        </is>
      </c>
      <c r="E6706" t="inlineStr">
        <is>
          <t>DILA-XHI22</t>
        </is>
      </c>
      <c r="F6706" t="inlineStr">
        <is>
          <t>DILA-XHI22</t>
        </is>
      </c>
      <c r="G6706" t="inlineStr">
        <is>
          <t>HILFSKONTAKTBLOCK</t>
        </is>
      </c>
      <c r="H6706" t="inlineStr">
        <is>
          <t>2S 2OE Last+Hilfssch. Cage</t>
        </is>
      </c>
      <c r="I6706">
        <v>470</v>
      </c>
      <c r="J6706">
        <f>GS38/305.4</f>
        <v>0</v>
      </c>
      <c r="K6706" t="inlineStr">
        <is>
          <t>DIL MC25</t>
        </is>
      </c>
      <c r="M6706" t="inlineStr">
        <is>
          <t>-305Q1</t>
        </is>
      </c>
    </row>
    <row r="6707">
      <c r="A6707">
        <v>6706</v>
      </c>
      <c r="B6707">
        <f>GS38</f>
        <v>0</v>
      </c>
      <c r="C6707" t="inlineStr">
        <is>
          <t>+LS06</t>
        </is>
      </c>
      <c r="D6707" t="inlineStr">
        <is>
          <t>-305Q1</t>
        </is>
      </c>
      <c r="E6707" t="inlineStr">
        <is>
          <t>DILMC25-10(RDC24)</t>
        </is>
      </c>
      <c r="F6707" t="inlineStr">
        <is>
          <t>DILA-XHI22</t>
        </is>
      </c>
      <c r="G6707" t="inlineStr">
        <is>
          <t>LASTSCHUETZ</t>
        </is>
      </c>
      <c r="H6707" t="inlineStr">
        <is>
          <t>11kW 1S Federzugkl.</t>
        </is>
      </c>
      <c r="I6707">
        <v>470</v>
      </c>
      <c r="J6707">
        <f>GS38/305.4</f>
        <v>0</v>
      </c>
      <c r="K6707" t="inlineStr">
        <is>
          <t>DIL MC25</t>
        </is>
      </c>
      <c r="M6707" t="inlineStr">
        <is>
          <t>-305Q1</t>
        </is>
      </c>
    </row>
    <row r="6708">
      <c r="A6708">
        <v>6707</v>
      </c>
      <c r="B6708">
        <f>GS39</f>
        <v>0</v>
      </c>
      <c r="C6708" t="inlineStr">
        <is>
          <t>+LS06</t>
        </is>
      </c>
      <c r="D6708" t="inlineStr">
        <is>
          <t>-305Q1</t>
        </is>
      </c>
      <c r="E6708" t="inlineStr">
        <is>
          <t>DILA-XHI22</t>
        </is>
      </c>
      <c r="F6708" t="inlineStr">
        <is>
          <t>DILA-XHI22</t>
        </is>
      </c>
      <c r="G6708" t="inlineStr">
        <is>
          <t>HILFSKONTAKTBLOCK</t>
        </is>
      </c>
      <c r="H6708" t="inlineStr">
        <is>
          <t>2S 2OE Last+Hilfssch. Cage</t>
        </is>
      </c>
      <c r="I6708">
        <v>471</v>
      </c>
      <c r="J6708">
        <f>GS39/305.4</f>
        <v>0</v>
      </c>
      <c r="K6708" t="inlineStr">
        <is>
          <t>DIL MC25</t>
        </is>
      </c>
      <c r="M6708" t="inlineStr">
        <is>
          <t>-305Q1</t>
        </is>
      </c>
    </row>
    <row r="6709">
      <c r="A6709">
        <v>6708</v>
      </c>
      <c r="B6709">
        <f>GS39</f>
        <v>0</v>
      </c>
      <c r="C6709" t="inlineStr">
        <is>
          <t>+LS06</t>
        </is>
      </c>
      <c r="D6709" t="inlineStr">
        <is>
          <t>-305Q1</t>
        </is>
      </c>
      <c r="E6709" t="inlineStr">
        <is>
          <t>DILMC25-10(RDC24)</t>
        </is>
      </c>
      <c r="F6709" t="inlineStr">
        <is>
          <t>DILA-XHI22</t>
        </is>
      </c>
      <c r="G6709" t="inlineStr">
        <is>
          <t>LASTSCHUETZ</t>
        </is>
      </c>
      <c r="H6709" t="inlineStr">
        <is>
          <t>11kW 1S Federzugkl.</t>
        </is>
      </c>
      <c r="I6709">
        <v>471</v>
      </c>
      <c r="J6709">
        <f>GS39/305.4</f>
        <v>0</v>
      </c>
      <c r="K6709" t="inlineStr">
        <is>
          <t>DIL MC25</t>
        </is>
      </c>
      <c r="M6709" t="inlineStr">
        <is>
          <t>-305Q1</t>
        </is>
      </c>
    </row>
    <row r="6710">
      <c r="A6710">
        <v>6709</v>
      </c>
      <c r="B6710">
        <f>GS55</f>
        <v>0</v>
      </c>
      <c r="C6710" t="inlineStr">
        <is>
          <t>+LS04</t>
        </is>
      </c>
      <c r="D6710" t="inlineStr">
        <is>
          <t>-305Q1</t>
        </is>
      </c>
      <c r="E6710" t="inlineStr">
        <is>
          <t>DILA-XHI22</t>
        </is>
      </c>
      <c r="F6710" t="inlineStr">
        <is>
          <t>DILA-XHI22</t>
        </is>
      </c>
      <c r="G6710" t="inlineStr">
        <is>
          <t>HILFSKONTAKTBLOCK</t>
        </is>
      </c>
      <c r="H6710" t="inlineStr">
        <is>
          <t>2S 2OE Last+Hilfssch. Cage</t>
        </is>
      </c>
      <c r="I6710">
        <v>580</v>
      </c>
      <c r="J6710">
        <f>GS55/305.6</f>
        <v>0</v>
      </c>
      <c r="K6710" t="inlineStr">
        <is>
          <t>DIL MC25</t>
        </is>
      </c>
      <c r="M6710" t="inlineStr">
        <is>
          <t>-305Q1</t>
        </is>
      </c>
    </row>
    <row r="6711">
      <c r="A6711">
        <v>6710</v>
      </c>
      <c r="B6711">
        <f>GS55</f>
        <v>0</v>
      </c>
      <c r="C6711" t="inlineStr">
        <is>
          <t>+LS04</t>
        </is>
      </c>
      <c r="D6711" t="inlineStr">
        <is>
          <t>-305Q1</t>
        </is>
      </c>
      <c r="E6711" t="inlineStr">
        <is>
          <t>DILMC25-10(RDC24)</t>
        </is>
      </c>
      <c r="F6711" t="inlineStr">
        <is>
          <t>DILA-XHI22</t>
        </is>
      </c>
      <c r="G6711" t="inlineStr">
        <is>
          <t>LASTSCHUETZ</t>
        </is>
      </c>
      <c r="H6711" t="inlineStr">
        <is>
          <t>11kW 1S Federzugkl.</t>
        </is>
      </c>
      <c r="I6711">
        <v>580</v>
      </c>
      <c r="J6711">
        <f>GS55/305.6</f>
        <v>0</v>
      </c>
      <c r="K6711" t="inlineStr">
        <is>
          <t>DIL MC25</t>
        </is>
      </c>
      <c r="M6711" t="inlineStr">
        <is>
          <t>-305Q1</t>
        </is>
      </c>
    </row>
    <row r="6712">
      <c r="A6712">
        <v>6711</v>
      </c>
      <c r="B6712">
        <f>GS90</f>
        <v>0</v>
      </c>
      <c r="C6712" t="inlineStr">
        <is>
          <t>+LS05</t>
        </is>
      </c>
      <c r="D6712" t="inlineStr">
        <is>
          <t>-305Q1</t>
        </is>
      </c>
      <c r="E6712" t="inlineStr">
        <is>
          <t>DILMC25-10(RDC24)</t>
        </is>
      </c>
      <c r="F6712" t="inlineStr">
        <is>
          <t>DILA-XHI22</t>
        </is>
      </c>
      <c r="G6712" t="inlineStr">
        <is>
          <t>LASTSCHUETZ</t>
        </is>
      </c>
      <c r="H6712" t="inlineStr">
        <is>
          <t>11kW 1S Federzugkl.</t>
        </is>
      </c>
      <c r="I6712">
        <v>936</v>
      </c>
      <c r="J6712">
        <f>GS90/305.4</f>
        <v>0</v>
      </c>
      <c r="K6712" t="inlineStr">
        <is>
          <t>DIL MC25</t>
        </is>
      </c>
      <c r="M6712" t="inlineStr">
        <is>
          <t>-305Q1</t>
        </is>
      </c>
    </row>
    <row r="6713">
      <c r="A6713">
        <v>6712</v>
      </c>
      <c r="B6713">
        <f>GS90</f>
        <v>0</v>
      </c>
      <c r="C6713" t="inlineStr">
        <is>
          <t>+LS05</t>
        </is>
      </c>
      <c r="D6713" t="inlineStr">
        <is>
          <t>-305Q1</t>
        </is>
      </c>
      <c r="E6713" t="inlineStr">
        <is>
          <t>DILA-XHI22</t>
        </is>
      </c>
      <c r="F6713" t="inlineStr">
        <is>
          <t>DILA-XHI22</t>
        </is>
      </c>
      <c r="G6713" t="inlineStr">
        <is>
          <t>HILFSKONTAKTBLOCK</t>
        </is>
      </c>
      <c r="H6713" t="inlineStr">
        <is>
          <t>2S 2OE Last+Hilfssch. Cage</t>
        </is>
      </c>
      <c r="I6713">
        <v>936</v>
      </c>
      <c r="J6713">
        <f>GS90/305.4</f>
        <v>0</v>
      </c>
      <c r="K6713" t="inlineStr">
        <is>
          <t>DIL MC25</t>
        </is>
      </c>
      <c r="M6713" t="inlineStr">
        <is>
          <t>-305Q1</t>
        </is>
      </c>
    </row>
    <row r="6714">
      <c r="A6714">
        <v>6713</v>
      </c>
      <c r="B6714">
        <f>GS91</f>
        <v>0</v>
      </c>
      <c r="C6714" t="inlineStr">
        <is>
          <t>+LS04</t>
        </is>
      </c>
      <c r="D6714" t="inlineStr">
        <is>
          <t>-305Q1</t>
        </is>
      </c>
      <c r="E6714" t="inlineStr">
        <is>
          <t>DILA-XHI22</t>
        </is>
      </c>
      <c r="F6714" t="inlineStr">
        <is>
          <t>DILA-XHI22</t>
        </is>
      </c>
      <c r="G6714" t="inlineStr">
        <is>
          <t>HILFSKONTAKTBLOCK</t>
        </is>
      </c>
      <c r="H6714" t="inlineStr">
        <is>
          <t>2S 2OE Last+Hilfssch. Cage</t>
        </is>
      </c>
      <c r="I6714">
        <v>453</v>
      </c>
      <c r="J6714">
        <f>GS91/305.4</f>
        <v>0</v>
      </c>
      <c r="K6714" t="inlineStr">
        <is>
          <t>DIL MC25</t>
        </is>
      </c>
      <c r="M6714" t="inlineStr">
        <is>
          <t>-305Q1</t>
        </is>
      </c>
    </row>
    <row r="6715">
      <c r="A6715">
        <v>6714</v>
      </c>
      <c r="B6715">
        <f>GS91</f>
        <v>0</v>
      </c>
      <c r="C6715" t="inlineStr">
        <is>
          <t>+LS04</t>
        </is>
      </c>
      <c r="D6715" t="inlineStr">
        <is>
          <t>-305Q1</t>
        </is>
      </c>
      <c r="E6715" t="inlineStr">
        <is>
          <t>DILMC25-10(RDC24)</t>
        </is>
      </c>
      <c r="F6715" t="inlineStr">
        <is>
          <t>DILA-XHI22</t>
        </is>
      </c>
      <c r="G6715" t="inlineStr">
        <is>
          <t>LASTSCHUETZ</t>
        </is>
      </c>
      <c r="H6715" t="inlineStr">
        <is>
          <t>11kW 1S Federzugkl.</t>
        </is>
      </c>
      <c r="I6715">
        <v>453</v>
      </c>
      <c r="J6715">
        <f>GS91/305.4</f>
        <v>0</v>
      </c>
      <c r="K6715" t="inlineStr">
        <is>
          <t>DIL MC25</t>
        </is>
      </c>
      <c r="M6715" t="inlineStr">
        <is>
          <t>-305Q1</t>
        </is>
      </c>
    </row>
    <row r="6716">
      <c r="A6716">
        <v>6715</v>
      </c>
      <c r="B6716">
        <f>GS92</f>
        <v>0</v>
      </c>
      <c r="C6716" t="inlineStr">
        <is>
          <t>+LS05</t>
        </is>
      </c>
      <c r="D6716" t="inlineStr">
        <is>
          <t>-305Q1</t>
        </is>
      </c>
      <c r="E6716" t="inlineStr">
        <is>
          <t>DILM150-XHIC22</t>
        </is>
      </c>
      <c r="F6716" t="inlineStr">
        <is>
          <t>DILM150-XHIC22</t>
        </is>
      </c>
      <c r="G6716" t="inlineStr">
        <is>
          <t>HILFSKONTAKTBLOCK</t>
        </is>
      </c>
      <c r="H6716" t="inlineStr">
        <is>
          <t>2S 2OE ab DILMC40</t>
        </is>
      </c>
      <c r="I6716">
        <v>452</v>
      </c>
      <c r="J6716">
        <f>GS92/305.4</f>
        <v>0</v>
      </c>
      <c r="K6716" t="inlineStr">
        <is>
          <t>DIL MC 40</t>
        </is>
      </c>
      <c r="M6716" t="inlineStr">
        <is>
          <t>-305Q1</t>
        </is>
      </c>
    </row>
    <row r="6717">
      <c r="A6717">
        <v>6716</v>
      </c>
      <c r="B6717">
        <f>GS92</f>
        <v>0</v>
      </c>
      <c r="C6717" t="inlineStr">
        <is>
          <t>+LS05</t>
        </is>
      </c>
      <c r="D6717" t="inlineStr">
        <is>
          <t>-305Q1</t>
        </is>
      </c>
      <c r="E6717" t="inlineStr">
        <is>
          <t>DILMC40(RDC24)</t>
        </is>
      </c>
      <c r="F6717" t="inlineStr">
        <is>
          <t>DILM150-XHIC22</t>
        </is>
      </c>
      <c r="G6717" t="inlineStr">
        <is>
          <t>LASTSCHUETZ</t>
        </is>
      </c>
      <c r="H6717" t="inlineStr">
        <is>
          <t>18,5kW Federzugkl.</t>
        </is>
      </c>
      <c r="I6717">
        <v>452</v>
      </c>
      <c r="J6717">
        <f>GS92/305.4</f>
        <v>0</v>
      </c>
      <c r="K6717" t="inlineStr">
        <is>
          <t>DIL MC 40</t>
        </is>
      </c>
      <c r="M6717" t="inlineStr">
        <is>
          <t>-305Q1</t>
        </is>
      </c>
    </row>
    <row r="6718">
      <c r="A6718">
        <v>6717</v>
      </c>
      <c r="B6718">
        <f>GS93</f>
        <v>0</v>
      </c>
      <c r="C6718" t="inlineStr">
        <is>
          <t>+LS05</t>
        </is>
      </c>
      <c r="D6718" t="inlineStr">
        <is>
          <t>-305Q1</t>
        </is>
      </c>
      <c r="E6718" t="inlineStr">
        <is>
          <t>DILM150-XHIC22</t>
        </is>
      </c>
      <c r="F6718" t="inlineStr">
        <is>
          <t>DILM150-XHIC22</t>
        </is>
      </c>
      <c r="G6718" t="inlineStr">
        <is>
          <t>HILFSKONTAKTBLOCK</t>
        </is>
      </c>
      <c r="H6718" t="inlineStr">
        <is>
          <t>2S 2OE ab DILMC40</t>
        </is>
      </c>
      <c r="I6718">
        <v>859</v>
      </c>
      <c r="J6718">
        <f>GS93/305.4</f>
        <v>0</v>
      </c>
      <c r="K6718" t="inlineStr">
        <is>
          <t>DIL MC 65</t>
        </is>
      </c>
      <c r="M6718" t="inlineStr">
        <is>
          <t>-305Q1</t>
        </is>
      </c>
    </row>
    <row r="6719">
      <c r="A6719">
        <v>6718</v>
      </c>
      <c r="B6719">
        <f>GS93</f>
        <v>0</v>
      </c>
      <c r="C6719" t="inlineStr">
        <is>
          <t>+LS05</t>
        </is>
      </c>
      <c r="D6719" t="inlineStr">
        <is>
          <t>-305Q1</t>
        </is>
      </c>
      <c r="E6719" t="inlineStr">
        <is>
          <t>DILMC65(RDC24)</t>
        </is>
      </c>
      <c r="F6719" t="inlineStr">
        <is>
          <t>DILM150-XHIC22</t>
        </is>
      </c>
      <c r="G6719" t="inlineStr">
        <is>
          <t>LASTSCHUETZ</t>
        </is>
      </c>
      <c r="H6719" t="inlineStr">
        <is>
          <t>30kW Federzugkl.</t>
        </is>
      </c>
      <c r="I6719">
        <v>859</v>
      </c>
      <c r="J6719">
        <f>GS93/305.4</f>
        <v>0</v>
      </c>
      <c r="K6719" t="inlineStr">
        <is>
          <t>DIL MC 65</t>
        </is>
      </c>
      <c r="M6719" t="inlineStr">
        <is>
          <t>-305Q1</t>
        </is>
      </c>
    </row>
    <row r="6720">
      <c r="A6720">
        <v>6719</v>
      </c>
      <c r="B6720">
        <f>GS94</f>
        <v>0</v>
      </c>
      <c r="C6720" t="inlineStr">
        <is>
          <t>+LS19</t>
        </is>
      </c>
      <c r="D6720" t="inlineStr">
        <is>
          <t>-305Q1</t>
        </is>
      </c>
      <c r="E6720" t="inlineStr">
        <is>
          <t>DILMC25-10(RDC24)</t>
        </is>
      </c>
      <c r="F6720" t="inlineStr">
        <is>
          <t>DILA-XHI22</t>
        </is>
      </c>
      <c r="G6720" t="inlineStr">
        <is>
          <t>LASTSCHUETZ</t>
        </is>
      </c>
      <c r="H6720" t="inlineStr">
        <is>
          <t>11kW 1S Federzugkl.</t>
        </is>
      </c>
      <c r="I6720">
        <v>395</v>
      </c>
      <c r="J6720">
        <f>GS94/305.4</f>
        <v>0</v>
      </c>
      <c r="K6720" t="inlineStr">
        <is>
          <t>DIL MC25</t>
        </is>
      </c>
      <c r="M6720" t="inlineStr">
        <is>
          <t>-305Q1</t>
        </is>
      </c>
    </row>
    <row r="6721">
      <c r="A6721">
        <v>6720</v>
      </c>
      <c r="B6721">
        <f>GS94</f>
        <v>0</v>
      </c>
      <c r="C6721" t="inlineStr">
        <is>
          <t>+LS19</t>
        </is>
      </c>
      <c r="D6721" t="inlineStr">
        <is>
          <t>-305Q1</t>
        </is>
      </c>
      <c r="E6721" t="inlineStr">
        <is>
          <t>DILA-XHI22</t>
        </is>
      </c>
      <c r="F6721" t="inlineStr">
        <is>
          <t>DILA-XHI22</t>
        </is>
      </c>
      <c r="G6721" t="inlineStr">
        <is>
          <t>HILFSKONTAKTBLOCK</t>
        </is>
      </c>
      <c r="H6721" t="inlineStr">
        <is>
          <t>2S 2OE Last+Hilfssch. Cage</t>
        </is>
      </c>
      <c r="I6721">
        <v>395</v>
      </c>
      <c r="J6721">
        <f>GS94/305.4</f>
        <v>0</v>
      </c>
      <c r="K6721" t="inlineStr">
        <is>
          <t>DIL MC25</t>
        </is>
      </c>
      <c r="M6721" t="inlineStr">
        <is>
          <t>-305Q1</t>
        </is>
      </c>
    </row>
    <row r="6722">
      <c r="A6722">
        <v>6721</v>
      </c>
      <c r="B6722">
        <f>GS95</f>
        <v>0</v>
      </c>
      <c r="C6722" t="inlineStr">
        <is>
          <t>+LS19</t>
        </is>
      </c>
      <c r="D6722" t="inlineStr">
        <is>
          <t>-305Q1</t>
        </is>
      </c>
      <c r="E6722" t="inlineStr">
        <is>
          <t>DILA-XHI22</t>
        </is>
      </c>
      <c r="F6722" t="inlineStr">
        <is>
          <t>DILA-XHI22</t>
        </is>
      </c>
      <c r="G6722" t="inlineStr">
        <is>
          <t>HILFSKONTAKTBLOCK</t>
        </is>
      </c>
      <c r="H6722" t="inlineStr">
        <is>
          <t>2S 2OE Last+Hilfssch. Cage</t>
        </is>
      </c>
      <c r="I6722">
        <v>395</v>
      </c>
      <c r="J6722">
        <f>GS95/305.4</f>
        <v>0</v>
      </c>
      <c r="K6722" t="inlineStr">
        <is>
          <t>DIL MC25</t>
        </is>
      </c>
      <c r="M6722" t="inlineStr">
        <is>
          <t>-305Q1</t>
        </is>
      </c>
    </row>
    <row r="6723">
      <c r="A6723">
        <v>6722</v>
      </c>
      <c r="B6723">
        <f>GS95</f>
        <v>0</v>
      </c>
      <c r="C6723" t="inlineStr">
        <is>
          <t>+LS19</t>
        </is>
      </c>
      <c r="D6723" t="inlineStr">
        <is>
          <t>-305Q1</t>
        </is>
      </c>
      <c r="E6723" t="inlineStr">
        <is>
          <t>DILMC25-10(RDC24)</t>
        </is>
      </c>
      <c r="F6723" t="inlineStr">
        <is>
          <t>DILA-XHI22</t>
        </is>
      </c>
      <c r="G6723" t="inlineStr">
        <is>
          <t>LASTSCHUETZ</t>
        </is>
      </c>
      <c r="H6723" t="inlineStr">
        <is>
          <t>11kW 1S Federzugkl.</t>
        </is>
      </c>
      <c r="I6723">
        <v>395</v>
      </c>
      <c r="J6723">
        <f>GS95/305.4</f>
        <v>0</v>
      </c>
      <c r="K6723" t="inlineStr">
        <is>
          <t>DIL MC25</t>
        </is>
      </c>
      <c r="M6723" t="inlineStr">
        <is>
          <t>-305Q1</t>
        </is>
      </c>
    </row>
    <row r="6724">
      <c r="A6724">
        <v>6723</v>
      </c>
      <c r="B6724">
        <f>GS96</f>
        <v>0</v>
      </c>
      <c r="C6724" t="inlineStr">
        <is>
          <t>+LS19</t>
        </is>
      </c>
      <c r="D6724" t="inlineStr">
        <is>
          <t>-305Q1</t>
        </is>
      </c>
      <c r="E6724" t="inlineStr">
        <is>
          <t>DILA-XHI22</t>
        </is>
      </c>
      <c r="F6724" t="inlineStr">
        <is>
          <t>DILA-XHI22</t>
        </is>
      </c>
      <c r="G6724" t="inlineStr">
        <is>
          <t>HILFSKONTAKTBLOCK</t>
        </is>
      </c>
      <c r="H6724" t="inlineStr">
        <is>
          <t>2S 2OE Last+Hilfssch. Cage</t>
        </is>
      </c>
      <c r="I6724">
        <v>395</v>
      </c>
      <c r="J6724">
        <f>GS96/305.4</f>
        <v>0</v>
      </c>
      <c r="K6724" t="inlineStr">
        <is>
          <t>DIL MC25</t>
        </is>
      </c>
      <c r="M6724" t="inlineStr">
        <is>
          <t>-305Q1</t>
        </is>
      </c>
    </row>
    <row r="6725">
      <c r="A6725">
        <v>6724</v>
      </c>
      <c r="B6725">
        <f>GS96</f>
        <v>0</v>
      </c>
      <c r="C6725" t="inlineStr">
        <is>
          <t>+LS19</t>
        </is>
      </c>
      <c r="D6725" t="inlineStr">
        <is>
          <t>-305Q1</t>
        </is>
      </c>
      <c r="E6725" t="inlineStr">
        <is>
          <t>DILMC25-10(RDC24)</t>
        </is>
      </c>
      <c r="F6725" t="inlineStr">
        <is>
          <t>DILA-XHI22</t>
        </is>
      </c>
      <c r="G6725" t="inlineStr">
        <is>
          <t>LASTSCHUETZ</t>
        </is>
      </c>
      <c r="H6725" t="inlineStr">
        <is>
          <t>11kW 1S Federzugkl.</t>
        </is>
      </c>
      <c r="I6725">
        <v>395</v>
      </c>
      <c r="J6725">
        <f>GS96/305.4</f>
        <v>0</v>
      </c>
      <c r="K6725" t="inlineStr">
        <is>
          <t>DIL MC25</t>
        </is>
      </c>
      <c r="M6725" t="inlineStr">
        <is>
          <t>-305Q1</t>
        </is>
      </c>
    </row>
    <row r="6726">
      <c r="A6726">
        <v>6725</v>
      </c>
      <c r="B6726">
        <f>GS97</f>
        <v>0</v>
      </c>
      <c r="C6726" t="inlineStr">
        <is>
          <t>+LS19</t>
        </is>
      </c>
      <c r="D6726" t="inlineStr">
        <is>
          <t>-305Q1</t>
        </is>
      </c>
      <c r="E6726" t="inlineStr">
        <is>
          <t>DILMC25-10(RDC24)</t>
        </is>
      </c>
      <c r="F6726" t="inlineStr">
        <is>
          <t>DILA-XHI22</t>
        </is>
      </c>
      <c r="G6726" t="inlineStr">
        <is>
          <t>LASTSCHUETZ</t>
        </is>
      </c>
      <c r="H6726" t="inlineStr">
        <is>
          <t>11kW 1S Federzugkl.</t>
        </is>
      </c>
      <c r="I6726">
        <v>395</v>
      </c>
      <c r="J6726">
        <f>GS97/305.4</f>
        <v>0</v>
      </c>
      <c r="K6726" t="inlineStr">
        <is>
          <t>DIL MC25</t>
        </is>
      </c>
      <c r="M6726" t="inlineStr">
        <is>
          <t>-305Q1</t>
        </is>
      </c>
    </row>
    <row r="6727">
      <c r="A6727">
        <v>6726</v>
      </c>
      <c r="B6727">
        <f>GS97</f>
        <v>0</v>
      </c>
      <c r="C6727" t="inlineStr">
        <is>
          <t>+LS19</t>
        </is>
      </c>
      <c r="D6727" t="inlineStr">
        <is>
          <t>-305Q1</t>
        </is>
      </c>
      <c r="E6727" t="inlineStr">
        <is>
          <t>DILA-XHI22</t>
        </is>
      </c>
      <c r="F6727" t="inlineStr">
        <is>
          <t>DILA-XHI22</t>
        </is>
      </c>
      <c r="G6727" t="inlineStr">
        <is>
          <t>HILFSKONTAKTBLOCK</t>
        </is>
      </c>
      <c r="H6727" t="inlineStr">
        <is>
          <t>2S 2OE Last+Hilfssch. Cage</t>
        </is>
      </c>
      <c r="I6727">
        <v>395</v>
      </c>
      <c r="J6727">
        <f>GS97/305.4</f>
        <v>0</v>
      </c>
      <c r="K6727" t="inlineStr">
        <is>
          <t>DIL MC25</t>
        </is>
      </c>
      <c r="M6727" t="inlineStr">
        <is>
          <t>-305Q1</t>
        </is>
      </c>
    </row>
    <row r="6728">
      <c r="A6728">
        <v>6727</v>
      </c>
      <c r="B6728">
        <f>GS36</f>
        <v>0</v>
      </c>
      <c r="C6728" t="inlineStr">
        <is>
          <t>+LS07</t>
        </is>
      </c>
      <c r="D6728" t="inlineStr">
        <is>
          <t>-323K2</t>
        </is>
      </c>
      <c r="E6728" t="inlineStr">
        <is>
          <t>DILM-9-01</t>
        </is>
      </c>
      <c r="F6728" t="inlineStr">
        <is>
          <t>#KALK!</t>
        </is>
      </c>
      <c r="G6728" t="inlineStr">
        <is>
          <t>LASTSCHUETZ</t>
        </is>
      </c>
      <c r="H6728" t="inlineStr">
        <is>
          <t>4kW 1Oe Federzugkl.</t>
        </is>
      </c>
      <c r="I6728">
        <v>496</v>
      </c>
      <c r="J6728">
        <f>GS36/323.7</f>
        <v>0</v>
      </c>
      <c r="L6728" t="inlineStr">
        <is>
          <t>Lichtvorhang KF</t>
        </is>
      </c>
      <c r="M6728" t="inlineStr">
        <is>
          <t>Lichtvorhang KF
-323K2</t>
        </is>
      </c>
    </row>
    <row r="6729">
      <c r="A6729">
        <v>6728</v>
      </c>
      <c r="B6729">
        <f>GS11</f>
        <v>0</v>
      </c>
      <c r="C6729" t="inlineStr">
        <is>
          <t>+LS7</t>
        </is>
      </c>
      <c r="D6729" t="inlineStr">
        <is>
          <t>-306K19.5</t>
        </is>
      </c>
      <c r="E6729" t="inlineStr">
        <is>
          <t>DIL_EM-10-G</t>
        </is>
      </c>
      <c r="F6729" t="inlineStr">
        <is>
          <t>#KALK!</t>
        </is>
      </c>
      <c r="G6729" t="inlineStr">
        <is>
          <t>LASTSCHUETZ</t>
        </is>
      </c>
      <c r="H6729" t="inlineStr">
        <is>
          <t>4kW 1S</t>
        </is>
      </c>
      <c r="I6729">
        <v>417</v>
      </c>
      <c r="J6729">
        <f>GS11/306.7</f>
        <v>0</v>
      </c>
      <c r="M6729" t="inlineStr">
        <is>
          <t>-306K19.5</t>
        </is>
      </c>
    </row>
    <row r="6730">
      <c r="A6730">
        <v>6729</v>
      </c>
      <c r="B6730">
        <f>GS21</f>
        <v>0</v>
      </c>
      <c r="C6730" t="inlineStr">
        <is>
          <t>+LS7</t>
        </is>
      </c>
      <c r="D6730" t="inlineStr">
        <is>
          <t>-306K19.5</t>
        </is>
      </c>
      <c r="E6730" t="inlineStr">
        <is>
          <t>DIL_EM-10-G</t>
        </is>
      </c>
      <c r="F6730" t="inlineStr">
        <is>
          <t>#KALK!</t>
        </is>
      </c>
      <c r="G6730" t="inlineStr">
        <is>
          <t>LASTSCHUETZ</t>
        </is>
      </c>
      <c r="H6730" t="inlineStr">
        <is>
          <t>4kW 1S</t>
        </is>
      </c>
      <c r="I6730">
        <v>394</v>
      </c>
      <c r="J6730">
        <f>GS21/306.7</f>
        <v>0</v>
      </c>
      <c r="M6730" t="inlineStr">
        <is>
          <t>-306K19.5</t>
        </is>
      </c>
    </row>
    <row r="6731">
      <c r="A6731">
        <v>6730</v>
      </c>
      <c r="B6731">
        <f>GS36</f>
        <v>0</v>
      </c>
      <c r="C6731" t="inlineStr">
        <is>
          <t>+LS07</t>
        </is>
      </c>
      <c r="D6731" t="inlineStr">
        <is>
          <t>-325K415.0</t>
        </is>
      </c>
      <c r="E6731" t="inlineStr">
        <is>
          <t>DILA-40</t>
        </is>
      </c>
      <c r="F6731" t="inlineStr">
        <is>
          <t>#KALK!</t>
        </is>
      </c>
      <c r="G6731" t="inlineStr">
        <is>
          <t>HILFSSCHUETZ</t>
        </is>
      </c>
      <c r="H6731" t="inlineStr">
        <is>
          <t>4S Federzugkl.</t>
        </is>
      </c>
      <c r="I6731">
        <v>498</v>
      </c>
      <c r="J6731">
        <f>GS36/325.7</f>
        <v>0</v>
      </c>
      <c r="M6731" t="inlineStr">
        <is>
          <t>-325K415.0</t>
        </is>
      </c>
    </row>
    <row r="6732">
      <c r="A6732">
        <v>6731</v>
      </c>
      <c r="B6732">
        <f>GS14</f>
        <v>0</v>
      </c>
      <c r="C6732" t="inlineStr">
        <is>
          <t>+LS6</t>
        </is>
      </c>
      <c r="D6732" t="inlineStr">
        <is>
          <t>-306K20.4</t>
        </is>
      </c>
      <c r="E6732" t="inlineStr">
        <is>
          <t>DIL_EM-10-G</t>
        </is>
      </c>
      <c r="F6732" t="inlineStr">
        <is>
          <t>#KALK!</t>
        </is>
      </c>
      <c r="G6732" t="inlineStr">
        <is>
          <t>LASTSCHUETZ</t>
        </is>
      </c>
      <c r="H6732" t="inlineStr">
        <is>
          <t>4kW 1S</t>
        </is>
      </c>
      <c r="I6732">
        <v>435</v>
      </c>
      <c r="J6732">
        <f>GS14/306.6</f>
        <v>0</v>
      </c>
      <c r="M6732" t="inlineStr">
        <is>
          <t>-306K20.4</t>
        </is>
      </c>
    </row>
    <row r="6733">
      <c r="A6733">
        <v>6732</v>
      </c>
      <c r="B6733">
        <f>GS14</f>
        <v>0</v>
      </c>
      <c r="C6733" t="inlineStr">
        <is>
          <t>+LS6</t>
        </is>
      </c>
      <c r="D6733" t="inlineStr">
        <is>
          <t>-306K20.5</t>
        </is>
      </c>
      <c r="E6733" t="inlineStr">
        <is>
          <t>DIL_EM-10-G</t>
        </is>
      </c>
      <c r="F6733" t="inlineStr">
        <is>
          <t>#KALK!</t>
        </is>
      </c>
      <c r="G6733" t="inlineStr">
        <is>
          <t>LASTSCHUETZ</t>
        </is>
      </c>
      <c r="H6733" t="inlineStr">
        <is>
          <t>4kW 1S</t>
        </is>
      </c>
      <c r="I6733">
        <v>435</v>
      </c>
      <c r="J6733">
        <f>GS14/306.6</f>
        <v>0</v>
      </c>
      <c r="M6733" t="inlineStr">
        <is>
          <t>-306K20.5</t>
        </is>
      </c>
    </row>
    <row r="6734">
      <c r="A6734">
        <v>6733</v>
      </c>
      <c r="B6734">
        <f>GS46</f>
        <v>0</v>
      </c>
      <c r="C6734" t="inlineStr">
        <is>
          <t>+LS04</t>
        </is>
      </c>
      <c r="D6734" t="inlineStr">
        <is>
          <t>-306K3</t>
        </is>
      </c>
      <c r="E6734" t="inlineStr">
        <is>
          <t>DILA-40</t>
        </is>
      </c>
      <c r="F6734" t="inlineStr">
        <is>
          <t>#KALK!</t>
        </is>
      </c>
      <c r="G6734" t="inlineStr">
        <is>
          <t>HILFSSCHUETZ</t>
        </is>
      </c>
      <c r="H6734" t="inlineStr">
        <is>
          <t>4S Federzugkl.</t>
        </is>
      </c>
      <c r="I6734">
        <v>751</v>
      </c>
      <c r="J6734">
        <f>GS46/306.6</f>
        <v>0</v>
      </c>
      <c r="M6734" t="inlineStr">
        <is>
          <t>-306K3</t>
        </is>
      </c>
    </row>
    <row r="6735">
      <c r="A6735">
        <v>6734</v>
      </c>
      <c r="B6735">
        <f>GS47</f>
        <v>0</v>
      </c>
      <c r="C6735" t="inlineStr">
        <is>
          <t>+LS04</t>
        </is>
      </c>
      <c r="D6735" t="inlineStr">
        <is>
          <t>-306K3</t>
        </is>
      </c>
      <c r="E6735" t="inlineStr">
        <is>
          <t>DILA-40</t>
        </is>
      </c>
      <c r="F6735" t="inlineStr">
        <is>
          <t>#KALK!</t>
        </is>
      </c>
      <c r="G6735" t="inlineStr">
        <is>
          <t>HILFSSCHUETZ</t>
        </is>
      </c>
      <c r="H6735" t="inlineStr">
        <is>
          <t>4S Federzugkl.</t>
        </is>
      </c>
      <c r="I6735">
        <v>751</v>
      </c>
      <c r="J6735">
        <f>GS47/306.6</f>
        <v>0</v>
      </c>
      <c r="M6735" t="inlineStr">
        <is>
          <t>-306K3</t>
        </is>
      </c>
    </row>
    <row r="6736">
      <c r="A6736">
        <v>6735</v>
      </c>
      <c r="B6736">
        <f>GS48</f>
        <v>0</v>
      </c>
      <c r="C6736" t="inlineStr">
        <is>
          <t>+LS04</t>
        </is>
      </c>
      <c r="D6736" t="inlineStr">
        <is>
          <t>-306K3</t>
        </is>
      </c>
      <c r="E6736" t="inlineStr">
        <is>
          <t>DILA-40</t>
        </is>
      </c>
      <c r="F6736" t="inlineStr">
        <is>
          <t>#KALK!</t>
        </is>
      </c>
      <c r="G6736" t="inlineStr">
        <is>
          <t>HILFSSCHUETZ</t>
        </is>
      </c>
      <c r="H6736" t="inlineStr">
        <is>
          <t>4S Federzugkl.</t>
        </is>
      </c>
      <c r="I6736">
        <v>438</v>
      </c>
      <c r="J6736">
        <f>GS48/306.6</f>
        <v>0</v>
      </c>
      <c r="M6736" t="inlineStr">
        <is>
          <t>-306K3</t>
        </is>
      </c>
    </row>
    <row r="6737">
      <c r="A6737">
        <v>6736</v>
      </c>
      <c r="B6737">
        <f>GS49</f>
        <v>0</v>
      </c>
      <c r="C6737" t="inlineStr">
        <is>
          <t>+LS04</t>
        </is>
      </c>
      <c r="D6737" t="inlineStr">
        <is>
          <t>-306K3</t>
        </is>
      </c>
      <c r="E6737" t="inlineStr">
        <is>
          <t>DILA-40</t>
        </is>
      </c>
      <c r="F6737" t="inlineStr">
        <is>
          <t>#KALK!</t>
        </is>
      </c>
      <c r="G6737" t="inlineStr">
        <is>
          <t>HILFSSCHUETZ</t>
        </is>
      </c>
      <c r="H6737" t="inlineStr">
        <is>
          <t>4S Federzugkl.</t>
        </is>
      </c>
      <c r="I6737">
        <v>437</v>
      </c>
      <c r="J6737">
        <f>GS49/306.6</f>
        <v>0</v>
      </c>
      <c r="M6737" t="inlineStr">
        <is>
          <t>-306K3</t>
        </is>
      </c>
    </row>
    <row r="6738">
      <c r="A6738">
        <v>6737</v>
      </c>
      <c r="B6738">
        <f>GS31</f>
        <v>0</v>
      </c>
      <c r="C6738" t="inlineStr">
        <is>
          <t>+LS5</t>
        </is>
      </c>
      <c r="D6738" t="inlineStr">
        <is>
          <t>-306K3512.3</t>
        </is>
      </c>
      <c r="E6738" t="inlineStr">
        <is>
          <t>DIL_EM-10-G</t>
        </is>
      </c>
      <c r="F6738" t="inlineStr">
        <is>
          <t>#KALK!</t>
        </is>
      </c>
      <c r="G6738" t="inlineStr">
        <is>
          <t>LASTSCHUETZ</t>
        </is>
      </c>
      <c r="H6738" t="inlineStr">
        <is>
          <t>4kW 1S</t>
        </is>
      </c>
      <c r="I6738">
        <v>597</v>
      </c>
      <c r="J6738">
        <f>GS31/306.7</f>
        <v>0</v>
      </c>
      <c r="M6738" t="inlineStr">
        <is>
          <t>-306K3512.3</t>
        </is>
      </c>
    </row>
    <row r="6739">
      <c r="A6739">
        <v>6738</v>
      </c>
      <c r="B6739">
        <f>GS16</f>
        <v>0</v>
      </c>
      <c r="C6739" t="inlineStr">
        <is>
          <t>+LS5</t>
        </is>
      </c>
      <c r="D6739" t="inlineStr">
        <is>
          <t>-306K3759.0</t>
        </is>
      </c>
      <c r="E6739" t="inlineStr">
        <is>
          <t>DIL_EM-01-G</t>
        </is>
      </c>
      <c r="F6739" t="inlineStr">
        <is>
          <t>#KALK!</t>
        </is>
      </c>
      <c r="G6739" t="inlineStr">
        <is>
          <t>LASTSCHUETZ</t>
        </is>
      </c>
      <c r="H6739" t="inlineStr">
        <is>
          <t>4kW 1OE</t>
        </is>
      </c>
      <c r="I6739">
        <v>534</v>
      </c>
      <c r="J6739">
        <f>GS16/306.6</f>
        <v>0</v>
      </c>
      <c r="M6739" t="inlineStr">
        <is>
          <t>-306K3759.0</t>
        </is>
      </c>
    </row>
    <row r="6740">
      <c r="A6740">
        <v>6739</v>
      </c>
      <c r="B6740">
        <f>GS16</f>
        <v>0</v>
      </c>
      <c r="C6740" t="inlineStr">
        <is>
          <t>+LS5</t>
        </is>
      </c>
      <c r="D6740" t="inlineStr">
        <is>
          <t>-306K3759.1</t>
        </is>
      </c>
      <c r="E6740" t="inlineStr">
        <is>
          <t>DIL_EM-01-G</t>
        </is>
      </c>
      <c r="F6740" t="inlineStr">
        <is>
          <t>#KALK!</t>
        </is>
      </c>
      <c r="G6740" t="inlineStr">
        <is>
          <t>LASTSCHUETZ</t>
        </is>
      </c>
      <c r="H6740" t="inlineStr">
        <is>
          <t>4kW 1OE</t>
        </is>
      </c>
      <c r="I6740">
        <v>534</v>
      </c>
      <c r="J6740">
        <f>GS16/306.6</f>
        <v>0</v>
      </c>
      <c r="M6740" t="inlineStr">
        <is>
          <t>-306K3759.1</t>
        </is>
      </c>
    </row>
    <row r="6741">
      <c r="A6741">
        <v>6740</v>
      </c>
      <c r="B6741">
        <f>GS04</f>
        <v>0</v>
      </c>
      <c r="C6741" t="inlineStr">
        <is>
          <t>+LS7</t>
        </is>
      </c>
      <c r="D6741" t="inlineStr">
        <is>
          <t>-306K68.0</t>
        </is>
      </c>
      <c r="E6741" t="inlineStr">
        <is>
          <t>DIL_EM-10-G</t>
        </is>
      </c>
      <c r="F6741" t="inlineStr">
        <is>
          <t>#KALK!</t>
        </is>
      </c>
      <c r="G6741" t="inlineStr">
        <is>
          <t>LASTSCHUETZ</t>
        </is>
      </c>
      <c r="H6741" t="inlineStr">
        <is>
          <t>4kW 1S</t>
        </is>
      </c>
      <c r="I6741">
        <v>557</v>
      </c>
      <c r="J6741">
        <f>GS04/306.7</f>
        <v>0</v>
      </c>
      <c r="M6741" t="inlineStr">
        <is>
          <t>-306K68.0</t>
        </is>
      </c>
    </row>
    <row r="6742">
      <c r="A6742">
        <v>6741</v>
      </c>
      <c r="B6742">
        <f>GS91</f>
        <v>0</v>
      </c>
      <c r="C6742" t="inlineStr">
        <is>
          <t>+LS04</t>
        </is>
      </c>
      <c r="D6742" t="inlineStr">
        <is>
          <t>-306Q177.1</t>
        </is>
      </c>
      <c r="E6742" t="inlineStr">
        <is>
          <t>DILA-XHI22</t>
        </is>
      </c>
      <c r="F6742" t="inlineStr">
        <is>
          <t>DILA-XHI22</t>
        </is>
      </c>
      <c r="G6742" t="inlineStr">
        <is>
          <t>HILFSKONTAKTBLOCK</t>
        </is>
      </c>
      <c r="H6742" t="inlineStr">
        <is>
          <t>2S 2OE Last+Hilfssch. Cage</t>
        </is>
      </c>
      <c r="I6742">
        <v>454</v>
      </c>
      <c r="J6742">
        <f>GS91/306.5</f>
        <v>0</v>
      </c>
      <c r="M6742" t="inlineStr">
        <is>
          <t>-306Q177.1</t>
        </is>
      </c>
    </row>
    <row r="6743">
      <c r="A6743">
        <v>6742</v>
      </c>
      <c r="B6743">
        <f>GS91</f>
        <v>0</v>
      </c>
      <c r="C6743" t="inlineStr">
        <is>
          <t>+LS04</t>
        </is>
      </c>
      <c r="D6743" t="inlineStr">
        <is>
          <t>-306Q177.1</t>
        </is>
      </c>
      <c r="E6743" t="inlineStr">
        <is>
          <t>DILM-9-10</t>
        </is>
      </c>
      <c r="F6743" t="inlineStr">
        <is>
          <t>DILA-XHI22</t>
        </is>
      </c>
      <c r="G6743" t="inlineStr">
        <is>
          <t>LASTSCHUETZ</t>
        </is>
      </c>
      <c r="H6743" t="inlineStr">
        <is>
          <t>4kW 1S Federzugkl.</t>
        </is>
      </c>
      <c r="I6743">
        <v>454</v>
      </c>
      <c r="J6743">
        <f>GS91/306.5</f>
        <v>0</v>
      </c>
      <c r="M6743" t="inlineStr">
        <is>
          <t>-306Q177.1</t>
        </is>
      </c>
    </row>
    <row r="6744">
      <c r="A6744">
        <v>6743</v>
      </c>
      <c r="B6744">
        <f>GS91</f>
        <v>0</v>
      </c>
      <c r="C6744" t="inlineStr">
        <is>
          <t>+LS04</t>
        </is>
      </c>
      <c r="D6744" t="inlineStr">
        <is>
          <t>-306Q177.2</t>
        </is>
      </c>
      <c r="E6744" t="inlineStr">
        <is>
          <t>DILM-9-10</t>
        </is>
      </c>
      <c r="F6744" t="inlineStr">
        <is>
          <t>DILA-XHI22</t>
        </is>
      </c>
      <c r="G6744" t="inlineStr">
        <is>
          <t>LASTSCHUETZ</t>
        </is>
      </c>
      <c r="H6744" t="inlineStr">
        <is>
          <t>4kW 1S Federzugkl.</t>
        </is>
      </c>
      <c r="I6744">
        <v>454</v>
      </c>
      <c r="J6744">
        <f>GS91/306.6</f>
        <v>0</v>
      </c>
      <c r="M6744" t="inlineStr">
        <is>
          <t>-306Q177.2</t>
        </is>
      </c>
    </row>
    <row r="6745">
      <c r="A6745">
        <v>6744</v>
      </c>
      <c r="B6745">
        <f>GS91</f>
        <v>0</v>
      </c>
      <c r="C6745" t="inlineStr">
        <is>
          <t>+LS04</t>
        </is>
      </c>
      <c r="D6745" t="inlineStr">
        <is>
          <t>-306Q177.2</t>
        </is>
      </c>
      <c r="E6745" t="inlineStr">
        <is>
          <t>DILA-XHI22</t>
        </is>
      </c>
      <c r="F6745" t="inlineStr">
        <is>
          <t>DILA-XHI22</t>
        </is>
      </c>
      <c r="G6745" t="inlineStr">
        <is>
          <t>HILFSKONTAKTBLOCK</t>
        </is>
      </c>
      <c r="H6745" t="inlineStr">
        <is>
          <t>2S 2OE Last+Hilfssch. Cage</t>
        </is>
      </c>
      <c r="I6745">
        <v>454</v>
      </c>
      <c r="J6745">
        <f>GS91/306.6</f>
        <v>0</v>
      </c>
      <c r="M6745" t="inlineStr">
        <is>
          <t>-306Q177.2</t>
        </is>
      </c>
    </row>
    <row r="6746">
      <c r="A6746">
        <v>6745</v>
      </c>
      <c r="B6746">
        <f>GS02</f>
        <v>0</v>
      </c>
      <c r="C6746" t="inlineStr">
        <is>
          <t>+LS6</t>
        </is>
      </c>
      <c r="D6746" t="inlineStr">
        <is>
          <t>-307K1</t>
        </is>
      </c>
      <c r="E6746" t="inlineStr">
        <is>
          <t>DIL_EM-10-G</t>
        </is>
      </c>
      <c r="F6746" t="inlineStr">
        <is>
          <t>#KALK!</t>
        </is>
      </c>
      <c r="G6746" t="inlineStr">
        <is>
          <t>LASTSCHUETZ</t>
        </is>
      </c>
      <c r="H6746" t="inlineStr">
        <is>
          <t>4kW 1S</t>
        </is>
      </c>
      <c r="I6746">
        <v>713</v>
      </c>
      <c r="J6746">
        <f>GS02/307.5</f>
        <v>0</v>
      </c>
      <c r="M6746" t="inlineStr">
        <is>
          <t>-307K1</t>
        </is>
      </c>
    </row>
    <row r="6747">
      <c r="A6747">
        <v>6746</v>
      </c>
      <c r="B6747">
        <f>GS36</f>
        <v>0</v>
      </c>
      <c r="C6747" t="inlineStr">
        <is>
          <t>+LS07</t>
        </is>
      </c>
      <c r="D6747" t="inlineStr">
        <is>
          <t>-333K1</t>
        </is>
      </c>
      <c r="E6747" t="inlineStr">
        <is>
          <t>DILM-9-01</t>
        </is>
      </c>
      <c r="F6747" t="inlineStr">
        <is>
          <t>#KALK!</t>
        </is>
      </c>
      <c r="G6747" t="inlineStr">
        <is>
          <t>LASTSCHUETZ</t>
        </is>
      </c>
      <c r="H6747" t="inlineStr">
        <is>
          <t>4kW 1Oe Federzugkl.</t>
        </is>
      </c>
      <c r="I6747">
        <v>506</v>
      </c>
      <c r="J6747">
        <f>GS36/333.6</f>
        <v>0</v>
      </c>
      <c r="L6747" t="inlineStr">
        <is>
          <t>Lichtvorhang KF</t>
        </is>
      </c>
      <c r="M6747" t="inlineStr">
        <is>
          <t>Lichtvorhang KF
-333K1</t>
        </is>
      </c>
    </row>
    <row r="6748">
      <c r="A6748">
        <v>6747</v>
      </c>
      <c r="B6748">
        <f>GS25</f>
        <v>0</v>
      </c>
      <c r="C6748" t="inlineStr">
        <is>
          <t>+LS6</t>
        </is>
      </c>
      <c r="D6748" t="inlineStr">
        <is>
          <t>-307K14.0</t>
        </is>
      </c>
      <c r="E6748" t="inlineStr">
        <is>
          <t>DIL_EM-10-G</t>
        </is>
      </c>
      <c r="F6748" t="inlineStr">
        <is>
          <t>#KALK!</t>
        </is>
      </c>
      <c r="G6748" t="inlineStr">
        <is>
          <t>LASTSCHUETZ</t>
        </is>
      </c>
      <c r="H6748" t="inlineStr">
        <is>
          <t>4kW 1S</t>
        </is>
      </c>
      <c r="I6748">
        <v>431</v>
      </c>
      <c r="J6748">
        <f>GS25/307.6</f>
        <v>0</v>
      </c>
      <c r="M6748" t="inlineStr">
        <is>
          <t>-307K14.0</t>
        </is>
      </c>
    </row>
    <row r="6749">
      <c r="A6749">
        <v>6748</v>
      </c>
      <c r="B6749">
        <f>GS25</f>
        <v>0</v>
      </c>
      <c r="C6749" t="inlineStr">
        <is>
          <t>+LS6</t>
        </is>
      </c>
      <c r="D6749" t="inlineStr">
        <is>
          <t>-307K14.1</t>
        </is>
      </c>
      <c r="E6749" t="inlineStr">
        <is>
          <t>DIL_EM-10-G</t>
        </is>
      </c>
      <c r="F6749" t="inlineStr">
        <is>
          <t>#KALK!</t>
        </is>
      </c>
      <c r="G6749" t="inlineStr">
        <is>
          <t>LASTSCHUETZ</t>
        </is>
      </c>
      <c r="H6749" t="inlineStr">
        <is>
          <t>4kW 1S</t>
        </is>
      </c>
      <c r="I6749">
        <v>431</v>
      </c>
      <c r="J6749">
        <f>GS25/307.6</f>
        <v>0</v>
      </c>
      <c r="M6749" t="inlineStr">
        <is>
          <t>-307K14.1</t>
        </is>
      </c>
    </row>
    <row r="6750">
      <c r="A6750">
        <v>6749</v>
      </c>
      <c r="B6750">
        <f>GS36</f>
        <v>0</v>
      </c>
      <c r="C6750" t="inlineStr">
        <is>
          <t>+LS07</t>
        </is>
      </c>
      <c r="D6750" t="inlineStr">
        <is>
          <t>-333K2</t>
        </is>
      </c>
      <c r="E6750" t="inlineStr">
        <is>
          <t>DILM-9-01</t>
        </is>
      </c>
      <c r="F6750" t="inlineStr">
        <is>
          <t>#KALK!</t>
        </is>
      </c>
      <c r="G6750" t="inlineStr">
        <is>
          <t>LASTSCHUETZ</t>
        </is>
      </c>
      <c r="H6750" t="inlineStr">
        <is>
          <t>4kW 1Oe Federzugkl.</t>
        </is>
      </c>
      <c r="I6750">
        <v>506</v>
      </c>
      <c r="J6750">
        <f>GS36/333.7</f>
        <v>0</v>
      </c>
      <c r="L6750" t="inlineStr">
        <is>
          <t>Lichtvorhang KF</t>
        </is>
      </c>
      <c r="M6750" t="inlineStr">
        <is>
          <t>Lichtvorhang KF
-333K2</t>
        </is>
      </c>
    </row>
    <row r="6751">
      <c r="A6751">
        <v>6750</v>
      </c>
      <c r="B6751">
        <f>GS11</f>
        <v>0</v>
      </c>
      <c r="C6751" t="inlineStr">
        <is>
          <t>+LS7</t>
        </is>
      </c>
      <c r="D6751" t="inlineStr">
        <is>
          <t>-307K20.1</t>
        </is>
      </c>
      <c r="E6751" t="inlineStr">
        <is>
          <t>DIL_EM-10-G</t>
        </is>
      </c>
      <c r="F6751" t="inlineStr">
        <is>
          <t>#KALK!</t>
        </is>
      </c>
      <c r="G6751" t="inlineStr">
        <is>
          <t>LASTSCHUETZ</t>
        </is>
      </c>
      <c r="H6751" t="inlineStr">
        <is>
          <t>4kW 1S</t>
        </is>
      </c>
      <c r="I6751">
        <v>418</v>
      </c>
      <c r="J6751">
        <f>GS11/307.7</f>
        <v>0</v>
      </c>
      <c r="M6751" t="inlineStr">
        <is>
          <t>-307K20.1</t>
        </is>
      </c>
    </row>
    <row r="6752">
      <c r="A6752">
        <v>6751</v>
      </c>
      <c r="B6752">
        <f>GS21</f>
        <v>0</v>
      </c>
      <c r="C6752" t="inlineStr">
        <is>
          <t>+LS7</t>
        </is>
      </c>
      <c r="D6752" t="inlineStr">
        <is>
          <t>-307K20.1</t>
        </is>
      </c>
      <c r="E6752" t="inlineStr">
        <is>
          <t>DIL_EM-10-G</t>
        </is>
      </c>
      <c r="F6752" t="inlineStr">
        <is>
          <t>#KALK!</t>
        </is>
      </c>
      <c r="G6752" t="inlineStr">
        <is>
          <t>LASTSCHUETZ</t>
        </is>
      </c>
      <c r="H6752" t="inlineStr">
        <is>
          <t>4kW 1S</t>
        </is>
      </c>
      <c r="I6752">
        <v>395</v>
      </c>
      <c r="J6752">
        <f>GS21/307.7</f>
        <v>0</v>
      </c>
      <c r="M6752" t="inlineStr">
        <is>
          <t>-307K20.1</t>
        </is>
      </c>
    </row>
    <row r="6753">
      <c r="A6753">
        <v>6752</v>
      </c>
      <c r="B6753">
        <f>GS14</f>
        <v>0</v>
      </c>
      <c r="C6753" t="inlineStr">
        <is>
          <t>+LS6</t>
        </is>
      </c>
      <c r="D6753" t="inlineStr">
        <is>
          <t>-307K20.6</t>
        </is>
      </c>
      <c r="E6753" t="inlineStr">
        <is>
          <t>DIL_EM-10-G</t>
        </is>
      </c>
      <c r="F6753" t="inlineStr">
        <is>
          <t>#KALK!</t>
        </is>
      </c>
      <c r="G6753" t="inlineStr">
        <is>
          <t>LASTSCHUETZ</t>
        </is>
      </c>
      <c r="H6753" t="inlineStr">
        <is>
          <t>4kW 1S</t>
        </is>
      </c>
      <c r="I6753">
        <v>436</v>
      </c>
      <c r="J6753">
        <f>GS14/307.6</f>
        <v>0</v>
      </c>
      <c r="M6753" t="inlineStr">
        <is>
          <t>-307K20.6</t>
        </is>
      </c>
    </row>
    <row r="6754">
      <c r="A6754">
        <v>6753</v>
      </c>
      <c r="B6754">
        <f>GS31</f>
        <v>0</v>
      </c>
      <c r="C6754" t="inlineStr">
        <is>
          <t>+LS5</t>
        </is>
      </c>
      <c r="D6754" t="inlineStr">
        <is>
          <t>-307K3512.7</t>
        </is>
      </c>
      <c r="E6754" t="inlineStr">
        <is>
          <t>DIL_EM-10-G</t>
        </is>
      </c>
      <c r="F6754" t="inlineStr">
        <is>
          <t>#KALK!</t>
        </is>
      </c>
      <c r="G6754" t="inlineStr">
        <is>
          <t>LASTSCHUETZ</t>
        </is>
      </c>
      <c r="H6754" t="inlineStr">
        <is>
          <t>4kW 1S</t>
        </is>
      </c>
      <c r="I6754">
        <v>598</v>
      </c>
      <c r="J6754">
        <f>GS31/307.7</f>
        <v>0</v>
      </c>
      <c r="M6754" t="inlineStr">
        <is>
          <t>-307K3512.7</t>
        </is>
      </c>
    </row>
    <row r="6755">
      <c r="A6755">
        <v>6754</v>
      </c>
      <c r="B6755">
        <f>GS32</f>
        <v>0</v>
      </c>
      <c r="C6755" t="inlineStr">
        <is>
          <t>+LS7</t>
        </is>
      </c>
      <c r="D6755" t="inlineStr">
        <is>
          <t>-307K62.0</t>
        </is>
      </c>
      <c r="E6755" t="inlineStr">
        <is>
          <t>DIL_EM-10-G</t>
        </is>
      </c>
      <c r="F6755" t="inlineStr">
        <is>
          <t>#KALK!</t>
        </is>
      </c>
      <c r="G6755" t="inlineStr">
        <is>
          <t>LASTSCHUETZ</t>
        </is>
      </c>
      <c r="H6755" t="inlineStr">
        <is>
          <t>4kW 1S</t>
        </is>
      </c>
      <c r="I6755">
        <v>1300</v>
      </c>
      <c r="J6755">
        <f>GS32/307.6</f>
        <v>0</v>
      </c>
      <c r="M6755" t="inlineStr">
        <is>
          <t>-307K62.0</t>
        </is>
      </c>
    </row>
    <row r="6756">
      <c r="A6756">
        <v>6755</v>
      </c>
      <c r="B6756">
        <f>GS32</f>
        <v>0</v>
      </c>
      <c r="C6756" t="inlineStr">
        <is>
          <t>+LS7</t>
        </is>
      </c>
      <c r="D6756" t="inlineStr">
        <is>
          <t>-307K62.1</t>
        </is>
      </c>
      <c r="E6756" t="inlineStr">
        <is>
          <t>DIL_EM-10-G</t>
        </is>
      </c>
      <c r="F6756" t="inlineStr">
        <is>
          <t>#KALK!</t>
        </is>
      </c>
      <c r="G6756" t="inlineStr">
        <is>
          <t>LASTSCHUETZ</t>
        </is>
      </c>
      <c r="H6756" t="inlineStr">
        <is>
          <t>4kW 1S</t>
        </is>
      </c>
      <c r="I6756">
        <v>1300</v>
      </c>
      <c r="J6756">
        <f>GS32/307.6</f>
        <v>0</v>
      </c>
      <c r="M6756" t="inlineStr">
        <is>
          <t>-307K62.1</t>
        </is>
      </c>
    </row>
    <row r="6757">
      <c r="A6757">
        <v>6756</v>
      </c>
      <c r="B6757">
        <f>GS04</f>
        <v>0</v>
      </c>
      <c r="C6757" t="inlineStr">
        <is>
          <t>+LS7</t>
        </is>
      </c>
      <c r="D6757" t="inlineStr">
        <is>
          <t>-307K70.5</t>
        </is>
      </c>
      <c r="E6757" t="inlineStr">
        <is>
          <t>DIL_EM-10-G</t>
        </is>
      </c>
      <c r="F6757" t="inlineStr">
        <is>
          <t>#KALK!</t>
        </is>
      </c>
      <c r="G6757" t="inlineStr">
        <is>
          <t>LASTSCHUETZ</t>
        </is>
      </c>
      <c r="H6757" t="inlineStr">
        <is>
          <t>4kW 1S</t>
        </is>
      </c>
      <c r="I6757">
        <v>558</v>
      </c>
      <c r="J6757">
        <f>GS04/307.7</f>
        <v>0</v>
      </c>
      <c r="M6757" t="inlineStr">
        <is>
          <t>-307K70.5</t>
        </is>
      </c>
    </row>
    <row r="6758">
      <c r="A6758">
        <v>6757</v>
      </c>
      <c r="B6758">
        <f>GC03</f>
        <v>0</v>
      </c>
      <c r="C6758" t="inlineStr">
        <is>
          <t>+LS8</t>
        </is>
      </c>
      <c r="D6758" t="inlineStr">
        <is>
          <t>-307K82.3</t>
        </is>
      </c>
      <c r="E6758" t="inlineStr">
        <is>
          <t>DIL_EM-10-G</t>
        </is>
      </c>
      <c r="F6758" t="inlineStr">
        <is>
          <t>#KALK!</t>
        </is>
      </c>
      <c r="G6758" t="inlineStr">
        <is>
          <t>LASTSCHUETZ</t>
        </is>
      </c>
      <c r="H6758" t="inlineStr">
        <is>
          <t>4kW 1S</t>
        </is>
      </c>
      <c r="I6758">
        <v>3491</v>
      </c>
      <c r="J6758">
        <f>GC03/307.7</f>
        <v>0</v>
      </c>
      <c r="M6758" t="inlineStr">
        <is>
          <t>-307K82.3</t>
        </is>
      </c>
    </row>
    <row r="6759">
      <c r="A6759">
        <v>6758</v>
      </c>
      <c r="B6759">
        <f>GS91</f>
        <v>0</v>
      </c>
      <c r="C6759" t="inlineStr">
        <is>
          <t>+LS04</t>
        </is>
      </c>
      <c r="D6759" t="inlineStr">
        <is>
          <t>-307Q177.3</t>
        </is>
      </c>
      <c r="E6759" t="inlineStr">
        <is>
          <t>DILM-9-10</t>
        </is>
      </c>
      <c r="F6759" t="inlineStr">
        <is>
          <t>#KALK!</t>
        </is>
      </c>
      <c r="G6759" t="inlineStr">
        <is>
          <t>LASTSCHUETZ</t>
        </is>
      </c>
      <c r="H6759" t="inlineStr">
        <is>
          <t>4kW 1S Federzugkl.</t>
        </is>
      </c>
      <c r="I6759">
        <v>455</v>
      </c>
      <c r="J6759">
        <f>GS91/307.5</f>
        <v>0</v>
      </c>
      <c r="M6759" t="inlineStr">
        <is>
          <t>-307Q177.3</t>
        </is>
      </c>
    </row>
    <row r="6760">
      <c r="A6760">
        <v>6759</v>
      </c>
      <c r="B6760">
        <f>GS36</f>
        <v>0</v>
      </c>
      <c r="C6760" t="inlineStr">
        <is>
          <t>+LS07</t>
        </is>
      </c>
      <c r="D6760" t="inlineStr">
        <is>
          <t>-335K1</t>
        </is>
      </c>
      <c r="E6760" t="inlineStr">
        <is>
          <t>DILA-40</t>
        </is>
      </c>
      <c r="F6760" t="inlineStr">
        <is>
          <t>#KALK!</t>
        </is>
      </c>
      <c r="G6760" t="inlineStr">
        <is>
          <t>HILFSSCHUETZ</t>
        </is>
      </c>
      <c r="H6760" t="inlineStr">
        <is>
          <t>4S Federzugkl.</t>
        </is>
      </c>
      <c r="I6760">
        <v>508</v>
      </c>
      <c r="J6760">
        <f>GS36/335.5</f>
        <v>0</v>
      </c>
      <c r="M6760" t="inlineStr">
        <is>
          <t>-335K1</t>
        </is>
      </c>
    </row>
    <row r="6761">
      <c r="A6761">
        <v>6760</v>
      </c>
      <c r="B6761">
        <f>GS36</f>
        <v>0</v>
      </c>
      <c r="C6761" t="inlineStr">
        <is>
          <t>+LS07</t>
        </is>
      </c>
      <c r="D6761" t="inlineStr">
        <is>
          <t>-335K417.4</t>
        </is>
      </c>
      <c r="E6761" t="inlineStr">
        <is>
          <t>DILA-40</t>
        </is>
      </c>
      <c r="F6761" t="inlineStr">
        <is>
          <t>#KALK!</t>
        </is>
      </c>
      <c r="G6761" t="inlineStr">
        <is>
          <t>HILFSSCHUETZ</t>
        </is>
      </c>
      <c r="H6761" t="inlineStr">
        <is>
          <t>4S Federzugkl.</t>
        </is>
      </c>
      <c r="I6761">
        <v>508</v>
      </c>
      <c r="J6761">
        <f>GS36/335.7</f>
        <v>0</v>
      </c>
      <c r="M6761" t="inlineStr">
        <is>
          <t>-335K417.4</t>
        </is>
      </c>
    </row>
    <row r="6762">
      <c r="A6762">
        <v>6761</v>
      </c>
      <c r="B6762">
        <f>GS13</f>
        <v>0</v>
      </c>
      <c r="C6762" t="inlineStr">
        <is>
          <t>+LS6</t>
        </is>
      </c>
      <c r="D6762" t="inlineStr">
        <is>
          <t>-30886.0</t>
        </is>
      </c>
      <c r="E6762" t="inlineStr">
        <is>
          <t>DIL_EM-10-G</t>
        </is>
      </c>
      <c r="F6762" t="inlineStr">
        <is>
          <t>#KALK!</t>
        </is>
      </c>
      <c r="G6762" t="inlineStr">
        <is>
          <t>LASTSCHUETZ</t>
        </is>
      </c>
      <c r="H6762" t="inlineStr">
        <is>
          <t>4kW 1S</t>
        </is>
      </c>
      <c r="I6762">
        <v>551</v>
      </c>
      <c r="J6762">
        <f>GS13/308.6</f>
        <v>0</v>
      </c>
      <c r="M6762" t="inlineStr">
        <is>
          <t>-30886.0</t>
        </is>
      </c>
    </row>
    <row r="6763">
      <c r="A6763">
        <v>6762</v>
      </c>
      <c r="B6763">
        <f>GS13</f>
        <v>0</v>
      </c>
      <c r="C6763" t="inlineStr">
        <is>
          <t>+LS6</t>
        </is>
      </c>
      <c r="D6763" t="inlineStr">
        <is>
          <t>-30886.1</t>
        </is>
      </c>
      <c r="E6763" t="inlineStr">
        <is>
          <t>DIL_EM-10-G</t>
        </is>
      </c>
      <c r="F6763" t="inlineStr">
        <is>
          <t>#KALK!</t>
        </is>
      </c>
      <c r="G6763" t="inlineStr">
        <is>
          <t>LASTSCHUETZ</t>
        </is>
      </c>
      <c r="H6763" t="inlineStr">
        <is>
          <t>4kW 1S</t>
        </is>
      </c>
      <c r="I6763">
        <v>551</v>
      </c>
      <c r="J6763">
        <f>GS13/308.6</f>
        <v>0</v>
      </c>
      <c r="M6763" t="inlineStr">
        <is>
          <t>-30886.1</t>
        </is>
      </c>
    </row>
    <row r="6764">
      <c r="A6764">
        <v>6763</v>
      </c>
      <c r="B6764">
        <f>GS36</f>
        <v>0</v>
      </c>
      <c r="C6764" t="inlineStr">
        <is>
          <t>+LS07</t>
        </is>
      </c>
      <c r="D6764" t="inlineStr">
        <is>
          <t>-337Q417.7</t>
        </is>
      </c>
      <c r="E6764" t="inlineStr">
        <is>
          <t>DILM-9-10</t>
        </is>
      </c>
      <c r="F6764" t="inlineStr">
        <is>
          <t>#KALK!</t>
        </is>
      </c>
      <c r="G6764" t="inlineStr">
        <is>
          <t>LASTSCHUETZ</t>
        </is>
      </c>
      <c r="H6764" t="inlineStr">
        <is>
          <t>4kW 1S Federzugkl.</t>
        </is>
      </c>
      <c r="I6764">
        <v>510</v>
      </c>
      <c r="J6764">
        <f>GS36/337.6</f>
        <v>0</v>
      </c>
      <c r="L6764" t="inlineStr">
        <is>
          <t>KF_1302</t>
        </is>
      </c>
      <c r="M6764" t="inlineStr">
        <is>
          <t>KF_1302
-337Q417.7</t>
        </is>
      </c>
      <c r="N6764" t="inlineStr">
        <is>
          <t>P</t>
        </is>
      </c>
    </row>
    <row r="6765">
      <c r="A6765">
        <v>6764</v>
      </c>
      <c r="B6765">
        <f>GS46</f>
        <v>0</v>
      </c>
      <c r="C6765" t="inlineStr">
        <is>
          <t>+LS04</t>
        </is>
      </c>
      <c r="D6765" t="inlineStr">
        <is>
          <t>-308K1</t>
        </is>
      </c>
      <c r="E6765" t="inlineStr">
        <is>
          <t>DILM-9-01</t>
        </is>
      </c>
      <c r="F6765" t="inlineStr">
        <is>
          <t>#KALK!</t>
        </is>
      </c>
      <c r="G6765" t="inlineStr">
        <is>
          <t>LASTSCHUETZ</t>
        </is>
      </c>
      <c r="H6765" t="inlineStr">
        <is>
          <t>4kW 1Oe Federzugkl.</t>
        </is>
      </c>
      <c r="I6765">
        <v>749</v>
      </c>
      <c r="J6765">
        <f>GS46/308.6</f>
        <v>0</v>
      </c>
      <c r="M6765" t="inlineStr">
        <is>
          <t>-308K1</t>
        </is>
      </c>
    </row>
    <row r="6766">
      <c r="A6766">
        <v>6765</v>
      </c>
      <c r="B6766">
        <f>GS47</f>
        <v>0</v>
      </c>
      <c r="C6766" t="inlineStr">
        <is>
          <t>+LS04</t>
        </is>
      </c>
      <c r="D6766" t="inlineStr">
        <is>
          <t>-308K1</t>
        </is>
      </c>
      <c r="E6766" t="inlineStr">
        <is>
          <t>DILM-9-01</t>
        </is>
      </c>
      <c r="F6766" t="inlineStr">
        <is>
          <t>#KALK!</t>
        </is>
      </c>
      <c r="G6766" t="inlineStr">
        <is>
          <t>LASTSCHUETZ</t>
        </is>
      </c>
      <c r="H6766" t="inlineStr">
        <is>
          <t>4kW 1Oe Federzugkl.</t>
        </is>
      </c>
      <c r="I6766">
        <v>749</v>
      </c>
      <c r="J6766">
        <f>GS47/308.6</f>
        <v>0</v>
      </c>
      <c r="M6766" t="inlineStr">
        <is>
          <t>-308K1</t>
        </is>
      </c>
    </row>
    <row r="6767">
      <c r="A6767">
        <v>6766</v>
      </c>
      <c r="B6767">
        <f>GS48</f>
        <v>0</v>
      </c>
      <c r="C6767" t="inlineStr">
        <is>
          <t>+LS04</t>
        </is>
      </c>
      <c r="D6767" t="inlineStr">
        <is>
          <t>-308K1</t>
        </is>
      </c>
      <c r="E6767" t="inlineStr">
        <is>
          <t>DILM-9-01</t>
        </is>
      </c>
      <c r="F6767" t="inlineStr">
        <is>
          <t>#KALK!</t>
        </is>
      </c>
      <c r="G6767" t="inlineStr">
        <is>
          <t>LASTSCHUETZ</t>
        </is>
      </c>
      <c r="H6767" t="inlineStr">
        <is>
          <t>4kW 1Oe Federzugkl.</t>
        </is>
      </c>
      <c r="I6767">
        <v>440</v>
      </c>
      <c r="J6767">
        <f>GS48/308.6</f>
        <v>0</v>
      </c>
      <c r="M6767" t="inlineStr">
        <is>
          <t>-308K1</t>
        </is>
      </c>
    </row>
    <row r="6768">
      <c r="A6768">
        <v>6767</v>
      </c>
      <c r="B6768">
        <f>GS49</f>
        <v>0</v>
      </c>
      <c r="C6768" t="inlineStr">
        <is>
          <t>+LS04</t>
        </is>
      </c>
      <c r="D6768" t="inlineStr">
        <is>
          <t>-308K1</t>
        </is>
      </c>
      <c r="E6768" t="inlineStr">
        <is>
          <t>DILM-9-01</t>
        </is>
      </c>
      <c r="F6768" t="inlineStr">
        <is>
          <t>#KALK!</t>
        </is>
      </c>
      <c r="G6768" t="inlineStr">
        <is>
          <t>LASTSCHUETZ</t>
        </is>
      </c>
      <c r="H6768" t="inlineStr">
        <is>
          <t>4kW 1Oe Federzugkl.</t>
        </is>
      </c>
      <c r="I6768">
        <v>439</v>
      </c>
      <c r="J6768">
        <f>GS49/308.6</f>
        <v>0</v>
      </c>
      <c r="M6768" t="inlineStr">
        <is>
          <t>-308K1</t>
        </is>
      </c>
    </row>
    <row r="6769">
      <c r="A6769">
        <v>6768</v>
      </c>
      <c r="B6769">
        <f>GS92</f>
        <v>0</v>
      </c>
      <c r="C6769" t="inlineStr">
        <is>
          <t>+LS05</t>
        </is>
      </c>
      <c r="D6769" t="inlineStr">
        <is>
          <t>-308K1320.2</t>
        </is>
      </c>
      <c r="E6769" t="inlineStr">
        <is>
          <t>DILA-22</t>
        </is>
      </c>
      <c r="F6769" t="inlineStr">
        <is>
          <t>#KALK!</t>
        </is>
      </c>
      <c r="G6769" t="inlineStr">
        <is>
          <t>HILFSSCHUETZ</t>
        </is>
      </c>
      <c r="H6769" t="inlineStr">
        <is>
          <t>2S 2Oe Federzugkl.</t>
        </is>
      </c>
      <c r="I6769">
        <v>455</v>
      </c>
      <c r="J6769">
        <f>GS92/308.5</f>
        <v>0</v>
      </c>
      <c r="M6769" t="inlineStr">
        <is>
          <t>-308K1320.2</t>
        </is>
      </c>
    </row>
    <row r="6770">
      <c r="A6770">
        <v>6769</v>
      </c>
      <c r="B6770">
        <f>GS93</f>
        <v>0</v>
      </c>
      <c r="C6770" t="inlineStr">
        <is>
          <t>+LS05</t>
        </is>
      </c>
      <c r="D6770" t="inlineStr">
        <is>
          <t>-308K1320.2</t>
        </is>
      </c>
      <c r="E6770" t="inlineStr">
        <is>
          <t>DILA-22</t>
        </is>
      </c>
      <c r="F6770" t="inlineStr">
        <is>
          <t>#KALK!</t>
        </is>
      </c>
      <c r="G6770" t="inlineStr">
        <is>
          <t>HILFSSCHUETZ</t>
        </is>
      </c>
      <c r="H6770" t="inlineStr">
        <is>
          <t>2S 2Oe Federzugkl.</t>
        </is>
      </c>
      <c r="I6770">
        <v>862</v>
      </c>
      <c r="J6770">
        <f>GS93/308.5</f>
        <v>0</v>
      </c>
      <c r="M6770" t="inlineStr">
        <is>
          <t>-308K1320.2</t>
        </is>
      </c>
    </row>
    <row r="6771">
      <c r="A6771">
        <v>6770</v>
      </c>
      <c r="B6771">
        <f>GS25</f>
        <v>0</v>
      </c>
      <c r="C6771" t="inlineStr">
        <is>
          <t>+LS6</t>
        </is>
      </c>
      <c r="D6771" t="inlineStr">
        <is>
          <t>-308K14.5</t>
        </is>
      </c>
      <c r="E6771" t="inlineStr">
        <is>
          <t>DIL_EM-10-G</t>
        </is>
      </c>
      <c r="F6771" t="inlineStr">
        <is>
          <t>#KALK!</t>
        </is>
      </c>
      <c r="G6771" t="inlineStr">
        <is>
          <t>LASTSCHUETZ</t>
        </is>
      </c>
      <c r="H6771" t="inlineStr">
        <is>
          <t>4kW 1S</t>
        </is>
      </c>
      <c r="I6771">
        <v>432</v>
      </c>
      <c r="J6771">
        <f>GS25/308.7</f>
        <v>0</v>
      </c>
      <c r="M6771" t="inlineStr">
        <is>
          <t>-308K14.5</t>
        </is>
      </c>
    </row>
    <row r="6772">
      <c r="A6772">
        <v>6771</v>
      </c>
      <c r="B6772">
        <f>GS36</f>
        <v>0</v>
      </c>
      <c r="C6772" t="inlineStr">
        <is>
          <t>+LS07</t>
        </is>
      </c>
      <c r="D6772" t="inlineStr">
        <is>
          <t>-338Q418.1</t>
        </is>
      </c>
      <c r="E6772" t="inlineStr">
        <is>
          <t>DILM-9-10</t>
        </is>
      </c>
      <c r="F6772" t="inlineStr">
        <is>
          <t>#KALK!</t>
        </is>
      </c>
      <c r="G6772" t="inlineStr">
        <is>
          <t>LASTSCHUETZ</t>
        </is>
      </c>
      <c r="H6772" t="inlineStr">
        <is>
          <t>4kW 1S Federzugkl.</t>
        </is>
      </c>
      <c r="I6772">
        <v>511</v>
      </c>
      <c r="J6772">
        <f>GS36/338.6</f>
        <v>0</v>
      </c>
      <c r="L6772" t="inlineStr">
        <is>
          <t>KF_1303</t>
        </is>
      </c>
      <c r="M6772" t="inlineStr">
        <is>
          <t>KF_1303
-338Q418.1</t>
        </is>
      </c>
      <c r="N6772" t="inlineStr">
        <is>
          <t>P</t>
        </is>
      </c>
    </row>
    <row r="6773">
      <c r="A6773">
        <v>6772</v>
      </c>
      <c r="B6773">
        <f>GS46</f>
        <v>0</v>
      </c>
      <c r="C6773" t="inlineStr">
        <is>
          <t>+LS04</t>
        </is>
      </c>
      <c r="D6773" t="inlineStr">
        <is>
          <t>-308K2</t>
        </is>
      </c>
      <c r="E6773" t="inlineStr">
        <is>
          <t>DILM-9-01</t>
        </is>
      </c>
      <c r="F6773" t="inlineStr">
        <is>
          <t>#KALK!</t>
        </is>
      </c>
      <c r="G6773" t="inlineStr">
        <is>
          <t>LASTSCHUETZ</t>
        </is>
      </c>
      <c r="H6773" t="inlineStr">
        <is>
          <t>4kW 1Oe Federzugkl.</t>
        </is>
      </c>
      <c r="I6773">
        <v>749</v>
      </c>
      <c r="J6773">
        <f>GS46/308.7</f>
        <v>0</v>
      </c>
      <c r="M6773" t="inlineStr">
        <is>
          <t>-308K2</t>
        </is>
      </c>
    </row>
    <row r="6774">
      <c r="A6774">
        <v>6773</v>
      </c>
      <c r="B6774">
        <f>GS47</f>
        <v>0</v>
      </c>
      <c r="C6774" t="inlineStr">
        <is>
          <t>+LS04</t>
        </is>
      </c>
      <c r="D6774" t="inlineStr">
        <is>
          <t>-308K2</t>
        </is>
      </c>
      <c r="E6774" t="inlineStr">
        <is>
          <t>DILM-9-01</t>
        </is>
      </c>
      <c r="F6774" t="inlineStr">
        <is>
          <t>#KALK!</t>
        </is>
      </c>
      <c r="G6774" t="inlineStr">
        <is>
          <t>LASTSCHUETZ</t>
        </is>
      </c>
      <c r="H6774" t="inlineStr">
        <is>
          <t>4kW 1Oe Federzugkl.</t>
        </is>
      </c>
      <c r="I6774">
        <v>749</v>
      </c>
      <c r="J6774">
        <f>GS47/308.7</f>
        <v>0</v>
      </c>
      <c r="M6774" t="inlineStr">
        <is>
          <t>-308K2</t>
        </is>
      </c>
    </row>
    <row r="6775">
      <c r="A6775">
        <v>6774</v>
      </c>
      <c r="B6775">
        <f>GS48</f>
        <v>0</v>
      </c>
      <c r="C6775" t="inlineStr">
        <is>
          <t>+LS04</t>
        </is>
      </c>
      <c r="D6775" t="inlineStr">
        <is>
          <t>-308K2</t>
        </is>
      </c>
      <c r="E6775" t="inlineStr">
        <is>
          <t>DILM-9-01</t>
        </is>
      </c>
      <c r="F6775" t="inlineStr">
        <is>
          <t>#KALK!</t>
        </is>
      </c>
      <c r="G6775" t="inlineStr">
        <is>
          <t>LASTSCHUETZ</t>
        </is>
      </c>
      <c r="H6775" t="inlineStr">
        <is>
          <t>4kW 1Oe Federzugkl.</t>
        </is>
      </c>
      <c r="I6775">
        <v>440</v>
      </c>
      <c r="J6775">
        <f>GS48/308.7</f>
        <v>0</v>
      </c>
      <c r="M6775" t="inlineStr">
        <is>
          <t>-308K2</t>
        </is>
      </c>
    </row>
    <row r="6776">
      <c r="A6776">
        <v>6775</v>
      </c>
      <c r="B6776">
        <f>GS49</f>
        <v>0</v>
      </c>
      <c r="C6776" t="inlineStr">
        <is>
          <t>+LS04</t>
        </is>
      </c>
      <c r="D6776" t="inlineStr">
        <is>
          <t>-308K2</t>
        </is>
      </c>
      <c r="E6776" t="inlineStr">
        <is>
          <t>DILM-9-01</t>
        </is>
      </c>
      <c r="F6776" t="inlineStr">
        <is>
          <t>#KALK!</t>
        </is>
      </c>
      <c r="G6776" t="inlineStr">
        <is>
          <t>LASTSCHUETZ</t>
        </is>
      </c>
      <c r="H6776" t="inlineStr">
        <is>
          <t>4kW 1Oe Federzugkl.</t>
        </is>
      </c>
      <c r="I6776">
        <v>439</v>
      </c>
      <c r="J6776">
        <f>GS49/308.7</f>
        <v>0</v>
      </c>
      <c r="M6776" t="inlineStr">
        <is>
          <t>-308K2</t>
        </is>
      </c>
    </row>
    <row r="6777">
      <c r="A6777">
        <v>6776</v>
      </c>
      <c r="B6777">
        <f>GS11</f>
        <v>0</v>
      </c>
      <c r="C6777" t="inlineStr">
        <is>
          <t>+LS7</t>
        </is>
      </c>
      <c r="D6777" t="inlineStr">
        <is>
          <t>-308K20.2</t>
        </is>
      </c>
      <c r="E6777" t="inlineStr">
        <is>
          <t>DIL_EM-10-G</t>
        </is>
      </c>
      <c r="F6777" t="inlineStr">
        <is>
          <t>#KALK!</t>
        </is>
      </c>
      <c r="G6777" t="inlineStr">
        <is>
          <t>LASTSCHUETZ</t>
        </is>
      </c>
      <c r="H6777" t="inlineStr">
        <is>
          <t>4kW 1S</t>
        </is>
      </c>
      <c r="I6777">
        <v>77</v>
      </c>
      <c r="J6777">
        <f>GS11/308.6</f>
        <v>0</v>
      </c>
      <c r="M6777" t="inlineStr">
        <is>
          <t>-308K20.2</t>
        </is>
      </c>
    </row>
    <row r="6778">
      <c r="A6778">
        <v>6777</v>
      </c>
      <c r="B6778">
        <f>GS21</f>
        <v>0</v>
      </c>
      <c r="C6778" t="inlineStr">
        <is>
          <t>+LS7</t>
        </is>
      </c>
      <c r="D6778" t="inlineStr">
        <is>
          <t>-308K20.2</t>
        </is>
      </c>
      <c r="E6778" t="inlineStr">
        <is>
          <t>DIL_EM-10-G</t>
        </is>
      </c>
      <c r="F6778" t="inlineStr">
        <is>
          <t>#KALK!</t>
        </is>
      </c>
      <c r="G6778" t="inlineStr">
        <is>
          <t>LASTSCHUETZ</t>
        </is>
      </c>
      <c r="H6778" t="inlineStr">
        <is>
          <t>4kW 1S</t>
        </is>
      </c>
      <c r="I6778">
        <v>396</v>
      </c>
      <c r="J6778">
        <f>GS21/308.6</f>
        <v>0</v>
      </c>
      <c r="M6778" t="inlineStr">
        <is>
          <t>-308K20.2</t>
        </is>
      </c>
    </row>
    <row r="6779">
      <c r="A6779">
        <v>6778</v>
      </c>
      <c r="B6779">
        <f>GS14</f>
        <v>0</v>
      </c>
      <c r="C6779" t="inlineStr">
        <is>
          <t>+LS6</t>
        </is>
      </c>
      <c r="D6779" t="inlineStr">
        <is>
          <t>-308K21.2</t>
        </is>
      </c>
      <c r="E6779" t="inlineStr">
        <is>
          <t>DIL_EM-10-G</t>
        </is>
      </c>
      <c r="F6779" t="inlineStr">
        <is>
          <t>#KALK!</t>
        </is>
      </c>
      <c r="G6779" t="inlineStr">
        <is>
          <t>LASTSCHUETZ</t>
        </is>
      </c>
      <c r="H6779" t="inlineStr">
        <is>
          <t>4kW 1S</t>
        </is>
      </c>
      <c r="I6779">
        <v>437</v>
      </c>
      <c r="J6779">
        <f>GS14/308.7</f>
        <v>0</v>
      </c>
      <c r="M6779" t="inlineStr">
        <is>
          <t>-308K21.2</t>
        </is>
      </c>
    </row>
    <row r="6780">
      <c r="A6780">
        <v>6779</v>
      </c>
      <c r="B6780">
        <f>GS31</f>
        <v>0</v>
      </c>
      <c r="C6780" t="inlineStr">
        <is>
          <t>+LS5</t>
        </is>
      </c>
      <c r="D6780" t="inlineStr">
        <is>
          <t>-308K3511.3</t>
        </is>
      </c>
      <c r="E6780" t="inlineStr">
        <is>
          <t>DIL_EM-10-G</t>
        </is>
      </c>
      <c r="F6780" t="inlineStr">
        <is>
          <t>#KALK!</t>
        </is>
      </c>
      <c r="G6780" t="inlineStr">
        <is>
          <t>LASTSCHUETZ</t>
        </is>
      </c>
      <c r="H6780" t="inlineStr">
        <is>
          <t>4kW 1S</t>
        </is>
      </c>
      <c r="I6780">
        <v>599</v>
      </c>
      <c r="J6780">
        <f>GS31/308.7</f>
        <v>0</v>
      </c>
      <c r="M6780" t="inlineStr">
        <is>
          <t>-308K3511.3</t>
        </is>
      </c>
    </row>
    <row r="6781">
      <c r="A6781">
        <v>6780</v>
      </c>
      <c r="B6781">
        <f>GS32</f>
        <v>0</v>
      </c>
      <c r="C6781" t="inlineStr">
        <is>
          <t>+LS7</t>
        </is>
      </c>
      <c r="D6781" t="inlineStr">
        <is>
          <t>-308K62.2</t>
        </is>
      </c>
      <c r="E6781" t="inlineStr">
        <is>
          <t>DIL_EM-10-G</t>
        </is>
      </c>
      <c r="F6781" t="inlineStr">
        <is>
          <t>#KALK!</t>
        </is>
      </c>
      <c r="G6781" t="inlineStr">
        <is>
          <t>LASTSCHUETZ</t>
        </is>
      </c>
      <c r="H6781" t="inlineStr">
        <is>
          <t>4kW 1S</t>
        </is>
      </c>
      <c r="I6781">
        <v>1299</v>
      </c>
      <c r="J6781">
        <f>GS32/308.6</f>
        <v>0</v>
      </c>
      <c r="M6781" t="inlineStr">
        <is>
          <t>-308K62.2</t>
        </is>
      </c>
    </row>
    <row r="6782">
      <c r="A6782">
        <v>6781</v>
      </c>
      <c r="B6782">
        <f>GS32</f>
        <v>0</v>
      </c>
      <c r="C6782" t="inlineStr">
        <is>
          <t>+LS7</t>
        </is>
      </c>
      <c r="D6782" t="inlineStr">
        <is>
          <t>-308K62.3</t>
        </is>
      </c>
      <c r="E6782" t="inlineStr">
        <is>
          <t>DIL_EM-10-G</t>
        </is>
      </c>
      <c r="F6782" t="inlineStr">
        <is>
          <t>#KALK!</t>
        </is>
      </c>
      <c r="G6782" t="inlineStr">
        <is>
          <t>LASTSCHUETZ</t>
        </is>
      </c>
      <c r="H6782" t="inlineStr">
        <is>
          <t>4kW 1S</t>
        </is>
      </c>
      <c r="I6782">
        <v>1299</v>
      </c>
      <c r="J6782">
        <f>GS32/308.6</f>
        <v>0</v>
      </c>
      <c r="M6782" t="inlineStr">
        <is>
          <t>-308K62.3</t>
        </is>
      </c>
    </row>
    <row r="6783">
      <c r="A6783">
        <v>6782</v>
      </c>
      <c r="B6783">
        <f>GS04</f>
        <v>0</v>
      </c>
      <c r="C6783" t="inlineStr">
        <is>
          <t>+LS7</t>
        </is>
      </c>
      <c r="D6783" t="inlineStr">
        <is>
          <t>-308K68.5</t>
        </is>
      </c>
      <c r="E6783" t="inlineStr">
        <is>
          <t>DIL_EM-10-G</t>
        </is>
      </c>
      <c r="F6783" t="inlineStr">
        <is>
          <t>#KALK!</t>
        </is>
      </c>
      <c r="G6783" t="inlineStr">
        <is>
          <t>LASTSCHUETZ</t>
        </is>
      </c>
      <c r="H6783" t="inlineStr">
        <is>
          <t>4kW 1S</t>
        </is>
      </c>
      <c r="I6783">
        <v>559</v>
      </c>
      <c r="J6783">
        <f>GS04/308.6</f>
        <v>0</v>
      </c>
      <c r="M6783" t="inlineStr">
        <is>
          <t>-308K68.5</t>
        </is>
      </c>
    </row>
    <row r="6784">
      <c r="A6784">
        <v>6783</v>
      </c>
      <c r="B6784">
        <f>GC03</f>
        <v>0</v>
      </c>
      <c r="C6784" t="inlineStr">
        <is>
          <t>+LS8</t>
        </is>
      </c>
      <c r="D6784" t="inlineStr">
        <is>
          <t>-308K82.7</t>
        </is>
      </c>
      <c r="E6784" t="inlineStr">
        <is>
          <t>DIL_EM-10-G</t>
        </is>
      </c>
      <c r="F6784" t="inlineStr">
        <is>
          <t>#KALK!</t>
        </is>
      </c>
      <c r="G6784" t="inlineStr">
        <is>
          <t>LASTSCHUETZ</t>
        </is>
      </c>
      <c r="H6784" t="inlineStr">
        <is>
          <t>4kW 1S</t>
        </is>
      </c>
      <c r="I6784">
        <v>3492</v>
      </c>
      <c r="J6784">
        <f>GC03/308.7</f>
        <v>0</v>
      </c>
      <c r="M6784" t="inlineStr">
        <is>
          <t>-308K82.7</t>
        </is>
      </c>
    </row>
    <row r="6785">
      <c r="A6785">
        <v>6784</v>
      </c>
      <c r="B6785">
        <f>GS23</f>
        <v>0</v>
      </c>
      <c r="C6785" t="inlineStr">
        <is>
          <t>+LS6</t>
        </is>
      </c>
      <c r="D6785" t="inlineStr">
        <is>
          <t>-308K86.0</t>
        </is>
      </c>
      <c r="E6785" t="inlineStr">
        <is>
          <t>DIL_EM-10-G</t>
        </is>
      </c>
      <c r="F6785" t="inlineStr">
        <is>
          <t>#KALK!</t>
        </is>
      </c>
      <c r="G6785" t="inlineStr">
        <is>
          <t>LASTSCHUETZ</t>
        </is>
      </c>
      <c r="H6785" t="inlineStr">
        <is>
          <t>4kW 1S</t>
        </is>
      </c>
      <c r="I6785">
        <v>609</v>
      </c>
      <c r="J6785">
        <f>GS23/308.6</f>
        <v>0</v>
      </c>
      <c r="M6785" t="inlineStr">
        <is>
          <t>-308K86.0</t>
        </is>
      </c>
    </row>
    <row r="6786">
      <c r="A6786">
        <v>6785</v>
      </c>
      <c r="B6786">
        <f>GS23</f>
        <v>0</v>
      </c>
      <c r="C6786" t="inlineStr">
        <is>
          <t>+LS6</t>
        </is>
      </c>
      <c r="D6786" t="inlineStr">
        <is>
          <t>-308K86.1</t>
        </is>
      </c>
      <c r="E6786" t="inlineStr">
        <is>
          <t>DIL_EM-10-G</t>
        </is>
      </c>
      <c r="F6786" t="inlineStr">
        <is>
          <t>#KALK!</t>
        </is>
      </c>
      <c r="G6786" t="inlineStr">
        <is>
          <t>LASTSCHUETZ</t>
        </is>
      </c>
      <c r="H6786" t="inlineStr">
        <is>
          <t>4kW 1S</t>
        </is>
      </c>
      <c r="I6786">
        <v>609</v>
      </c>
      <c r="J6786">
        <f>GS23/308.6</f>
        <v>0</v>
      </c>
      <c r="M6786" t="inlineStr">
        <is>
          <t>-308K86.1</t>
        </is>
      </c>
    </row>
    <row r="6787">
      <c r="A6787">
        <v>6786</v>
      </c>
      <c r="B6787">
        <f>GS92</f>
        <v>0</v>
      </c>
      <c r="C6787" t="inlineStr">
        <is>
          <t>+LS05</t>
        </is>
      </c>
      <c r="D6787" t="inlineStr">
        <is>
          <t>-308Q1320.4</t>
        </is>
      </c>
      <c r="E6787" t="inlineStr">
        <is>
          <t>DILM-9-10</t>
        </is>
      </c>
      <c r="F6787" t="inlineStr">
        <is>
          <t>#KALK!</t>
        </is>
      </c>
      <c r="G6787" t="inlineStr">
        <is>
          <t>LASTSCHUETZ</t>
        </is>
      </c>
      <c r="H6787" t="inlineStr">
        <is>
          <t>4kW 1S Federzugkl.</t>
        </is>
      </c>
      <c r="I6787">
        <v>455</v>
      </c>
      <c r="J6787">
        <f>GS92/308.7</f>
        <v>0</v>
      </c>
      <c r="M6787" t="inlineStr">
        <is>
          <t>-308Q1320.4</t>
        </is>
      </c>
    </row>
    <row r="6788">
      <c r="A6788">
        <v>6787</v>
      </c>
      <c r="B6788">
        <f>GS93</f>
        <v>0</v>
      </c>
      <c r="C6788" t="inlineStr">
        <is>
          <t>+LS05</t>
        </is>
      </c>
      <c r="D6788" t="inlineStr">
        <is>
          <t>-308Q1320.4</t>
        </is>
      </c>
      <c r="E6788" t="inlineStr">
        <is>
          <t>DILM-9-10</t>
        </is>
      </c>
      <c r="F6788" t="inlineStr">
        <is>
          <t>#KALK!</t>
        </is>
      </c>
      <c r="G6788" t="inlineStr">
        <is>
          <t>LASTSCHUETZ</t>
        </is>
      </c>
      <c r="H6788" t="inlineStr">
        <is>
          <t>4kW 1S Federzugkl.</t>
        </is>
      </c>
      <c r="I6788">
        <v>862</v>
      </c>
      <c r="J6788">
        <f>GS93/308.7</f>
        <v>0</v>
      </c>
      <c r="M6788" t="inlineStr">
        <is>
          <t>-308Q1320.4</t>
        </is>
      </c>
    </row>
    <row r="6789">
      <c r="A6789">
        <v>6788</v>
      </c>
      <c r="B6789">
        <f>GS13</f>
        <v>0</v>
      </c>
      <c r="C6789" t="inlineStr">
        <is>
          <t>+LS6</t>
        </is>
      </c>
      <c r="D6789" t="inlineStr">
        <is>
          <t>-30986.2</t>
        </is>
      </c>
      <c r="E6789" t="inlineStr">
        <is>
          <t>DIL_EM-10-G</t>
        </is>
      </c>
      <c r="F6789" t="inlineStr">
        <is>
          <t>#KALK!</t>
        </is>
      </c>
      <c r="G6789" t="inlineStr">
        <is>
          <t>LASTSCHUETZ</t>
        </is>
      </c>
      <c r="H6789" t="inlineStr">
        <is>
          <t>4kW 1S</t>
        </is>
      </c>
      <c r="I6789">
        <v>552</v>
      </c>
      <c r="J6789">
        <f>GS13/309.6</f>
        <v>0</v>
      </c>
      <c r="M6789" t="inlineStr">
        <is>
          <t>-30986.2</t>
        </is>
      </c>
    </row>
    <row r="6790">
      <c r="A6790">
        <v>6789</v>
      </c>
      <c r="B6790">
        <f>GS13</f>
        <v>0</v>
      </c>
      <c r="C6790" t="inlineStr">
        <is>
          <t>+LS6</t>
        </is>
      </c>
      <c r="D6790" t="inlineStr">
        <is>
          <t>-30986.3</t>
        </is>
      </c>
      <c r="E6790" t="inlineStr">
        <is>
          <t>DIL_EM-10-G</t>
        </is>
      </c>
      <c r="F6790" t="inlineStr">
        <is>
          <t>#KALK!</t>
        </is>
      </c>
      <c r="G6790" t="inlineStr">
        <is>
          <t>LASTSCHUETZ</t>
        </is>
      </c>
      <c r="H6790" t="inlineStr">
        <is>
          <t>4kW 1S</t>
        </is>
      </c>
      <c r="I6790">
        <v>552</v>
      </c>
      <c r="J6790">
        <f>GS13/309.6</f>
        <v>0</v>
      </c>
      <c r="M6790" t="inlineStr">
        <is>
          <t>-30986.3</t>
        </is>
      </c>
    </row>
    <row r="6791">
      <c r="A6791">
        <v>6790</v>
      </c>
      <c r="B6791">
        <f>GS46</f>
        <v>0</v>
      </c>
      <c r="C6791" t="inlineStr">
        <is>
          <t>+LS04</t>
        </is>
      </c>
      <c r="D6791" t="inlineStr">
        <is>
          <t>-309K1</t>
        </is>
      </c>
      <c r="E6791" t="inlineStr">
        <is>
          <t>DILM-9-01</t>
        </is>
      </c>
      <c r="F6791" t="inlineStr">
        <is>
          <t>#KALK!</t>
        </is>
      </c>
      <c r="G6791" t="inlineStr">
        <is>
          <t>LASTSCHUETZ</t>
        </is>
      </c>
      <c r="H6791" t="inlineStr">
        <is>
          <t>4kW 1Oe Federzugkl.</t>
        </is>
      </c>
      <c r="I6791">
        <v>748</v>
      </c>
      <c r="J6791">
        <f>GS46/309.6</f>
        <v>0</v>
      </c>
      <c r="M6791" t="inlineStr">
        <is>
          <t>-309K1</t>
        </is>
      </c>
    </row>
    <row r="6792">
      <c r="A6792">
        <v>6791</v>
      </c>
      <c r="B6792">
        <f>GS47</f>
        <v>0</v>
      </c>
      <c r="C6792" t="inlineStr">
        <is>
          <t>+LS04</t>
        </is>
      </c>
      <c r="D6792" t="inlineStr">
        <is>
          <t>-309K1</t>
        </is>
      </c>
      <c r="E6792" t="inlineStr">
        <is>
          <t>DILM-9-01</t>
        </is>
      </c>
      <c r="F6792" t="inlineStr">
        <is>
          <t>#KALK!</t>
        </is>
      </c>
      <c r="G6792" t="inlineStr">
        <is>
          <t>LASTSCHUETZ</t>
        </is>
      </c>
      <c r="H6792" t="inlineStr">
        <is>
          <t>4kW 1Oe Federzugkl.</t>
        </is>
      </c>
      <c r="I6792">
        <v>748</v>
      </c>
      <c r="J6792">
        <f>GS47/309.6</f>
        <v>0</v>
      </c>
      <c r="M6792" t="inlineStr">
        <is>
          <t>-309K1</t>
        </is>
      </c>
    </row>
    <row r="6793">
      <c r="A6793">
        <v>6792</v>
      </c>
      <c r="B6793">
        <f>GS48</f>
        <v>0</v>
      </c>
      <c r="C6793" t="inlineStr">
        <is>
          <t>+LS04</t>
        </is>
      </c>
      <c r="D6793" t="inlineStr">
        <is>
          <t>-309K1</t>
        </is>
      </c>
      <c r="E6793" t="inlineStr">
        <is>
          <t>DILM-9-01</t>
        </is>
      </c>
      <c r="F6793" t="inlineStr">
        <is>
          <t>#KALK!</t>
        </is>
      </c>
      <c r="G6793" t="inlineStr">
        <is>
          <t>LASTSCHUETZ</t>
        </is>
      </c>
      <c r="H6793" t="inlineStr">
        <is>
          <t>4kW 1Oe Federzugkl.</t>
        </is>
      </c>
      <c r="I6793">
        <v>441</v>
      </c>
      <c r="J6793">
        <f>GS48/309.6</f>
        <v>0</v>
      </c>
      <c r="M6793" t="inlineStr">
        <is>
          <t>-309K1</t>
        </is>
      </c>
    </row>
    <row r="6794">
      <c r="A6794">
        <v>6793</v>
      </c>
      <c r="B6794">
        <f>GS49</f>
        <v>0</v>
      </c>
      <c r="C6794" t="inlineStr">
        <is>
          <t>+LS04</t>
        </is>
      </c>
      <c r="D6794" t="inlineStr">
        <is>
          <t>-309K1</t>
        </is>
      </c>
      <c r="E6794" t="inlineStr">
        <is>
          <t>DILM-9-01</t>
        </is>
      </c>
      <c r="F6794" t="inlineStr">
        <is>
          <t>#KALK!</t>
        </is>
      </c>
      <c r="G6794" t="inlineStr">
        <is>
          <t>LASTSCHUETZ</t>
        </is>
      </c>
      <c r="H6794" t="inlineStr">
        <is>
          <t>4kW 1Oe Federzugkl.</t>
        </is>
      </c>
      <c r="I6794">
        <v>440</v>
      </c>
      <c r="J6794">
        <f>GS49/309.6</f>
        <v>0</v>
      </c>
      <c r="M6794" t="inlineStr">
        <is>
          <t>-309K1</t>
        </is>
      </c>
    </row>
    <row r="6795">
      <c r="A6795">
        <v>6794</v>
      </c>
      <c r="B6795">
        <f>GS25</f>
        <v>0</v>
      </c>
      <c r="C6795" t="inlineStr">
        <is>
          <t>+LS6</t>
        </is>
      </c>
      <c r="D6795" t="inlineStr">
        <is>
          <t>-309K14.6</t>
        </is>
      </c>
      <c r="E6795" t="inlineStr">
        <is>
          <t>DIL_EM-10-G</t>
        </is>
      </c>
      <c r="F6795" t="inlineStr">
        <is>
          <t>#KALK!</t>
        </is>
      </c>
      <c r="G6795" t="inlineStr">
        <is>
          <t>LASTSCHUETZ</t>
        </is>
      </c>
      <c r="H6795" t="inlineStr">
        <is>
          <t>4kW 1S</t>
        </is>
      </c>
      <c r="I6795">
        <v>433</v>
      </c>
      <c r="J6795">
        <f>GS25/309.6</f>
        <v>0</v>
      </c>
      <c r="M6795" t="inlineStr">
        <is>
          <t>-309K14.6</t>
        </is>
      </c>
    </row>
    <row r="6796">
      <c r="A6796">
        <v>6795</v>
      </c>
      <c r="B6796">
        <f>GS46</f>
        <v>0</v>
      </c>
      <c r="C6796" t="inlineStr">
        <is>
          <t>+LS04</t>
        </is>
      </c>
      <c r="D6796" t="inlineStr">
        <is>
          <t>-309K2</t>
        </is>
      </c>
      <c r="E6796" t="inlineStr">
        <is>
          <t>DILM-9-01</t>
        </is>
      </c>
      <c r="F6796" t="inlineStr">
        <is>
          <t>#KALK!</t>
        </is>
      </c>
      <c r="G6796" t="inlineStr">
        <is>
          <t>LASTSCHUETZ</t>
        </is>
      </c>
      <c r="H6796" t="inlineStr">
        <is>
          <t>4kW 1Oe Federzugkl.</t>
        </is>
      </c>
      <c r="I6796">
        <v>748</v>
      </c>
      <c r="J6796">
        <f>GS46/309.7</f>
        <v>0</v>
      </c>
      <c r="M6796" t="inlineStr">
        <is>
          <t>-309K2</t>
        </is>
      </c>
    </row>
    <row r="6797">
      <c r="A6797">
        <v>6796</v>
      </c>
      <c r="B6797">
        <f>GS47</f>
        <v>0</v>
      </c>
      <c r="C6797" t="inlineStr">
        <is>
          <t>+LS04</t>
        </is>
      </c>
      <c r="D6797" t="inlineStr">
        <is>
          <t>-309K2</t>
        </is>
      </c>
      <c r="E6797" t="inlineStr">
        <is>
          <t>DILM-9-01</t>
        </is>
      </c>
      <c r="F6797" t="inlineStr">
        <is>
          <t>#KALK!</t>
        </is>
      </c>
      <c r="G6797" t="inlineStr">
        <is>
          <t>LASTSCHUETZ</t>
        </is>
      </c>
      <c r="H6797" t="inlineStr">
        <is>
          <t>4kW 1Oe Federzugkl.</t>
        </is>
      </c>
      <c r="I6797">
        <v>748</v>
      </c>
      <c r="J6797">
        <f>GS47/309.7</f>
        <v>0</v>
      </c>
      <c r="M6797" t="inlineStr">
        <is>
          <t>-309K2</t>
        </is>
      </c>
    </row>
    <row r="6798">
      <c r="A6798">
        <v>6797</v>
      </c>
      <c r="B6798">
        <f>GS48</f>
        <v>0</v>
      </c>
      <c r="C6798" t="inlineStr">
        <is>
          <t>+LS04</t>
        </is>
      </c>
      <c r="D6798" t="inlineStr">
        <is>
          <t>-309K2</t>
        </is>
      </c>
      <c r="E6798" t="inlineStr">
        <is>
          <t>DILM-9-01</t>
        </is>
      </c>
      <c r="F6798" t="inlineStr">
        <is>
          <t>#KALK!</t>
        </is>
      </c>
      <c r="G6798" t="inlineStr">
        <is>
          <t>LASTSCHUETZ</t>
        </is>
      </c>
      <c r="H6798" t="inlineStr">
        <is>
          <t>4kW 1Oe Federzugkl.</t>
        </is>
      </c>
      <c r="I6798">
        <v>441</v>
      </c>
      <c r="J6798">
        <f>GS48/309.7</f>
        <v>0</v>
      </c>
      <c r="M6798" t="inlineStr">
        <is>
          <t>-309K2</t>
        </is>
      </c>
    </row>
    <row r="6799">
      <c r="A6799">
        <v>6798</v>
      </c>
      <c r="B6799">
        <f>GS49</f>
        <v>0</v>
      </c>
      <c r="C6799" t="inlineStr">
        <is>
          <t>+LS04</t>
        </is>
      </c>
      <c r="D6799" t="inlineStr">
        <is>
          <t>-309K2</t>
        </is>
      </c>
      <c r="E6799" t="inlineStr">
        <is>
          <t>DILM-9-01</t>
        </is>
      </c>
      <c r="F6799" t="inlineStr">
        <is>
          <t>#KALK!</t>
        </is>
      </c>
      <c r="G6799" t="inlineStr">
        <is>
          <t>LASTSCHUETZ</t>
        </is>
      </c>
      <c r="H6799" t="inlineStr">
        <is>
          <t>4kW 1Oe Federzugkl.</t>
        </is>
      </c>
      <c r="I6799">
        <v>440</v>
      </c>
      <c r="J6799">
        <f>GS49/309.7</f>
        <v>0</v>
      </c>
      <c r="M6799" t="inlineStr">
        <is>
          <t>-309K2</t>
        </is>
      </c>
    </row>
    <row r="6800">
      <c r="A6800">
        <v>6799</v>
      </c>
      <c r="B6800">
        <f>GS11</f>
        <v>0</v>
      </c>
      <c r="C6800" t="inlineStr">
        <is>
          <t>+LS7</t>
        </is>
      </c>
      <c r="D6800" t="inlineStr">
        <is>
          <t>-309K20.4</t>
        </is>
      </c>
      <c r="E6800" t="inlineStr">
        <is>
          <t>DIL_EM-10-G</t>
        </is>
      </c>
      <c r="F6800" t="inlineStr">
        <is>
          <t>#KALK!</t>
        </is>
      </c>
      <c r="G6800" t="inlineStr">
        <is>
          <t>LASTSCHUETZ</t>
        </is>
      </c>
      <c r="H6800" t="inlineStr">
        <is>
          <t>4kW 1S</t>
        </is>
      </c>
      <c r="I6800">
        <v>58</v>
      </c>
      <c r="J6800">
        <f>GS11/309.6</f>
        <v>0</v>
      </c>
      <c r="M6800" t="inlineStr">
        <is>
          <t>-309K20.4</t>
        </is>
      </c>
    </row>
    <row r="6801">
      <c r="A6801">
        <v>6800</v>
      </c>
      <c r="B6801">
        <f>GS21</f>
        <v>0</v>
      </c>
      <c r="C6801" t="inlineStr">
        <is>
          <t>+LS7</t>
        </is>
      </c>
      <c r="D6801" t="inlineStr">
        <is>
          <t>-309K20.4</t>
        </is>
      </c>
      <c r="E6801" t="inlineStr">
        <is>
          <t>DIL_EM-10-G</t>
        </is>
      </c>
      <c r="F6801" t="inlineStr">
        <is>
          <t>#KALK!</t>
        </is>
      </c>
      <c r="G6801" t="inlineStr">
        <is>
          <t>LASTSCHUETZ</t>
        </is>
      </c>
      <c r="H6801" t="inlineStr">
        <is>
          <t>4kW 1S</t>
        </is>
      </c>
      <c r="I6801">
        <v>397</v>
      </c>
      <c r="J6801">
        <f>GS21/309.6</f>
        <v>0</v>
      </c>
      <c r="M6801" t="inlineStr">
        <is>
          <t>-309K20.4</t>
        </is>
      </c>
    </row>
    <row r="6802">
      <c r="A6802">
        <v>6801</v>
      </c>
      <c r="B6802">
        <f>GS14</f>
        <v>0</v>
      </c>
      <c r="C6802" t="inlineStr">
        <is>
          <t>+LS6</t>
        </is>
      </c>
      <c r="D6802" t="inlineStr">
        <is>
          <t>-309K21.3</t>
        </is>
      </c>
      <c r="E6802" t="inlineStr">
        <is>
          <t>DIL_EM-10-G</t>
        </is>
      </c>
      <c r="F6802" t="inlineStr">
        <is>
          <t>#KALK!</t>
        </is>
      </c>
      <c r="G6802" t="inlineStr">
        <is>
          <t>LASTSCHUETZ</t>
        </is>
      </c>
      <c r="H6802" t="inlineStr">
        <is>
          <t>4kW 1S</t>
        </is>
      </c>
      <c r="I6802">
        <v>438</v>
      </c>
      <c r="J6802">
        <f>GS14/309.6</f>
        <v>0</v>
      </c>
      <c r="M6802" t="inlineStr">
        <is>
          <t>-309K21.3</t>
        </is>
      </c>
    </row>
    <row r="6803">
      <c r="A6803">
        <v>6802</v>
      </c>
      <c r="B6803">
        <f>GS14</f>
        <v>0</v>
      </c>
      <c r="C6803" t="inlineStr">
        <is>
          <t>+LS6</t>
        </is>
      </c>
      <c r="D6803" t="inlineStr">
        <is>
          <t>-309K21.4</t>
        </is>
      </c>
      <c r="E6803" t="inlineStr">
        <is>
          <t>DIL_EM-10-G</t>
        </is>
      </c>
      <c r="F6803" t="inlineStr">
        <is>
          <t>#KALK!</t>
        </is>
      </c>
      <c r="G6803" t="inlineStr">
        <is>
          <t>LASTSCHUETZ</t>
        </is>
      </c>
      <c r="H6803" t="inlineStr">
        <is>
          <t>4kW 1S</t>
        </is>
      </c>
      <c r="I6803">
        <v>438</v>
      </c>
      <c r="J6803">
        <f>GS14/309.6</f>
        <v>0</v>
      </c>
      <c r="M6803" t="inlineStr">
        <is>
          <t>-309K21.4</t>
        </is>
      </c>
    </row>
    <row r="6804">
      <c r="A6804">
        <v>6803</v>
      </c>
      <c r="B6804">
        <f>GS34</f>
        <v>0</v>
      </c>
      <c r="C6804" t="inlineStr">
        <is>
          <t>+LS7</t>
        </is>
      </c>
      <c r="D6804" t="inlineStr">
        <is>
          <t>-309K3802.0</t>
        </is>
      </c>
      <c r="E6804" t="inlineStr">
        <is>
          <t>DIL_ER-22-G</t>
        </is>
      </c>
      <c r="F6804" t="inlineStr">
        <is>
          <t>#KALK!</t>
        </is>
      </c>
      <c r="G6804" t="inlineStr">
        <is>
          <t>HILFSSCHUETZ</t>
        </is>
      </c>
      <c r="H6804" t="inlineStr">
        <is>
          <t>2S 2OE</t>
        </is>
      </c>
      <c r="I6804">
        <v>434</v>
      </c>
      <c r="J6804">
        <f>GS34/309.5</f>
        <v>0</v>
      </c>
      <c r="M6804" t="inlineStr">
        <is>
          <t>-309K3802.0</t>
        </is>
      </c>
    </row>
    <row r="6805">
      <c r="A6805">
        <v>6804</v>
      </c>
      <c r="B6805">
        <f>GS34</f>
        <v>0</v>
      </c>
      <c r="C6805" t="inlineStr">
        <is>
          <t>+LS7</t>
        </is>
      </c>
      <c r="D6805" t="inlineStr">
        <is>
          <t>-309K3802.1</t>
        </is>
      </c>
      <c r="E6805" t="inlineStr">
        <is>
          <t>DIL_ER-22-G</t>
        </is>
      </c>
      <c r="F6805" t="inlineStr">
        <is>
          <t>#KALK!</t>
        </is>
      </c>
      <c r="G6805" t="inlineStr">
        <is>
          <t>HILFSSCHUETZ</t>
        </is>
      </c>
      <c r="H6805" t="inlineStr">
        <is>
          <t>2S 2OE</t>
        </is>
      </c>
      <c r="I6805">
        <v>434</v>
      </c>
      <c r="J6805">
        <f>GS34/309.6</f>
        <v>0</v>
      </c>
      <c r="M6805" t="inlineStr">
        <is>
          <t>-309K3802.1</t>
        </is>
      </c>
    </row>
    <row r="6806">
      <c r="A6806">
        <v>6805</v>
      </c>
      <c r="B6806">
        <f>GS34</f>
        <v>0</v>
      </c>
      <c r="C6806" t="inlineStr">
        <is>
          <t>+LS7</t>
        </is>
      </c>
      <c r="D6806" t="inlineStr">
        <is>
          <t>-309K3802.2</t>
        </is>
      </c>
      <c r="E6806" t="inlineStr">
        <is>
          <t>DIL_ER-22-G</t>
        </is>
      </c>
      <c r="F6806" t="inlineStr">
        <is>
          <t>#KALK!</t>
        </is>
      </c>
      <c r="G6806" t="inlineStr">
        <is>
          <t>HILFSSCHUETZ</t>
        </is>
      </c>
      <c r="H6806" t="inlineStr">
        <is>
          <t>2S 2OE</t>
        </is>
      </c>
      <c r="I6806">
        <v>434</v>
      </c>
      <c r="J6806">
        <f>GS34/309.7</f>
        <v>0</v>
      </c>
      <c r="M6806" t="inlineStr">
        <is>
          <t>-309K3802.2</t>
        </is>
      </c>
    </row>
    <row r="6807">
      <c r="A6807">
        <v>6806</v>
      </c>
      <c r="B6807">
        <f>GS34</f>
        <v>0</v>
      </c>
      <c r="C6807" t="inlineStr">
        <is>
          <t>+LS7</t>
        </is>
      </c>
      <c r="D6807" t="inlineStr">
        <is>
          <t>-309K3802.4</t>
        </is>
      </c>
      <c r="E6807" t="inlineStr">
        <is>
          <t>DIL_EM-10-G</t>
        </is>
      </c>
      <c r="F6807" t="inlineStr">
        <is>
          <t>#KALK!</t>
        </is>
      </c>
      <c r="G6807" t="inlineStr">
        <is>
          <t>LASTSCHUETZ</t>
        </is>
      </c>
      <c r="H6807" t="inlineStr">
        <is>
          <t>4kW 1S</t>
        </is>
      </c>
      <c r="I6807">
        <v>434</v>
      </c>
      <c r="J6807">
        <f>GS34/309.7</f>
        <v>0</v>
      </c>
      <c r="M6807" t="inlineStr">
        <is>
          <t>-309K3802.4</t>
        </is>
      </c>
    </row>
    <row r="6808">
      <c r="A6808">
        <v>6807</v>
      </c>
      <c r="B6808">
        <f>GS32</f>
        <v>0</v>
      </c>
      <c r="C6808" t="inlineStr">
        <is>
          <t>+LS7</t>
        </is>
      </c>
      <c r="D6808" t="inlineStr">
        <is>
          <t>-309K62.4</t>
        </is>
      </c>
      <c r="E6808" t="inlineStr">
        <is>
          <t>DIL_EM-10-G</t>
        </is>
      </c>
      <c r="F6808" t="inlineStr">
        <is>
          <t>#KALK!</t>
        </is>
      </c>
      <c r="G6808" t="inlineStr">
        <is>
          <t>LASTSCHUETZ</t>
        </is>
      </c>
      <c r="H6808" t="inlineStr">
        <is>
          <t>4kW 1S</t>
        </is>
      </c>
      <c r="I6808">
        <v>1298</v>
      </c>
      <c r="J6808">
        <f>GS32/309.6</f>
        <v>0</v>
      </c>
      <c r="M6808" t="inlineStr">
        <is>
          <t>-309K62.4</t>
        </is>
      </c>
    </row>
    <row r="6809">
      <c r="A6809">
        <v>6808</v>
      </c>
      <c r="B6809">
        <f>GS32</f>
        <v>0</v>
      </c>
      <c r="C6809" t="inlineStr">
        <is>
          <t>+LS7</t>
        </is>
      </c>
      <c r="D6809" t="inlineStr">
        <is>
          <t>-309K62.5</t>
        </is>
      </c>
      <c r="E6809" t="inlineStr">
        <is>
          <t>DIL_EM-10-G</t>
        </is>
      </c>
      <c r="F6809" t="inlineStr">
        <is>
          <t>#KALK!</t>
        </is>
      </c>
      <c r="G6809" t="inlineStr">
        <is>
          <t>LASTSCHUETZ</t>
        </is>
      </c>
      <c r="H6809" t="inlineStr">
        <is>
          <t>4kW 1S</t>
        </is>
      </c>
      <c r="I6809">
        <v>1298</v>
      </c>
      <c r="J6809">
        <f>GS32/309.6</f>
        <v>0</v>
      </c>
      <c r="M6809" t="inlineStr">
        <is>
          <t>-309K62.5</t>
        </is>
      </c>
    </row>
    <row r="6810">
      <c r="A6810">
        <v>6809</v>
      </c>
      <c r="B6810">
        <f>GS11</f>
        <v>0</v>
      </c>
      <c r="C6810" t="inlineStr">
        <is>
          <t>+LS7</t>
        </is>
      </c>
      <c r="D6810" t="inlineStr">
        <is>
          <t>-309K76.0</t>
        </is>
      </c>
      <c r="E6810" t="inlineStr">
        <is>
          <t>DIL_EM-10-G</t>
        </is>
      </c>
      <c r="F6810" t="inlineStr">
        <is>
          <t>#KALK!</t>
        </is>
      </c>
      <c r="G6810" t="inlineStr">
        <is>
          <t>LASTSCHUETZ</t>
        </is>
      </c>
      <c r="H6810" t="inlineStr">
        <is>
          <t>4kW 1S</t>
        </is>
      </c>
      <c r="I6810">
        <v>58</v>
      </c>
      <c r="J6810">
        <f>GS11/309.6</f>
        <v>0</v>
      </c>
      <c r="M6810" t="inlineStr">
        <is>
          <t>-309K76.0</t>
        </is>
      </c>
    </row>
    <row r="6811">
      <c r="A6811">
        <v>6810</v>
      </c>
      <c r="B6811">
        <f>GS21</f>
        <v>0</v>
      </c>
      <c r="C6811" t="inlineStr">
        <is>
          <t>+LS7</t>
        </is>
      </c>
      <c r="D6811" t="inlineStr">
        <is>
          <t>-309K76.0</t>
        </is>
      </c>
      <c r="E6811" t="inlineStr">
        <is>
          <t>DIL_EM-10-G</t>
        </is>
      </c>
      <c r="F6811" t="inlineStr">
        <is>
          <t>#KALK!</t>
        </is>
      </c>
      <c r="G6811" t="inlineStr">
        <is>
          <t>LASTSCHUETZ</t>
        </is>
      </c>
      <c r="H6811" t="inlineStr">
        <is>
          <t>4kW 1S</t>
        </is>
      </c>
      <c r="I6811">
        <v>397</v>
      </c>
      <c r="J6811">
        <f>GS21/309.6</f>
        <v>0</v>
      </c>
      <c r="M6811" t="inlineStr">
        <is>
          <t>-309K76.0</t>
        </is>
      </c>
    </row>
    <row r="6812">
      <c r="A6812">
        <v>6811</v>
      </c>
      <c r="B6812">
        <f>GC03</f>
        <v>0</v>
      </c>
      <c r="C6812" t="inlineStr">
        <is>
          <t>+LS8</t>
        </is>
      </c>
      <c r="D6812" t="inlineStr">
        <is>
          <t>-309K83.0</t>
        </is>
      </c>
      <c r="E6812" t="inlineStr">
        <is>
          <t>DIL_EM-10-G</t>
        </is>
      </c>
      <c r="F6812" t="inlineStr">
        <is>
          <t>#KALK!</t>
        </is>
      </c>
      <c r="G6812" t="inlineStr">
        <is>
          <t>LASTSCHUETZ</t>
        </is>
      </c>
      <c r="H6812" t="inlineStr">
        <is>
          <t>4kW 1S</t>
        </is>
      </c>
      <c r="I6812">
        <v>3493</v>
      </c>
      <c r="J6812">
        <f>GC03/309.6</f>
        <v>0</v>
      </c>
      <c r="M6812" t="inlineStr">
        <is>
          <t>-309K83.0</t>
        </is>
      </c>
    </row>
    <row r="6813">
      <c r="A6813">
        <v>6812</v>
      </c>
      <c r="B6813">
        <f>GS23</f>
        <v>0</v>
      </c>
      <c r="C6813" t="inlineStr">
        <is>
          <t>+LS6</t>
        </is>
      </c>
      <c r="D6813" t="inlineStr">
        <is>
          <t>-309K86.2</t>
        </is>
      </c>
      <c r="E6813" t="inlineStr">
        <is>
          <t>DIL_EM-10-G</t>
        </is>
      </c>
      <c r="F6813" t="inlineStr">
        <is>
          <t>#KALK!</t>
        </is>
      </c>
      <c r="G6813" t="inlineStr">
        <is>
          <t>LASTSCHUETZ</t>
        </is>
      </c>
      <c r="H6813" t="inlineStr">
        <is>
          <t>4kW 1S</t>
        </is>
      </c>
      <c r="I6813">
        <v>610</v>
      </c>
      <c r="J6813">
        <f>GS23/309.6</f>
        <v>0</v>
      </c>
      <c r="M6813" t="inlineStr">
        <is>
          <t>-309K86.2</t>
        </is>
      </c>
    </row>
    <row r="6814">
      <c r="A6814">
        <v>6813</v>
      </c>
      <c r="B6814">
        <f>GS23</f>
        <v>0</v>
      </c>
      <c r="C6814" t="inlineStr">
        <is>
          <t>+LS6</t>
        </is>
      </c>
      <c r="D6814" t="inlineStr">
        <is>
          <t>-309K86.3</t>
        </is>
      </c>
      <c r="E6814" t="inlineStr">
        <is>
          <t>DIL_EM-10-G</t>
        </is>
      </c>
      <c r="F6814" t="inlineStr">
        <is>
          <t>#KALK!</t>
        </is>
      </c>
      <c r="G6814" t="inlineStr">
        <is>
          <t>LASTSCHUETZ</t>
        </is>
      </c>
      <c r="H6814" t="inlineStr">
        <is>
          <t>4kW 1S</t>
        </is>
      </c>
      <c r="I6814">
        <v>610</v>
      </c>
      <c r="J6814">
        <f>GS23/309.6</f>
        <v>0</v>
      </c>
      <c r="M6814" t="inlineStr">
        <is>
          <t>-309K86.3</t>
        </is>
      </c>
    </row>
    <row r="6815">
      <c r="A6815">
        <v>6814</v>
      </c>
      <c r="B6815">
        <f>GS55</f>
        <v>0</v>
      </c>
      <c r="C6815" t="inlineStr">
        <is>
          <t>+LS04</t>
        </is>
      </c>
      <c r="D6815" t="inlineStr">
        <is>
          <t>-309Q135.2</t>
        </is>
      </c>
      <c r="E6815" t="inlineStr">
        <is>
          <t>DILA-XHI22</t>
        </is>
      </c>
      <c r="F6815" t="inlineStr">
        <is>
          <t>DILA-XHI22</t>
        </is>
      </c>
      <c r="G6815" t="inlineStr">
        <is>
          <t>HILFSKONTAKTBLOCK</t>
        </is>
      </c>
      <c r="H6815" t="inlineStr">
        <is>
          <t>2S 2OE Last+Hilfssch. Cage</t>
        </is>
      </c>
      <c r="I6815">
        <v>584</v>
      </c>
      <c r="J6815">
        <f>GS55/309.6</f>
        <v>0</v>
      </c>
      <c r="M6815" t="inlineStr">
        <is>
          <t>-309Q135.2</t>
        </is>
      </c>
    </row>
    <row r="6816">
      <c r="A6816">
        <v>6815</v>
      </c>
      <c r="B6816">
        <f>GS55</f>
        <v>0</v>
      </c>
      <c r="C6816" t="inlineStr">
        <is>
          <t>+LS04</t>
        </is>
      </c>
      <c r="D6816" t="inlineStr">
        <is>
          <t>-309Q135.2</t>
        </is>
      </c>
      <c r="E6816" t="inlineStr">
        <is>
          <t>DILM-9-01</t>
        </is>
      </c>
      <c r="F6816" t="inlineStr">
        <is>
          <t>DILA-XHI22</t>
        </is>
      </c>
      <c r="G6816" t="inlineStr">
        <is>
          <t>LASTSCHUETZ</t>
        </is>
      </c>
      <c r="H6816" t="inlineStr">
        <is>
          <t>4kW 1Oe Federzugkl.</t>
        </is>
      </c>
      <c r="I6816">
        <v>584</v>
      </c>
      <c r="J6816">
        <f>GS55/309.6</f>
        <v>0</v>
      </c>
      <c r="M6816" t="inlineStr">
        <is>
          <t>-309Q135.2</t>
        </is>
      </c>
    </row>
    <row r="6817">
      <c r="A6817">
        <v>6816</v>
      </c>
      <c r="B6817">
        <f>GS55</f>
        <v>0</v>
      </c>
      <c r="C6817" t="inlineStr">
        <is>
          <t>+LS04</t>
        </is>
      </c>
      <c r="D6817" t="inlineStr">
        <is>
          <t>-309Q135.3</t>
        </is>
      </c>
      <c r="E6817" t="inlineStr">
        <is>
          <t>DILA-XHI22</t>
        </is>
      </c>
      <c r="F6817" t="inlineStr">
        <is>
          <t>DILA-XHI22</t>
        </is>
      </c>
      <c r="G6817" t="inlineStr">
        <is>
          <t>HILFSKONTAKTBLOCK</t>
        </is>
      </c>
      <c r="H6817" t="inlineStr">
        <is>
          <t>2S 2OE Last+Hilfssch. Cage</t>
        </is>
      </c>
      <c r="I6817">
        <v>584</v>
      </c>
      <c r="J6817">
        <f>GS55/309.7</f>
        <v>0</v>
      </c>
      <c r="M6817" t="inlineStr">
        <is>
          <t>-309Q135.3</t>
        </is>
      </c>
    </row>
    <row r="6818">
      <c r="A6818">
        <v>6817</v>
      </c>
      <c r="B6818">
        <f>GS55</f>
        <v>0</v>
      </c>
      <c r="C6818" t="inlineStr">
        <is>
          <t>+LS04</t>
        </is>
      </c>
      <c r="D6818" t="inlineStr">
        <is>
          <t>-309Q135.3</t>
        </is>
      </c>
      <c r="E6818" t="inlineStr">
        <is>
          <t>DILM-9-01</t>
        </is>
      </c>
      <c r="F6818" t="inlineStr">
        <is>
          <t>DILA-XHI22</t>
        </is>
      </c>
      <c r="G6818" t="inlineStr">
        <is>
          <t>LASTSCHUETZ</t>
        </is>
      </c>
      <c r="H6818" t="inlineStr">
        <is>
          <t>4kW 1Oe Federzugkl.</t>
        </is>
      </c>
      <c r="I6818">
        <v>584</v>
      </c>
      <c r="J6818">
        <f>GS55/309.7</f>
        <v>0</v>
      </c>
      <c r="M6818" t="inlineStr">
        <is>
          <t>-309Q135.3</t>
        </is>
      </c>
    </row>
    <row r="6819">
      <c r="A6819">
        <v>6818</v>
      </c>
      <c r="B6819">
        <f>GS91</f>
        <v>0</v>
      </c>
      <c r="C6819" t="inlineStr">
        <is>
          <t>+LS04</t>
        </is>
      </c>
      <c r="D6819" t="inlineStr">
        <is>
          <t>-309Q177.5</t>
        </is>
      </c>
      <c r="E6819" t="inlineStr">
        <is>
          <t>DILM-9-10</t>
        </is>
      </c>
      <c r="F6819" t="inlineStr">
        <is>
          <t>#KALK!</t>
        </is>
      </c>
      <c r="G6819" t="inlineStr">
        <is>
          <t>LASTSCHUETZ</t>
        </is>
      </c>
      <c r="H6819" t="inlineStr">
        <is>
          <t>4kW 1S Federzugkl.</t>
        </is>
      </c>
      <c r="I6819">
        <v>457</v>
      </c>
      <c r="J6819">
        <f>GS91/309.5</f>
        <v>0</v>
      </c>
      <c r="M6819" t="inlineStr">
        <is>
          <t>-309Q177.5</t>
        </is>
      </c>
    </row>
    <row r="6820">
      <c r="A6820">
        <v>6819</v>
      </c>
      <c r="B6820">
        <f>GS38</f>
        <v>0</v>
      </c>
      <c r="C6820" t="inlineStr">
        <is>
          <t>+LS06</t>
        </is>
      </c>
      <c r="D6820" t="inlineStr">
        <is>
          <t>-309Q422.5</t>
        </is>
      </c>
      <c r="E6820" t="inlineStr">
        <is>
          <t>DILM-9-10</t>
        </is>
      </c>
      <c r="F6820" t="inlineStr">
        <is>
          <t>DILA-XHI22</t>
        </is>
      </c>
      <c r="G6820" t="inlineStr">
        <is>
          <t>LASTSCHUETZ</t>
        </is>
      </c>
      <c r="H6820" t="inlineStr">
        <is>
          <t>4kW 1S Federzugkl.</t>
        </is>
      </c>
      <c r="I6820">
        <v>474</v>
      </c>
      <c r="J6820">
        <f>GS38/309.5</f>
        <v>0</v>
      </c>
      <c r="M6820" t="inlineStr">
        <is>
          <t>-309Q422.5</t>
        </is>
      </c>
    </row>
    <row r="6821">
      <c r="A6821">
        <v>6820</v>
      </c>
      <c r="B6821">
        <f>GS38</f>
        <v>0</v>
      </c>
      <c r="C6821" t="inlineStr">
        <is>
          <t>+LS06</t>
        </is>
      </c>
      <c r="D6821" t="inlineStr">
        <is>
          <t>-309Q422.5</t>
        </is>
      </c>
      <c r="E6821" t="inlineStr">
        <is>
          <t>DILA-XHI22</t>
        </is>
      </c>
      <c r="F6821" t="inlineStr">
        <is>
          <t>DILA-XHI22</t>
        </is>
      </c>
      <c r="G6821" t="inlineStr">
        <is>
          <t>HILFSKONTAKTBLOCK</t>
        </is>
      </c>
      <c r="H6821" t="inlineStr">
        <is>
          <t>2S 2OE Last+Hilfssch. Cage</t>
        </is>
      </c>
      <c r="I6821">
        <v>474</v>
      </c>
      <c r="J6821">
        <f>GS38/309.5</f>
        <v>0</v>
      </c>
      <c r="M6821" t="inlineStr">
        <is>
          <t>-309Q422.5</t>
        </is>
      </c>
    </row>
    <row r="6822">
      <c r="A6822">
        <v>6821</v>
      </c>
      <c r="B6822">
        <f>GS39</f>
        <v>0</v>
      </c>
      <c r="C6822" t="inlineStr">
        <is>
          <t>+LS06</t>
        </is>
      </c>
      <c r="D6822" t="inlineStr">
        <is>
          <t>-309Q422.5</t>
        </is>
      </c>
      <c r="E6822" t="inlineStr">
        <is>
          <t>DILA-XHI22</t>
        </is>
      </c>
      <c r="F6822" t="inlineStr">
        <is>
          <t>DILA-XHI22</t>
        </is>
      </c>
      <c r="G6822" t="inlineStr">
        <is>
          <t>HILFSKONTAKTBLOCK</t>
        </is>
      </c>
      <c r="H6822" t="inlineStr">
        <is>
          <t>2S 2OE Last+Hilfssch. Cage</t>
        </is>
      </c>
      <c r="I6822">
        <v>475</v>
      </c>
      <c r="J6822">
        <f>GS39/309.5</f>
        <v>0</v>
      </c>
      <c r="M6822" t="inlineStr">
        <is>
          <t>-309Q422.5</t>
        </is>
      </c>
    </row>
    <row r="6823">
      <c r="A6823">
        <v>6822</v>
      </c>
      <c r="B6823">
        <f>GS39</f>
        <v>0</v>
      </c>
      <c r="C6823" t="inlineStr">
        <is>
          <t>+LS06</t>
        </is>
      </c>
      <c r="D6823" t="inlineStr">
        <is>
          <t>-309Q422.5</t>
        </is>
      </c>
      <c r="E6823" t="inlineStr">
        <is>
          <t>DILM-9-10</t>
        </is>
      </c>
      <c r="F6823" t="inlineStr">
        <is>
          <t>DILA-XHI22</t>
        </is>
      </c>
      <c r="G6823" t="inlineStr">
        <is>
          <t>LASTSCHUETZ</t>
        </is>
      </c>
      <c r="H6823" t="inlineStr">
        <is>
          <t>4kW 1S Federzugkl.</t>
        </is>
      </c>
      <c r="I6823">
        <v>475</v>
      </c>
      <c r="J6823">
        <f>GS39/309.5</f>
        <v>0</v>
      </c>
      <c r="M6823" t="inlineStr">
        <is>
          <t>-309Q422.5</t>
        </is>
      </c>
    </row>
    <row r="6824">
      <c r="A6824">
        <v>6823</v>
      </c>
      <c r="B6824">
        <f>GS38</f>
        <v>0</v>
      </c>
      <c r="C6824" t="inlineStr">
        <is>
          <t>+LS06</t>
        </is>
      </c>
      <c r="D6824" t="inlineStr">
        <is>
          <t>-309Q422.6</t>
        </is>
      </c>
      <c r="E6824" t="inlineStr">
        <is>
          <t>DILM-9-10</t>
        </is>
      </c>
      <c r="F6824" t="inlineStr">
        <is>
          <t>DILA-XHI22</t>
        </is>
      </c>
      <c r="G6824" t="inlineStr">
        <is>
          <t>LASTSCHUETZ</t>
        </is>
      </c>
      <c r="H6824" t="inlineStr">
        <is>
          <t>4kW 1S Federzugkl.</t>
        </is>
      </c>
      <c r="I6824">
        <v>474</v>
      </c>
      <c r="J6824">
        <f>GS38/309.6</f>
        <v>0</v>
      </c>
      <c r="M6824" t="inlineStr">
        <is>
          <t>-309Q422.6</t>
        </is>
      </c>
    </row>
    <row r="6825">
      <c r="A6825">
        <v>6824</v>
      </c>
      <c r="B6825">
        <f>GS38</f>
        <v>0</v>
      </c>
      <c r="C6825" t="inlineStr">
        <is>
          <t>+LS06</t>
        </is>
      </c>
      <c r="D6825" t="inlineStr">
        <is>
          <t>-309Q422.6</t>
        </is>
      </c>
      <c r="E6825" t="inlineStr">
        <is>
          <t>DILA-XHI22</t>
        </is>
      </c>
      <c r="F6825" t="inlineStr">
        <is>
          <t>DILA-XHI22</t>
        </is>
      </c>
      <c r="G6825" t="inlineStr">
        <is>
          <t>HILFSKONTAKTBLOCK</t>
        </is>
      </c>
      <c r="H6825" t="inlineStr">
        <is>
          <t>2S 2OE Last+Hilfssch. Cage</t>
        </is>
      </c>
      <c r="I6825">
        <v>474</v>
      </c>
      <c r="J6825">
        <f>GS38/309.6</f>
        <v>0</v>
      </c>
      <c r="M6825" t="inlineStr">
        <is>
          <t>-309Q422.6</t>
        </is>
      </c>
    </row>
    <row r="6826">
      <c r="A6826">
        <v>6825</v>
      </c>
      <c r="B6826">
        <f>GS39</f>
        <v>0</v>
      </c>
      <c r="C6826" t="inlineStr">
        <is>
          <t>+LS06</t>
        </is>
      </c>
      <c r="D6826" t="inlineStr">
        <is>
          <t>-309Q422.6</t>
        </is>
      </c>
      <c r="E6826" t="inlineStr">
        <is>
          <t>DILA-XHI22</t>
        </is>
      </c>
      <c r="F6826" t="inlineStr">
        <is>
          <t>DILA-XHI22</t>
        </is>
      </c>
      <c r="G6826" t="inlineStr">
        <is>
          <t>HILFSKONTAKTBLOCK</t>
        </is>
      </c>
      <c r="H6826" t="inlineStr">
        <is>
          <t>2S 2OE Last+Hilfssch. Cage</t>
        </is>
      </c>
      <c r="I6826">
        <v>475</v>
      </c>
      <c r="J6826">
        <f>GS39/309.6</f>
        <v>0</v>
      </c>
      <c r="M6826" t="inlineStr">
        <is>
          <t>-309Q422.6</t>
        </is>
      </c>
    </row>
    <row r="6827">
      <c r="A6827">
        <v>6826</v>
      </c>
      <c r="B6827">
        <f>GS39</f>
        <v>0</v>
      </c>
      <c r="C6827" t="inlineStr">
        <is>
          <t>+LS06</t>
        </is>
      </c>
      <c r="D6827" t="inlineStr">
        <is>
          <t>-309Q422.6</t>
        </is>
      </c>
      <c r="E6827" t="inlineStr">
        <is>
          <t>DILM-9-10</t>
        </is>
      </c>
      <c r="F6827" t="inlineStr">
        <is>
          <t>DILA-XHI22</t>
        </is>
      </c>
      <c r="G6827" t="inlineStr">
        <is>
          <t>LASTSCHUETZ</t>
        </is>
      </c>
      <c r="H6827" t="inlineStr">
        <is>
          <t>4kW 1S Federzugkl.</t>
        </is>
      </c>
      <c r="I6827">
        <v>475</v>
      </c>
      <c r="J6827">
        <f>GS39/309.6</f>
        <v>0</v>
      </c>
      <c r="M6827" t="inlineStr">
        <is>
          <t>-309Q422.6</t>
        </is>
      </c>
    </row>
    <row r="6828">
      <c r="A6828">
        <v>6827</v>
      </c>
      <c r="B6828">
        <f>GS02</f>
        <v>0</v>
      </c>
      <c r="C6828" t="inlineStr">
        <is>
          <t>+ES1</t>
        </is>
      </c>
      <c r="D6828" t="inlineStr">
        <is>
          <t>-30K1</t>
        </is>
      </c>
      <c r="E6828" t="inlineStr">
        <is>
          <t>DIL_ER-40-G</t>
        </is>
      </c>
      <c r="F6828" t="inlineStr">
        <is>
          <t>22_DIL-E</t>
        </is>
      </c>
      <c r="G6828" t="inlineStr">
        <is>
          <t>HILFSSCHUETZ</t>
        </is>
      </c>
      <c r="H6828" t="inlineStr">
        <is>
          <t>4S</t>
        </is>
      </c>
      <c r="I6828">
        <v>422</v>
      </c>
      <c r="J6828">
        <f>GS02/30.6</f>
        <v>0</v>
      </c>
      <c r="M6828" t="inlineStr">
        <is>
          <t>-30K1</t>
        </is>
      </c>
    </row>
    <row r="6829">
      <c r="A6829">
        <v>6828</v>
      </c>
      <c r="B6829">
        <f>GS02</f>
        <v>0</v>
      </c>
      <c r="C6829" t="inlineStr">
        <is>
          <t>+ES1</t>
        </is>
      </c>
      <c r="D6829" t="inlineStr">
        <is>
          <t>-30K1</t>
        </is>
      </c>
      <c r="E6829" t="inlineStr">
        <is>
          <t>22_DIL-E</t>
        </is>
      </c>
      <c r="F6829" t="inlineStr">
        <is>
          <t>22_DIL-E</t>
        </is>
      </c>
      <c r="G6829" t="inlineStr">
        <is>
          <t>HILFSKONTAKTBLOCK</t>
        </is>
      </c>
      <c r="H6829" t="inlineStr">
        <is>
          <t>2S 2OE Last+Hilfsschuetz</t>
        </is>
      </c>
      <c r="I6829">
        <v>422</v>
      </c>
      <c r="J6829">
        <f>GS02/30.6</f>
        <v>0</v>
      </c>
      <c r="M6829" t="inlineStr">
        <is>
          <t>-30K1</t>
        </is>
      </c>
    </row>
    <row r="6830">
      <c r="A6830">
        <v>6829</v>
      </c>
      <c r="B6830">
        <f>GS04</f>
        <v>0</v>
      </c>
      <c r="C6830" t="inlineStr">
        <is>
          <t>+ES1</t>
        </is>
      </c>
      <c r="D6830" t="inlineStr">
        <is>
          <t>-30K1</t>
        </is>
      </c>
      <c r="E6830" t="inlineStr">
        <is>
          <t>DIL_ER-40-G</t>
        </is>
      </c>
      <c r="F6830" t="inlineStr">
        <is>
          <t>22_DIL-E</t>
        </is>
      </c>
      <c r="G6830" t="inlineStr">
        <is>
          <t>HILFSSCHUETZ</t>
        </is>
      </c>
      <c r="H6830" t="inlineStr">
        <is>
          <t>4S</t>
        </is>
      </c>
      <c r="I6830">
        <v>276</v>
      </c>
      <c r="J6830">
        <f>GS04/30.6</f>
        <v>0</v>
      </c>
      <c r="M6830" t="inlineStr">
        <is>
          <t>-30K1</t>
        </is>
      </c>
    </row>
    <row r="6831">
      <c r="A6831">
        <v>6830</v>
      </c>
      <c r="B6831">
        <f>GS04</f>
        <v>0</v>
      </c>
      <c r="C6831" t="inlineStr">
        <is>
          <t>+ES1</t>
        </is>
      </c>
      <c r="D6831" t="inlineStr">
        <is>
          <t>-30K1</t>
        </is>
      </c>
      <c r="E6831" t="inlineStr">
        <is>
          <t>22_DIL-E</t>
        </is>
      </c>
      <c r="F6831" t="inlineStr">
        <is>
          <t>22_DIL-E</t>
        </is>
      </c>
      <c r="G6831" t="inlineStr">
        <is>
          <t>HILFSKONTAKTBLOCK</t>
        </is>
      </c>
      <c r="H6831" t="inlineStr">
        <is>
          <t>2S 2OE Last+Hilfsschuetz</t>
        </is>
      </c>
      <c r="I6831">
        <v>276</v>
      </c>
      <c r="J6831">
        <f>GS04/30.6</f>
        <v>0</v>
      </c>
      <c r="M6831" t="inlineStr">
        <is>
          <t>-30K1</t>
        </is>
      </c>
    </row>
    <row r="6832">
      <c r="A6832">
        <v>6831</v>
      </c>
      <c r="B6832">
        <f>GS11</f>
        <v>0</v>
      </c>
      <c r="C6832" t="inlineStr">
        <is>
          <t>+ES1</t>
        </is>
      </c>
      <c r="D6832" t="inlineStr">
        <is>
          <t>-30K1</t>
        </is>
      </c>
      <c r="E6832" t="inlineStr">
        <is>
          <t>DIL_ER-40-G</t>
        </is>
      </c>
      <c r="F6832" t="inlineStr">
        <is>
          <t>22_DIL-E</t>
        </is>
      </c>
      <c r="G6832" t="inlineStr">
        <is>
          <t>HILFSSCHUETZ</t>
        </is>
      </c>
      <c r="H6832" t="inlineStr">
        <is>
          <t>4S</t>
        </is>
      </c>
      <c r="I6832">
        <v>123</v>
      </c>
      <c r="J6832">
        <f>GS11/30.6</f>
        <v>0</v>
      </c>
      <c r="M6832" t="inlineStr">
        <is>
          <t>-30K1</t>
        </is>
      </c>
    </row>
    <row r="6833">
      <c r="A6833">
        <v>6832</v>
      </c>
      <c r="B6833">
        <f>GS11</f>
        <v>0</v>
      </c>
      <c r="C6833" t="inlineStr">
        <is>
          <t>+ES1</t>
        </is>
      </c>
      <c r="D6833" t="inlineStr">
        <is>
          <t>-30K1</t>
        </is>
      </c>
      <c r="E6833" t="inlineStr">
        <is>
          <t>22_DIL-E</t>
        </is>
      </c>
      <c r="F6833" t="inlineStr">
        <is>
          <t>22_DIL-E</t>
        </is>
      </c>
      <c r="G6833" t="inlineStr">
        <is>
          <t>HILFSKONTAKTBLOCK</t>
        </is>
      </c>
      <c r="H6833" t="inlineStr">
        <is>
          <t>2S 2OE Last+Hilfsschuetz</t>
        </is>
      </c>
      <c r="I6833">
        <v>123</v>
      </c>
      <c r="J6833">
        <f>GS11/30.6</f>
        <v>0</v>
      </c>
      <c r="M6833" t="inlineStr">
        <is>
          <t>-30K1</t>
        </is>
      </c>
    </row>
    <row r="6834">
      <c r="A6834">
        <v>6833</v>
      </c>
      <c r="B6834">
        <f>GS14</f>
        <v>0</v>
      </c>
      <c r="C6834" t="inlineStr">
        <is>
          <t>+ES1</t>
        </is>
      </c>
      <c r="D6834" t="inlineStr">
        <is>
          <t>-30K1</t>
        </is>
      </c>
      <c r="E6834" t="inlineStr">
        <is>
          <t>DIL_ER-40-G</t>
        </is>
      </c>
      <c r="F6834" t="inlineStr">
        <is>
          <t>22_DIL-E</t>
        </is>
      </c>
      <c r="G6834" t="inlineStr">
        <is>
          <t>HILFSSCHUETZ</t>
        </is>
      </c>
      <c r="H6834" t="inlineStr">
        <is>
          <t>4S</t>
        </is>
      </c>
      <c r="I6834">
        <v>156</v>
      </c>
      <c r="J6834">
        <f>GS14/30.5</f>
        <v>0</v>
      </c>
      <c r="M6834" t="inlineStr">
        <is>
          <t>-30K1</t>
        </is>
      </c>
    </row>
    <row r="6835">
      <c r="A6835">
        <v>6834</v>
      </c>
      <c r="B6835">
        <f>GS14</f>
        <v>0</v>
      </c>
      <c r="C6835" t="inlineStr">
        <is>
          <t>+ES1</t>
        </is>
      </c>
      <c r="D6835" t="inlineStr">
        <is>
          <t>-30K1</t>
        </is>
      </c>
      <c r="E6835" t="inlineStr">
        <is>
          <t>22_DIL-E</t>
        </is>
      </c>
      <c r="F6835" t="inlineStr">
        <is>
          <t>22_DIL-E</t>
        </is>
      </c>
      <c r="G6835" t="inlineStr">
        <is>
          <t>HILFSKONTAKTBLOCK</t>
        </is>
      </c>
      <c r="H6835" t="inlineStr">
        <is>
          <t>2S 2OE Last+Hilfsschuetz</t>
        </is>
      </c>
      <c r="I6835">
        <v>156</v>
      </c>
      <c r="J6835">
        <f>GS14/30.5</f>
        <v>0</v>
      </c>
      <c r="M6835" t="inlineStr">
        <is>
          <t>-30K1</t>
        </is>
      </c>
    </row>
    <row r="6836">
      <c r="A6836">
        <v>6835</v>
      </c>
      <c r="B6836">
        <f>GS15</f>
        <v>0</v>
      </c>
      <c r="C6836" t="inlineStr">
        <is>
          <t>+ES1</t>
        </is>
      </c>
      <c r="D6836" t="inlineStr">
        <is>
          <t>-30K1</t>
        </is>
      </c>
      <c r="E6836" t="inlineStr">
        <is>
          <t>22_DIL-E</t>
        </is>
      </c>
      <c r="F6836" t="inlineStr">
        <is>
          <t>22_DIL-E</t>
        </is>
      </c>
      <c r="G6836" t="inlineStr">
        <is>
          <t>HILFSKONTAKTBLOCK</t>
        </is>
      </c>
      <c r="H6836" t="inlineStr">
        <is>
          <t>2S 2OE Last+Hilfsschuetz</t>
        </is>
      </c>
      <c r="I6836">
        <v>516</v>
      </c>
      <c r="J6836">
        <f>GS15/30.5</f>
        <v>0</v>
      </c>
      <c r="M6836" t="inlineStr">
        <is>
          <t>-30K1</t>
        </is>
      </c>
    </row>
    <row r="6837">
      <c r="A6837">
        <v>6836</v>
      </c>
      <c r="B6837">
        <f>GS15</f>
        <v>0</v>
      </c>
      <c r="C6837" t="inlineStr">
        <is>
          <t>+ES1</t>
        </is>
      </c>
      <c r="D6837" t="inlineStr">
        <is>
          <t>-30K1</t>
        </is>
      </c>
      <c r="E6837" t="inlineStr">
        <is>
          <t>DIL_ER-40-G</t>
        </is>
      </c>
      <c r="F6837" t="inlineStr">
        <is>
          <t>22_DIL-E</t>
        </is>
      </c>
      <c r="G6837" t="inlineStr">
        <is>
          <t>HILFSSCHUETZ</t>
        </is>
      </c>
      <c r="H6837" t="inlineStr">
        <is>
          <t>4S</t>
        </is>
      </c>
      <c r="I6837">
        <v>516</v>
      </c>
      <c r="J6837">
        <f>GS15/30.5</f>
        <v>0</v>
      </c>
      <c r="M6837" t="inlineStr">
        <is>
          <t>-30K1</t>
        </is>
      </c>
    </row>
    <row r="6838">
      <c r="A6838">
        <v>6837</v>
      </c>
      <c r="B6838">
        <f>GS21</f>
        <v>0</v>
      </c>
      <c r="C6838" t="inlineStr">
        <is>
          <t>+ES1</t>
        </is>
      </c>
      <c r="D6838" t="inlineStr">
        <is>
          <t>-30K1</t>
        </is>
      </c>
      <c r="E6838" t="inlineStr">
        <is>
          <t>DIL_ER-40-G</t>
        </is>
      </c>
      <c r="F6838" t="inlineStr">
        <is>
          <t>22_DIL-E</t>
        </is>
      </c>
      <c r="G6838" t="inlineStr">
        <is>
          <t>HILFSSCHUETZ</t>
        </is>
      </c>
      <c r="H6838" t="inlineStr">
        <is>
          <t>4S</t>
        </is>
      </c>
      <c r="I6838">
        <v>133</v>
      </c>
      <c r="J6838">
        <f>GS21/30.6</f>
        <v>0</v>
      </c>
      <c r="M6838" t="inlineStr">
        <is>
          <t>-30K1</t>
        </is>
      </c>
    </row>
    <row r="6839">
      <c r="A6839">
        <v>6838</v>
      </c>
      <c r="B6839">
        <f>GS21</f>
        <v>0</v>
      </c>
      <c r="C6839" t="inlineStr">
        <is>
          <t>+ES1</t>
        </is>
      </c>
      <c r="D6839" t="inlineStr">
        <is>
          <t>-30K1</t>
        </is>
      </c>
      <c r="E6839" t="inlineStr">
        <is>
          <t>22_DIL-E</t>
        </is>
      </c>
      <c r="F6839" t="inlineStr">
        <is>
          <t>22_DIL-E</t>
        </is>
      </c>
      <c r="G6839" t="inlineStr">
        <is>
          <t>HILFSKONTAKTBLOCK</t>
        </is>
      </c>
      <c r="H6839" t="inlineStr">
        <is>
          <t>2S 2OE Last+Hilfsschuetz</t>
        </is>
      </c>
      <c r="I6839">
        <v>133</v>
      </c>
      <c r="J6839">
        <f>GS21/30.6</f>
        <v>0</v>
      </c>
      <c r="M6839" t="inlineStr">
        <is>
          <t>-30K1</t>
        </is>
      </c>
    </row>
    <row r="6840">
      <c r="A6840">
        <v>6839</v>
      </c>
      <c r="B6840">
        <f>GS23</f>
        <v>0</v>
      </c>
      <c r="C6840" t="inlineStr">
        <is>
          <t>+ES1</t>
        </is>
      </c>
      <c r="D6840" t="inlineStr">
        <is>
          <t>-30K1</t>
        </is>
      </c>
      <c r="E6840" t="inlineStr">
        <is>
          <t>22_DIL-E</t>
        </is>
      </c>
      <c r="F6840" t="inlineStr">
        <is>
          <t>22_DIL-E</t>
        </is>
      </c>
      <c r="G6840" t="inlineStr">
        <is>
          <t>HILFSKONTAKTBLOCK</t>
        </is>
      </c>
      <c r="H6840" t="inlineStr">
        <is>
          <t>2S 2OE Last+Hilfsschuetz</t>
        </is>
      </c>
      <c r="I6840">
        <v>322</v>
      </c>
      <c r="J6840">
        <f>GS23/30.5</f>
        <v>0</v>
      </c>
      <c r="M6840" t="inlineStr">
        <is>
          <t>-30K1</t>
        </is>
      </c>
    </row>
    <row r="6841">
      <c r="A6841">
        <v>6840</v>
      </c>
      <c r="B6841">
        <f>GS23</f>
        <v>0</v>
      </c>
      <c r="C6841" t="inlineStr">
        <is>
          <t>+ES1</t>
        </is>
      </c>
      <c r="D6841" t="inlineStr">
        <is>
          <t>-30K1</t>
        </is>
      </c>
      <c r="E6841" t="inlineStr">
        <is>
          <t>DIL_ER-40-G</t>
        </is>
      </c>
      <c r="F6841" t="inlineStr">
        <is>
          <t>22_DIL-E</t>
        </is>
      </c>
      <c r="G6841" t="inlineStr">
        <is>
          <t>HILFSSCHUETZ</t>
        </is>
      </c>
      <c r="H6841" t="inlineStr">
        <is>
          <t>4S</t>
        </is>
      </c>
      <c r="I6841">
        <v>322</v>
      </c>
      <c r="J6841">
        <f>GS23/30.5</f>
        <v>0</v>
      </c>
      <c r="M6841" t="inlineStr">
        <is>
          <t>-30K1</t>
        </is>
      </c>
    </row>
    <row r="6842">
      <c r="A6842">
        <v>6841</v>
      </c>
      <c r="B6842">
        <f>GS24</f>
        <v>0</v>
      </c>
      <c r="C6842" t="inlineStr">
        <is>
          <t>+ES1</t>
        </is>
      </c>
      <c r="D6842" t="inlineStr">
        <is>
          <t>-30K1</t>
        </is>
      </c>
      <c r="E6842" t="inlineStr">
        <is>
          <t>DIL_ER-40-G</t>
        </is>
      </c>
      <c r="F6842" t="inlineStr">
        <is>
          <t>22_DIL-E</t>
        </is>
      </c>
      <c r="G6842" t="inlineStr">
        <is>
          <t>HILFSSCHUETZ</t>
        </is>
      </c>
      <c r="H6842" t="inlineStr">
        <is>
          <t>4S</t>
        </is>
      </c>
      <c r="I6842">
        <v>1049</v>
      </c>
      <c r="J6842">
        <f>GS24/30.5</f>
        <v>0</v>
      </c>
      <c r="M6842" t="inlineStr">
        <is>
          <t>-30K1</t>
        </is>
      </c>
    </row>
    <row r="6843">
      <c r="A6843">
        <v>6842</v>
      </c>
      <c r="B6843">
        <f>GS24</f>
        <v>0</v>
      </c>
      <c r="C6843" t="inlineStr">
        <is>
          <t>+ES1</t>
        </is>
      </c>
      <c r="D6843" t="inlineStr">
        <is>
          <t>-30K1</t>
        </is>
      </c>
      <c r="E6843" t="inlineStr">
        <is>
          <t>22_DIL-E</t>
        </is>
      </c>
      <c r="F6843" t="inlineStr">
        <is>
          <t>22_DIL-E</t>
        </is>
      </c>
      <c r="G6843" t="inlineStr">
        <is>
          <t>HILFSKONTAKTBLOCK</t>
        </is>
      </c>
      <c r="H6843" t="inlineStr">
        <is>
          <t>2S 2OE Last+Hilfsschuetz</t>
        </is>
      </c>
      <c r="I6843">
        <v>1049</v>
      </c>
      <c r="J6843">
        <f>GS24/30.5</f>
        <v>0</v>
      </c>
      <c r="M6843" t="inlineStr">
        <is>
          <t>-30K1</t>
        </is>
      </c>
    </row>
    <row r="6844">
      <c r="A6844">
        <v>6843</v>
      </c>
      <c r="B6844">
        <f>GS25</f>
        <v>0</v>
      </c>
      <c r="C6844" t="inlineStr">
        <is>
          <t>+ES1</t>
        </is>
      </c>
      <c r="D6844" t="inlineStr">
        <is>
          <t>-30K1</t>
        </is>
      </c>
      <c r="E6844" t="inlineStr">
        <is>
          <t>22_DIL-E</t>
        </is>
      </c>
      <c r="F6844" t="inlineStr">
        <is>
          <t>22_DIL-E</t>
        </is>
      </c>
      <c r="G6844" t="inlineStr">
        <is>
          <t>HILFSKONTAKTBLOCK</t>
        </is>
      </c>
      <c r="H6844" t="inlineStr">
        <is>
          <t>2S 2OE Last+Hilfsschuetz</t>
        </is>
      </c>
      <c r="I6844">
        <v>159</v>
      </c>
      <c r="J6844">
        <f>GS25/30.5</f>
        <v>0</v>
      </c>
      <c r="M6844" t="inlineStr">
        <is>
          <t>-30K1</t>
        </is>
      </c>
    </row>
    <row r="6845">
      <c r="A6845">
        <v>6844</v>
      </c>
      <c r="B6845">
        <f>GS25</f>
        <v>0</v>
      </c>
      <c r="C6845" t="inlineStr">
        <is>
          <t>+ES1</t>
        </is>
      </c>
      <c r="D6845" t="inlineStr">
        <is>
          <t>-30K1</t>
        </is>
      </c>
      <c r="E6845" t="inlineStr">
        <is>
          <t>DIL_ER-40-G</t>
        </is>
      </c>
      <c r="F6845" t="inlineStr">
        <is>
          <t>22_DIL-E</t>
        </is>
      </c>
      <c r="G6845" t="inlineStr">
        <is>
          <t>HILFSSCHUETZ</t>
        </is>
      </c>
      <c r="H6845" t="inlineStr">
        <is>
          <t>4S</t>
        </is>
      </c>
      <c r="I6845">
        <v>159</v>
      </c>
      <c r="J6845">
        <f>GS25/30.5</f>
        <v>0</v>
      </c>
      <c r="M6845" t="inlineStr">
        <is>
          <t>-30K1</t>
        </is>
      </c>
    </row>
    <row r="6846">
      <c r="A6846">
        <v>6845</v>
      </c>
      <c r="B6846">
        <f>GS31</f>
        <v>0</v>
      </c>
      <c r="C6846" t="inlineStr">
        <is>
          <t>+ES1</t>
        </is>
      </c>
      <c r="D6846" t="inlineStr">
        <is>
          <t>-30K1</t>
        </is>
      </c>
      <c r="E6846" t="inlineStr">
        <is>
          <t>22_DIL-E</t>
        </is>
      </c>
      <c r="F6846" t="inlineStr">
        <is>
          <t>22_DIL-E</t>
        </is>
      </c>
      <c r="G6846" t="inlineStr">
        <is>
          <t>HILFSKONTAKTBLOCK</t>
        </is>
      </c>
      <c r="H6846" t="inlineStr">
        <is>
          <t>2S 2OE Last+Hilfsschuetz</t>
        </is>
      </c>
      <c r="I6846">
        <v>313</v>
      </c>
      <c r="J6846">
        <f>GS31/30.6</f>
        <v>0</v>
      </c>
      <c r="M6846" t="inlineStr">
        <is>
          <t>-30K1</t>
        </is>
      </c>
    </row>
    <row r="6847">
      <c r="A6847">
        <v>6846</v>
      </c>
      <c r="B6847">
        <f>GS31</f>
        <v>0</v>
      </c>
      <c r="C6847" t="inlineStr">
        <is>
          <t>+ES1</t>
        </is>
      </c>
      <c r="D6847" t="inlineStr">
        <is>
          <t>-30K1</t>
        </is>
      </c>
      <c r="E6847" t="inlineStr">
        <is>
          <t>DIL_ER-40-G</t>
        </is>
      </c>
      <c r="F6847" t="inlineStr">
        <is>
          <t>22_DIL-E</t>
        </is>
      </c>
      <c r="G6847" t="inlineStr">
        <is>
          <t>HILFSSCHUETZ</t>
        </is>
      </c>
      <c r="H6847" t="inlineStr">
        <is>
          <t>4S</t>
        </is>
      </c>
      <c r="I6847">
        <v>313</v>
      </c>
      <c r="J6847">
        <f>GS31/30.6</f>
        <v>0</v>
      </c>
      <c r="M6847" t="inlineStr">
        <is>
          <t>-30K1</t>
        </is>
      </c>
    </row>
    <row r="6848">
      <c r="A6848">
        <v>6847</v>
      </c>
      <c r="B6848">
        <f>GS33</f>
        <v>0</v>
      </c>
      <c r="C6848" t="inlineStr">
        <is>
          <t>+ES1</t>
        </is>
      </c>
      <c r="D6848" t="inlineStr">
        <is>
          <t>-30K1</t>
        </is>
      </c>
      <c r="E6848" t="inlineStr">
        <is>
          <t>DIL_ER-40-G</t>
        </is>
      </c>
      <c r="F6848" t="inlineStr">
        <is>
          <t>22_DIL-E</t>
        </is>
      </c>
      <c r="G6848" t="inlineStr">
        <is>
          <t>HILFSSCHUETZ</t>
        </is>
      </c>
      <c r="H6848" t="inlineStr">
        <is>
          <t>4S</t>
        </is>
      </c>
      <c r="I6848">
        <v>469</v>
      </c>
      <c r="J6848">
        <f>GS33/30.5</f>
        <v>0</v>
      </c>
      <c r="M6848" t="inlineStr">
        <is>
          <t>-30K1</t>
        </is>
      </c>
    </row>
    <row r="6849">
      <c r="A6849">
        <v>6848</v>
      </c>
      <c r="B6849">
        <f>GS33</f>
        <v>0</v>
      </c>
      <c r="C6849" t="inlineStr">
        <is>
          <t>+ES1</t>
        </is>
      </c>
      <c r="D6849" t="inlineStr">
        <is>
          <t>-30K1</t>
        </is>
      </c>
      <c r="E6849" t="inlineStr">
        <is>
          <t>22_DIL-E</t>
        </is>
      </c>
      <c r="F6849" t="inlineStr">
        <is>
          <t>22_DIL-E</t>
        </is>
      </c>
      <c r="G6849" t="inlineStr">
        <is>
          <t>HILFSKONTAKTBLOCK</t>
        </is>
      </c>
      <c r="H6849" t="inlineStr">
        <is>
          <t>2S 2OE Last+Hilfsschuetz</t>
        </is>
      </c>
      <c r="I6849">
        <v>469</v>
      </c>
      <c r="J6849">
        <f>GS33/30.5</f>
        <v>0</v>
      </c>
      <c r="M6849" t="inlineStr">
        <is>
          <t>-30K1</t>
        </is>
      </c>
    </row>
    <row r="6850">
      <c r="A6850">
        <v>6849</v>
      </c>
      <c r="B6850">
        <f>GS34</f>
        <v>0</v>
      </c>
      <c r="C6850" t="inlineStr">
        <is>
          <t>+ES1</t>
        </is>
      </c>
      <c r="D6850" t="inlineStr">
        <is>
          <t>-30K1</t>
        </is>
      </c>
      <c r="E6850" t="inlineStr">
        <is>
          <t>22_DIL-E</t>
        </is>
      </c>
      <c r="F6850" t="inlineStr">
        <is>
          <t>22_DIL-E</t>
        </is>
      </c>
      <c r="G6850" t="inlineStr">
        <is>
          <t>HILFSKONTAKTBLOCK</t>
        </is>
      </c>
      <c r="H6850" t="inlineStr">
        <is>
          <t>2S 2OE Last+Hilfsschuetz</t>
        </is>
      </c>
      <c r="I6850">
        <v>154</v>
      </c>
      <c r="J6850">
        <f>GS34/30.5</f>
        <v>0</v>
      </c>
      <c r="M6850" t="inlineStr">
        <is>
          <t>-30K1</t>
        </is>
      </c>
    </row>
    <row r="6851">
      <c r="A6851">
        <v>6850</v>
      </c>
      <c r="B6851">
        <f>GS34</f>
        <v>0</v>
      </c>
      <c r="C6851" t="inlineStr">
        <is>
          <t>+ES1</t>
        </is>
      </c>
      <c r="D6851" t="inlineStr">
        <is>
          <t>-30K1</t>
        </is>
      </c>
      <c r="E6851" t="inlineStr">
        <is>
          <t>DIL_ER-40-G</t>
        </is>
      </c>
      <c r="F6851" t="inlineStr">
        <is>
          <t>22_DIL-E</t>
        </is>
      </c>
      <c r="G6851" t="inlineStr">
        <is>
          <t>HILFSSCHUETZ</t>
        </is>
      </c>
      <c r="H6851" t="inlineStr">
        <is>
          <t>4S</t>
        </is>
      </c>
      <c r="I6851">
        <v>154</v>
      </c>
      <c r="J6851">
        <f>GS34/30.5</f>
        <v>0</v>
      </c>
      <c r="M6851" t="inlineStr">
        <is>
          <t>-30K1</t>
        </is>
      </c>
    </row>
    <row r="6852">
      <c r="A6852">
        <v>6851</v>
      </c>
      <c r="B6852">
        <f>GS02</f>
        <v>0</v>
      </c>
      <c r="C6852" t="inlineStr">
        <is>
          <t>+ES1</t>
        </is>
      </c>
      <c r="D6852" t="inlineStr">
        <is>
          <t>-30K2</t>
        </is>
      </c>
      <c r="E6852" t="inlineStr">
        <is>
          <t>DIL_ER-40-G</t>
        </is>
      </c>
      <c r="F6852" t="inlineStr">
        <is>
          <t>22_DIL-E</t>
        </is>
      </c>
      <c r="G6852" t="inlineStr">
        <is>
          <t>HILFSSCHUETZ</t>
        </is>
      </c>
      <c r="H6852" t="inlineStr">
        <is>
          <t>4S</t>
        </is>
      </c>
      <c r="I6852">
        <v>422</v>
      </c>
      <c r="J6852">
        <f>GS02/30.6</f>
        <v>0</v>
      </c>
      <c r="M6852" t="inlineStr">
        <is>
          <t>-30K2</t>
        </is>
      </c>
    </row>
    <row r="6853">
      <c r="A6853">
        <v>6852</v>
      </c>
      <c r="B6853">
        <f>GS02</f>
        <v>0</v>
      </c>
      <c r="C6853" t="inlineStr">
        <is>
          <t>+ES1</t>
        </is>
      </c>
      <c r="D6853" t="inlineStr">
        <is>
          <t>-30K2</t>
        </is>
      </c>
      <c r="E6853" t="inlineStr">
        <is>
          <t>22_DIL-E</t>
        </is>
      </c>
      <c r="F6853" t="inlineStr">
        <is>
          <t>22_DIL-E</t>
        </is>
      </c>
      <c r="G6853" t="inlineStr">
        <is>
          <t>HILFSKONTAKTBLOCK</t>
        </is>
      </c>
      <c r="H6853" t="inlineStr">
        <is>
          <t>2S 2OE Last+Hilfsschuetz</t>
        </is>
      </c>
      <c r="I6853">
        <v>422</v>
      </c>
      <c r="J6853">
        <f>GS02/30.6</f>
        <v>0</v>
      </c>
      <c r="M6853" t="inlineStr">
        <is>
          <t>-30K2</t>
        </is>
      </c>
    </row>
    <row r="6854">
      <c r="A6854">
        <v>6853</v>
      </c>
      <c r="B6854">
        <f>GS04</f>
        <v>0</v>
      </c>
      <c r="C6854" t="inlineStr">
        <is>
          <t>+ES1</t>
        </is>
      </c>
      <c r="D6854" t="inlineStr">
        <is>
          <t>-30K2</t>
        </is>
      </c>
      <c r="E6854" t="inlineStr">
        <is>
          <t>DIL_ER-40-G</t>
        </is>
      </c>
      <c r="F6854" t="inlineStr">
        <is>
          <t>22_DIL-E</t>
        </is>
      </c>
      <c r="G6854" t="inlineStr">
        <is>
          <t>HILFSSCHUETZ</t>
        </is>
      </c>
      <c r="H6854" t="inlineStr">
        <is>
          <t>4S</t>
        </is>
      </c>
      <c r="I6854">
        <v>276</v>
      </c>
      <c r="J6854">
        <f>GS04/30.6</f>
        <v>0</v>
      </c>
      <c r="M6854" t="inlineStr">
        <is>
          <t>-30K2</t>
        </is>
      </c>
    </row>
    <row r="6855">
      <c r="A6855">
        <v>6854</v>
      </c>
      <c r="B6855">
        <f>GS04</f>
        <v>0</v>
      </c>
      <c r="C6855" t="inlineStr">
        <is>
          <t>+ES1</t>
        </is>
      </c>
      <c r="D6855" t="inlineStr">
        <is>
          <t>-30K2</t>
        </is>
      </c>
      <c r="E6855" t="inlineStr">
        <is>
          <t>22_DIL-E</t>
        </is>
      </c>
      <c r="F6855" t="inlineStr">
        <is>
          <t>22_DIL-E</t>
        </is>
      </c>
      <c r="G6855" t="inlineStr">
        <is>
          <t>HILFSKONTAKTBLOCK</t>
        </is>
      </c>
      <c r="H6855" t="inlineStr">
        <is>
          <t>2S 2OE Last+Hilfsschuetz</t>
        </is>
      </c>
      <c r="I6855">
        <v>276</v>
      </c>
      <c r="J6855">
        <f>GS04/30.6</f>
        <v>0</v>
      </c>
      <c r="M6855" t="inlineStr">
        <is>
          <t>-30K2</t>
        </is>
      </c>
    </row>
    <row r="6856">
      <c r="A6856">
        <v>6855</v>
      </c>
      <c r="B6856">
        <f>GS11</f>
        <v>0</v>
      </c>
      <c r="C6856" t="inlineStr">
        <is>
          <t>+ES1</t>
        </is>
      </c>
      <c r="D6856" t="inlineStr">
        <is>
          <t>-30K2</t>
        </is>
      </c>
      <c r="E6856" t="inlineStr">
        <is>
          <t>DIL_ER-40-G</t>
        </is>
      </c>
      <c r="F6856" t="inlineStr">
        <is>
          <t>22_DIL-E</t>
        </is>
      </c>
      <c r="G6856" t="inlineStr">
        <is>
          <t>HILFSSCHUETZ</t>
        </is>
      </c>
      <c r="H6856" t="inlineStr">
        <is>
          <t>4S</t>
        </is>
      </c>
      <c r="I6856">
        <v>123</v>
      </c>
      <c r="J6856">
        <f>GS11/30.6</f>
        <v>0</v>
      </c>
      <c r="M6856" t="inlineStr">
        <is>
          <t>-30K2</t>
        </is>
      </c>
    </row>
    <row r="6857">
      <c r="A6857">
        <v>6856</v>
      </c>
      <c r="B6857">
        <f>GS11</f>
        <v>0</v>
      </c>
      <c r="C6857" t="inlineStr">
        <is>
          <t>+ES1</t>
        </is>
      </c>
      <c r="D6857" t="inlineStr">
        <is>
          <t>-30K2</t>
        </is>
      </c>
      <c r="E6857" t="inlineStr">
        <is>
          <t>22_DIL-E</t>
        </is>
      </c>
      <c r="F6857" t="inlineStr">
        <is>
          <t>22_DIL-E</t>
        </is>
      </c>
      <c r="G6857" t="inlineStr">
        <is>
          <t>HILFSKONTAKTBLOCK</t>
        </is>
      </c>
      <c r="H6857" t="inlineStr">
        <is>
          <t>2S 2OE Last+Hilfsschuetz</t>
        </is>
      </c>
      <c r="I6857">
        <v>123</v>
      </c>
      <c r="J6857">
        <f>GS11/30.6</f>
        <v>0</v>
      </c>
      <c r="M6857" t="inlineStr">
        <is>
          <t>-30K2</t>
        </is>
      </c>
    </row>
    <row r="6858">
      <c r="A6858">
        <v>6857</v>
      </c>
      <c r="B6858">
        <f>GS14</f>
        <v>0</v>
      </c>
      <c r="C6858" t="inlineStr">
        <is>
          <t>+ES1</t>
        </is>
      </c>
      <c r="D6858" t="inlineStr">
        <is>
          <t>-30K2</t>
        </is>
      </c>
      <c r="E6858" t="inlineStr">
        <is>
          <t>DIL_ER-40-G</t>
        </is>
      </c>
      <c r="F6858" t="inlineStr">
        <is>
          <t>22_DIL-E</t>
        </is>
      </c>
      <c r="G6858" t="inlineStr">
        <is>
          <t>HILFSSCHUETZ</t>
        </is>
      </c>
      <c r="H6858" t="inlineStr">
        <is>
          <t>4S</t>
        </is>
      </c>
      <c r="I6858">
        <v>156</v>
      </c>
      <c r="J6858">
        <f>GS14/30.6</f>
        <v>0</v>
      </c>
      <c r="M6858" t="inlineStr">
        <is>
          <t>-30K2</t>
        </is>
      </c>
    </row>
    <row r="6859">
      <c r="A6859">
        <v>6858</v>
      </c>
      <c r="B6859">
        <f>GS14</f>
        <v>0</v>
      </c>
      <c r="C6859" t="inlineStr">
        <is>
          <t>+ES1</t>
        </is>
      </c>
      <c r="D6859" t="inlineStr">
        <is>
          <t>-30K2</t>
        </is>
      </c>
      <c r="E6859" t="inlineStr">
        <is>
          <t>22_DIL-E</t>
        </is>
      </c>
      <c r="F6859" t="inlineStr">
        <is>
          <t>22_DIL-E</t>
        </is>
      </c>
      <c r="G6859" t="inlineStr">
        <is>
          <t>HILFSKONTAKTBLOCK</t>
        </is>
      </c>
      <c r="H6859" t="inlineStr">
        <is>
          <t>2S 2OE Last+Hilfsschuetz</t>
        </is>
      </c>
      <c r="I6859">
        <v>156</v>
      </c>
      <c r="J6859">
        <f>GS14/30.6</f>
        <v>0</v>
      </c>
      <c r="M6859" t="inlineStr">
        <is>
          <t>-30K2</t>
        </is>
      </c>
    </row>
    <row r="6860">
      <c r="A6860">
        <v>6859</v>
      </c>
      <c r="B6860">
        <f>GS15</f>
        <v>0</v>
      </c>
      <c r="C6860" t="inlineStr">
        <is>
          <t>+ES1</t>
        </is>
      </c>
      <c r="D6860" t="inlineStr">
        <is>
          <t>-30K2</t>
        </is>
      </c>
      <c r="E6860" t="inlineStr">
        <is>
          <t>22_DIL-E</t>
        </is>
      </c>
      <c r="F6860" t="inlineStr">
        <is>
          <t>22_DIL-E</t>
        </is>
      </c>
      <c r="G6860" t="inlineStr">
        <is>
          <t>HILFSKONTAKTBLOCK</t>
        </is>
      </c>
      <c r="H6860" t="inlineStr">
        <is>
          <t>2S 2OE Last+Hilfsschuetz</t>
        </is>
      </c>
      <c r="I6860">
        <v>516</v>
      </c>
      <c r="J6860">
        <f>GS15/30.6</f>
        <v>0</v>
      </c>
      <c r="M6860" t="inlineStr">
        <is>
          <t>-30K2</t>
        </is>
      </c>
    </row>
    <row r="6861">
      <c r="A6861">
        <v>6860</v>
      </c>
      <c r="B6861">
        <f>GS15</f>
        <v>0</v>
      </c>
      <c r="C6861" t="inlineStr">
        <is>
          <t>+ES1</t>
        </is>
      </c>
      <c r="D6861" t="inlineStr">
        <is>
          <t>-30K2</t>
        </is>
      </c>
      <c r="E6861" t="inlineStr">
        <is>
          <t>DIL_ER-40-G</t>
        </is>
      </c>
      <c r="F6861" t="inlineStr">
        <is>
          <t>22_DIL-E</t>
        </is>
      </c>
      <c r="G6861" t="inlineStr">
        <is>
          <t>HILFSSCHUETZ</t>
        </is>
      </c>
      <c r="H6861" t="inlineStr">
        <is>
          <t>4S</t>
        </is>
      </c>
      <c r="I6861">
        <v>516</v>
      </c>
      <c r="J6861">
        <f>GS15/30.6</f>
        <v>0</v>
      </c>
      <c r="M6861" t="inlineStr">
        <is>
          <t>-30K2</t>
        </is>
      </c>
    </row>
    <row r="6862">
      <c r="A6862">
        <v>6861</v>
      </c>
      <c r="B6862">
        <f>GS21</f>
        <v>0</v>
      </c>
      <c r="C6862" t="inlineStr">
        <is>
          <t>+ES1</t>
        </is>
      </c>
      <c r="D6862" t="inlineStr">
        <is>
          <t>-30K2</t>
        </is>
      </c>
      <c r="E6862" t="inlineStr">
        <is>
          <t>DIL_ER-40-G</t>
        </is>
      </c>
      <c r="F6862" t="inlineStr">
        <is>
          <t>22_DIL-E</t>
        </is>
      </c>
      <c r="G6862" t="inlineStr">
        <is>
          <t>HILFSSCHUETZ</t>
        </is>
      </c>
      <c r="H6862" t="inlineStr">
        <is>
          <t>4S</t>
        </is>
      </c>
      <c r="I6862">
        <v>133</v>
      </c>
      <c r="J6862">
        <f>GS21/30.6</f>
        <v>0</v>
      </c>
      <c r="M6862" t="inlineStr">
        <is>
          <t>-30K2</t>
        </is>
      </c>
    </row>
    <row r="6863">
      <c r="A6863">
        <v>6862</v>
      </c>
      <c r="B6863">
        <f>GS21</f>
        <v>0</v>
      </c>
      <c r="C6863" t="inlineStr">
        <is>
          <t>+ES1</t>
        </is>
      </c>
      <c r="D6863" t="inlineStr">
        <is>
          <t>-30K2</t>
        </is>
      </c>
      <c r="E6863" t="inlineStr">
        <is>
          <t>22_DIL-E</t>
        </is>
      </c>
      <c r="F6863" t="inlineStr">
        <is>
          <t>22_DIL-E</t>
        </is>
      </c>
      <c r="G6863" t="inlineStr">
        <is>
          <t>HILFSKONTAKTBLOCK</t>
        </is>
      </c>
      <c r="H6863" t="inlineStr">
        <is>
          <t>2S 2OE Last+Hilfsschuetz</t>
        </is>
      </c>
      <c r="I6863">
        <v>133</v>
      </c>
      <c r="J6863">
        <f>GS21/30.6</f>
        <v>0</v>
      </c>
      <c r="M6863" t="inlineStr">
        <is>
          <t>-30K2</t>
        </is>
      </c>
    </row>
    <row r="6864">
      <c r="A6864">
        <v>6863</v>
      </c>
      <c r="B6864">
        <f>GS23</f>
        <v>0</v>
      </c>
      <c r="C6864" t="inlineStr">
        <is>
          <t>+ES1</t>
        </is>
      </c>
      <c r="D6864" t="inlineStr">
        <is>
          <t>-30K2</t>
        </is>
      </c>
      <c r="E6864" t="inlineStr">
        <is>
          <t>22_DIL-E</t>
        </is>
      </c>
      <c r="F6864" t="inlineStr">
        <is>
          <t>22_DIL-E</t>
        </is>
      </c>
      <c r="G6864" t="inlineStr">
        <is>
          <t>HILFSKONTAKTBLOCK</t>
        </is>
      </c>
      <c r="H6864" t="inlineStr">
        <is>
          <t>2S 2OE Last+Hilfsschuetz</t>
        </is>
      </c>
      <c r="I6864">
        <v>322</v>
      </c>
      <c r="J6864">
        <f>GS23/30.6</f>
        <v>0</v>
      </c>
      <c r="M6864" t="inlineStr">
        <is>
          <t>-30K2</t>
        </is>
      </c>
    </row>
    <row r="6865">
      <c r="A6865">
        <v>6864</v>
      </c>
      <c r="B6865">
        <f>GS23</f>
        <v>0</v>
      </c>
      <c r="C6865" t="inlineStr">
        <is>
          <t>+ES1</t>
        </is>
      </c>
      <c r="D6865" t="inlineStr">
        <is>
          <t>-30K2</t>
        </is>
      </c>
      <c r="E6865" t="inlineStr">
        <is>
          <t>DIL_ER-40-G</t>
        </is>
      </c>
      <c r="F6865" t="inlineStr">
        <is>
          <t>22_DIL-E</t>
        </is>
      </c>
      <c r="G6865" t="inlineStr">
        <is>
          <t>HILFSSCHUETZ</t>
        </is>
      </c>
      <c r="H6865" t="inlineStr">
        <is>
          <t>4S</t>
        </is>
      </c>
      <c r="I6865">
        <v>322</v>
      </c>
      <c r="J6865">
        <f>GS23/30.6</f>
        <v>0</v>
      </c>
      <c r="M6865" t="inlineStr">
        <is>
          <t>-30K2</t>
        </is>
      </c>
    </row>
    <row r="6866">
      <c r="A6866">
        <v>6865</v>
      </c>
      <c r="B6866">
        <f>GS24</f>
        <v>0</v>
      </c>
      <c r="C6866" t="inlineStr">
        <is>
          <t>+ES1</t>
        </is>
      </c>
      <c r="D6866" t="inlineStr">
        <is>
          <t>-30K2</t>
        </is>
      </c>
      <c r="E6866" t="inlineStr">
        <is>
          <t>DIL_ER-40-G</t>
        </is>
      </c>
      <c r="F6866" t="inlineStr">
        <is>
          <t>22_DIL-E</t>
        </is>
      </c>
      <c r="G6866" t="inlineStr">
        <is>
          <t>HILFSSCHUETZ</t>
        </is>
      </c>
      <c r="H6866" t="inlineStr">
        <is>
          <t>4S</t>
        </is>
      </c>
      <c r="I6866">
        <v>1049</v>
      </c>
      <c r="J6866">
        <f>GS24/30.6</f>
        <v>0</v>
      </c>
      <c r="M6866" t="inlineStr">
        <is>
          <t>-30K2</t>
        </is>
      </c>
    </row>
    <row r="6867">
      <c r="A6867">
        <v>6866</v>
      </c>
      <c r="B6867">
        <f>GS24</f>
        <v>0</v>
      </c>
      <c r="C6867" t="inlineStr">
        <is>
          <t>+ES1</t>
        </is>
      </c>
      <c r="D6867" t="inlineStr">
        <is>
          <t>-30K2</t>
        </is>
      </c>
      <c r="E6867" t="inlineStr">
        <is>
          <t>22_DIL-E</t>
        </is>
      </c>
      <c r="F6867" t="inlineStr">
        <is>
          <t>22_DIL-E</t>
        </is>
      </c>
      <c r="G6867" t="inlineStr">
        <is>
          <t>HILFSKONTAKTBLOCK</t>
        </is>
      </c>
      <c r="H6867" t="inlineStr">
        <is>
          <t>2S 2OE Last+Hilfsschuetz</t>
        </is>
      </c>
      <c r="I6867">
        <v>1049</v>
      </c>
      <c r="J6867">
        <f>GS24/30.6</f>
        <v>0</v>
      </c>
      <c r="M6867" t="inlineStr">
        <is>
          <t>-30K2</t>
        </is>
      </c>
    </row>
    <row r="6868">
      <c r="A6868">
        <v>6867</v>
      </c>
      <c r="B6868">
        <f>GS25</f>
        <v>0</v>
      </c>
      <c r="C6868" t="inlineStr">
        <is>
          <t>+ES1</t>
        </is>
      </c>
      <c r="D6868" t="inlineStr">
        <is>
          <t>-30K2</t>
        </is>
      </c>
      <c r="E6868" t="inlineStr">
        <is>
          <t>22_DIL-E</t>
        </is>
      </c>
      <c r="F6868" t="inlineStr">
        <is>
          <t>22_DIL-E</t>
        </is>
      </c>
      <c r="G6868" t="inlineStr">
        <is>
          <t>HILFSKONTAKTBLOCK</t>
        </is>
      </c>
      <c r="H6868" t="inlineStr">
        <is>
          <t>2S 2OE Last+Hilfsschuetz</t>
        </is>
      </c>
      <c r="I6868">
        <v>159</v>
      </c>
      <c r="J6868">
        <f>GS25/30.6</f>
        <v>0</v>
      </c>
      <c r="M6868" t="inlineStr">
        <is>
          <t>-30K2</t>
        </is>
      </c>
    </row>
    <row r="6869">
      <c r="A6869">
        <v>6868</v>
      </c>
      <c r="B6869">
        <f>GS25</f>
        <v>0</v>
      </c>
      <c r="C6869" t="inlineStr">
        <is>
          <t>+ES1</t>
        </is>
      </c>
      <c r="D6869" t="inlineStr">
        <is>
          <t>-30K2</t>
        </is>
      </c>
      <c r="E6869" t="inlineStr">
        <is>
          <t>DIL_ER-40-G</t>
        </is>
      </c>
      <c r="F6869" t="inlineStr">
        <is>
          <t>22_DIL-E</t>
        </is>
      </c>
      <c r="G6869" t="inlineStr">
        <is>
          <t>HILFSSCHUETZ</t>
        </is>
      </c>
      <c r="H6869" t="inlineStr">
        <is>
          <t>4S</t>
        </is>
      </c>
      <c r="I6869">
        <v>159</v>
      </c>
      <c r="J6869">
        <f>GS25/30.6</f>
        <v>0</v>
      </c>
      <c r="M6869" t="inlineStr">
        <is>
          <t>-30K2</t>
        </is>
      </c>
    </row>
    <row r="6870">
      <c r="A6870">
        <v>6869</v>
      </c>
      <c r="B6870">
        <f>GS31</f>
        <v>0</v>
      </c>
      <c r="C6870" t="inlineStr">
        <is>
          <t>+ES1</t>
        </is>
      </c>
      <c r="D6870" t="inlineStr">
        <is>
          <t>-30K2</t>
        </is>
      </c>
      <c r="E6870" t="inlineStr">
        <is>
          <t>22_DIL-E</t>
        </is>
      </c>
      <c r="F6870" t="inlineStr">
        <is>
          <t>22_DIL-E</t>
        </is>
      </c>
      <c r="G6870" t="inlineStr">
        <is>
          <t>HILFSKONTAKTBLOCK</t>
        </is>
      </c>
      <c r="H6870" t="inlineStr">
        <is>
          <t>2S 2OE Last+Hilfsschuetz</t>
        </is>
      </c>
      <c r="I6870">
        <v>313</v>
      </c>
      <c r="J6870">
        <f>GS31/30.6</f>
        <v>0</v>
      </c>
      <c r="M6870" t="inlineStr">
        <is>
          <t>-30K2</t>
        </is>
      </c>
    </row>
    <row r="6871">
      <c r="A6871">
        <v>6870</v>
      </c>
      <c r="B6871">
        <f>GS31</f>
        <v>0</v>
      </c>
      <c r="C6871" t="inlineStr">
        <is>
          <t>+ES1</t>
        </is>
      </c>
      <c r="D6871" t="inlineStr">
        <is>
          <t>-30K2</t>
        </is>
      </c>
      <c r="E6871" t="inlineStr">
        <is>
          <t>DIL_ER-40-G</t>
        </is>
      </c>
      <c r="F6871" t="inlineStr">
        <is>
          <t>22_DIL-E</t>
        </is>
      </c>
      <c r="G6871" t="inlineStr">
        <is>
          <t>HILFSSCHUETZ</t>
        </is>
      </c>
      <c r="H6871" t="inlineStr">
        <is>
          <t>4S</t>
        </is>
      </c>
      <c r="I6871">
        <v>313</v>
      </c>
      <c r="J6871">
        <f>GS31/30.6</f>
        <v>0</v>
      </c>
      <c r="M6871" t="inlineStr">
        <is>
          <t>-30K2</t>
        </is>
      </c>
    </row>
    <row r="6872">
      <c r="A6872">
        <v>6871</v>
      </c>
      <c r="B6872">
        <f>GS33</f>
        <v>0</v>
      </c>
      <c r="C6872" t="inlineStr">
        <is>
          <t>+ES1</t>
        </is>
      </c>
      <c r="D6872" t="inlineStr">
        <is>
          <t>-30K2</t>
        </is>
      </c>
      <c r="E6872" t="inlineStr">
        <is>
          <t>DIL_ER-40-G</t>
        </is>
      </c>
      <c r="F6872" t="inlineStr">
        <is>
          <t>22_DIL-E</t>
        </is>
      </c>
      <c r="G6872" t="inlineStr">
        <is>
          <t>HILFSSCHUETZ</t>
        </is>
      </c>
      <c r="H6872" t="inlineStr">
        <is>
          <t>4S</t>
        </is>
      </c>
      <c r="I6872">
        <v>469</v>
      </c>
      <c r="J6872">
        <f>GS33/30.6</f>
        <v>0</v>
      </c>
      <c r="M6872" t="inlineStr">
        <is>
          <t>-30K2</t>
        </is>
      </c>
    </row>
    <row r="6873">
      <c r="A6873">
        <v>6872</v>
      </c>
      <c r="B6873">
        <f>GS33</f>
        <v>0</v>
      </c>
      <c r="C6873" t="inlineStr">
        <is>
          <t>+ES1</t>
        </is>
      </c>
      <c r="D6873" t="inlineStr">
        <is>
          <t>-30K2</t>
        </is>
      </c>
      <c r="E6873" t="inlineStr">
        <is>
          <t>22_DIL-E</t>
        </is>
      </c>
      <c r="F6873" t="inlineStr">
        <is>
          <t>22_DIL-E</t>
        </is>
      </c>
      <c r="G6873" t="inlineStr">
        <is>
          <t>HILFSKONTAKTBLOCK</t>
        </is>
      </c>
      <c r="H6873" t="inlineStr">
        <is>
          <t>2S 2OE Last+Hilfsschuetz</t>
        </is>
      </c>
      <c r="I6873">
        <v>469</v>
      </c>
      <c r="J6873">
        <f>GS33/30.6</f>
        <v>0</v>
      </c>
      <c r="M6873" t="inlineStr">
        <is>
          <t>-30K2</t>
        </is>
      </c>
    </row>
    <row r="6874">
      <c r="A6874">
        <v>6873</v>
      </c>
      <c r="B6874">
        <f>GS34</f>
        <v>0</v>
      </c>
      <c r="C6874" t="inlineStr">
        <is>
          <t>+ES1</t>
        </is>
      </c>
      <c r="D6874" t="inlineStr">
        <is>
          <t>-30K2</t>
        </is>
      </c>
      <c r="E6874" t="inlineStr">
        <is>
          <t>22_DIL-E</t>
        </is>
      </c>
      <c r="F6874" t="inlineStr">
        <is>
          <t>22_DIL-E</t>
        </is>
      </c>
      <c r="G6874" t="inlineStr">
        <is>
          <t>HILFSKONTAKTBLOCK</t>
        </is>
      </c>
      <c r="H6874" t="inlineStr">
        <is>
          <t>2S 2OE Last+Hilfsschuetz</t>
        </is>
      </c>
      <c r="I6874">
        <v>154</v>
      </c>
      <c r="J6874">
        <f>GS34/30.6</f>
        <v>0</v>
      </c>
      <c r="M6874" t="inlineStr">
        <is>
          <t>-30K2</t>
        </is>
      </c>
    </row>
    <row r="6875">
      <c r="A6875">
        <v>6874</v>
      </c>
      <c r="B6875">
        <f>GS34</f>
        <v>0</v>
      </c>
      <c r="C6875" t="inlineStr">
        <is>
          <t>+ES1</t>
        </is>
      </c>
      <c r="D6875" t="inlineStr">
        <is>
          <t>-30K2</t>
        </is>
      </c>
      <c r="E6875" t="inlineStr">
        <is>
          <t>DIL_ER-40-G</t>
        </is>
      </c>
      <c r="F6875" t="inlineStr">
        <is>
          <t>22_DIL-E</t>
        </is>
      </c>
      <c r="G6875" t="inlineStr">
        <is>
          <t>HILFSSCHUETZ</t>
        </is>
      </c>
      <c r="H6875" t="inlineStr">
        <is>
          <t>4S</t>
        </is>
      </c>
      <c r="I6875">
        <v>154</v>
      </c>
      <c r="J6875">
        <f>GS34/30.6</f>
        <v>0</v>
      </c>
      <c r="M6875" t="inlineStr">
        <is>
          <t>-30K2</t>
        </is>
      </c>
    </row>
    <row r="6876">
      <c r="A6876">
        <v>6875</v>
      </c>
      <c r="B6876">
        <f>GS23</f>
        <v>0</v>
      </c>
      <c r="C6876" t="inlineStr">
        <is>
          <t>+ES1</t>
        </is>
      </c>
      <c r="D6876" t="inlineStr">
        <is>
          <t>-30K3</t>
        </is>
      </c>
      <c r="E6876" t="inlineStr">
        <is>
          <t>22_DIL-E</t>
        </is>
      </c>
      <c r="F6876" t="inlineStr">
        <is>
          <t>22_DIL-E</t>
        </is>
      </c>
      <c r="G6876" t="inlineStr">
        <is>
          <t>HILFSKONTAKTBLOCK</t>
        </is>
      </c>
      <c r="H6876" t="inlineStr">
        <is>
          <t>2S 2OE Last+Hilfsschuetz</t>
        </is>
      </c>
      <c r="I6876">
        <v>322</v>
      </c>
      <c r="J6876">
        <f>GS23/30.7</f>
        <v>0</v>
      </c>
      <c r="M6876" t="inlineStr">
        <is>
          <t>-30K3</t>
        </is>
      </c>
    </row>
    <row r="6877">
      <c r="A6877">
        <v>6876</v>
      </c>
      <c r="B6877">
        <f>GS23</f>
        <v>0</v>
      </c>
      <c r="C6877" t="inlineStr">
        <is>
          <t>+ES1</t>
        </is>
      </c>
      <c r="D6877" t="inlineStr">
        <is>
          <t>-30K3</t>
        </is>
      </c>
      <c r="E6877" t="inlineStr">
        <is>
          <t>DIL_ER-40-G</t>
        </is>
      </c>
      <c r="F6877" t="inlineStr">
        <is>
          <t>22_DIL-E</t>
        </is>
      </c>
      <c r="G6877" t="inlineStr">
        <is>
          <t>HILFSSCHUETZ</t>
        </is>
      </c>
      <c r="H6877" t="inlineStr">
        <is>
          <t>4S</t>
        </is>
      </c>
      <c r="I6877">
        <v>322</v>
      </c>
      <c r="J6877">
        <f>GS23/30.7</f>
        <v>0</v>
      </c>
      <c r="M6877" t="inlineStr">
        <is>
          <t>-30K3</t>
        </is>
      </c>
    </row>
    <row r="6878">
      <c r="A6878">
        <v>6877</v>
      </c>
      <c r="B6878">
        <f>GS33</f>
        <v>0</v>
      </c>
      <c r="C6878" t="inlineStr">
        <is>
          <t>+ES1</t>
        </is>
      </c>
      <c r="D6878" t="inlineStr">
        <is>
          <t>-30K3</t>
        </is>
      </c>
      <c r="E6878" t="inlineStr">
        <is>
          <t>22_DIL-E</t>
        </is>
      </c>
      <c r="F6878" t="inlineStr">
        <is>
          <t>22_DIL-E</t>
        </is>
      </c>
      <c r="G6878" t="inlineStr">
        <is>
          <t>HILFSKONTAKTBLOCK</t>
        </is>
      </c>
      <c r="H6878" t="inlineStr">
        <is>
          <t>2S 2OE Last+Hilfsschuetz</t>
        </is>
      </c>
      <c r="I6878">
        <v>469</v>
      </c>
      <c r="J6878">
        <f>GS33/30.7</f>
        <v>0</v>
      </c>
      <c r="M6878" t="inlineStr">
        <is>
          <t>-30K3</t>
        </is>
      </c>
    </row>
    <row r="6879">
      <c r="A6879">
        <v>6878</v>
      </c>
      <c r="B6879">
        <f>GS33</f>
        <v>0</v>
      </c>
      <c r="C6879" t="inlineStr">
        <is>
          <t>+ES1</t>
        </is>
      </c>
      <c r="D6879" t="inlineStr">
        <is>
          <t>-30K3</t>
        </is>
      </c>
      <c r="E6879" t="inlineStr">
        <is>
          <t>DIL_ER-40-G</t>
        </is>
      </c>
      <c r="F6879" t="inlineStr">
        <is>
          <t>22_DIL-E</t>
        </is>
      </c>
      <c r="G6879" t="inlineStr">
        <is>
          <t>HILFSSCHUETZ</t>
        </is>
      </c>
      <c r="H6879" t="inlineStr">
        <is>
          <t>4S</t>
        </is>
      </c>
      <c r="I6879">
        <v>469</v>
      </c>
      <c r="J6879">
        <f>GS33/30.7</f>
        <v>0</v>
      </c>
      <c r="M6879" t="inlineStr">
        <is>
          <t>-30K3</t>
        </is>
      </c>
    </row>
    <row r="6880">
      <c r="A6880">
        <v>6879</v>
      </c>
      <c r="B6880">
        <f>GS34</f>
        <v>0</v>
      </c>
      <c r="C6880" t="inlineStr">
        <is>
          <t>+ES1</t>
        </is>
      </c>
      <c r="D6880" t="inlineStr">
        <is>
          <t>-30K3</t>
        </is>
      </c>
      <c r="E6880" t="inlineStr">
        <is>
          <t>22_DIL-E</t>
        </is>
      </c>
      <c r="F6880" t="inlineStr">
        <is>
          <t>22_DIL-E</t>
        </is>
      </c>
      <c r="G6880" t="inlineStr">
        <is>
          <t>HILFSKONTAKTBLOCK</t>
        </is>
      </c>
      <c r="H6880" t="inlineStr">
        <is>
          <t>2S 2OE Last+Hilfsschuetz</t>
        </is>
      </c>
      <c r="I6880">
        <v>154</v>
      </c>
      <c r="J6880">
        <f>GS34/30.7</f>
        <v>0</v>
      </c>
      <c r="M6880" t="inlineStr">
        <is>
          <t>-30K3</t>
        </is>
      </c>
    </row>
    <row r="6881">
      <c r="A6881">
        <v>6880</v>
      </c>
      <c r="B6881">
        <f>GS34</f>
        <v>0</v>
      </c>
      <c r="C6881" t="inlineStr">
        <is>
          <t>+ES1</t>
        </is>
      </c>
      <c r="D6881" t="inlineStr">
        <is>
          <t>-30K3</t>
        </is>
      </c>
      <c r="E6881" t="inlineStr">
        <is>
          <t>DIL_ER-40-G</t>
        </is>
      </c>
      <c r="F6881" t="inlineStr">
        <is>
          <t>22_DIL-E</t>
        </is>
      </c>
      <c r="G6881" t="inlineStr">
        <is>
          <t>HILFSSCHUETZ</t>
        </is>
      </c>
      <c r="H6881" t="inlineStr">
        <is>
          <t>4S</t>
        </is>
      </c>
      <c r="I6881">
        <v>154</v>
      </c>
      <c r="J6881">
        <f>GS34/30.7</f>
        <v>0</v>
      </c>
      <c r="M6881" t="inlineStr">
        <is>
          <t>-30K3</t>
        </is>
      </c>
    </row>
    <row r="6882">
      <c r="A6882">
        <v>6881</v>
      </c>
      <c r="B6882">
        <f>GS23</f>
        <v>0</v>
      </c>
      <c r="C6882" t="inlineStr">
        <is>
          <t>+ES1</t>
        </is>
      </c>
      <c r="D6882" t="inlineStr">
        <is>
          <t>-30K4</t>
        </is>
      </c>
      <c r="E6882" t="inlineStr">
        <is>
          <t>22_DIL-E</t>
        </is>
      </c>
      <c r="F6882" t="inlineStr">
        <is>
          <t>22_DIL-E</t>
        </is>
      </c>
      <c r="G6882" t="inlineStr">
        <is>
          <t>HILFSKONTAKTBLOCK</t>
        </is>
      </c>
      <c r="H6882" t="inlineStr">
        <is>
          <t>2S 2OE Last+Hilfsschuetz</t>
        </is>
      </c>
      <c r="I6882">
        <v>322</v>
      </c>
      <c r="J6882">
        <f>GS23/30.8</f>
        <v>0</v>
      </c>
      <c r="M6882" t="inlineStr">
        <is>
          <t>-30K4</t>
        </is>
      </c>
    </row>
    <row r="6883">
      <c r="A6883">
        <v>6882</v>
      </c>
      <c r="B6883">
        <f>GS23</f>
        <v>0</v>
      </c>
      <c r="C6883" t="inlineStr">
        <is>
          <t>+ES1</t>
        </is>
      </c>
      <c r="D6883" t="inlineStr">
        <is>
          <t>-30K4</t>
        </is>
      </c>
      <c r="E6883" t="inlineStr">
        <is>
          <t>DIL_ER-40-G</t>
        </is>
      </c>
      <c r="F6883" t="inlineStr">
        <is>
          <t>22_DIL-E</t>
        </is>
      </c>
      <c r="G6883" t="inlineStr">
        <is>
          <t>HILFSSCHUETZ</t>
        </is>
      </c>
      <c r="H6883" t="inlineStr">
        <is>
          <t>4S</t>
        </is>
      </c>
      <c r="I6883">
        <v>322</v>
      </c>
      <c r="J6883">
        <f>GS23/30.8</f>
        <v>0</v>
      </c>
      <c r="M6883" t="inlineStr">
        <is>
          <t>-30K4</t>
        </is>
      </c>
    </row>
    <row r="6884">
      <c r="A6884">
        <v>6883</v>
      </c>
      <c r="B6884">
        <f>GS33</f>
        <v>0</v>
      </c>
      <c r="C6884" t="inlineStr">
        <is>
          <t>+ES1</t>
        </is>
      </c>
      <c r="D6884" t="inlineStr">
        <is>
          <t>-30K4</t>
        </is>
      </c>
      <c r="E6884" t="inlineStr">
        <is>
          <t>22_DIL-E</t>
        </is>
      </c>
      <c r="F6884" t="inlineStr">
        <is>
          <t>22_DIL-E</t>
        </is>
      </c>
      <c r="G6884" t="inlineStr">
        <is>
          <t>HILFSKONTAKTBLOCK</t>
        </is>
      </c>
      <c r="H6884" t="inlineStr">
        <is>
          <t>2S 2OE Last+Hilfsschuetz</t>
        </is>
      </c>
      <c r="I6884">
        <v>469</v>
      </c>
      <c r="J6884">
        <f>GS33/30.8</f>
        <v>0</v>
      </c>
      <c r="M6884" t="inlineStr">
        <is>
          <t>-30K4</t>
        </is>
      </c>
    </row>
    <row r="6885">
      <c r="A6885">
        <v>6884</v>
      </c>
      <c r="B6885">
        <f>GS33</f>
        <v>0</v>
      </c>
      <c r="C6885" t="inlineStr">
        <is>
          <t>+ES1</t>
        </is>
      </c>
      <c r="D6885" t="inlineStr">
        <is>
          <t>-30K4</t>
        </is>
      </c>
      <c r="E6885" t="inlineStr">
        <is>
          <t>DIL_ER-40-G</t>
        </is>
      </c>
      <c r="F6885" t="inlineStr">
        <is>
          <t>22_DIL-E</t>
        </is>
      </c>
      <c r="G6885" t="inlineStr">
        <is>
          <t>HILFSSCHUETZ</t>
        </is>
      </c>
      <c r="H6885" t="inlineStr">
        <is>
          <t>4S</t>
        </is>
      </c>
      <c r="I6885">
        <v>469</v>
      </c>
      <c r="J6885">
        <f>GS33/30.8</f>
        <v>0</v>
      </c>
      <c r="M6885" t="inlineStr">
        <is>
          <t>-30K4</t>
        </is>
      </c>
    </row>
    <row r="6886">
      <c r="A6886">
        <v>6885</v>
      </c>
      <c r="B6886">
        <f>GS34</f>
        <v>0</v>
      </c>
      <c r="C6886" t="inlineStr">
        <is>
          <t>+ES1</t>
        </is>
      </c>
      <c r="D6886" t="inlineStr">
        <is>
          <t>-30K4</t>
        </is>
      </c>
      <c r="E6886" t="inlineStr">
        <is>
          <t>22_DIL-E</t>
        </is>
      </c>
      <c r="F6886" t="inlineStr">
        <is>
          <t>22_DIL-E</t>
        </is>
      </c>
      <c r="G6886" t="inlineStr">
        <is>
          <t>HILFSKONTAKTBLOCK</t>
        </is>
      </c>
      <c r="H6886" t="inlineStr">
        <is>
          <t>2S 2OE Last+Hilfsschuetz</t>
        </is>
      </c>
      <c r="I6886">
        <v>154</v>
      </c>
      <c r="J6886">
        <f>GS34/30.8</f>
        <v>0</v>
      </c>
      <c r="M6886" t="inlineStr">
        <is>
          <t>-30K4</t>
        </is>
      </c>
    </row>
    <row r="6887">
      <c r="A6887">
        <v>6886</v>
      </c>
      <c r="B6887">
        <f>GS34</f>
        <v>0</v>
      </c>
      <c r="C6887" t="inlineStr">
        <is>
          <t>+ES1</t>
        </is>
      </c>
      <c r="D6887" t="inlineStr">
        <is>
          <t>-30K4</t>
        </is>
      </c>
      <c r="E6887" t="inlineStr">
        <is>
          <t>DIL_ER-40-G</t>
        </is>
      </c>
      <c r="F6887" t="inlineStr">
        <is>
          <t>22_DIL-E</t>
        </is>
      </c>
      <c r="G6887" t="inlineStr">
        <is>
          <t>HILFSSCHUETZ</t>
        </is>
      </c>
      <c r="H6887" t="inlineStr">
        <is>
          <t>4S</t>
        </is>
      </c>
      <c r="I6887">
        <v>154</v>
      </c>
      <c r="J6887">
        <f>GS34/30.8</f>
        <v>0</v>
      </c>
      <c r="M6887" t="inlineStr">
        <is>
          <t>-30K4</t>
        </is>
      </c>
    </row>
    <row r="6888">
      <c r="A6888">
        <v>6887</v>
      </c>
      <c r="B6888">
        <f>GS20</f>
        <v>0</v>
      </c>
      <c r="C6888" t="inlineStr">
        <is>
          <t>+ES02</t>
        </is>
      </c>
      <c r="D6888" t="inlineStr">
        <is>
          <t>-31.1K1</t>
        </is>
      </c>
      <c r="E6888" t="inlineStr">
        <is>
          <t>DILA-XHI22</t>
        </is>
      </c>
      <c r="F6888" t="inlineStr">
        <is>
          <t>DILA-XHI22</t>
        </is>
      </c>
      <c r="G6888" t="inlineStr">
        <is>
          <t>HILFSKONTAKTBLOCK</t>
        </is>
      </c>
      <c r="H6888" t="inlineStr">
        <is>
          <t>2S 2OE Last+Hilfssch. Cage</t>
        </is>
      </c>
      <c r="I6888">
        <v>1553</v>
      </c>
      <c r="J6888">
        <f>GS20/31.1.3</f>
        <v>0</v>
      </c>
      <c r="M6888" t="inlineStr">
        <is>
          <t>-31.1K1</t>
        </is>
      </c>
    </row>
    <row r="6889">
      <c r="A6889">
        <v>6888</v>
      </c>
      <c r="B6889">
        <f>GS20</f>
        <v>0</v>
      </c>
      <c r="C6889" t="inlineStr">
        <is>
          <t>+ES02</t>
        </is>
      </c>
      <c r="D6889" t="inlineStr">
        <is>
          <t>-31.1K1</t>
        </is>
      </c>
      <c r="E6889" t="inlineStr">
        <is>
          <t>DILA-40</t>
        </is>
      </c>
      <c r="F6889" t="inlineStr">
        <is>
          <t>DILA-XHI22</t>
        </is>
      </c>
      <c r="G6889" t="inlineStr">
        <is>
          <t>HILFSSCHUETZ</t>
        </is>
      </c>
      <c r="H6889" t="inlineStr">
        <is>
          <t>4S Federzugkl.</t>
        </is>
      </c>
      <c r="I6889">
        <v>1553</v>
      </c>
      <c r="J6889">
        <f>GS20/31.1.3</f>
        <v>0</v>
      </c>
      <c r="M6889" t="inlineStr">
        <is>
          <t>-31.1K1</t>
        </is>
      </c>
    </row>
    <row r="6890">
      <c r="A6890">
        <v>6889</v>
      </c>
      <c r="B6890">
        <f>GS30</f>
        <v>0</v>
      </c>
      <c r="C6890" t="inlineStr">
        <is>
          <t>+ES02</t>
        </is>
      </c>
      <c r="D6890" t="inlineStr">
        <is>
          <t>-31.1K1</t>
        </is>
      </c>
      <c r="E6890" t="inlineStr">
        <is>
          <t>DILA-XHI22</t>
        </is>
      </c>
      <c r="F6890" t="inlineStr">
        <is>
          <t>DILA-XHI22</t>
        </is>
      </c>
      <c r="G6890" t="inlineStr">
        <is>
          <t>HILFSKONTAKTBLOCK</t>
        </is>
      </c>
      <c r="H6890" t="inlineStr">
        <is>
          <t>2S 2OE Last+Hilfssch. Cage</t>
        </is>
      </c>
      <c r="I6890">
        <v>1553</v>
      </c>
      <c r="J6890">
        <f>GS30/31.1.3</f>
        <v>0</v>
      </c>
      <c r="M6890" t="inlineStr">
        <is>
          <t>-31.1K1</t>
        </is>
      </c>
    </row>
    <row r="6891">
      <c r="A6891">
        <v>6890</v>
      </c>
      <c r="B6891">
        <f>GS30</f>
        <v>0</v>
      </c>
      <c r="C6891" t="inlineStr">
        <is>
          <t>+ES02</t>
        </is>
      </c>
      <c r="D6891" t="inlineStr">
        <is>
          <t>-31.1K1</t>
        </is>
      </c>
      <c r="E6891" t="inlineStr">
        <is>
          <t>DILA-40</t>
        </is>
      </c>
      <c r="F6891" t="inlineStr">
        <is>
          <t>DILA-XHI22</t>
        </is>
      </c>
      <c r="G6891" t="inlineStr">
        <is>
          <t>HILFSSCHUETZ</t>
        </is>
      </c>
      <c r="H6891" t="inlineStr">
        <is>
          <t>4S Federzugkl.</t>
        </is>
      </c>
      <c r="I6891">
        <v>1553</v>
      </c>
      <c r="J6891">
        <f>GS30/31.1.3</f>
        <v>0</v>
      </c>
      <c r="M6891" t="inlineStr">
        <is>
          <t>-31.1K1</t>
        </is>
      </c>
    </row>
    <row r="6892">
      <c r="A6892">
        <v>6891</v>
      </c>
      <c r="B6892">
        <f>GS51</f>
        <v>0</v>
      </c>
      <c r="C6892" t="inlineStr">
        <is>
          <t>+ES02</t>
        </is>
      </c>
      <c r="D6892" t="inlineStr">
        <is>
          <t>-31.1K1</t>
        </is>
      </c>
      <c r="E6892" t="inlineStr">
        <is>
          <t>DILA-XHIC31</t>
        </is>
      </c>
      <c r="F6892" t="inlineStr">
        <is>
          <t>DILA-XHIC31</t>
        </is>
      </c>
      <c r="G6892" t="inlineStr">
        <is>
          <t>HILFSKONTAKTBLOCK</t>
        </is>
      </c>
      <c r="H6892" t="inlineStr">
        <is>
          <t>3S 1OE Last+Hilfssch. Cage</t>
        </is>
      </c>
      <c r="I6892">
        <v>248</v>
      </c>
      <c r="J6892">
        <f>GS51/31.1.4</f>
        <v>0</v>
      </c>
      <c r="M6892" t="inlineStr">
        <is>
          <t>-31.1K1</t>
        </is>
      </c>
    </row>
    <row r="6893">
      <c r="A6893">
        <v>6892</v>
      </c>
      <c r="B6893">
        <f>GS51</f>
        <v>0</v>
      </c>
      <c r="C6893" t="inlineStr">
        <is>
          <t>+ES02</t>
        </is>
      </c>
      <c r="D6893" t="inlineStr">
        <is>
          <t>-31.1K1</t>
        </is>
      </c>
      <c r="E6893" t="inlineStr">
        <is>
          <t>DILA-40</t>
        </is>
      </c>
      <c r="F6893" t="inlineStr">
        <is>
          <t>DILA-XHIC31</t>
        </is>
      </c>
      <c r="G6893" t="inlineStr">
        <is>
          <t>HILFSSCHUETZ</t>
        </is>
      </c>
      <c r="H6893" t="inlineStr">
        <is>
          <t>4S Federzugkl.</t>
        </is>
      </c>
      <c r="I6893">
        <v>248</v>
      </c>
      <c r="J6893">
        <f>GS51/31.1.4</f>
        <v>0</v>
      </c>
      <c r="M6893" t="inlineStr">
        <is>
          <t>-31.1K1</t>
        </is>
      </c>
    </row>
    <row r="6894">
      <c r="A6894">
        <v>6893</v>
      </c>
      <c r="B6894">
        <f>GS55</f>
        <v>0</v>
      </c>
      <c r="C6894" t="inlineStr">
        <is>
          <t>+ES02</t>
        </is>
      </c>
      <c r="D6894" t="inlineStr">
        <is>
          <t>-31.1K1</t>
        </is>
      </c>
      <c r="E6894" t="inlineStr">
        <is>
          <t>DILA-40</t>
        </is>
      </c>
      <c r="F6894" t="inlineStr">
        <is>
          <t>DILA-XHIC31</t>
        </is>
      </c>
      <c r="G6894" t="inlineStr">
        <is>
          <t>HILFSSCHUETZ</t>
        </is>
      </c>
      <c r="H6894" t="inlineStr">
        <is>
          <t>4S Federzugkl.</t>
        </is>
      </c>
      <c r="I6894">
        <v>270</v>
      </c>
      <c r="J6894">
        <f>GS55/31.1.4</f>
        <v>0</v>
      </c>
      <c r="M6894" t="inlineStr">
        <is>
          <t>-31.1K1</t>
        </is>
      </c>
    </row>
    <row r="6895">
      <c r="A6895">
        <v>6894</v>
      </c>
      <c r="B6895">
        <f>GS55</f>
        <v>0</v>
      </c>
      <c r="C6895" t="inlineStr">
        <is>
          <t>+ES02</t>
        </is>
      </c>
      <c r="D6895" t="inlineStr">
        <is>
          <t>-31.1K1</t>
        </is>
      </c>
      <c r="E6895" t="inlineStr">
        <is>
          <t>DILA-XHIC31</t>
        </is>
      </c>
      <c r="F6895" t="inlineStr">
        <is>
          <t>DILA-XHIC31</t>
        </is>
      </c>
      <c r="G6895" t="inlineStr">
        <is>
          <t>HILFSKONTAKTBLOCK</t>
        </is>
      </c>
      <c r="H6895" t="inlineStr">
        <is>
          <t>3S 1OE Last+Hilfssch. Cage</t>
        </is>
      </c>
      <c r="I6895">
        <v>270</v>
      </c>
      <c r="J6895">
        <f>GS55/31.1.4</f>
        <v>0</v>
      </c>
      <c r="M6895" t="inlineStr">
        <is>
          <t>-31.1K1</t>
        </is>
      </c>
    </row>
    <row r="6896">
      <c r="A6896">
        <v>6895</v>
      </c>
      <c r="B6896">
        <f>GS20</f>
        <v>0</v>
      </c>
      <c r="C6896" t="inlineStr">
        <is>
          <t>+ES02</t>
        </is>
      </c>
      <c r="D6896" t="inlineStr">
        <is>
          <t>-31.1K2</t>
        </is>
      </c>
      <c r="E6896" t="inlineStr">
        <is>
          <t>DILA-XHI22</t>
        </is>
      </c>
      <c r="F6896" t="inlineStr">
        <is>
          <t>DILA-XHI22</t>
        </is>
      </c>
      <c r="G6896" t="inlineStr">
        <is>
          <t>HILFSKONTAKTBLOCK</t>
        </is>
      </c>
      <c r="H6896" t="inlineStr">
        <is>
          <t>2S 2OE Last+Hilfssch. Cage</t>
        </is>
      </c>
      <c r="I6896">
        <v>1553</v>
      </c>
      <c r="J6896">
        <f>GS20/31.1.3</f>
        <v>0</v>
      </c>
      <c r="M6896" t="inlineStr">
        <is>
          <t>-31.1K2</t>
        </is>
      </c>
    </row>
    <row r="6897">
      <c r="A6897">
        <v>6896</v>
      </c>
      <c r="B6897">
        <f>GS20</f>
        <v>0</v>
      </c>
      <c r="C6897" t="inlineStr">
        <is>
          <t>+ES02</t>
        </is>
      </c>
      <c r="D6897" t="inlineStr">
        <is>
          <t>-31.1K2</t>
        </is>
      </c>
      <c r="E6897" t="inlineStr">
        <is>
          <t>DILA-40</t>
        </is>
      </c>
      <c r="F6897" t="inlineStr">
        <is>
          <t>DILA-XHI22</t>
        </is>
      </c>
      <c r="G6897" t="inlineStr">
        <is>
          <t>HILFSSCHUETZ</t>
        </is>
      </c>
      <c r="H6897" t="inlineStr">
        <is>
          <t>4S Federzugkl.</t>
        </is>
      </c>
      <c r="I6897">
        <v>1553</v>
      </c>
      <c r="J6897">
        <f>GS20/31.1.3</f>
        <v>0</v>
      </c>
      <c r="M6897" t="inlineStr">
        <is>
          <t>-31.1K2</t>
        </is>
      </c>
    </row>
    <row r="6898">
      <c r="A6898">
        <v>6897</v>
      </c>
      <c r="B6898">
        <f>GS30</f>
        <v>0</v>
      </c>
      <c r="C6898" t="inlineStr">
        <is>
          <t>+ES02</t>
        </is>
      </c>
      <c r="D6898" t="inlineStr">
        <is>
          <t>-31.1K2</t>
        </is>
      </c>
      <c r="E6898" t="inlineStr">
        <is>
          <t>DILA-XHI22</t>
        </is>
      </c>
      <c r="F6898" t="inlineStr">
        <is>
          <t>DILA-XHI22</t>
        </is>
      </c>
      <c r="G6898" t="inlineStr">
        <is>
          <t>HILFSKONTAKTBLOCK</t>
        </is>
      </c>
      <c r="H6898" t="inlineStr">
        <is>
          <t>2S 2OE Last+Hilfssch. Cage</t>
        </is>
      </c>
      <c r="I6898">
        <v>1553</v>
      </c>
      <c r="J6898">
        <f>GS30/31.1.3</f>
        <v>0</v>
      </c>
      <c r="M6898" t="inlineStr">
        <is>
          <t>-31.1K2</t>
        </is>
      </c>
    </row>
    <row r="6899">
      <c r="A6899">
        <v>6898</v>
      </c>
      <c r="B6899">
        <f>GS30</f>
        <v>0</v>
      </c>
      <c r="C6899" t="inlineStr">
        <is>
          <t>+ES02</t>
        </is>
      </c>
      <c r="D6899" t="inlineStr">
        <is>
          <t>-31.1K2</t>
        </is>
      </c>
      <c r="E6899" t="inlineStr">
        <is>
          <t>DILA-40</t>
        </is>
      </c>
      <c r="F6899" t="inlineStr">
        <is>
          <t>DILA-XHI22</t>
        </is>
      </c>
      <c r="G6899" t="inlineStr">
        <is>
          <t>HILFSSCHUETZ</t>
        </is>
      </c>
      <c r="H6899" t="inlineStr">
        <is>
          <t>4S Federzugkl.</t>
        </is>
      </c>
      <c r="I6899">
        <v>1553</v>
      </c>
      <c r="J6899">
        <f>GS30/31.1.3</f>
        <v>0</v>
      </c>
      <c r="M6899" t="inlineStr">
        <is>
          <t>-31.1K2</t>
        </is>
      </c>
    </row>
    <row r="6900">
      <c r="A6900">
        <v>6899</v>
      </c>
      <c r="B6900">
        <f>GS51</f>
        <v>0</v>
      </c>
      <c r="C6900" t="inlineStr">
        <is>
          <t>+ES02</t>
        </is>
      </c>
      <c r="D6900" t="inlineStr">
        <is>
          <t>-31.1K2</t>
        </is>
      </c>
      <c r="E6900" t="inlineStr">
        <is>
          <t>DILA-XHIC31</t>
        </is>
      </c>
      <c r="F6900" t="inlineStr">
        <is>
          <t>DILA-XHIC31</t>
        </is>
      </c>
      <c r="G6900" t="inlineStr">
        <is>
          <t>HILFSKONTAKTBLOCK</t>
        </is>
      </c>
      <c r="H6900" t="inlineStr">
        <is>
          <t>3S 1OE Last+Hilfssch. Cage</t>
        </is>
      </c>
      <c r="I6900">
        <v>248</v>
      </c>
      <c r="J6900">
        <f>GS51/31.1.5</f>
        <v>0</v>
      </c>
      <c r="M6900" t="inlineStr">
        <is>
          <t>-31.1K2</t>
        </is>
      </c>
    </row>
    <row r="6901">
      <c r="A6901">
        <v>6900</v>
      </c>
      <c r="B6901">
        <f>GS51</f>
        <v>0</v>
      </c>
      <c r="C6901" t="inlineStr">
        <is>
          <t>+ES02</t>
        </is>
      </c>
      <c r="D6901" t="inlineStr">
        <is>
          <t>-31.1K2</t>
        </is>
      </c>
      <c r="E6901" t="inlineStr">
        <is>
          <t>DILA-40</t>
        </is>
      </c>
      <c r="F6901" t="inlineStr">
        <is>
          <t>DILA-XHIC31</t>
        </is>
      </c>
      <c r="G6901" t="inlineStr">
        <is>
          <t>HILFSSCHUETZ</t>
        </is>
      </c>
      <c r="H6901" t="inlineStr">
        <is>
          <t>4S Federzugkl.</t>
        </is>
      </c>
      <c r="I6901">
        <v>248</v>
      </c>
      <c r="J6901">
        <f>GS51/31.1.5</f>
        <v>0</v>
      </c>
      <c r="M6901" t="inlineStr">
        <is>
          <t>-31.1K2</t>
        </is>
      </c>
    </row>
    <row r="6902">
      <c r="A6902">
        <v>6901</v>
      </c>
      <c r="B6902">
        <f>GS55</f>
        <v>0</v>
      </c>
      <c r="C6902" t="inlineStr">
        <is>
          <t>+ES02</t>
        </is>
      </c>
      <c r="D6902" t="inlineStr">
        <is>
          <t>-31.1K2</t>
        </is>
      </c>
      <c r="E6902" t="inlineStr">
        <is>
          <t>DILA-40</t>
        </is>
      </c>
      <c r="F6902" t="inlineStr">
        <is>
          <t>DILA-XHIC31</t>
        </is>
      </c>
      <c r="G6902" t="inlineStr">
        <is>
          <t>HILFSSCHUETZ</t>
        </is>
      </c>
      <c r="H6902" t="inlineStr">
        <is>
          <t>4S Federzugkl.</t>
        </is>
      </c>
      <c r="I6902">
        <v>270</v>
      </c>
      <c r="J6902">
        <f>GS55/31.1.5</f>
        <v>0</v>
      </c>
      <c r="M6902" t="inlineStr">
        <is>
          <t>-31.1K2</t>
        </is>
      </c>
    </row>
    <row r="6903">
      <c r="A6903">
        <v>6902</v>
      </c>
      <c r="B6903">
        <f>GS55</f>
        <v>0</v>
      </c>
      <c r="C6903" t="inlineStr">
        <is>
          <t>+ES02</t>
        </is>
      </c>
      <c r="D6903" t="inlineStr">
        <is>
          <t>-31.1K2</t>
        </is>
      </c>
      <c r="E6903" t="inlineStr">
        <is>
          <t>DILA-XHIC31</t>
        </is>
      </c>
      <c r="F6903" t="inlineStr">
        <is>
          <t>DILA-XHIC31</t>
        </is>
      </c>
      <c r="G6903" t="inlineStr">
        <is>
          <t>HILFSKONTAKTBLOCK</t>
        </is>
      </c>
      <c r="H6903" t="inlineStr">
        <is>
          <t>3S 1OE Last+Hilfssch. Cage</t>
        </is>
      </c>
      <c r="I6903">
        <v>270</v>
      </c>
      <c r="J6903">
        <f>GS55/31.1.5</f>
        <v>0</v>
      </c>
      <c r="M6903" t="inlineStr">
        <is>
          <t>-31.1K2</t>
        </is>
      </c>
    </row>
    <row r="6904">
      <c r="A6904">
        <v>6903</v>
      </c>
      <c r="B6904">
        <f>GS55</f>
        <v>0</v>
      </c>
      <c r="C6904" t="inlineStr">
        <is>
          <t>+LS39</t>
        </is>
      </c>
      <c r="D6904" t="inlineStr">
        <is>
          <t>-3105Q1</t>
        </is>
      </c>
      <c r="E6904" t="inlineStr">
        <is>
          <t>DILMC25-10(RDC24)</t>
        </is>
      </c>
      <c r="F6904" t="inlineStr">
        <is>
          <t>DILA-XHI22</t>
        </is>
      </c>
      <c r="G6904" t="inlineStr">
        <is>
          <t>LASTSCHUETZ</t>
        </is>
      </c>
      <c r="H6904" t="inlineStr">
        <is>
          <t>11kW 1S Federzugkl.</t>
        </is>
      </c>
      <c r="I6904">
        <v>3433</v>
      </c>
      <c r="J6904">
        <f>GS55/3105.6</f>
        <v>0</v>
      </c>
      <c r="K6904" t="inlineStr">
        <is>
          <t>DIL MC25</t>
        </is>
      </c>
      <c r="M6904" t="inlineStr">
        <is>
          <t>-3105Q1</t>
        </is>
      </c>
    </row>
    <row r="6905">
      <c r="A6905">
        <v>6904</v>
      </c>
      <c r="B6905">
        <f>GS55</f>
        <v>0</v>
      </c>
      <c r="C6905" t="inlineStr">
        <is>
          <t>+LS39</t>
        </is>
      </c>
      <c r="D6905" t="inlineStr">
        <is>
          <t>-3105Q1</t>
        </is>
      </c>
      <c r="E6905" t="inlineStr">
        <is>
          <t>DILA-XHI22</t>
        </is>
      </c>
      <c r="F6905" t="inlineStr">
        <is>
          <t>DILA-XHI22</t>
        </is>
      </c>
      <c r="G6905" t="inlineStr">
        <is>
          <t>HILFSKONTAKTBLOCK</t>
        </is>
      </c>
      <c r="H6905" t="inlineStr">
        <is>
          <t>2S 2OE Last+Hilfssch. Cage</t>
        </is>
      </c>
      <c r="I6905">
        <v>3433</v>
      </c>
      <c r="J6905">
        <f>GS55/3105.6</f>
        <v>0</v>
      </c>
      <c r="K6905" t="inlineStr">
        <is>
          <t>DIL MC25</t>
        </is>
      </c>
      <c r="M6905" t="inlineStr">
        <is>
          <t>-3105Q1</t>
        </is>
      </c>
    </row>
    <row r="6906">
      <c r="A6906">
        <v>6905</v>
      </c>
      <c r="B6906">
        <f>GS55</f>
        <v>0</v>
      </c>
      <c r="C6906" t="inlineStr">
        <is>
          <t>+LS39</t>
        </is>
      </c>
      <c r="D6906" t="inlineStr">
        <is>
          <t>-3107Q1351.6</t>
        </is>
      </c>
      <c r="E6906" t="inlineStr">
        <is>
          <t>DILM-9-10</t>
        </is>
      </c>
      <c r="F6906" t="inlineStr">
        <is>
          <t>#KALK!</t>
        </is>
      </c>
      <c r="G6906" t="inlineStr">
        <is>
          <t>LASTSCHUETZ</t>
        </is>
      </c>
      <c r="H6906" t="inlineStr">
        <is>
          <t>4kW 1S Federzugkl.</t>
        </is>
      </c>
      <c r="I6906">
        <v>3440</v>
      </c>
      <c r="J6906">
        <f>GS55/3107.6</f>
        <v>0</v>
      </c>
      <c r="K6906" t="inlineStr">
        <is>
          <t>DIL MC9</t>
        </is>
      </c>
      <c r="M6906" t="inlineStr">
        <is>
          <t>-3107Q1351.6</t>
        </is>
      </c>
    </row>
    <row r="6907">
      <c r="A6907">
        <v>6906</v>
      </c>
      <c r="B6907">
        <f>GS13</f>
        <v>0</v>
      </c>
      <c r="C6907" t="inlineStr">
        <is>
          <t>+LS6</t>
        </is>
      </c>
      <c r="D6907" t="inlineStr">
        <is>
          <t>-31086.4</t>
        </is>
      </c>
      <c r="E6907" t="inlineStr">
        <is>
          <t>DIL_EM-10-G</t>
        </is>
      </c>
      <c r="F6907" t="inlineStr">
        <is>
          <t>#KALK!</t>
        </is>
      </c>
      <c r="G6907" t="inlineStr">
        <is>
          <t>LASTSCHUETZ</t>
        </is>
      </c>
      <c r="H6907" t="inlineStr">
        <is>
          <t>4kW 1S</t>
        </is>
      </c>
      <c r="I6907">
        <v>553</v>
      </c>
      <c r="J6907">
        <f>GS13/310.6</f>
        <v>0</v>
      </c>
      <c r="M6907" t="inlineStr">
        <is>
          <t>-31086.4</t>
        </is>
      </c>
    </row>
    <row r="6908">
      <c r="A6908">
        <v>6907</v>
      </c>
      <c r="B6908">
        <f>GS13</f>
        <v>0</v>
      </c>
      <c r="C6908" t="inlineStr">
        <is>
          <t>+LS6</t>
        </is>
      </c>
      <c r="D6908" t="inlineStr">
        <is>
          <t>-31086.5</t>
        </is>
      </c>
      <c r="E6908" t="inlineStr">
        <is>
          <t>DIL_EM-10-G</t>
        </is>
      </c>
      <c r="F6908" t="inlineStr">
        <is>
          <t>#KALK!</t>
        </is>
      </c>
      <c r="G6908" t="inlineStr">
        <is>
          <t>LASTSCHUETZ</t>
        </is>
      </c>
      <c r="H6908" t="inlineStr">
        <is>
          <t>4kW 1S</t>
        </is>
      </c>
      <c r="I6908">
        <v>553</v>
      </c>
      <c r="J6908">
        <f>GS13/310.6</f>
        <v>0</v>
      </c>
      <c r="M6908" t="inlineStr">
        <is>
          <t>-31086.5</t>
        </is>
      </c>
    </row>
    <row r="6909">
      <c r="A6909">
        <v>6908</v>
      </c>
      <c r="B6909">
        <f>GS02</f>
        <v>0</v>
      </c>
      <c r="C6909" t="inlineStr">
        <is>
          <t>+LS6</t>
        </is>
      </c>
      <c r="D6909" t="inlineStr">
        <is>
          <t>-310K1</t>
        </is>
      </c>
      <c r="E6909" t="inlineStr">
        <is>
          <t>DIL_2AM</t>
        </is>
      </c>
      <c r="F6909" t="inlineStr">
        <is>
          <t>22_DIL-M</t>
        </is>
      </c>
      <c r="G6909" t="inlineStr">
        <is>
          <t>LASTSCHUETZ</t>
        </is>
      </c>
      <c r="H6909" t="inlineStr">
        <is>
          <t>30 kW</t>
        </is>
      </c>
      <c r="I6909">
        <v>716</v>
      </c>
      <c r="J6909">
        <f>GS02/310.3</f>
        <v>0</v>
      </c>
      <c r="K6909" t="inlineStr">
        <is>
          <t>DIL2AM</t>
        </is>
      </c>
      <c r="M6909" t="inlineStr">
        <is>
          <t>-310K1</t>
        </is>
      </c>
    </row>
    <row r="6910">
      <c r="A6910">
        <v>6909</v>
      </c>
      <c r="B6910">
        <f>GS02</f>
        <v>0</v>
      </c>
      <c r="C6910" t="inlineStr">
        <is>
          <t>+LS6</t>
        </is>
      </c>
      <c r="D6910" t="inlineStr">
        <is>
          <t>-310K1</t>
        </is>
      </c>
      <c r="E6910" t="inlineStr">
        <is>
          <t>22_DIL-M</t>
        </is>
      </c>
      <c r="F6910" t="inlineStr">
        <is>
          <t>22_DIL-M</t>
        </is>
      </c>
      <c r="G6910" t="inlineStr">
        <is>
          <t>HILFSKONTAKTBLOCK</t>
        </is>
      </c>
      <c r="H6910" t="inlineStr">
        <is>
          <t>2S 2OE Lastschuetz DIL M</t>
        </is>
      </c>
      <c r="I6910">
        <v>716</v>
      </c>
      <c r="J6910">
        <f>GS02/310.3</f>
        <v>0</v>
      </c>
      <c r="K6910" t="inlineStr">
        <is>
          <t>DIL2AM</t>
        </is>
      </c>
      <c r="M6910" t="inlineStr">
        <is>
          <t>-310K1</t>
        </is>
      </c>
    </row>
    <row r="6911">
      <c r="A6911">
        <v>6910</v>
      </c>
      <c r="B6911">
        <f>GS15</f>
        <v>0</v>
      </c>
      <c r="C6911" t="inlineStr">
        <is>
          <t>+LS6</t>
        </is>
      </c>
      <c r="D6911" t="inlineStr">
        <is>
          <t>-310K1</t>
        </is>
      </c>
      <c r="E6911" t="inlineStr">
        <is>
          <t>22_DIL-M</t>
        </is>
      </c>
      <c r="F6911" t="inlineStr">
        <is>
          <t>22_DIL-M</t>
        </is>
      </c>
      <c r="G6911" t="inlineStr">
        <is>
          <t>HILFSKONTAKTBLOCK</t>
        </is>
      </c>
      <c r="H6911" t="inlineStr">
        <is>
          <t>2S 2OE Lastschuetz DIL M</t>
        </is>
      </c>
      <c r="I6911">
        <v>808</v>
      </c>
      <c r="J6911">
        <f>GS15/310.2</f>
        <v>0</v>
      </c>
      <c r="K6911" t="inlineStr">
        <is>
          <t>DIL0AM</t>
        </is>
      </c>
      <c r="M6911" t="inlineStr">
        <is>
          <t>-310K1</t>
        </is>
      </c>
    </row>
    <row r="6912">
      <c r="A6912">
        <v>6911</v>
      </c>
      <c r="B6912">
        <f>GS15</f>
        <v>0</v>
      </c>
      <c r="C6912" t="inlineStr">
        <is>
          <t>+LS6</t>
        </is>
      </c>
      <c r="D6912" t="inlineStr">
        <is>
          <t>-310K1</t>
        </is>
      </c>
      <c r="E6912" t="inlineStr">
        <is>
          <t>DIL_0AM</t>
        </is>
      </c>
      <c r="F6912" t="inlineStr">
        <is>
          <t>22_DIL-M</t>
        </is>
      </c>
      <c r="G6912" t="inlineStr">
        <is>
          <t>LASTSCHUETZ</t>
        </is>
      </c>
      <c r="H6912" t="inlineStr">
        <is>
          <t>11 kW</t>
        </is>
      </c>
      <c r="I6912">
        <v>808</v>
      </c>
      <c r="J6912">
        <f>GS15/310.2</f>
        <v>0</v>
      </c>
      <c r="K6912" t="inlineStr">
        <is>
          <t>DIL0AM</t>
        </is>
      </c>
      <c r="M6912" t="inlineStr">
        <is>
          <t>-310K1</t>
        </is>
      </c>
    </row>
    <row r="6913">
      <c r="A6913">
        <v>6912</v>
      </c>
      <c r="B6913">
        <f>GS33</f>
        <v>0</v>
      </c>
      <c r="C6913" t="inlineStr">
        <is>
          <t>+LS7</t>
        </is>
      </c>
      <c r="D6913" t="inlineStr">
        <is>
          <t>-310K1</t>
        </is>
      </c>
      <c r="E6913" t="inlineStr">
        <is>
          <t>DIL_2AM</t>
        </is>
      </c>
      <c r="F6913" t="inlineStr">
        <is>
          <t>22_DIL-M</t>
        </is>
      </c>
      <c r="G6913" t="inlineStr">
        <is>
          <t>LASTSCHUETZ</t>
        </is>
      </c>
      <c r="H6913" t="inlineStr">
        <is>
          <t>30 kW</t>
        </is>
      </c>
      <c r="I6913">
        <v>758</v>
      </c>
      <c r="J6913">
        <f>GS33/310.2</f>
        <v>0</v>
      </c>
      <c r="K6913" t="inlineStr">
        <is>
          <t>DIL2AM</t>
        </is>
      </c>
      <c r="M6913" t="inlineStr">
        <is>
          <t>-310K1</t>
        </is>
      </c>
    </row>
    <row r="6914">
      <c r="A6914">
        <v>6913</v>
      </c>
      <c r="B6914">
        <f>GS33</f>
        <v>0</v>
      </c>
      <c r="C6914" t="inlineStr">
        <is>
          <t>+LS7</t>
        </is>
      </c>
      <c r="D6914" t="inlineStr">
        <is>
          <t>-310K1</t>
        </is>
      </c>
      <c r="E6914" t="inlineStr">
        <is>
          <t>22_DIL-M</t>
        </is>
      </c>
      <c r="F6914" t="inlineStr">
        <is>
          <t>22_DIL-M</t>
        </is>
      </c>
      <c r="G6914" t="inlineStr">
        <is>
          <t>HILFSKONTAKTBLOCK</t>
        </is>
      </c>
      <c r="H6914" t="inlineStr">
        <is>
          <t>2S 2OE Lastschuetz DIL M</t>
        </is>
      </c>
      <c r="I6914">
        <v>758</v>
      </c>
      <c r="J6914">
        <f>GS33/310.2</f>
        <v>0</v>
      </c>
      <c r="K6914" t="inlineStr">
        <is>
          <t>DIL2AM</t>
        </is>
      </c>
      <c r="M6914" t="inlineStr">
        <is>
          <t>-310K1</t>
        </is>
      </c>
    </row>
    <row r="6915">
      <c r="A6915">
        <v>6914</v>
      </c>
      <c r="B6915">
        <f>GS37</f>
        <v>0</v>
      </c>
      <c r="C6915" t="inlineStr">
        <is>
          <t>+LS06</t>
        </is>
      </c>
      <c r="D6915" t="inlineStr">
        <is>
          <t>-310K111.0</t>
        </is>
      </c>
      <c r="E6915" t="inlineStr">
        <is>
          <t>DILA-40</t>
        </is>
      </c>
      <c r="F6915" t="inlineStr">
        <is>
          <t>#KALK!</t>
        </is>
      </c>
      <c r="G6915" t="inlineStr">
        <is>
          <t>HILFSSCHUETZ</t>
        </is>
      </c>
      <c r="H6915" t="inlineStr">
        <is>
          <t>4S Federzugkl.</t>
        </is>
      </c>
      <c r="I6915">
        <v>472</v>
      </c>
      <c r="J6915">
        <f>GS37/310.7</f>
        <v>0</v>
      </c>
      <c r="M6915" t="inlineStr">
        <is>
          <t>-310K111.0</t>
        </is>
      </c>
    </row>
    <row r="6916">
      <c r="A6916">
        <v>6915</v>
      </c>
      <c r="B6916">
        <f>GS25</f>
        <v>0</v>
      </c>
      <c r="C6916" t="inlineStr">
        <is>
          <t>+LS6</t>
        </is>
      </c>
      <c r="D6916" t="inlineStr">
        <is>
          <t>-310K15.2</t>
        </is>
      </c>
      <c r="E6916" t="inlineStr">
        <is>
          <t>DIL_EM-10-G</t>
        </is>
      </c>
      <c r="F6916" t="inlineStr">
        <is>
          <t>#KALK!</t>
        </is>
      </c>
      <c r="G6916" t="inlineStr">
        <is>
          <t>LASTSCHUETZ</t>
        </is>
      </c>
      <c r="H6916" t="inlineStr">
        <is>
          <t>4kW 1S</t>
        </is>
      </c>
      <c r="I6916">
        <v>434</v>
      </c>
      <c r="J6916">
        <f>GS25/310.7</f>
        <v>0</v>
      </c>
      <c r="M6916" t="inlineStr">
        <is>
          <t>-310K15.2</t>
        </is>
      </c>
    </row>
    <row r="6917">
      <c r="A6917">
        <v>6916</v>
      </c>
      <c r="B6917">
        <f>GS90</f>
        <v>0</v>
      </c>
      <c r="C6917" t="inlineStr">
        <is>
          <t>+LS05</t>
        </is>
      </c>
      <c r="D6917" t="inlineStr">
        <is>
          <t>-310K185.4</t>
        </is>
      </c>
      <c r="E6917" t="inlineStr">
        <is>
          <t>DILA-40</t>
        </is>
      </c>
      <c r="F6917" t="inlineStr">
        <is>
          <t>#KALK!</t>
        </is>
      </c>
      <c r="G6917" t="inlineStr">
        <is>
          <t>HILFSSCHUETZ</t>
        </is>
      </c>
      <c r="H6917" t="inlineStr">
        <is>
          <t>4S Federzugkl.</t>
        </is>
      </c>
      <c r="I6917">
        <v>926</v>
      </c>
      <c r="J6917">
        <f>GS90/310.7</f>
        <v>0</v>
      </c>
      <c r="M6917" t="inlineStr">
        <is>
          <t>-310K185.4</t>
        </is>
      </c>
    </row>
    <row r="6918">
      <c r="A6918">
        <v>6917</v>
      </c>
      <c r="B6918">
        <f>GS33</f>
        <v>0</v>
      </c>
      <c r="C6918" t="inlineStr">
        <is>
          <t>+LS7</t>
        </is>
      </c>
      <c r="D6918" t="inlineStr">
        <is>
          <t>-310K2</t>
        </is>
      </c>
      <c r="E6918" t="inlineStr">
        <is>
          <t>DIL_0AM</t>
        </is>
      </c>
      <c r="F6918" t="inlineStr">
        <is>
          <t>22_DIL-M</t>
        </is>
      </c>
      <c r="G6918" t="inlineStr">
        <is>
          <t>LASTSCHUETZ</t>
        </is>
      </c>
      <c r="H6918" t="inlineStr">
        <is>
          <t>11 kW</t>
        </is>
      </c>
      <c r="I6918">
        <v>758</v>
      </c>
      <c r="J6918">
        <f>GS33/310.3</f>
        <v>0</v>
      </c>
      <c r="K6918" t="inlineStr">
        <is>
          <t>DIL0AM</t>
        </is>
      </c>
      <c r="M6918" t="inlineStr">
        <is>
          <t>-310K2</t>
        </is>
      </c>
    </row>
    <row r="6919">
      <c r="A6919">
        <v>6918</v>
      </c>
      <c r="B6919">
        <f>GS33</f>
        <v>0</v>
      </c>
      <c r="C6919" t="inlineStr">
        <is>
          <t>+LS7</t>
        </is>
      </c>
      <c r="D6919" t="inlineStr">
        <is>
          <t>-310K2</t>
        </is>
      </c>
      <c r="E6919" t="inlineStr">
        <is>
          <t>22_DIL-M</t>
        </is>
      </c>
      <c r="F6919" t="inlineStr">
        <is>
          <t>22_DIL-M</t>
        </is>
      </c>
      <c r="G6919" t="inlineStr">
        <is>
          <t>HILFSKONTAKTBLOCK</t>
        </is>
      </c>
      <c r="H6919" t="inlineStr">
        <is>
          <t>2S 2OE Lastschuetz DIL M</t>
        </is>
      </c>
      <c r="I6919">
        <v>758</v>
      </c>
      <c r="J6919">
        <f>GS33/310.3</f>
        <v>0</v>
      </c>
      <c r="K6919" t="inlineStr">
        <is>
          <t>DIL0AM</t>
        </is>
      </c>
      <c r="M6919" t="inlineStr">
        <is>
          <t>-310K2</t>
        </is>
      </c>
    </row>
    <row r="6920">
      <c r="A6920">
        <v>6919</v>
      </c>
      <c r="B6920">
        <f>GS11</f>
        <v>0</v>
      </c>
      <c r="C6920" t="inlineStr">
        <is>
          <t>+LS7</t>
        </is>
      </c>
      <c r="D6920" t="inlineStr">
        <is>
          <t>-310K20.5</t>
        </is>
      </c>
      <c r="E6920" t="inlineStr">
        <is>
          <t>DIL_EM-10-G</t>
        </is>
      </c>
      <c r="F6920" t="inlineStr">
        <is>
          <t>#KALK!</t>
        </is>
      </c>
      <c r="G6920" t="inlineStr">
        <is>
          <t>LASTSCHUETZ</t>
        </is>
      </c>
      <c r="H6920" t="inlineStr">
        <is>
          <t>4kW 1S</t>
        </is>
      </c>
      <c r="I6920">
        <v>74</v>
      </c>
      <c r="J6920">
        <f>GS11/310.6</f>
        <v>0</v>
      </c>
      <c r="M6920" t="inlineStr">
        <is>
          <t>-310K20.5</t>
        </is>
      </c>
    </row>
    <row r="6921">
      <c r="A6921">
        <v>6920</v>
      </c>
      <c r="B6921">
        <f>GS21</f>
        <v>0</v>
      </c>
      <c r="C6921" t="inlineStr">
        <is>
          <t>+LS7</t>
        </is>
      </c>
      <c r="D6921" t="inlineStr">
        <is>
          <t>-310K20.5</t>
        </is>
      </c>
      <c r="E6921" t="inlineStr">
        <is>
          <t>DIL_EM-10-G</t>
        </is>
      </c>
      <c r="F6921" t="inlineStr">
        <is>
          <t>#KALK!</t>
        </is>
      </c>
      <c r="G6921" t="inlineStr">
        <is>
          <t>LASTSCHUETZ</t>
        </is>
      </c>
      <c r="H6921" t="inlineStr">
        <is>
          <t>4kW 1S</t>
        </is>
      </c>
      <c r="I6921">
        <v>398</v>
      </c>
      <c r="J6921">
        <f>GS21/310.6</f>
        <v>0</v>
      </c>
      <c r="M6921" t="inlineStr">
        <is>
          <t>-310K20.5</t>
        </is>
      </c>
    </row>
    <row r="6922">
      <c r="A6922">
        <v>6921</v>
      </c>
      <c r="B6922">
        <f>GS32</f>
        <v>0</v>
      </c>
      <c r="C6922" t="inlineStr">
        <is>
          <t>+LS7</t>
        </is>
      </c>
      <c r="D6922" t="inlineStr">
        <is>
          <t>-310K62.6</t>
        </is>
      </c>
      <c r="E6922" t="inlineStr">
        <is>
          <t>DIL_EM-10-G</t>
        </is>
      </c>
      <c r="F6922" t="inlineStr">
        <is>
          <t>#KALK!</t>
        </is>
      </c>
      <c r="G6922" t="inlineStr">
        <is>
          <t>LASTSCHUETZ</t>
        </is>
      </c>
      <c r="H6922" t="inlineStr">
        <is>
          <t>4kW 1S</t>
        </is>
      </c>
      <c r="I6922">
        <v>1297</v>
      </c>
      <c r="J6922">
        <f>GS32/310.6</f>
        <v>0</v>
      </c>
      <c r="M6922" t="inlineStr">
        <is>
          <t>-310K62.6</t>
        </is>
      </c>
    </row>
    <row r="6923">
      <c r="A6923">
        <v>6922</v>
      </c>
      <c r="B6923">
        <f>GS32</f>
        <v>0</v>
      </c>
      <c r="C6923" t="inlineStr">
        <is>
          <t>+LS7</t>
        </is>
      </c>
      <c r="D6923" t="inlineStr">
        <is>
          <t>-310K62.7</t>
        </is>
      </c>
      <c r="E6923" t="inlineStr">
        <is>
          <t>DIL_EM-10-G</t>
        </is>
      </c>
      <c r="F6923" t="inlineStr">
        <is>
          <t>#KALK!</t>
        </is>
      </c>
      <c r="G6923" t="inlineStr">
        <is>
          <t>LASTSCHUETZ</t>
        </is>
      </c>
      <c r="H6923" t="inlineStr">
        <is>
          <t>4kW 1S</t>
        </is>
      </c>
      <c r="I6923">
        <v>1297</v>
      </c>
      <c r="J6923">
        <f>GS32/310.6</f>
        <v>0</v>
      </c>
      <c r="M6923" t="inlineStr">
        <is>
          <t>-310K62.7</t>
        </is>
      </c>
    </row>
    <row r="6924">
      <c r="A6924">
        <v>6923</v>
      </c>
      <c r="B6924">
        <f>GS04</f>
        <v>0</v>
      </c>
      <c r="C6924" t="inlineStr">
        <is>
          <t>+LS7</t>
        </is>
      </c>
      <c r="D6924" t="inlineStr">
        <is>
          <t>-310K68.6</t>
        </is>
      </c>
      <c r="E6924" t="inlineStr">
        <is>
          <t>DIL_EM-10-G</t>
        </is>
      </c>
      <c r="F6924" t="inlineStr">
        <is>
          <t>#KALK!</t>
        </is>
      </c>
      <c r="G6924" t="inlineStr">
        <is>
          <t>LASTSCHUETZ</t>
        </is>
      </c>
      <c r="H6924" t="inlineStr">
        <is>
          <t>4kW 1S</t>
        </is>
      </c>
      <c r="I6924">
        <v>561</v>
      </c>
      <c r="J6924">
        <f>GS04/310.6</f>
        <v>0</v>
      </c>
      <c r="M6924" t="inlineStr">
        <is>
          <t>-310K68.6</t>
        </is>
      </c>
    </row>
    <row r="6925">
      <c r="A6925">
        <v>6924</v>
      </c>
      <c r="B6925">
        <f>GS04</f>
        <v>0</v>
      </c>
      <c r="C6925" t="inlineStr">
        <is>
          <t>+LS7</t>
        </is>
      </c>
      <c r="D6925" t="inlineStr">
        <is>
          <t>-310K68.7</t>
        </is>
      </c>
      <c r="E6925" t="inlineStr">
        <is>
          <t>DIL_EM-10-G</t>
        </is>
      </c>
      <c r="F6925" t="inlineStr">
        <is>
          <t>#KALK!</t>
        </is>
      </c>
      <c r="G6925" t="inlineStr">
        <is>
          <t>LASTSCHUETZ</t>
        </is>
      </c>
      <c r="H6925" t="inlineStr">
        <is>
          <t>4kW 1S</t>
        </is>
      </c>
      <c r="I6925">
        <v>561</v>
      </c>
      <c r="J6925">
        <f>GS04/310.6</f>
        <v>0</v>
      </c>
      <c r="M6925" t="inlineStr">
        <is>
          <t>-310K68.7</t>
        </is>
      </c>
    </row>
    <row r="6926">
      <c r="A6926">
        <v>6925</v>
      </c>
      <c r="B6926">
        <f>GS11</f>
        <v>0</v>
      </c>
      <c r="C6926" t="inlineStr">
        <is>
          <t>+LS7</t>
        </is>
      </c>
      <c r="D6926" t="inlineStr">
        <is>
          <t>-310K76.1</t>
        </is>
      </c>
      <c r="E6926" t="inlineStr">
        <is>
          <t>DIL_EM-10-G</t>
        </is>
      </c>
      <c r="F6926" t="inlineStr">
        <is>
          <t>#KALK!</t>
        </is>
      </c>
      <c r="G6926" t="inlineStr">
        <is>
          <t>LASTSCHUETZ</t>
        </is>
      </c>
      <c r="H6926" t="inlineStr">
        <is>
          <t>4kW 1S</t>
        </is>
      </c>
      <c r="I6926">
        <v>74</v>
      </c>
      <c r="J6926">
        <f>GS11/310.6</f>
        <v>0</v>
      </c>
      <c r="M6926" t="inlineStr">
        <is>
          <t>-310K76.1</t>
        </is>
      </c>
    </row>
    <row r="6927">
      <c r="A6927">
        <v>6926</v>
      </c>
      <c r="B6927">
        <f>GS21</f>
        <v>0</v>
      </c>
      <c r="C6927" t="inlineStr">
        <is>
          <t>+LS7</t>
        </is>
      </c>
      <c r="D6927" t="inlineStr">
        <is>
          <t>-310K76.1</t>
        </is>
      </c>
      <c r="E6927" t="inlineStr">
        <is>
          <t>DIL_EM-10-G</t>
        </is>
      </c>
      <c r="F6927" t="inlineStr">
        <is>
          <t>#KALK!</t>
        </is>
      </c>
      <c r="G6927" t="inlineStr">
        <is>
          <t>LASTSCHUETZ</t>
        </is>
      </c>
      <c r="H6927" t="inlineStr">
        <is>
          <t>4kW 1S</t>
        </is>
      </c>
      <c r="I6927">
        <v>398</v>
      </c>
      <c r="J6927">
        <f>GS21/310.6</f>
        <v>0</v>
      </c>
      <c r="M6927" t="inlineStr">
        <is>
          <t>-310K76.1</t>
        </is>
      </c>
    </row>
    <row r="6928">
      <c r="A6928">
        <v>6927</v>
      </c>
      <c r="B6928">
        <f>GC03</f>
        <v>0</v>
      </c>
      <c r="C6928" t="inlineStr">
        <is>
          <t>+LS8</t>
        </is>
      </c>
      <c r="D6928" t="inlineStr">
        <is>
          <t>-310K83.1</t>
        </is>
      </c>
      <c r="E6928" t="inlineStr">
        <is>
          <t>DIL_EM-10-G</t>
        </is>
      </c>
      <c r="F6928" t="inlineStr">
        <is>
          <t>#KALK!</t>
        </is>
      </c>
      <c r="G6928" t="inlineStr">
        <is>
          <t>LASTSCHUETZ</t>
        </is>
      </c>
      <c r="H6928" t="inlineStr">
        <is>
          <t>4kW 1S</t>
        </is>
      </c>
      <c r="I6928">
        <v>3494</v>
      </c>
      <c r="J6928">
        <f>GC03/310.6</f>
        <v>0</v>
      </c>
      <c r="M6928" t="inlineStr">
        <is>
          <t>-310K83.1</t>
        </is>
      </c>
    </row>
    <row r="6929">
      <c r="A6929">
        <v>6928</v>
      </c>
      <c r="B6929">
        <f>GC03</f>
        <v>0</v>
      </c>
      <c r="C6929" t="inlineStr">
        <is>
          <t>+LS8</t>
        </is>
      </c>
      <c r="D6929" t="inlineStr">
        <is>
          <t>-310K83.2</t>
        </is>
      </c>
      <c r="E6929" t="inlineStr">
        <is>
          <t>DIL_EM-10-G</t>
        </is>
      </c>
      <c r="F6929" t="inlineStr">
        <is>
          <t>#KALK!</t>
        </is>
      </c>
      <c r="G6929" t="inlineStr">
        <is>
          <t>LASTSCHUETZ</t>
        </is>
      </c>
      <c r="H6929" t="inlineStr">
        <is>
          <t>4kW 1S</t>
        </is>
      </c>
      <c r="I6929">
        <v>3494</v>
      </c>
      <c r="J6929">
        <f>GC03/310.6</f>
        <v>0</v>
      </c>
      <c r="M6929" t="inlineStr">
        <is>
          <t>-310K83.2</t>
        </is>
      </c>
    </row>
    <row r="6930">
      <c r="A6930">
        <v>6929</v>
      </c>
      <c r="B6930">
        <f>GS23</f>
        <v>0</v>
      </c>
      <c r="C6930" t="inlineStr">
        <is>
          <t>+LS6</t>
        </is>
      </c>
      <c r="D6930" t="inlineStr">
        <is>
          <t>-310K86.4</t>
        </is>
      </c>
      <c r="E6930" t="inlineStr">
        <is>
          <t>DIL_EM-10-G</t>
        </is>
      </c>
      <c r="F6930" t="inlineStr">
        <is>
          <t>#KALK!</t>
        </is>
      </c>
      <c r="G6930" t="inlineStr">
        <is>
          <t>LASTSCHUETZ</t>
        </is>
      </c>
      <c r="H6930" t="inlineStr">
        <is>
          <t>4kW 1S</t>
        </is>
      </c>
      <c r="I6930">
        <v>611</v>
      </c>
      <c r="J6930">
        <f>GS23/310.6</f>
        <v>0</v>
      </c>
      <c r="M6930" t="inlineStr">
        <is>
          <t>-310K86.4</t>
        </is>
      </c>
    </row>
    <row r="6931">
      <c r="A6931">
        <v>6930</v>
      </c>
      <c r="B6931">
        <f>GS23</f>
        <v>0</v>
      </c>
      <c r="C6931" t="inlineStr">
        <is>
          <t>+LS6</t>
        </is>
      </c>
      <c r="D6931" t="inlineStr">
        <is>
          <t>-310K86.5</t>
        </is>
      </c>
      <c r="E6931" t="inlineStr">
        <is>
          <t>DIL_EM-10-G</t>
        </is>
      </c>
      <c r="F6931" t="inlineStr">
        <is>
          <t>#KALK!</t>
        </is>
      </c>
      <c r="G6931" t="inlineStr">
        <is>
          <t>LASTSCHUETZ</t>
        </is>
      </c>
      <c r="H6931" t="inlineStr">
        <is>
          <t>4kW 1S</t>
        </is>
      </c>
      <c r="I6931">
        <v>611</v>
      </c>
      <c r="J6931">
        <f>GS23/310.6</f>
        <v>0</v>
      </c>
      <c r="M6931" t="inlineStr">
        <is>
          <t>-310K86.5</t>
        </is>
      </c>
    </row>
    <row r="6932">
      <c r="A6932">
        <v>6931</v>
      </c>
      <c r="B6932">
        <f>GS37</f>
        <v>0</v>
      </c>
      <c r="C6932" t="inlineStr">
        <is>
          <t>+LS06</t>
        </is>
      </c>
      <c r="D6932" t="inlineStr">
        <is>
          <t>-310Q1</t>
        </is>
      </c>
      <c r="E6932" t="inlineStr">
        <is>
          <t>DILMC25-10(RDC24)</t>
        </is>
      </c>
      <c r="F6932" t="inlineStr">
        <is>
          <t>DILA-XHI22</t>
        </is>
      </c>
      <c r="G6932" t="inlineStr">
        <is>
          <t>LASTSCHUETZ</t>
        </is>
      </c>
      <c r="H6932" t="inlineStr">
        <is>
          <t>11kW 1S Federzugkl.</t>
        </is>
      </c>
      <c r="I6932">
        <v>472</v>
      </c>
      <c r="J6932">
        <f>GS37/310.4</f>
        <v>0</v>
      </c>
      <c r="K6932" t="inlineStr">
        <is>
          <t>DIL MC25</t>
        </is>
      </c>
      <c r="M6932" t="inlineStr">
        <is>
          <t>-310Q1</t>
        </is>
      </c>
    </row>
    <row r="6933">
      <c r="A6933">
        <v>6932</v>
      </c>
      <c r="B6933">
        <f>GS37</f>
        <v>0</v>
      </c>
      <c r="C6933" t="inlineStr">
        <is>
          <t>+LS06</t>
        </is>
      </c>
      <c r="D6933" t="inlineStr">
        <is>
          <t>-310Q1</t>
        </is>
      </c>
      <c r="E6933" t="inlineStr">
        <is>
          <t>DILA-XHI22</t>
        </is>
      </c>
      <c r="F6933" t="inlineStr">
        <is>
          <t>DILA-XHI22</t>
        </is>
      </c>
      <c r="G6933" t="inlineStr">
        <is>
          <t>HILFSKONTAKTBLOCK</t>
        </is>
      </c>
      <c r="H6933" t="inlineStr">
        <is>
          <t>2S 2OE Last+Hilfssch. Cage</t>
        </is>
      </c>
      <c r="I6933">
        <v>472</v>
      </c>
      <c r="J6933">
        <f>GS37/310.4</f>
        <v>0</v>
      </c>
      <c r="K6933" t="inlineStr">
        <is>
          <t>DIL MC25</t>
        </is>
      </c>
      <c r="M6933" t="inlineStr">
        <is>
          <t>-310Q1</t>
        </is>
      </c>
    </row>
    <row r="6934">
      <c r="A6934">
        <v>6933</v>
      </c>
      <c r="B6934">
        <f>GS69</f>
        <v>0</v>
      </c>
      <c r="C6934" t="inlineStr">
        <is>
          <t>+LS06</t>
        </is>
      </c>
      <c r="D6934" t="inlineStr">
        <is>
          <t>-310Q1</t>
        </is>
      </c>
      <c r="E6934" t="inlineStr">
        <is>
          <t>DILA-XHI22</t>
        </is>
      </c>
      <c r="F6934" t="inlineStr">
        <is>
          <t>DILA-XHI22</t>
        </is>
      </c>
      <c r="G6934" t="inlineStr">
        <is>
          <t>HILFSKONTAKTBLOCK</t>
        </is>
      </c>
      <c r="H6934" t="inlineStr">
        <is>
          <t>2S 2OE Last+Hilfssch. Cage</t>
        </is>
      </c>
      <c r="I6934">
        <v>532</v>
      </c>
      <c r="J6934">
        <f>GS69/310.5</f>
        <v>0</v>
      </c>
      <c r="K6934" t="inlineStr">
        <is>
          <t>DIL MC25</t>
        </is>
      </c>
      <c r="M6934" t="inlineStr">
        <is>
          <t>-310Q1</t>
        </is>
      </c>
    </row>
    <row r="6935">
      <c r="A6935">
        <v>6934</v>
      </c>
      <c r="B6935">
        <f>GS69</f>
        <v>0</v>
      </c>
      <c r="C6935" t="inlineStr">
        <is>
          <t>+LS06</t>
        </is>
      </c>
      <c r="D6935" t="inlineStr">
        <is>
          <t>-310Q1</t>
        </is>
      </c>
      <c r="E6935" t="inlineStr">
        <is>
          <t>DILMC25-10(RDC24)</t>
        </is>
      </c>
      <c r="F6935" t="inlineStr">
        <is>
          <t>DILA-XHI22</t>
        </is>
      </c>
      <c r="G6935" t="inlineStr">
        <is>
          <t>LASTSCHUETZ</t>
        </is>
      </c>
      <c r="H6935" t="inlineStr">
        <is>
          <t>11kW 1S Federzugkl.</t>
        </is>
      </c>
      <c r="I6935">
        <v>532</v>
      </c>
      <c r="J6935">
        <f>GS69/310.5</f>
        <v>0</v>
      </c>
      <c r="K6935" t="inlineStr">
        <is>
          <t>DIL MC25</t>
        </is>
      </c>
      <c r="M6935" t="inlineStr">
        <is>
          <t>-310Q1</t>
        </is>
      </c>
    </row>
    <row r="6936">
      <c r="A6936">
        <v>6935</v>
      </c>
      <c r="B6936">
        <f>GS79</f>
        <v>0</v>
      </c>
      <c r="C6936" t="inlineStr">
        <is>
          <t>+LS[l1]</t>
        </is>
      </c>
      <c r="D6936" t="inlineStr">
        <is>
          <t>-310Q1</t>
        </is>
      </c>
      <c r="E6936" t="inlineStr">
        <is>
          <t>DILA-XHI22</t>
        </is>
      </c>
      <c r="F6936" t="inlineStr">
        <is>
          <t>#ÜBERLAUF!</t>
        </is>
      </c>
      <c r="G6936" t="inlineStr">
        <is>
          <t>HILFSKONTAKTBLOCK</t>
        </is>
      </c>
      <c r="H6936" t="inlineStr">
        <is>
          <t>2S 2OE Last+Hilfssch. Cage</t>
        </is>
      </c>
      <c r="I6936">
        <v>180</v>
      </c>
      <c r="J6936">
        <f>GS79/310.7</f>
        <v>0</v>
      </c>
      <c r="K6936" t="inlineStr">
        <is>
          <t>DIL MC25</t>
        </is>
      </c>
      <c r="M6936" t="inlineStr">
        <is>
          <t>-310Q1</t>
        </is>
      </c>
    </row>
    <row r="6937">
      <c r="A6937">
        <v>6936</v>
      </c>
      <c r="B6937">
        <f>GS79</f>
        <v>0</v>
      </c>
      <c r="C6937" t="inlineStr">
        <is>
          <t>+LS[l1]</t>
        </is>
      </c>
      <c r="D6937" t="inlineStr">
        <is>
          <t>-310Q1</t>
        </is>
      </c>
      <c r="E6937" t="inlineStr">
        <is>
          <t>DILA-XHI22</t>
        </is>
      </c>
      <c r="F6937" t="inlineStr">
        <is>
          <t>#ÜBERLAUF!</t>
        </is>
      </c>
      <c r="G6937" t="inlineStr">
        <is>
          <t>HILFSKONTAKTBLOCK</t>
        </is>
      </c>
      <c r="H6937" t="inlineStr">
        <is>
          <t>2S 2OE Last+Hilfssch. Cage</t>
        </is>
      </c>
      <c r="I6937">
        <v>211</v>
      </c>
      <c r="J6937">
        <f>GS79/310.7</f>
        <v>0</v>
      </c>
      <c r="K6937" t="inlineStr">
        <is>
          <t>DIL MC25</t>
        </is>
      </c>
      <c r="M6937" t="inlineStr">
        <is>
          <t>-310Q1</t>
        </is>
      </c>
    </row>
    <row r="6938">
      <c r="A6938">
        <v>6937</v>
      </c>
      <c r="B6938">
        <f>GS79</f>
        <v>0</v>
      </c>
      <c r="C6938" t="inlineStr">
        <is>
          <t>+LS[l1]</t>
        </is>
      </c>
      <c r="D6938" t="inlineStr">
        <is>
          <t>-310Q1</t>
        </is>
      </c>
      <c r="E6938" t="inlineStr">
        <is>
          <t>DILA-XHI22</t>
        </is>
      </c>
      <c r="F6938" t="inlineStr">
        <is>
          <t>#ÜBERLAUF!</t>
        </is>
      </c>
      <c r="G6938" t="inlineStr">
        <is>
          <t>HILFSKONTAKTBLOCK</t>
        </is>
      </c>
      <c r="H6938" t="inlineStr">
        <is>
          <t>2S 2OE Last+Hilfssch. Cage</t>
        </is>
      </c>
      <c r="I6938">
        <v>166</v>
      </c>
      <c r="J6938">
        <f>GS79/310.7</f>
        <v>0</v>
      </c>
      <c r="K6938" t="inlineStr">
        <is>
          <t>DIL MC25</t>
        </is>
      </c>
      <c r="M6938" t="inlineStr">
        <is>
          <t>-310Q1</t>
        </is>
      </c>
    </row>
    <row r="6939">
      <c r="A6939">
        <v>6938</v>
      </c>
      <c r="B6939">
        <f>GS79</f>
        <v>0</v>
      </c>
      <c r="C6939" t="inlineStr">
        <is>
          <t>+LS[l1]</t>
        </is>
      </c>
      <c r="D6939" t="inlineStr">
        <is>
          <t>-310Q1</t>
        </is>
      </c>
      <c r="E6939" t="inlineStr">
        <is>
          <t>DILA-XHI22</t>
        </is>
      </c>
      <c r="F6939" t="inlineStr">
        <is>
          <t>#ÜBERLAUF!</t>
        </is>
      </c>
      <c r="G6939" t="inlineStr">
        <is>
          <t>HILFSKONTAKTBLOCK</t>
        </is>
      </c>
      <c r="H6939" t="inlineStr">
        <is>
          <t>2S 2OE Last+Hilfssch. Cage</t>
        </is>
      </c>
      <c r="I6939">
        <v>186</v>
      </c>
      <c r="J6939">
        <f>GS79/310.7</f>
        <v>0</v>
      </c>
      <c r="K6939" t="inlineStr">
        <is>
          <t>DIL MC25</t>
        </is>
      </c>
      <c r="M6939" t="inlineStr">
        <is>
          <t>-310Q1</t>
        </is>
      </c>
    </row>
    <row r="6940">
      <c r="A6940">
        <v>6939</v>
      </c>
      <c r="B6940">
        <f>GS79</f>
        <v>0</v>
      </c>
      <c r="C6940" t="inlineStr">
        <is>
          <t>+LS[l1]</t>
        </is>
      </c>
      <c r="D6940" t="inlineStr">
        <is>
          <t>-310Q1</t>
        </is>
      </c>
      <c r="E6940" t="inlineStr">
        <is>
          <t>DILMC25-10(RDC24)</t>
        </is>
      </c>
      <c r="F6940" t="inlineStr">
        <is>
          <t>#ÜBERLAUF!</t>
        </is>
      </c>
      <c r="G6940" t="inlineStr">
        <is>
          <t>LASTSCHUETZ</t>
        </is>
      </c>
      <c r="H6940" t="inlineStr">
        <is>
          <t>11kW 1S Federzugkl.</t>
        </is>
      </c>
      <c r="I6940">
        <v>166</v>
      </c>
      <c r="J6940">
        <f>GS79/310.7</f>
        <v>0</v>
      </c>
      <c r="K6940" t="inlineStr">
        <is>
          <t>DIL MC25</t>
        </is>
      </c>
      <c r="M6940" t="inlineStr">
        <is>
          <t>-310Q1</t>
        </is>
      </c>
    </row>
    <row r="6941">
      <c r="A6941">
        <v>6940</v>
      </c>
      <c r="B6941">
        <f>GS79</f>
        <v>0</v>
      </c>
      <c r="C6941" t="inlineStr">
        <is>
          <t>+LS[l1]</t>
        </is>
      </c>
      <c r="D6941" t="inlineStr">
        <is>
          <t>-310Q1</t>
        </is>
      </c>
      <c r="E6941" t="inlineStr">
        <is>
          <t>DILMC25-10(RDC24)</t>
        </is>
      </c>
      <c r="F6941" t="inlineStr">
        <is>
          <t>#ÜBERLAUF!</t>
        </is>
      </c>
      <c r="G6941" t="inlineStr">
        <is>
          <t>LASTSCHUETZ</t>
        </is>
      </c>
      <c r="H6941" t="inlineStr">
        <is>
          <t>11kW 1S Federzugkl.</t>
        </is>
      </c>
      <c r="I6941">
        <v>186</v>
      </c>
      <c r="J6941">
        <f>GS79/310.7</f>
        <v>0</v>
      </c>
      <c r="K6941" t="inlineStr">
        <is>
          <t>DIL MC25</t>
        </is>
      </c>
      <c r="M6941" t="inlineStr">
        <is>
          <t>-310Q1</t>
        </is>
      </c>
    </row>
    <row r="6942">
      <c r="A6942">
        <v>6941</v>
      </c>
      <c r="B6942">
        <f>GS79</f>
        <v>0</v>
      </c>
      <c r="C6942" t="inlineStr">
        <is>
          <t>+LS[l1]</t>
        </is>
      </c>
      <c r="D6942" t="inlineStr">
        <is>
          <t>-310Q1</t>
        </is>
      </c>
      <c r="E6942" t="inlineStr">
        <is>
          <t>DILMC25-10(RDC24)</t>
        </is>
      </c>
      <c r="F6942" t="inlineStr">
        <is>
          <t>#ÜBERLAUF!</t>
        </is>
      </c>
      <c r="G6942" t="inlineStr">
        <is>
          <t>LASTSCHUETZ</t>
        </is>
      </c>
      <c r="H6942" t="inlineStr">
        <is>
          <t>11kW 1S Federzugkl.</t>
        </is>
      </c>
      <c r="I6942">
        <v>211</v>
      </c>
      <c r="J6942">
        <f>GS79/310.7</f>
        <v>0</v>
      </c>
      <c r="K6942" t="inlineStr">
        <is>
          <t>DIL MC25</t>
        </is>
      </c>
      <c r="M6942" t="inlineStr">
        <is>
          <t>-310Q1</t>
        </is>
      </c>
    </row>
    <row r="6943">
      <c r="A6943">
        <v>6942</v>
      </c>
      <c r="B6943">
        <f>GS79</f>
        <v>0</v>
      </c>
      <c r="C6943" t="inlineStr">
        <is>
          <t>+LS[l1]</t>
        </is>
      </c>
      <c r="D6943" t="inlineStr">
        <is>
          <t>-310Q1</t>
        </is>
      </c>
      <c r="E6943" t="inlineStr">
        <is>
          <t>DILMC25-10(RDC24)</t>
        </is>
      </c>
      <c r="F6943" t="inlineStr">
        <is>
          <t>#ÜBERLAUF!</t>
        </is>
      </c>
      <c r="G6943" t="inlineStr">
        <is>
          <t>LASTSCHUETZ</t>
        </is>
      </c>
      <c r="H6943" t="inlineStr">
        <is>
          <t>11kW 1S Federzugkl.</t>
        </is>
      </c>
      <c r="I6943">
        <v>180</v>
      </c>
      <c r="J6943">
        <f>GS79/310.7</f>
        <v>0</v>
      </c>
      <c r="K6943" t="inlineStr">
        <is>
          <t>DIL MC25</t>
        </is>
      </c>
      <c r="M6943" t="inlineStr">
        <is>
          <t>-310Q1</t>
        </is>
      </c>
    </row>
    <row r="6944">
      <c r="A6944">
        <v>6943</v>
      </c>
      <c r="B6944">
        <f>GS90</f>
        <v>0</v>
      </c>
      <c r="C6944" t="inlineStr">
        <is>
          <t>+LS05</t>
        </is>
      </c>
      <c r="D6944" t="inlineStr">
        <is>
          <t>-310Q1</t>
        </is>
      </c>
      <c r="E6944" t="inlineStr">
        <is>
          <t>DILMC25-10(RDC24)</t>
        </is>
      </c>
      <c r="F6944" t="inlineStr">
        <is>
          <t>DILA-XHI22</t>
        </is>
      </c>
      <c r="G6944" t="inlineStr">
        <is>
          <t>LASTSCHUETZ</t>
        </is>
      </c>
      <c r="H6944" t="inlineStr">
        <is>
          <t>11kW 1S Federzugkl.</t>
        </is>
      </c>
      <c r="I6944">
        <v>926</v>
      </c>
      <c r="J6944">
        <f>GS90/310.4</f>
        <v>0</v>
      </c>
      <c r="K6944" t="inlineStr">
        <is>
          <t>DIL MC25</t>
        </is>
      </c>
      <c r="M6944" t="inlineStr">
        <is>
          <t>-310Q1</t>
        </is>
      </c>
    </row>
    <row r="6945">
      <c r="A6945">
        <v>6944</v>
      </c>
      <c r="B6945">
        <f>GS90</f>
        <v>0</v>
      </c>
      <c r="C6945" t="inlineStr">
        <is>
          <t>+LS05</t>
        </is>
      </c>
      <c r="D6945" t="inlineStr">
        <is>
          <t>-310Q1</t>
        </is>
      </c>
      <c r="E6945" t="inlineStr">
        <is>
          <t>DILA-XHI22</t>
        </is>
      </c>
      <c r="F6945" t="inlineStr">
        <is>
          <t>DILA-XHI22</t>
        </is>
      </c>
      <c r="G6945" t="inlineStr">
        <is>
          <t>HILFSKONTAKTBLOCK</t>
        </is>
      </c>
      <c r="H6945" t="inlineStr">
        <is>
          <t>2S 2OE Last+Hilfssch. Cage</t>
        </is>
      </c>
      <c r="I6945">
        <v>926</v>
      </c>
      <c r="J6945">
        <f>GS90/310.4</f>
        <v>0</v>
      </c>
      <c r="K6945" t="inlineStr">
        <is>
          <t>DIL MC25</t>
        </is>
      </c>
      <c r="M6945" t="inlineStr">
        <is>
          <t>-310Q1</t>
        </is>
      </c>
    </row>
    <row r="6946">
      <c r="A6946">
        <v>6945</v>
      </c>
      <c r="B6946">
        <f>GS55</f>
        <v>0</v>
      </c>
      <c r="C6946" t="inlineStr">
        <is>
          <t>+LS04</t>
        </is>
      </c>
      <c r="D6946" t="inlineStr">
        <is>
          <t>-310Q135.4</t>
        </is>
      </c>
      <c r="E6946" t="inlineStr">
        <is>
          <t>DILM-9-10</t>
        </is>
      </c>
      <c r="F6946" t="inlineStr">
        <is>
          <t>#KALK!</t>
        </is>
      </c>
      <c r="G6946" t="inlineStr">
        <is>
          <t>LASTSCHUETZ</t>
        </is>
      </c>
      <c r="H6946" t="inlineStr">
        <is>
          <t>4kW 1S Federzugkl.</t>
        </is>
      </c>
      <c r="I6946">
        <v>585</v>
      </c>
      <c r="J6946">
        <f>GS55/310.6</f>
        <v>0</v>
      </c>
      <c r="K6946" t="inlineStr">
        <is>
          <t>DIL MC9</t>
        </is>
      </c>
      <c r="M6946" t="inlineStr">
        <is>
          <t>-310Q135.4</t>
        </is>
      </c>
    </row>
    <row r="6947">
      <c r="A6947">
        <v>6946</v>
      </c>
      <c r="B6947">
        <f>GS91</f>
        <v>0</v>
      </c>
      <c r="C6947" t="inlineStr">
        <is>
          <t>+LS04</t>
        </is>
      </c>
      <c r="D6947" t="inlineStr">
        <is>
          <t>-310Q177.6</t>
        </is>
      </c>
      <c r="E6947" t="inlineStr">
        <is>
          <t>DILM-9-10</t>
        </is>
      </c>
      <c r="F6947" t="inlineStr">
        <is>
          <t>#KALK!</t>
        </is>
      </c>
      <c r="G6947" t="inlineStr">
        <is>
          <t>LASTSCHUETZ</t>
        </is>
      </c>
      <c r="H6947" t="inlineStr">
        <is>
          <t>4kW 1S Federzugkl.</t>
        </is>
      </c>
      <c r="I6947">
        <v>364</v>
      </c>
      <c r="J6947">
        <f>GS91/310.5</f>
        <v>0</v>
      </c>
      <c r="M6947" t="inlineStr">
        <is>
          <t>-310Q177.6</t>
        </is>
      </c>
    </row>
    <row r="6948">
      <c r="A6948">
        <v>6947</v>
      </c>
      <c r="B6948">
        <f>GS55</f>
        <v>0</v>
      </c>
      <c r="C6948" t="inlineStr">
        <is>
          <t>+LS39</t>
        </is>
      </c>
      <c r="D6948" t="inlineStr">
        <is>
          <t>-3114K1352.1</t>
        </is>
      </c>
      <c r="E6948" t="inlineStr">
        <is>
          <t>DILA-22</t>
        </is>
      </c>
      <c r="F6948" t="inlineStr">
        <is>
          <t>#KALK!</t>
        </is>
      </c>
      <c r="G6948" t="inlineStr">
        <is>
          <t>HILFSSCHUETZ</t>
        </is>
      </c>
      <c r="H6948" t="inlineStr">
        <is>
          <t>2S 2Oe Federzugkl.</t>
        </is>
      </c>
      <c r="I6948">
        <v>3393</v>
      </c>
      <c r="J6948">
        <f>GS55/3114.5</f>
        <v>0</v>
      </c>
      <c r="M6948" t="inlineStr">
        <is>
          <t>-3114K1352.1</t>
        </is>
      </c>
    </row>
    <row r="6949">
      <c r="A6949">
        <v>6948</v>
      </c>
      <c r="B6949">
        <f>GS55</f>
        <v>0</v>
      </c>
      <c r="C6949" t="inlineStr">
        <is>
          <t>+LS39</t>
        </is>
      </c>
      <c r="D6949" t="inlineStr">
        <is>
          <t>-3114Q1</t>
        </is>
      </c>
      <c r="E6949" t="inlineStr">
        <is>
          <t>DILMC12-10(24VDC)</t>
        </is>
      </c>
      <c r="F6949" t="inlineStr">
        <is>
          <t>DILA-XHIC40</t>
        </is>
      </c>
      <c r="G6949" t="inlineStr">
        <is>
          <t>LASTSCHUETZ</t>
        </is>
      </c>
      <c r="H6949" t="inlineStr">
        <is>
          <t>5,5kW 1S Federzugkl.</t>
        </is>
      </c>
      <c r="I6949">
        <v>3393</v>
      </c>
      <c r="J6949">
        <f>GS55/3114.4</f>
        <v>0</v>
      </c>
      <c r="K6949" t="inlineStr">
        <is>
          <t>DIL MC12</t>
        </is>
      </c>
      <c r="M6949" t="inlineStr">
        <is>
          <t>-3114Q1</t>
        </is>
      </c>
    </row>
    <row r="6950">
      <c r="A6950">
        <v>6949</v>
      </c>
      <c r="B6950">
        <f>GS55</f>
        <v>0</v>
      </c>
      <c r="C6950" t="inlineStr">
        <is>
          <t>+LS39</t>
        </is>
      </c>
      <c r="D6950" t="inlineStr">
        <is>
          <t>-3114Q1</t>
        </is>
      </c>
      <c r="E6950" t="inlineStr">
        <is>
          <t>DILA-XHIC40</t>
        </is>
      </c>
      <c r="F6950" t="inlineStr">
        <is>
          <t>DILA-XHIC40</t>
        </is>
      </c>
      <c r="G6950" t="inlineStr">
        <is>
          <t>HILFSKONTAKTBLOCK</t>
        </is>
      </c>
      <c r="H6950" t="inlineStr">
        <is>
          <t>4S Last+Hilfssch. Cage</t>
        </is>
      </c>
      <c r="I6950">
        <v>3393</v>
      </c>
      <c r="J6950">
        <f>GS55/3114.4</f>
        <v>0</v>
      </c>
      <c r="K6950" t="inlineStr">
        <is>
          <t>DIL MC12</t>
        </is>
      </c>
      <c r="M6950" t="inlineStr">
        <is>
          <t>-3114Q1</t>
        </is>
      </c>
    </row>
    <row r="6951">
      <c r="A6951">
        <v>6950</v>
      </c>
      <c r="B6951">
        <f>GS13</f>
        <v>0</v>
      </c>
      <c r="C6951" t="inlineStr">
        <is>
          <t>+LS6</t>
        </is>
      </c>
      <c r="D6951" t="inlineStr">
        <is>
          <t>-31186.6</t>
        </is>
      </c>
      <c r="E6951" t="inlineStr">
        <is>
          <t>DIL_EM-10-G</t>
        </is>
      </c>
      <c r="F6951" t="inlineStr">
        <is>
          <t>#KALK!</t>
        </is>
      </c>
      <c r="G6951" t="inlineStr">
        <is>
          <t>LASTSCHUETZ</t>
        </is>
      </c>
      <c r="H6951" t="inlineStr">
        <is>
          <t>4kW 1S</t>
        </is>
      </c>
      <c r="I6951">
        <v>554</v>
      </c>
      <c r="J6951">
        <f>GS13/311.6</f>
        <v>0</v>
      </c>
      <c r="M6951" t="inlineStr">
        <is>
          <t>-31186.6</t>
        </is>
      </c>
    </row>
    <row r="6952">
      <c r="A6952">
        <v>6951</v>
      </c>
      <c r="B6952">
        <f>GS13</f>
        <v>0</v>
      </c>
      <c r="C6952" t="inlineStr">
        <is>
          <t>+LS6</t>
        </is>
      </c>
      <c r="D6952" t="inlineStr">
        <is>
          <t>-31186.7</t>
        </is>
      </c>
      <c r="E6952" t="inlineStr">
        <is>
          <t>DIL_EM-10-G</t>
        </is>
      </c>
      <c r="F6952" t="inlineStr">
        <is>
          <t>#KALK!</t>
        </is>
      </c>
      <c r="G6952" t="inlineStr">
        <is>
          <t>LASTSCHUETZ</t>
        </is>
      </c>
      <c r="H6952" t="inlineStr">
        <is>
          <t>4kW 1S</t>
        </is>
      </c>
      <c r="I6952">
        <v>554</v>
      </c>
      <c r="J6952">
        <f>GS13/311.6</f>
        <v>0</v>
      </c>
      <c r="M6952" t="inlineStr">
        <is>
          <t>-31186.7</t>
        </is>
      </c>
    </row>
    <row r="6953">
      <c r="A6953">
        <v>6952</v>
      </c>
      <c r="B6953">
        <f>GC22</f>
        <v>0</v>
      </c>
      <c r="C6953" t="inlineStr">
        <is>
          <t>+LS4</t>
        </is>
      </c>
      <c r="D6953" t="inlineStr">
        <is>
          <t>-311K1</t>
        </is>
      </c>
      <c r="E6953" t="inlineStr">
        <is>
          <t>DIL_0AM</t>
        </is>
      </c>
      <c r="F6953" t="inlineStr">
        <is>
          <t>22_DIL-M</t>
        </is>
      </c>
      <c r="G6953" t="inlineStr">
        <is>
          <t>LASTSCHUETZ</t>
        </is>
      </c>
      <c r="H6953" t="inlineStr">
        <is>
          <t>11 kW</t>
        </is>
      </c>
      <c r="I6953">
        <v>2269</v>
      </c>
      <c r="J6953">
        <f>GC22/311.2</f>
        <v>0</v>
      </c>
      <c r="K6953" t="inlineStr">
        <is>
          <t>DIL0AM</t>
        </is>
      </c>
      <c r="M6953" t="inlineStr">
        <is>
          <t>-311K1</t>
        </is>
      </c>
    </row>
    <row r="6954">
      <c r="A6954">
        <v>6953</v>
      </c>
      <c r="B6954">
        <f>GC22</f>
        <v>0</v>
      </c>
      <c r="C6954" t="inlineStr">
        <is>
          <t>+LS4</t>
        </is>
      </c>
      <c r="D6954" t="inlineStr">
        <is>
          <t>-311K1</t>
        </is>
      </c>
      <c r="E6954" t="inlineStr">
        <is>
          <t>22_DIL-M</t>
        </is>
      </c>
      <c r="F6954" t="inlineStr">
        <is>
          <t>22_DIL-M</t>
        </is>
      </c>
      <c r="G6954" t="inlineStr">
        <is>
          <t>HILFSKONTAKTBLOCK</t>
        </is>
      </c>
      <c r="H6954" t="inlineStr">
        <is>
          <t>2S 2OE Lastschuetz DIL M</t>
        </is>
      </c>
      <c r="I6954">
        <v>2269</v>
      </c>
      <c r="J6954">
        <f>GC22/311.2</f>
        <v>0</v>
      </c>
      <c r="K6954" t="inlineStr">
        <is>
          <t>DIL0AM</t>
        </is>
      </c>
      <c r="M6954" t="inlineStr">
        <is>
          <t>-311K1</t>
        </is>
      </c>
    </row>
    <row r="6955">
      <c r="A6955">
        <v>6954</v>
      </c>
      <c r="B6955">
        <f>GS12</f>
        <v>0</v>
      </c>
      <c r="C6955" t="inlineStr">
        <is>
          <t>+LS4</t>
        </is>
      </c>
      <c r="D6955" t="inlineStr">
        <is>
          <t>-311K1</t>
        </is>
      </c>
      <c r="E6955" t="inlineStr">
        <is>
          <t>DIL_0AM</t>
        </is>
      </c>
      <c r="F6955" t="inlineStr">
        <is>
          <t>22_DIL-M</t>
        </is>
      </c>
      <c r="G6955" t="inlineStr">
        <is>
          <t>LASTSCHUETZ</t>
        </is>
      </c>
      <c r="H6955" t="inlineStr">
        <is>
          <t>11 kW</t>
        </is>
      </c>
      <c r="I6955">
        <v>443</v>
      </c>
      <c r="J6955">
        <f>GS12/311.2</f>
        <v>0</v>
      </c>
      <c r="K6955" t="inlineStr">
        <is>
          <t>DIL0AM</t>
        </is>
      </c>
      <c r="M6955" t="inlineStr">
        <is>
          <t>-311K1</t>
        </is>
      </c>
    </row>
    <row r="6956">
      <c r="A6956">
        <v>6955</v>
      </c>
      <c r="B6956">
        <f>GS12</f>
        <v>0</v>
      </c>
      <c r="C6956" t="inlineStr">
        <is>
          <t>+LS4</t>
        </is>
      </c>
      <c r="D6956" t="inlineStr">
        <is>
          <t>-311K1</t>
        </is>
      </c>
      <c r="E6956" t="inlineStr">
        <is>
          <t>22_DIL-M</t>
        </is>
      </c>
      <c r="F6956" t="inlineStr">
        <is>
          <t>22_DIL-M</t>
        </is>
      </c>
      <c r="G6956" t="inlineStr">
        <is>
          <t>HILFSKONTAKTBLOCK</t>
        </is>
      </c>
      <c r="H6956" t="inlineStr">
        <is>
          <t>2S 2OE Lastschuetz DIL M</t>
        </is>
      </c>
      <c r="I6956">
        <v>443</v>
      </c>
      <c r="J6956">
        <f>GS12/311.2</f>
        <v>0</v>
      </c>
      <c r="K6956" t="inlineStr">
        <is>
          <t>DIL0AM</t>
        </is>
      </c>
      <c r="M6956" t="inlineStr">
        <is>
          <t>-311K1</t>
        </is>
      </c>
    </row>
    <row r="6957">
      <c r="A6957">
        <v>6956</v>
      </c>
      <c r="B6957">
        <f>GS11</f>
        <v>0</v>
      </c>
      <c r="C6957" t="inlineStr">
        <is>
          <t>+LS7</t>
        </is>
      </c>
      <c r="D6957" t="inlineStr">
        <is>
          <t>-311K20.6</t>
        </is>
      </c>
      <c r="E6957" t="inlineStr">
        <is>
          <t>DIL_EM-10-G</t>
        </is>
      </c>
      <c r="F6957" t="inlineStr">
        <is>
          <t>#KALK!</t>
        </is>
      </c>
      <c r="G6957" t="inlineStr">
        <is>
          <t>LASTSCHUETZ</t>
        </is>
      </c>
      <c r="H6957" t="inlineStr">
        <is>
          <t>4kW 1S</t>
        </is>
      </c>
      <c r="I6957">
        <v>75</v>
      </c>
      <c r="J6957">
        <f>GS11/311.6</f>
        <v>0</v>
      </c>
      <c r="M6957" t="inlineStr">
        <is>
          <t>-311K20.6</t>
        </is>
      </c>
    </row>
    <row r="6958">
      <c r="A6958">
        <v>6957</v>
      </c>
      <c r="B6958">
        <f>GS21</f>
        <v>0</v>
      </c>
      <c r="C6958" t="inlineStr">
        <is>
          <t>+LS7</t>
        </is>
      </c>
      <c r="D6958" t="inlineStr">
        <is>
          <t>-311K20.6</t>
        </is>
      </c>
      <c r="E6958" t="inlineStr">
        <is>
          <t>DIL_EM-10-G</t>
        </is>
      </c>
      <c r="F6958" t="inlineStr">
        <is>
          <t>#KALK!</t>
        </is>
      </c>
      <c r="G6958" t="inlineStr">
        <is>
          <t>LASTSCHUETZ</t>
        </is>
      </c>
      <c r="H6958" t="inlineStr">
        <is>
          <t>4kW 1S</t>
        </is>
      </c>
      <c r="I6958">
        <v>399</v>
      </c>
      <c r="J6958">
        <f>GS21/311.6</f>
        <v>0</v>
      </c>
      <c r="M6958" t="inlineStr">
        <is>
          <t>-311K20.6</t>
        </is>
      </c>
    </row>
    <row r="6959">
      <c r="A6959">
        <v>6958</v>
      </c>
      <c r="B6959">
        <f>GS07</f>
        <v>0</v>
      </c>
      <c r="C6959" t="inlineStr">
        <is>
          <t>+LS04</t>
        </is>
      </c>
      <c r="D6959" t="inlineStr">
        <is>
          <t>-311K400.2</t>
        </is>
      </c>
      <c r="E6959" t="inlineStr">
        <is>
          <t>DILA-31</t>
        </is>
      </c>
      <c r="F6959" t="inlineStr">
        <is>
          <t>#KALK!</t>
        </is>
      </c>
      <c r="G6959" t="inlineStr">
        <is>
          <t>HILFSSCHUETZ</t>
        </is>
      </c>
      <c r="H6959" t="inlineStr">
        <is>
          <t>3S 1Oe Federzugkl.</t>
        </is>
      </c>
      <c r="I6959">
        <v>434</v>
      </c>
      <c r="J6959">
        <f>GS07/311.2</f>
        <v>0</v>
      </c>
      <c r="M6959" t="inlineStr">
        <is>
          <t>-311K400.2</t>
        </is>
      </c>
    </row>
    <row r="6960">
      <c r="A6960">
        <v>6959</v>
      </c>
      <c r="B6960">
        <f>GS07</f>
        <v>0</v>
      </c>
      <c r="C6960" t="inlineStr">
        <is>
          <t>+LS04</t>
        </is>
      </c>
      <c r="D6960" t="inlineStr">
        <is>
          <t>-311K400.3</t>
        </is>
      </c>
      <c r="E6960" t="inlineStr">
        <is>
          <t>DILM-9-10</t>
        </is>
      </c>
      <c r="F6960" t="inlineStr">
        <is>
          <t>#KALK!</t>
        </is>
      </c>
      <c r="G6960" t="inlineStr">
        <is>
          <t>LASTSCHUETZ</t>
        </is>
      </c>
      <c r="H6960" t="inlineStr">
        <is>
          <t>4kW 1S Federzugkl.</t>
        </is>
      </c>
      <c r="I6960">
        <v>434</v>
      </c>
      <c r="J6960">
        <f>GS07/311.3</f>
        <v>0</v>
      </c>
      <c r="M6960" t="inlineStr">
        <is>
          <t>-311K400.3</t>
        </is>
      </c>
    </row>
    <row r="6961">
      <c r="A6961">
        <v>6960</v>
      </c>
      <c r="B6961">
        <f>GS07</f>
        <v>0</v>
      </c>
      <c r="C6961" t="inlineStr">
        <is>
          <t>+LS04</t>
        </is>
      </c>
      <c r="D6961" t="inlineStr">
        <is>
          <t>-311K400.4</t>
        </is>
      </c>
      <c r="E6961" t="inlineStr">
        <is>
          <t>DILM-9-10</t>
        </is>
      </c>
      <c r="F6961" t="inlineStr">
        <is>
          <t>#KALK!</t>
        </is>
      </c>
      <c r="G6961" t="inlineStr">
        <is>
          <t>LASTSCHUETZ</t>
        </is>
      </c>
      <c r="H6961" t="inlineStr">
        <is>
          <t>4kW 1S Federzugkl.</t>
        </is>
      </c>
      <c r="I6961">
        <v>434</v>
      </c>
      <c r="J6961">
        <f>GS07/311.3</f>
        <v>0</v>
      </c>
      <c r="M6961" t="inlineStr">
        <is>
          <t>-311K400.4</t>
        </is>
      </c>
    </row>
    <row r="6962">
      <c r="A6962">
        <v>6961</v>
      </c>
      <c r="B6962">
        <f>GS32</f>
        <v>0</v>
      </c>
      <c r="C6962" t="inlineStr">
        <is>
          <t>+LS7</t>
        </is>
      </c>
      <c r="D6962" t="inlineStr">
        <is>
          <t>-311K63.0</t>
        </is>
      </c>
      <c r="E6962" t="inlineStr">
        <is>
          <t>DIL_EM-10-G</t>
        </is>
      </c>
      <c r="F6962" t="inlineStr">
        <is>
          <t>#KALK!</t>
        </is>
      </c>
      <c r="G6962" t="inlineStr">
        <is>
          <t>LASTSCHUETZ</t>
        </is>
      </c>
      <c r="H6962" t="inlineStr">
        <is>
          <t>4kW 1S</t>
        </is>
      </c>
      <c r="I6962">
        <v>1296</v>
      </c>
      <c r="J6962">
        <f>GS32/311.6</f>
        <v>0</v>
      </c>
      <c r="M6962" t="inlineStr">
        <is>
          <t>-311K63.0</t>
        </is>
      </c>
    </row>
    <row r="6963">
      <c r="A6963">
        <v>6962</v>
      </c>
      <c r="B6963">
        <f>GS32</f>
        <v>0</v>
      </c>
      <c r="C6963" t="inlineStr">
        <is>
          <t>+LS7</t>
        </is>
      </c>
      <c r="D6963" t="inlineStr">
        <is>
          <t>-311K63.1</t>
        </is>
      </c>
      <c r="E6963" t="inlineStr">
        <is>
          <t>DIL_EM-10-G</t>
        </is>
      </c>
      <c r="F6963" t="inlineStr">
        <is>
          <t>#KALK!</t>
        </is>
      </c>
      <c r="G6963" t="inlineStr">
        <is>
          <t>LASTSCHUETZ</t>
        </is>
      </c>
      <c r="H6963" t="inlineStr">
        <is>
          <t>4kW 1S</t>
        </is>
      </c>
      <c r="I6963">
        <v>1296</v>
      </c>
      <c r="J6963">
        <f>GS32/311.6</f>
        <v>0</v>
      </c>
      <c r="M6963" t="inlineStr">
        <is>
          <t>-311K63.1</t>
        </is>
      </c>
    </row>
    <row r="6964">
      <c r="A6964">
        <v>6963</v>
      </c>
      <c r="B6964">
        <f>GS11</f>
        <v>0</v>
      </c>
      <c r="C6964" t="inlineStr">
        <is>
          <t>+LS7</t>
        </is>
      </c>
      <c r="D6964" t="inlineStr">
        <is>
          <t>-311K76.2</t>
        </is>
      </c>
      <c r="E6964" t="inlineStr">
        <is>
          <t>DIL_EM-10-G</t>
        </is>
      </c>
      <c r="F6964" t="inlineStr">
        <is>
          <t>#KALK!</t>
        </is>
      </c>
      <c r="G6964" t="inlineStr">
        <is>
          <t>LASTSCHUETZ</t>
        </is>
      </c>
      <c r="H6964" t="inlineStr">
        <is>
          <t>4kW 1S</t>
        </is>
      </c>
      <c r="I6964">
        <v>75</v>
      </c>
      <c r="J6964">
        <f>GS11/311.6</f>
        <v>0</v>
      </c>
      <c r="M6964" t="inlineStr">
        <is>
          <t>-311K76.2</t>
        </is>
      </c>
    </row>
    <row r="6965">
      <c r="A6965">
        <v>6964</v>
      </c>
      <c r="B6965">
        <f>GS21</f>
        <v>0</v>
      </c>
      <c r="C6965" t="inlineStr">
        <is>
          <t>+LS7</t>
        </is>
      </c>
      <c r="D6965" t="inlineStr">
        <is>
          <t>-311K76.2</t>
        </is>
      </c>
      <c r="E6965" t="inlineStr">
        <is>
          <t>DIL_EM-10-G</t>
        </is>
      </c>
      <c r="F6965" t="inlineStr">
        <is>
          <t>#KALK!</t>
        </is>
      </c>
      <c r="G6965" t="inlineStr">
        <is>
          <t>LASTSCHUETZ</t>
        </is>
      </c>
      <c r="H6965" t="inlineStr">
        <is>
          <t>4kW 1S</t>
        </is>
      </c>
      <c r="I6965">
        <v>399</v>
      </c>
      <c r="J6965">
        <f>GS21/311.6</f>
        <v>0</v>
      </c>
      <c r="M6965" t="inlineStr">
        <is>
          <t>-311K76.2</t>
        </is>
      </c>
    </row>
    <row r="6966">
      <c r="A6966">
        <v>6965</v>
      </c>
      <c r="B6966">
        <f>GC03</f>
        <v>0</v>
      </c>
      <c r="C6966" t="inlineStr">
        <is>
          <t>+LS8</t>
        </is>
      </c>
      <c r="D6966" t="inlineStr">
        <is>
          <t>-311K83.3</t>
        </is>
      </c>
      <c r="E6966" t="inlineStr">
        <is>
          <t>DIL_EM-10-G</t>
        </is>
      </c>
      <c r="F6966" t="inlineStr">
        <is>
          <t>#KALK!</t>
        </is>
      </c>
      <c r="G6966" t="inlineStr">
        <is>
          <t>LASTSCHUETZ</t>
        </is>
      </c>
      <c r="H6966" t="inlineStr">
        <is>
          <t>4kW 1S</t>
        </is>
      </c>
      <c r="I6966">
        <v>3951</v>
      </c>
      <c r="J6966">
        <f>GC03/311.6</f>
        <v>0</v>
      </c>
      <c r="M6966" t="inlineStr">
        <is>
          <t>-311K83.3</t>
        </is>
      </c>
    </row>
    <row r="6967">
      <c r="A6967">
        <v>6966</v>
      </c>
      <c r="B6967">
        <f>GC03</f>
        <v>0</v>
      </c>
      <c r="C6967" t="inlineStr">
        <is>
          <t>+LS8</t>
        </is>
      </c>
      <c r="D6967" t="inlineStr">
        <is>
          <t>-311K83.4</t>
        </is>
      </c>
      <c r="E6967" t="inlineStr">
        <is>
          <t>DIL_EM-10-G</t>
        </is>
      </c>
      <c r="F6967" t="inlineStr">
        <is>
          <t>#KALK!</t>
        </is>
      </c>
      <c r="G6967" t="inlineStr">
        <is>
          <t>LASTSCHUETZ</t>
        </is>
      </c>
      <c r="H6967" t="inlineStr">
        <is>
          <t>4kW 1S</t>
        </is>
      </c>
      <c r="I6967">
        <v>3951</v>
      </c>
      <c r="J6967">
        <f>GC03/311.6</f>
        <v>0</v>
      </c>
      <c r="M6967" t="inlineStr">
        <is>
          <t>-311K83.4</t>
        </is>
      </c>
    </row>
    <row r="6968">
      <c r="A6968">
        <v>6967</v>
      </c>
      <c r="B6968">
        <f>GS23</f>
        <v>0</v>
      </c>
      <c r="C6968" t="inlineStr">
        <is>
          <t>+LS6</t>
        </is>
      </c>
      <c r="D6968" t="inlineStr">
        <is>
          <t>-311K86.6</t>
        </is>
      </c>
      <c r="E6968" t="inlineStr">
        <is>
          <t>DIL_EM-10-G</t>
        </is>
      </c>
      <c r="F6968" t="inlineStr">
        <is>
          <t>#KALK!</t>
        </is>
      </c>
      <c r="G6968" t="inlineStr">
        <is>
          <t>LASTSCHUETZ</t>
        </is>
      </c>
      <c r="H6968" t="inlineStr">
        <is>
          <t>4kW 1S</t>
        </is>
      </c>
      <c r="I6968">
        <v>612</v>
      </c>
      <c r="J6968">
        <f>GS23/311.6</f>
        <v>0</v>
      </c>
      <c r="M6968" t="inlineStr">
        <is>
          <t>-311K86.6</t>
        </is>
      </c>
    </row>
    <row r="6969">
      <c r="A6969">
        <v>6968</v>
      </c>
      <c r="B6969">
        <f>GS23</f>
        <v>0</v>
      </c>
      <c r="C6969" t="inlineStr">
        <is>
          <t>+LS6</t>
        </is>
      </c>
      <c r="D6969" t="inlineStr">
        <is>
          <t>-311K86.7</t>
        </is>
      </c>
      <c r="E6969" t="inlineStr">
        <is>
          <t>DIL_EM-10-G</t>
        </is>
      </c>
      <c r="F6969" t="inlineStr">
        <is>
          <t>#KALK!</t>
        </is>
      </c>
      <c r="G6969" t="inlineStr">
        <is>
          <t>LASTSCHUETZ</t>
        </is>
      </c>
      <c r="H6969" t="inlineStr">
        <is>
          <t>4kW 1S</t>
        </is>
      </c>
      <c r="I6969">
        <v>612</v>
      </c>
      <c r="J6969">
        <f>GS23/311.6</f>
        <v>0</v>
      </c>
      <c r="M6969" t="inlineStr">
        <is>
          <t>-311K86.7</t>
        </is>
      </c>
    </row>
    <row r="6970">
      <c r="A6970">
        <v>6969</v>
      </c>
      <c r="B6970">
        <f>GS55</f>
        <v>0</v>
      </c>
      <c r="C6970" t="inlineStr">
        <is>
          <t>+LS04</t>
        </is>
      </c>
      <c r="D6970" t="inlineStr">
        <is>
          <t>-311Q135.5</t>
        </is>
      </c>
      <c r="E6970" t="inlineStr">
        <is>
          <t>DILM-9-10</t>
        </is>
      </c>
      <c r="F6970" t="inlineStr">
        <is>
          <t>DILA-XHI22</t>
        </is>
      </c>
      <c r="G6970" t="inlineStr">
        <is>
          <t>LASTSCHUETZ</t>
        </is>
      </c>
      <c r="H6970" t="inlineStr">
        <is>
          <t>4kW 1S Federzugkl.</t>
        </is>
      </c>
      <c r="I6970">
        <v>586</v>
      </c>
      <c r="J6970">
        <f>GS55/311.6</f>
        <v>0</v>
      </c>
      <c r="K6970" t="inlineStr">
        <is>
          <t>DIL MC9</t>
        </is>
      </c>
      <c r="M6970" t="inlineStr">
        <is>
          <t>-311Q135.5</t>
        </is>
      </c>
    </row>
    <row r="6971">
      <c r="A6971">
        <v>6970</v>
      </c>
      <c r="B6971">
        <f>GS55</f>
        <v>0</v>
      </c>
      <c r="C6971" t="inlineStr">
        <is>
          <t>+LS04</t>
        </is>
      </c>
      <c r="D6971" t="inlineStr">
        <is>
          <t>-311Q135.5</t>
        </is>
      </c>
      <c r="E6971" t="inlineStr">
        <is>
          <t>DILA-XHI22</t>
        </is>
      </c>
      <c r="F6971" t="inlineStr">
        <is>
          <t>DILA-XHI22</t>
        </is>
      </c>
      <c r="G6971" t="inlineStr">
        <is>
          <t>HILFSKONTAKTBLOCK</t>
        </is>
      </c>
      <c r="H6971" t="inlineStr">
        <is>
          <t>2S 2OE Last+Hilfssch. Cage</t>
        </is>
      </c>
      <c r="I6971">
        <v>586</v>
      </c>
      <c r="J6971">
        <f>GS55/311.6</f>
        <v>0</v>
      </c>
      <c r="K6971" t="inlineStr">
        <is>
          <t>DIL MC9</t>
        </is>
      </c>
      <c r="M6971" t="inlineStr">
        <is>
          <t>-311Q135.5</t>
        </is>
      </c>
    </row>
    <row r="6972">
      <c r="A6972">
        <v>6971</v>
      </c>
      <c r="B6972">
        <f>GS55</f>
        <v>0</v>
      </c>
      <c r="C6972" t="inlineStr">
        <is>
          <t>+LS04</t>
        </is>
      </c>
      <c r="D6972" t="inlineStr">
        <is>
          <t>-311Q135.7</t>
        </is>
      </c>
      <c r="E6972" t="inlineStr">
        <is>
          <t>DILM-9-10</t>
        </is>
      </c>
      <c r="F6972" t="inlineStr">
        <is>
          <t>DILA-XHI22</t>
        </is>
      </c>
      <c r="G6972" t="inlineStr">
        <is>
          <t>LASTSCHUETZ</t>
        </is>
      </c>
      <c r="H6972" t="inlineStr">
        <is>
          <t>4kW 1S Federzugkl.</t>
        </is>
      </c>
      <c r="I6972">
        <v>586</v>
      </c>
      <c r="J6972">
        <f>GS55/311.7</f>
        <v>0</v>
      </c>
      <c r="K6972" t="inlineStr">
        <is>
          <t>DIL MC9</t>
        </is>
      </c>
      <c r="M6972" t="inlineStr">
        <is>
          <t>-311Q135.7</t>
        </is>
      </c>
    </row>
    <row r="6973">
      <c r="A6973">
        <v>6972</v>
      </c>
      <c r="B6973">
        <f>GS55</f>
        <v>0</v>
      </c>
      <c r="C6973" t="inlineStr">
        <is>
          <t>+LS04</t>
        </is>
      </c>
      <c r="D6973" t="inlineStr">
        <is>
          <t>-311Q135.7</t>
        </is>
      </c>
      <c r="E6973" t="inlineStr">
        <is>
          <t>DILA-XHI22</t>
        </is>
      </c>
      <c r="F6973" t="inlineStr">
        <is>
          <t>DILA-XHI22</t>
        </is>
      </c>
      <c r="G6973" t="inlineStr">
        <is>
          <t>HILFSKONTAKTBLOCK</t>
        </is>
      </c>
      <c r="H6973" t="inlineStr">
        <is>
          <t>2S 2OE Last+Hilfssch. Cage</t>
        </is>
      </c>
      <c r="I6973">
        <v>586</v>
      </c>
      <c r="J6973">
        <f>GS55/311.7</f>
        <v>0</v>
      </c>
      <c r="K6973" t="inlineStr">
        <is>
          <t>DIL MC9</t>
        </is>
      </c>
      <c r="M6973" t="inlineStr">
        <is>
          <t>-311Q135.7</t>
        </is>
      </c>
    </row>
    <row r="6974">
      <c r="A6974">
        <v>6973</v>
      </c>
      <c r="B6974">
        <f>GS55</f>
        <v>0</v>
      </c>
      <c r="C6974" t="inlineStr">
        <is>
          <t>+LS39</t>
        </is>
      </c>
      <c r="D6974" t="inlineStr">
        <is>
          <t>-3120Q1</t>
        </is>
      </c>
      <c r="E6974" t="inlineStr">
        <is>
          <t>DILMC25-10(RDC24)</t>
        </is>
      </c>
      <c r="F6974" t="inlineStr">
        <is>
          <t>DILA-XHI22</t>
        </is>
      </c>
      <c r="G6974" t="inlineStr">
        <is>
          <t>LASTSCHUETZ</t>
        </is>
      </c>
      <c r="H6974" t="inlineStr">
        <is>
          <t>11kW 1S Federzugkl.</t>
        </is>
      </c>
      <c r="I6974">
        <v>3417</v>
      </c>
      <c r="J6974">
        <f>GS55/3120.6</f>
        <v>0</v>
      </c>
      <c r="K6974" t="inlineStr">
        <is>
          <t>DIL MC25</t>
        </is>
      </c>
      <c r="M6974" t="inlineStr">
        <is>
          <t>-3120Q1</t>
        </is>
      </c>
    </row>
    <row r="6975">
      <c r="A6975">
        <v>6974</v>
      </c>
      <c r="B6975">
        <f>GS55</f>
        <v>0</v>
      </c>
      <c r="C6975" t="inlineStr">
        <is>
          <t>+LS39</t>
        </is>
      </c>
      <c r="D6975" t="inlineStr">
        <is>
          <t>-3120Q1</t>
        </is>
      </c>
      <c r="E6975" t="inlineStr">
        <is>
          <t>DILA-XHI22</t>
        </is>
      </c>
      <c r="F6975" t="inlineStr">
        <is>
          <t>DILA-XHI22</t>
        </is>
      </c>
      <c r="G6975" t="inlineStr">
        <is>
          <t>HILFSKONTAKTBLOCK</t>
        </is>
      </c>
      <c r="H6975" t="inlineStr">
        <is>
          <t>2S 2OE Last+Hilfssch. Cage</t>
        </is>
      </c>
      <c r="I6975">
        <v>3417</v>
      </c>
      <c r="J6975">
        <f>GS55/3120.6</f>
        <v>0</v>
      </c>
      <c r="K6975" t="inlineStr">
        <is>
          <t>DIL MC25</t>
        </is>
      </c>
      <c r="M6975" t="inlineStr">
        <is>
          <t>-3120Q1</t>
        </is>
      </c>
    </row>
    <row r="6976">
      <c r="A6976">
        <v>6975</v>
      </c>
      <c r="B6976">
        <f>GS55</f>
        <v>0</v>
      </c>
      <c r="C6976" t="inlineStr">
        <is>
          <t>+LS39</t>
        </is>
      </c>
      <c r="D6976" t="inlineStr">
        <is>
          <t>-3122Q1356.6</t>
        </is>
      </c>
      <c r="E6976" t="inlineStr">
        <is>
          <t>DILM-9-10</t>
        </is>
      </c>
      <c r="F6976" t="inlineStr">
        <is>
          <t>#KALK!</t>
        </is>
      </c>
      <c r="G6976" t="inlineStr">
        <is>
          <t>LASTSCHUETZ</t>
        </is>
      </c>
      <c r="H6976" t="inlineStr">
        <is>
          <t>4kW 1S Federzugkl.</t>
        </is>
      </c>
      <c r="I6976">
        <v>3437</v>
      </c>
      <c r="J6976">
        <f>GS55/3122.6</f>
        <v>0</v>
      </c>
      <c r="K6976" t="inlineStr">
        <is>
          <t>DIL MC9</t>
        </is>
      </c>
      <c r="M6976" t="inlineStr">
        <is>
          <t>-3122Q1356.6</t>
        </is>
      </c>
    </row>
    <row r="6977">
      <c r="A6977">
        <v>6976</v>
      </c>
      <c r="B6977">
        <f>GS13</f>
        <v>0</v>
      </c>
      <c r="C6977" t="inlineStr">
        <is>
          <t>+LS6</t>
        </is>
      </c>
      <c r="D6977" t="inlineStr">
        <is>
          <t>-31287.0</t>
        </is>
      </c>
      <c r="E6977" t="inlineStr">
        <is>
          <t>DIL_EM-10-G</t>
        </is>
      </c>
      <c r="F6977" t="inlineStr">
        <is>
          <t>#KALK!</t>
        </is>
      </c>
      <c r="G6977" t="inlineStr">
        <is>
          <t>LASTSCHUETZ</t>
        </is>
      </c>
      <c r="H6977" t="inlineStr">
        <is>
          <t>4kW 1S</t>
        </is>
      </c>
      <c r="I6977">
        <v>555</v>
      </c>
      <c r="J6977">
        <f>GS13/312.6</f>
        <v>0</v>
      </c>
      <c r="M6977" t="inlineStr">
        <is>
          <t>-31287.0</t>
        </is>
      </c>
    </row>
    <row r="6978">
      <c r="A6978">
        <v>6977</v>
      </c>
      <c r="B6978">
        <f>GS15</f>
        <v>0</v>
      </c>
      <c r="C6978" t="inlineStr">
        <is>
          <t>+LS6</t>
        </is>
      </c>
      <c r="D6978" t="inlineStr">
        <is>
          <t>-312K14.0</t>
        </is>
      </c>
      <c r="E6978" t="inlineStr">
        <is>
          <t>DIL_EM-10-G</t>
        </is>
      </c>
      <c r="F6978" t="inlineStr">
        <is>
          <t>#KALK!</t>
        </is>
      </c>
      <c r="G6978" t="inlineStr">
        <is>
          <t>LASTSCHUETZ</t>
        </is>
      </c>
      <c r="H6978" t="inlineStr">
        <is>
          <t>4kW 1S</t>
        </is>
      </c>
      <c r="I6978">
        <v>810</v>
      </c>
      <c r="J6978">
        <f>GS15/312.6</f>
        <v>0</v>
      </c>
      <c r="M6978" t="inlineStr">
        <is>
          <t>-312K14.0</t>
        </is>
      </c>
    </row>
    <row r="6979">
      <c r="A6979">
        <v>6978</v>
      </c>
      <c r="B6979">
        <f>GS15</f>
        <v>0</v>
      </c>
      <c r="C6979" t="inlineStr">
        <is>
          <t>+LS6</t>
        </is>
      </c>
      <c r="D6979" t="inlineStr">
        <is>
          <t>-312K14.1</t>
        </is>
      </c>
      <c r="E6979" t="inlineStr">
        <is>
          <t>DIL_EM-10-G</t>
        </is>
      </c>
      <c r="F6979" t="inlineStr">
        <is>
          <t>#KALK!</t>
        </is>
      </c>
      <c r="G6979" t="inlineStr">
        <is>
          <t>LASTSCHUETZ</t>
        </is>
      </c>
      <c r="H6979" t="inlineStr">
        <is>
          <t>4kW 1S</t>
        </is>
      </c>
      <c r="I6979">
        <v>810</v>
      </c>
      <c r="J6979">
        <f>GS15/312.6</f>
        <v>0</v>
      </c>
      <c r="M6979" t="inlineStr">
        <is>
          <t>-312K14.1</t>
        </is>
      </c>
    </row>
    <row r="6980">
      <c r="A6980">
        <v>6979</v>
      </c>
      <c r="B6980">
        <f>GS11</f>
        <v>0</v>
      </c>
      <c r="C6980" t="inlineStr">
        <is>
          <t>+LS7</t>
        </is>
      </c>
      <c r="D6980" t="inlineStr">
        <is>
          <t>-312K20.7</t>
        </is>
      </c>
      <c r="E6980" t="inlineStr">
        <is>
          <t>DIL_EM-10-G</t>
        </is>
      </c>
      <c r="F6980" t="inlineStr">
        <is>
          <t>#KALK!</t>
        </is>
      </c>
      <c r="G6980" t="inlineStr">
        <is>
          <t>LASTSCHUETZ</t>
        </is>
      </c>
      <c r="H6980" t="inlineStr">
        <is>
          <t>4kW 1S</t>
        </is>
      </c>
      <c r="I6980">
        <v>76</v>
      </c>
      <c r="J6980">
        <f>GS11/312.6</f>
        <v>0</v>
      </c>
      <c r="M6980" t="inlineStr">
        <is>
          <t>-312K20.7</t>
        </is>
      </c>
    </row>
    <row r="6981">
      <c r="A6981">
        <v>6980</v>
      </c>
      <c r="B6981">
        <f>GS21</f>
        <v>0</v>
      </c>
      <c r="C6981" t="inlineStr">
        <is>
          <t>+LS7</t>
        </is>
      </c>
      <c r="D6981" t="inlineStr">
        <is>
          <t>-312K20.7</t>
        </is>
      </c>
      <c r="E6981" t="inlineStr">
        <is>
          <t>DIL_EM-10-G</t>
        </is>
      </c>
      <c r="F6981" t="inlineStr">
        <is>
          <t>#KALK!</t>
        </is>
      </c>
      <c r="G6981" t="inlineStr">
        <is>
          <t>LASTSCHUETZ</t>
        </is>
      </c>
      <c r="H6981" t="inlineStr">
        <is>
          <t>4kW 1S</t>
        </is>
      </c>
      <c r="I6981">
        <v>400</v>
      </c>
      <c r="J6981">
        <f>GS21/312.6</f>
        <v>0</v>
      </c>
      <c r="M6981" t="inlineStr">
        <is>
          <t>-312K20.7</t>
        </is>
      </c>
    </row>
    <row r="6982">
      <c r="A6982">
        <v>6981</v>
      </c>
      <c r="B6982">
        <f>GS16</f>
        <v>0</v>
      </c>
      <c r="C6982" t="inlineStr">
        <is>
          <t>+LS5</t>
        </is>
      </c>
      <c r="D6982" t="inlineStr">
        <is>
          <t>-312K3763.0</t>
        </is>
      </c>
      <c r="E6982" t="inlineStr">
        <is>
          <t>DIL_EM-01-G</t>
        </is>
      </c>
      <c r="F6982" t="inlineStr">
        <is>
          <t>#KALK!</t>
        </is>
      </c>
      <c r="G6982" t="inlineStr">
        <is>
          <t>LASTSCHUETZ</t>
        </is>
      </c>
      <c r="H6982" t="inlineStr">
        <is>
          <t>4kW 1OE</t>
        </is>
      </c>
      <c r="I6982">
        <v>540</v>
      </c>
      <c r="J6982">
        <f>GS16/312.6</f>
        <v>0</v>
      </c>
      <c r="M6982" t="inlineStr">
        <is>
          <t>-312K3763.0</t>
        </is>
      </c>
    </row>
    <row r="6983">
      <c r="A6983">
        <v>6982</v>
      </c>
      <c r="B6983">
        <f>GS16</f>
        <v>0</v>
      </c>
      <c r="C6983" t="inlineStr">
        <is>
          <t>+LS5</t>
        </is>
      </c>
      <c r="D6983" t="inlineStr">
        <is>
          <t>-312K3763.1</t>
        </is>
      </c>
      <c r="E6983" t="inlineStr">
        <is>
          <t>DIL_EM-01-G</t>
        </is>
      </c>
      <c r="F6983" t="inlineStr">
        <is>
          <t>#KALK!</t>
        </is>
      </c>
      <c r="G6983" t="inlineStr">
        <is>
          <t>LASTSCHUETZ</t>
        </is>
      </c>
      <c r="H6983" t="inlineStr">
        <is>
          <t>4kW 1OE</t>
        </is>
      </c>
      <c r="I6983">
        <v>540</v>
      </c>
      <c r="J6983">
        <f>GS16/312.6</f>
        <v>0</v>
      </c>
      <c r="M6983" t="inlineStr">
        <is>
          <t>-312K3763.1</t>
        </is>
      </c>
    </row>
    <row r="6984">
      <c r="A6984">
        <v>6983</v>
      </c>
      <c r="B6984">
        <f>GS38</f>
        <v>0</v>
      </c>
      <c r="C6984" t="inlineStr">
        <is>
          <t>+LS06</t>
        </is>
      </c>
      <c r="D6984" t="inlineStr">
        <is>
          <t>-312K423.2</t>
        </is>
      </c>
      <c r="E6984" t="inlineStr">
        <is>
          <t>DILA-22</t>
        </is>
      </c>
      <c r="F6984" t="inlineStr">
        <is>
          <t>#KALK!</t>
        </is>
      </c>
      <c r="G6984" t="inlineStr">
        <is>
          <t>HILFSSCHUETZ</t>
        </is>
      </c>
      <c r="H6984" t="inlineStr">
        <is>
          <t>2S 2Oe Federzugkl.</t>
        </is>
      </c>
      <c r="I6984">
        <v>477</v>
      </c>
      <c r="J6984">
        <f>GS38/312.6</f>
        <v>0</v>
      </c>
      <c r="M6984" t="inlineStr">
        <is>
          <t>-312K423.2</t>
        </is>
      </c>
    </row>
    <row r="6985">
      <c r="A6985">
        <v>6984</v>
      </c>
      <c r="B6985">
        <f>GS39</f>
        <v>0</v>
      </c>
      <c r="C6985" t="inlineStr">
        <is>
          <t>+LS06</t>
        </is>
      </c>
      <c r="D6985" t="inlineStr">
        <is>
          <t>-312K423.2</t>
        </is>
      </c>
      <c r="E6985" t="inlineStr">
        <is>
          <t>DILA-22</t>
        </is>
      </c>
      <c r="F6985" t="inlineStr">
        <is>
          <t>#KALK!</t>
        </is>
      </c>
      <c r="G6985" t="inlineStr">
        <is>
          <t>HILFSSCHUETZ</t>
        </is>
      </c>
      <c r="H6985" t="inlineStr">
        <is>
          <t>2S 2Oe Federzugkl.</t>
        </is>
      </c>
      <c r="I6985">
        <v>478</v>
      </c>
      <c r="J6985">
        <f>GS39/312.6</f>
        <v>0</v>
      </c>
      <c r="M6985" t="inlineStr">
        <is>
          <t>-312K423.2</t>
        </is>
      </c>
    </row>
    <row r="6986">
      <c r="A6986">
        <v>6985</v>
      </c>
      <c r="B6986">
        <f>GS32</f>
        <v>0</v>
      </c>
      <c r="C6986" t="inlineStr">
        <is>
          <t>+LS7</t>
        </is>
      </c>
      <c r="D6986" t="inlineStr">
        <is>
          <t>-312K63.2</t>
        </is>
      </c>
      <c r="E6986" t="inlineStr">
        <is>
          <t>DIL_EM-10-G</t>
        </is>
      </c>
      <c r="F6986" t="inlineStr">
        <is>
          <t>#KALK!</t>
        </is>
      </c>
      <c r="G6986" t="inlineStr">
        <is>
          <t>LASTSCHUETZ</t>
        </is>
      </c>
      <c r="H6986" t="inlineStr">
        <is>
          <t>4kW 1S</t>
        </is>
      </c>
      <c r="I6986">
        <v>1295</v>
      </c>
      <c r="J6986">
        <f>GS32/312.6</f>
        <v>0</v>
      </c>
      <c r="M6986" t="inlineStr">
        <is>
          <t>-312K63.2</t>
        </is>
      </c>
    </row>
    <row r="6987">
      <c r="A6987">
        <v>6986</v>
      </c>
      <c r="B6987">
        <f>GS32</f>
        <v>0</v>
      </c>
      <c r="C6987" t="inlineStr">
        <is>
          <t>+LS7</t>
        </is>
      </c>
      <c r="D6987" t="inlineStr">
        <is>
          <t>-312K63.3</t>
        </is>
      </c>
      <c r="E6987" t="inlineStr">
        <is>
          <t>DIL_EM-10-G</t>
        </is>
      </c>
      <c r="F6987" t="inlineStr">
        <is>
          <t>#KALK!</t>
        </is>
      </c>
      <c r="G6987" t="inlineStr">
        <is>
          <t>LASTSCHUETZ</t>
        </is>
      </c>
      <c r="H6987" t="inlineStr">
        <is>
          <t>4kW 1S</t>
        </is>
      </c>
      <c r="I6987">
        <v>1295</v>
      </c>
      <c r="J6987">
        <f>GS32/312.6</f>
        <v>0</v>
      </c>
      <c r="M6987" t="inlineStr">
        <is>
          <t>-312K63.3</t>
        </is>
      </c>
    </row>
    <row r="6988">
      <c r="A6988">
        <v>6987</v>
      </c>
      <c r="B6988">
        <f>GS11</f>
        <v>0</v>
      </c>
      <c r="C6988" t="inlineStr">
        <is>
          <t>+LS7</t>
        </is>
      </c>
      <c r="D6988" t="inlineStr">
        <is>
          <t>-312K76.3</t>
        </is>
      </c>
      <c r="E6988" t="inlineStr">
        <is>
          <t>DIL_EM-10-G</t>
        </is>
      </c>
      <c r="F6988" t="inlineStr">
        <is>
          <t>#KALK!</t>
        </is>
      </c>
      <c r="G6988" t="inlineStr">
        <is>
          <t>LASTSCHUETZ</t>
        </is>
      </c>
      <c r="H6988" t="inlineStr">
        <is>
          <t>4kW 1S</t>
        </is>
      </c>
      <c r="I6988">
        <v>76</v>
      </c>
      <c r="J6988">
        <f>GS11/312.6</f>
        <v>0</v>
      </c>
      <c r="M6988" t="inlineStr">
        <is>
          <t>-312K76.3</t>
        </is>
      </c>
    </row>
    <row r="6989">
      <c r="A6989">
        <v>6988</v>
      </c>
      <c r="B6989">
        <f>GS21</f>
        <v>0</v>
      </c>
      <c r="C6989" t="inlineStr">
        <is>
          <t>+LS7</t>
        </is>
      </c>
      <c r="D6989" t="inlineStr">
        <is>
          <t>-312K76.3</t>
        </is>
      </c>
      <c r="E6989" t="inlineStr">
        <is>
          <t>DIL_EM-10-G</t>
        </is>
      </c>
      <c r="F6989" t="inlineStr">
        <is>
          <t>#KALK!</t>
        </is>
      </c>
      <c r="G6989" t="inlineStr">
        <is>
          <t>LASTSCHUETZ</t>
        </is>
      </c>
      <c r="H6989" t="inlineStr">
        <is>
          <t>4kW 1S</t>
        </is>
      </c>
      <c r="I6989">
        <v>400</v>
      </c>
      <c r="J6989">
        <f>GS21/312.6</f>
        <v>0</v>
      </c>
      <c r="M6989" t="inlineStr">
        <is>
          <t>-312K76.3</t>
        </is>
      </c>
    </row>
    <row r="6990">
      <c r="A6990">
        <v>6989</v>
      </c>
      <c r="B6990">
        <f>GC03</f>
        <v>0</v>
      </c>
      <c r="C6990" t="inlineStr">
        <is>
          <t>+LS8</t>
        </is>
      </c>
      <c r="D6990" t="inlineStr">
        <is>
          <t>-312K83.5</t>
        </is>
      </c>
      <c r="E6990" t="inlineStr">
        <is>
          <t>DIL_EM-10-G</t>
        </is>
      </c>
      <c r="F6990" t="inlineStr">
        <is>
          <t>#KALK!</t>
        </is>
      </c>
      <c r="G6990" t="inlineStr">
        <is>
          <t>LASTSCHUETZ</t>
        </is>
      </c>
      <c r="H6990" t="inlineStr">
        <is>
          <t>4kW 1S</t>
        </is>
      </c>
      <c r="I6990">
        <v>3950</v>
      </c>
      <c r="J6990">
        <f>GC03/312.6</f>
        <v>0</v>
      </c>
      <c r="M6990" t="inlineStr">
        <is>
          <t>-312K83.5</t>
        </is>
      </c>
    </row>
    <row r="6991">
      <c r="A6991">
        <v>6990</v>
      </c>
      <c r="B6991">
        <f>GC03</f>
        <v>0</v>
      </c>
      <c r="C6991" t="inlineStr">
        <is>
          <t>+LS8</t>
        </is>
      </c>
      <c r="D6991" t="inlineStr">
        <is>
          <t>-312K83.6</t>
        </is>
      </c>
      <c r="E6991" t="inlineStr">
        <is>
          <t>DIL_EM-10-G</t>
        </is>
      </c>
      <c r="F6991" t="inlineStr">
        <is>
          <t>#KALK!</t>
        </is>
      </c>
      <c r="G6991" t="inlineStr">
        <is>
          <t>LASTSCHUETZ</t>
        </is>
      </c>
      <c r="H6991" t="inlineStr">
        <is>
          <t>4kW 1S</t>
        </is>
      </c>
      <c r="I6991">
        <v>3950</v>
      </c>
      <c r="J6991">
        <f>GC03/312.6</f>
        <v>0</v>
      </c>
      <c r="M6991" t="inlineStr">
        <is>
          <t>-312K83.6</t>
        </is>
      </c>
    </row>
    <row r="6992">
      <c r="A6992">
        <v>6991</v>
      </c>
      <c r="B6992">
        <f>GS23</f>
        <v>0</v>
      </c>
      <c r="C6992" t="inlineStr">
        <is>
          <t>+LS6</t>
        </is>
      </c>
      <c r="D6992" t="inlineStr">
        <is>
          <t>-312K87.0</t>
        </is>
      </c>
      <c r="E6992" t="inlineStr">
        <is>
          <t>DIL_EM-10-G</t>
        </is>
      </c>
      <c r="F6992" t="inlineStr">
        <is>
          <t>#KALK!</t>
        </is>
      </c>
      <c r="G6992" t="inlineStr">
        <is>
          <t>LASTSCHUETZ</t>
        </is>
      </c>
      <c r="H6992" t="inlineStr">
        <is>
          <t>4kW 1S</t>
        </is>
      </c>
      <c r="I6992">
        <v>613</v>
      </c>
      <c r="J6992">
        <f>GS23/312.6</f>
        <v>0</v>
      </c>
      <c r="M6992" t="inlineStr">
        <is>
          <t>-312K87.0</t>
        </is>
      </c>
    </row>
    <row r="6993">
      <c r="A6993">
        <v>6992</v>
      </c>
      <c r="B6993">
        <f>GS79</f>
        <v>0</v>
      </c>
      <c r="C6993" t="inlineStr">
        <is>
          <t>+LS[l1]</t>
        </is>
      </c>
      <c r="D6993" t="inlineStr">
        <is>
          <t>-312Q[a+222].0</t>
        </is>
      </c>
      <c r="E6993" t="inlineStr">
        <is>
          <t>DILM-9-10</t>
        </is>
      </c>
      <c r="F6993" t="inlineStr">
        <is>
          <t>#KALK!</t>
        </is>
      </c>
      <c r="G6993" t="inlineStr">
        <is>
          <t>LASTSCHUETZ</t>
        </is>
      </c>
      <c r="H6993" t="inlineStr">
        <is>
          <t>4kW 1S Federzugkl.</t>
        </is>
      </c>
      <c r="I6993">
        <v>213</v>
      </c>
      <c r="J6993">
        <f>GS79/312.6</f>
        <v>0</v>
      </c>
      <c r="M6993" t="inlineStr">
        <is>
          <t>-312Q[a+222].0</t>
        </is>
      </c>
    </row>
    <row r="6994">
      <c r="A6994">
        <v>6993</v>
      </c>
      <c r="B6994">
        <f>GS79</f>
        <v>0</v>
      </c>
      <c r="C6994" t="inlineStr">
        <is>
          <t>+LS[l1]</t>
        </is>
      </c>
      <c r="D6994" t="inlineStr">
        <is>
          <t>-312Q[a+222].0</t>
        </is>
      </c>
      <c r="E6994" t="inlineStr">
        <is>
          <t>DILM-9-10</t>
        </is>
      </c>
      <c r="F6994" t="inlineStr">
        <is>
          <t>#KALK!</t>
        </is>
      </c>
      <c r="G6994" t="inlineStr">
        <is>
          <t>LASTSCHUETZ</t>
        </is>
      </c>
      <c r="H6994" t="inlineStr">
        <is>
          <t>4kW 1S Federzugkl.</t>
        </is>
      </c>
      <c r="I6994">
        <v>164</v>
      </c>
      <c r="J6994">
        <f>GS79/312.6</f>
        <v>0</v>
      </c>
      <c r="M6994" t="inlineStr">
        <is>
          <t>-312Q[a+222].0</t>
        </is>
      </c>
    </row>
    <row r="6995">
      <c r="A6995">
        <v>6994</v>
      </c>
      <c r="B6995">
        <f>GS79</f>
        <v>0</v>
      </c>
      <c r="C6995" t="inlineStr">
        <is>
          <t>+LS[l1]</t>
        </is>
      </c>
      <c r="D6995" t="inlineStr">
        <is>
          <t>-312Q[a+222].0</t>
        </is>
      </c>
      <c r="E6995" t="inlineStr">
        <is>
          <t>DILM-9-10</t>
        </is>
      </c>
      <c r="F6995" t="inlineStr">
        <is>
          <t>#KALK!</t>
        </is>
      </c>
      <c r="G6995" t="inlineStr">
        <is>
          <t>LASTSCHUETZ</t>
        </is>
      </c>
      <c r="H6995" t="inlineStr">
        <is>
          <t>4kW 1S Federzugkl.</t>
        </is>
      </c>
      <c r="I6995">
        <v>278</v>
      </c>
      <c r="J6995">
        <f>GS79/312.6</f>
        <v>0</v>
      </c>
      <c r="M6995" t="inlineStr">
        <is>
          <t>-312Q[a+222].0</t>
        </is>
      </c>
    </row>
    <row r="6996">
      <c r="A6996">
        <v>6995</v>
      </c>
      <c r="B6996">
        <f>GS38</f>
        <v>0</v>
      </c>
      <c r="C6996" t="inlineStr">
        <is>
          <t>+LS06</t>
        </is>
      </c>
      <c r="D6996" t="inlineStr">
        <is>
          <t>-312Q423.1</t>
        </is>
      </c>
      <c r="E6996" t="inlineStr">
        <is>
          <t>DILM-9-10</t>
        </is>
      </c>
      <c r="F6996" t="inlineStr">
        <is>
          <t>DILA-XHI22</t>
        </is>
      </c>
      <c r="G6996" t="inlineStr">
        <is>
          <t>LASTSCHUETZ</t>
        </is>
      </c>
      <c r="H6996" t="inlineStr">
        <is>
          <t>4kW 1S Federzugkl.</t>
        </is>
      </c>
      <c r="I6996">
        <v>477</v>
      </c>
      <c r="J6996">
        <f>GS38/312.5</f>
        <v>0</v>
      </c>
      <c r="M6996" t="inlineStr">
        <is>
          <t>-312Q423.1</t>
        </is>
      </c>
    </row>
    <row r="6997">
      <c r="A6997">
        <v>6996</v>
      </c>
      <c r="B6997">
        <f>GS38</f>
        <v>0</v>
      </c>
      <c r="C6997" t="inlineStr">
        <is>
          <t>+LS06</t>
        </is>
      </c>
      <c r="D6997" t="inlineStr">
        <is>
          <t>-312Q423.1</t>
        </is>
      </c>
      <c r="E6997" t="inlineStr">
        <is>
          <t>DILA-XHI22</t>
        </is>
      </c>
      <c r="F6997" t="inlineStr">
        <is>
          <t>DILA-XHI22</t>
        </is>
      </c>
      <c r="G6997" t="inlineStr">
        <is>
          <t>HILFSKONTAKTBLOCK</t>
        </is>
      </c>
      <c r="H6997" t="inlineStr">
        <is>
          <t>2S 2OE Last+Hilfssch. Cage</t>
        </is>
      </c>
      <c r="I6997">
        <v>477</v>
      </c>
      <c r="J6997">
        <f>GS38/312.5</f>
        <v>0</v>
      </c>
      <c r="M6997" t="inlineStr">
        <is>
          <t>-312Q423.1</t>
        </is>
      </c>
    </row>
    <row r="6998">
      <c r="A6998">
        <v>6997</v>
      </c>
      <c r="B6998">
        <f>GS39</f>
        <v>0</v>
      </c>
      <c r="C6998" t="inlineStr">
        <is>
          <t>+LS06</t>
        </is>
      </c>
      <c r="D6998" t="inlineStr">
        <is>
          <t>-312Q423.1</t>
        </is>
      </c>
      <c r="E6998" t="inlineStr">
        <is>
          <t>DILA-XHI22</t>
        </is>
      </c>
      <c r="F6998" t="inlineStr">
        <is>
          <t>DILA-XHI22</t>
        </is>
      </c>
      <c r="G6998" t="inlineStr">
        <is>
          <t>HILFSKONTAKTBLOCK</t>
        </is>
      </c>
      <c r="H6998" t="inlineStr">
        <is>
          <t>2S 2OE Last+Hilfssch. Cage</t>
        </is>
      </c>
      <c r="I6998">
        <v>478</v>
      </c>
      <c r="J6998">
        <f>GS39/312.5</f>
        <v>0</v>
      </c>
      <c r="M6998" t="inlineStr">
        <is>
          <t>-312Q423.1</t>
        </is>
      </c>
    </row>
    <row r="6999">
      <c r="A6999">
        <v>6998</v>
      </c>
      <c r="B6999">
        <f>GS39</f>
        <v>0</v>
      </c>
      <c r="C6999" t="inlineStr">
        <is>
          <t>+LS06</t>
        </is>
      </c>
      <c r="D6999" t="inlineStr">
        <is>
          <t>-312Q423.1</t>
        </is>
      </c>
      <c r="E6999" t="inlineStr">
        <is>
          <t>DILM-9-10</t>
        </is>
      </c>
      <c r="F6999" t="inlineStr">
        <is>
          <t>DILA-XHI22</t>
        </is>
      </c>
      <c r="G6999" t="inlineStr">
        <is>
          <t>LASTSCHUETZ</t>
        </is>
      </c>
      <c r="H6999" t="inlineStr">
        <is>
          <t>4kW 1S Federzugkl.</t>
        </is>
      </c>
      <c r="I6999">
        <v>478</v>
      </c>
      <c r="J6999">
        <f>GS39/312.5</f>
        <v>0</v>
      </c>
      <c r="M6999" t="inlineStr">
        <is>
          <t>-312Q423.1</t>
        </is>
      </c>
    </row>
    <row r="7000">
      <c r="A7000">
        <v>6999</v>
      </c>
      <c r="B7000">
        <f>GS55</f>
        <v>0</v>
      </c>
      <c r="C7000" t="inlineStr">
        <is>
          <t>+LS39</t>
        </is>
      </c>
      <c r="D7000" t="inlineStr">
        <is>
          <t>-3130Q1</t>
        </is>
      </c>
      <c r="E7000" t="inlineStr">
        <is>
          <t>DILMC25-10(RDC24)</t>
        </is>
      </c>
      <c r="F7000" t="inlineStr">
        <is>
          <t>DILA-XHI22</t>
        </is>
      </c>
      <c r="G7000" t="inlineStr">
        <is>
          <t>LASTSCHUETZ</t>
        </is>
      </c>
      <c r="H7000" t="inlineStr">
        <is>
          <t>11kW 1S Federzugkl.</t>
        </is>
      </c>
      <c r="I7000">
        <v>3449</v>
      </c>
      <c r="J7000">
        <f>GS55/3130.6</f>
        <v>0</v>
      </c>
      <c r="K7000" t="inlineStr">
        <is>
          <t>DIL MC25</t>
        </is>
      </c>
      <c r="M7000" t="inlineStr">
        <is>
          <t>-3130Q1</t>
        </is>
      </c>
    </row>
    <row r="7001">
      <c r="A7001">
        <v>7000</v>
      </c>
      <c r="B7001">
        <f>GS55</f>
        <v>0</v>
      </c>
      <c r="C7001" t="inlineStr">
        <is>
          <t>+LS39</t>
        </is>
      </c>
      <c r="D7001" t="inlineStr">
        <is>
          <t>-3130Q1</t>
        </is>
      </c>
      <c r="E7001" t="inlineStr">
        <is>
          <t>DILA-XHI22</t>
        </is>
      </c>
      <c r="F7001" t="inlineStr">
        <is>
          <t>DILA-XHI22</t>
        </is>
      </c>
      <c r="G7001" t="inlineStr">
        <is>
          <t>HILFSKONTAKTBLOCK</t>
        </is>
      </c>
      <c r="H7001" t="inlineStr">
        <is>
          <t>2S 2OE Last+Hilfssch. Cage</t>
        </is>
      </c>
      <c r="I7001">
        <v>3449</v>
      </c>
      <c r="J7001">
        <f>GS55/3130.6</f>
        <v>0</v>
      </c>
      <c r="K7001" t="inlineStr">
        <is>
          <t>DIL MC25</t>
        </is>
      </c>
      <c r="M7001" t="inlineStr">
        <is>
          <t>-3130Q1</t>
        </is>
      </c>
    </row>
    <row r="7002">
      <c r="A7002">
        <v>7001</v>
      </c>
      <c r="B7002">
        <f>GS55</f>
        <v>0</v>
      </c>
      <c r="C7002" t="inlineStr">
        <is>
          <t>+LS39</t>
        </is>
      </c>
      <c r="D7002" t="inlineStr">
        <is>
          <t>-3132Q1361.2</t>
        </is>
      </c>
      <c r="E7002" t="inlineStr">
        <is>
          <t>DILM-9-10</t>
        </is>
      </c>
      <c r="F7002" t="inlineStr">
        <is>
          <t>#KALK!</t>
        </is>
      </c>
      <c r="G7002" t="inlineStr">
        <is>
          <t>LASTSCHUETZ</t>
        </is>
      </c>
      <c r="H7002" t="inlineStr">
        <is>
          <t>4kW 1S Federzugkl.</t>
        </is>
      </c>
      <c r="I7002">
        <v>3445</v>
      </c>
      <c r="J7002">
        <f>GS55/3132.6</f>
        <v>0</v>
      </c>
      <c r="K7002" t="inlineStr">
        <is>
          <t>DIL MC9</t>
        </is>
      </c>
      <c r="M7002" t="inlineStr">
        <is>
          <t>-3132Q1361.2</t>
        </is>
      </c>
    </row>
    <row r="7003">
      <c r="A7003">
        <v>7002</v>
      </c>
      <c r="B7003">
        <f>GS55</f>
        <v>0</v>
      </c>
      <c r="C7003" t="inlineStr">
        <is>
          <t>+LS39</t>
        </is>
      </c>
      <c r="D7003" t="inlineStr">
        <is>
          <t>-3134Q1361.3</t>
        </is>
      </c>
      <c r="E7003" t="inlineStr">
        <is>
          <t>DILM-9-10</t>
        </is>
      </c>
      <c r="F7003" t="inlineStr">
        <is>
          <t>#KALK!</t>
        </is>
      </c>
      <c r="G7003" t="inlineStr">
        <is>
          <t>LASTSCHUETZ</t>
        </is>
      </c>
      <c r="H7003" t="inlineStr">
        <is>
          <t>4kW 1S Federzugkl.</t>
        </is>
      </c>
      <c r="I7003">
        <v>3444</v>
      </c>
      <c r="J7003">
        <f>GS55/3134.6</f>
        <v>0</v>
      </c>
      <c r="K7003" t="inlineStr">
        <is>
          <t>DIL MC9</t>
        </is>
      </c>
      <c r="M7003" t="inlineStr">
        <is>
          <t>-3134Q1361.3</t>
        </is>
      </c>
    </row>
    <row r="7004">
      <c r="A7004">
        <v>7003</v>
      </c>
      <c r="B7004">
        <f>GS13</f>
        <v>0</v>
      </c>
      <c r="C7004" t="inlineStr">
        <is>
          <t>+LS6</t>
        </is>
      </c>
      <c r="D7004" t="inlineStr">
        <is>
          <t>-31387.6</t>
        </is>
      </c>
      <c r="E7004" t="inlineStr">
        <is>
          <t>DIL_EM-10-G</t>
        </is>
      </c>
      <c r="F7004" t="inlineStr">
        <is>
          <t>#KALK!</t>
        </is>
      </c>
      <c r="G7004" t="inlineStr">
        <is>
          <t>LASTSCHUETZ</t>
        </is>
      </c>
      <c r="H7004" t="inlineStr">
        <is>
          <t>4kW 1S</t>
        </is>
      </c>
      <c r="I7004">
        <v>556</v>
      </c>
      <c r="J7004">
        <f>GS13/313.6</f>
        <v>0</v>
      </c>
      <c r="M7004" t="inlineStr">
        <is>
          <t>-31387.6</t>
        </is>
      </c>
    </row>
    <row r="7005">
      <c r="A7005">
        <v>7004</v>
      </c>
      <c r="B7005">
        <f>GS13</f>
        <v>0</v>
      </c>
      <c r="C7005" t="inlineStr">
        <is>
          <t>+LS6</t>
        </is>
      </c>
      <c r="D7005" t="inlineStr">
        <is>
          <t>-31387.7</t>
        </is>
      </c>
      <c r="E7005" t="inlineStr">
        <is>
          <t>DIL_EM-10-G</t>
        </is>
      </c>
      <c r="F7005" t="inlineStr">
        <is>
          <t>#KALK!</t>
        </is>
      </c>
      <c r="G7005" t="inlineStr">
        <is>
          <t>LASTSCHUETZ</t>
        </is>
      </c>
      <c r="H7005" t="inlineStr">
        <is>
          <t>4kW 1S</t>
        </is>
      </c>
      <c r="I7005">
        <v>556</v>
      </c>
      <c r="J7005">
        <f>GS13/313.6</f>
        <v>0</v>
      </c>
      <c r="M7005" t="inlineStr">
        <is>
          <t>-31387.7</t>
        </is>
      </c>
    </row>
    <row r="7006">
      <c r="A7006">
        <v>7005</v>
      </c>
      <c r="B7006">
        <f>GS15</f>
        <v>0</v>
      </c>
      <c r="C7006" t="inlineStr">
        <is>
          <t>+LS6</t>
        </is>
      </c>
      <c r="D7006" t="inlineStr">
        <is>
          <t>-313K14.2</t>
        </is>
      </c>
      <c r="E7006" t="inlineStr">
        <is>
          <t>DIL_EM-10-G</t>
        </is>
      </c>
      <c r="F7006" t="inlineStr">
        <is>
          <t>#KALK!</t>
        </is>
      </c>
      <c r="G7006" t="inlineStr">
        <is>
          <t>LASTSCHUETZ</t>
        </is>
      </c>
      <c r="H7006" t="inlineStr">
        <is>
          <t>4kW 1S</t>
        </is>
      </c>
      <c r="I7006">
        <v>811</v>
      </c>
      <c r="J7006">
        <f>GS15/313.6</f>
        <v>0</v>
      </c>
      <c r="M7006" t="inlineStr">
        <is>
          <t>-313K14.2</t>
        </is>
      </c>
    </row>
    <row r="7007">
      <c r="A7007">
        <v>7006</v>
      </c>
      <c r="B7007">
        <f>GS15</f>
        <v>0</v>
      </c>
      <c r="C7007" t="inlineStr">
        <is>
          <t>+LS6</t>
        </is>
      </c>
      <c r="D7007" t="inlineStr">
        <is>
          <t>-313K14.3</t>
        </is>
      </c>
      <c r="E7007" t="inlineStr">
        <is>
          <t>DIL_EM-10-G</t>
        </is>
      </c>
      <c r="F7007" t="inlineStr">
        <is>
          <t>#KALK!</t>
        </is>
      </c>
      <c r="G7007" t="inlineStr">
        <is>
          <t>LASTSCHUETZ</t>
        </is>
      </c>
      <c r="H7007" t="inlineStr">
        <is>
          <t>4kW 1S</t>
        </is>
      </c>
      <c r="I7007">
        <v>811</v>
      </c>
      <c r="J7007">
        <f>GS15/313.6</f>
        <v>0</v>
      </c>
      <c r="M7007" t="inlineStr">
        <is>
          <t>-313K14.3</t>
        </is>
      </c>
    </row>
    <row r="7008">
      <c r="A7008">
        <v>7007</v>
      </c>
      <c r="B7008">
        <f>GS11</f>
        <v>0</v>
      </c>
      <c r="C7008" t="inlineStr">
        <is>
          <t>+LS7</t>
        </is>
      </c>
      <c r="D7008" t="inlineStr">
        <is>
          <t>-313K21.0</t>
        </is>
      </c>
      <c r="E7008" t="inlineStr">
        <is>
          <t>DIL_EM-10-G</t>
        </is>
      </c>
      <c r="F7008" t="inlineStr">
        <is>
          <t>#KALK!</t>
        </is>
      </c>
      <c r="G7008" t="inlineStr">
        <is>
          <t>LASTSCHUETZ</t>
        </is>
      </c>
      <c r="H7008" t="inlineStr">
        <is>
          <t>4kW 1S</t>
        </is>
      </c>
      <c r="I7008">
        <v>419</v>
      </c>
      <c r="J7008">
        <f>GS11/313.6</f>
        <v>0</v>
      </c>
      <c r="M7008" t="inlineStr">
        <is>
          <t>-313K21.0</t>
        </is>
      </c>
    </row>
    <row r="7009">
      <c r="A7009">
        <v>7008</v>
      </c>
      <c r="B7009">
        <f>GS21</f>
        <v>0</v>
      </c>
      <c r="C7009" t="inlineStr">
        <is>
          <t>+LS7</t>
        </is>
      </c>
      <c r="D7009" t="inlineStr">
        <is>
          <t>-313K21.0</t>
        </is>
      </c>
      <c r="E7009" t="inlineStr">
        <is>
          <t>DIL_EM-10-G</t>
        </is>
      </c>
      <c r="F7009" t="inlineStr">
        <is>
          <t>#KALK!</t>
        </is>
      </c>
      <c r="G7009" t="inlineStr">
        <is>
          <t>LASTSCHUETZ</t>
        </is>
      </c>
      <c r="H7009" t="inlineStr">
        <is>
          <t>4kW 1S</t>
        </is>
      </c>
      <c r="I7009">
        <v>401</v>
      </c>
      <c r="J7009">
        <f>GS21/313.6</f>
        <v>0</v>
      </c>
      <c r="M7009" t="inlineStr">
        <is>
          <t>-313K21.0</t>
        </is>
      </c>
    </row>
    <row r="7010">
      <c r="A7010">
        <v>7009</v>
      </c>
      <c r="B7010">
        <f>GS16</f>
        <v>0</v>
      </c>
      <c r="C7010" t="inlineStr">
        <is>
          <t>+LS5</t>
        </is>
      </c>
      <c r="D7010" t="inlineStr">
        <is>
          <t>-313K3759.5</t>
        </is>
      </c>
      <c r="E7010" t="inlineStr">
        <is>
          <t>DILM-9-10</t>
        </is>
      </c>
      <c r="F7010" t="inlineStr">
        <is>
          <t>#KALK!</t>
        </is>
      </c>
      <c r="G7010" t="inlineStr">
        <is>
          <t>LASTSCHUETZ</t>
        </is>
      </c>
      <c r="H7010" t="inlineStr">
        <is>
          <t>4kW 1S Federzugkl.</t>
        </is>
      </c>
      <c r="I7010">
        <v>541</v>
      </c>
      <c r="J7010">
        <f>GS16/313.7</f>
        <v>0</v>
      </c>
      <c r="M7010" t="inlineStr">
        <is>
          <t>-313K3759.5</t>
        </is>
      </c>
    </row>
    <row r="7011">
      <c r="A7011">
        <v>7010</v>
      </c>
      <c r="B7011">
        <f>GS34</f>
        <v>0</v>
      </c>
      <c r="C7011" t="inlineStr">
        <is>
          <t>+LS7</t>
        </is>
      </c>
      <c r="D7011" t="inlineStr">
        <is>
          <t>-313K3803.7</t>
        </is>
      </c>
      <c r="E7011" t="inlineStr">
        <is>
          <t>DIL_EM-10-G</t>
        </is>
      </c>
      <c r="F7011" t="inlineStr">
        <is>
          <t>#KALK!</t>
        </is>
      </c>
      <c r="G7011" t="inlineStr">
        <is>
          <t>LASTSCHUETZ</t>
        </is>
      </c>
      <c r="H7011" t="inlineStr">
        <is>
          <t>4kW 1S</t>
        </is>
      </c>
      <c r="I7011">
        <v>438</v>
      </c>
      <c r="J7011">
        <f>GS34/313.7</f>
        <v>0</v>
      </c>
      <c r="M7011" t="inlineStr">
        <is>
          <t>-313K3803.7</t>
        </is>
      </c>
    </row>
    <row r="7012">
      <c r="A7012">
        <v>7011</v>
      </c>
      <c r="B7012">
        <f>GS34</f>
        <v>0</v>
      </c>
      <c r="C7012" t="inlineStr">
        <is>
          <t>+LS7</t>
        </is>
      </c>
      <c r="D7012" t="inlineStr">
        <is>
          <t>-313K3805.7</t>
        </is>
      </c>
      <c r="E7012" t="inlineStr">
        <is>
          <t>DIL_EM-10-G</t>
        </is>
      </c>
      <c r="F7012" t="inlineStr">
        <is>
          <t>#KALK!</t>
        </is>
      </c>
      <c r="G7012" t="inlineStr">
        <is>
          <t>LASTSCHUETZ</t>
        </is>
      </c>
      <c r="H7012" t="inlineStr">
        <is>
          <t>4kW 1S</t>
        </is>
      </c>
      <c r="I7012">
        <v>438</v>
      </c>
      <c r="J7012">
        <f>GS34/313.8</f>
        <v>0</v>
      </c>
      <c r="M7012" t="inlineStr">
        <is>
          <t>-313K3805.7</t>
        </is>
      </c>
    </row>
    <row r="7013">
      <c r="A7013">
        <v>7012</v>
      </c>
      <c r="B7013">
        <f>GC22</f>
        <v>0</v>
      </c>
      <c r="C7013" t="inlineStr">
        <is>
          <t>+LS4</t>
        </is>
      </c>
      <c r="D7013" t="inlineStr">
        <is>
          <t>-313K41.3</t>
        </is>
      </c>
      <c r="E7013" t="inlineStr">
        <is>
          <t>DIL_EM-10-G</t>
        </is>
      </c>
      <c r="F7013" t="inlineStr">
        <is>
          <t>#KALK!</t>
        </is>
      </c>
      <c r="G7013" t="inlineStr">
        <is>
          <t>LASTSCHUETZ</t>
        </is>
      </c>
      <c r="H7013" t="inlineStr">
        <is>
          <t>4kW 1S</t>
        </is>
      </c>
      <c r="I7013">
        <v>2267</v>
      </c>
      <c r="J7013">
        <f>GC22/313.7</f>
        <v>0</v>
      </c>
      <c r="M7013" t="inlineStr">
        <is>
          <t>-313K41.3</t>
        </is>
      </c>
    </row>
    <row r="7014">
      <c r="A7014">
        <v>7013</v>
      </c>
      <c r="B7014">
        <f>GS12</f>
        <v>0</v>
      </c>
      <c r="C7014" t="inlineStr">
        <is>
          <t>+LS4</t>
        </is>
      </c>
      <c r="D7014" t="inlineStr">
        <is>
          <t>-313K41.3</t>
        </is>
      </c>
      <c r="E7014" t="inlineStr">
        <is>
          <t>DIL_EM-10-G</t>
        </is>
      </c>
      <c r="F7014" t="inlineStr">
        <is>
          <t>#KALK!</t>
        </is>
      </c>
      <c r="G7014" t="inlineStr">
        <is>
          <t>LASTSCHUETZ</t>
        </is>
      </c>
      <c r="H7014" t="inlineStr">
        <is>
          <t>4kW 1S</t>
        </is>
      </c>
      <c r="I7014">
        <v>445</v>
      </c>
      <c r="J7014">
        <f>GS12/313.7</f>
        <v>0</v>
      </c>
      <c r="M7014" t="inlineStr">
        <is>
          <t>-313K41.3</t>
        </is>
      </c>
    </row>
    <row r="7015">
      <c r="A7015">
        <v>7014</v>
      </c>
      <c r="B7015">
        <f>GS32</f>
        <v>0</v>
      </c>
      <c r="C7015" t="inlineStr">
        <is>
          <t>+LS7</t>
        </is>
      </c>
      <c r="D7015" t="inlineStr">
        <is>
          <t>-313K63.4</t>
        </is>
      </c>
      <c r="E7015" t="inlineStr">
        <is>
          <t>DIL_EM-10-G</t>
        </is>
      </c>
      <c r="F7015" t="inlineStr">
        <is>
          <t>#KALK!</t>
        </is>
      </c>
      <c r="G7015" t="inlineStr">
        <is>
          <t>LASTSCHUETZ</t>
        </is>
      </c>
      <c r="H7015" t="inlineStr">
        <is>
          <t>4kW 1S</t>
        </is>
      </c>
      <c r="I7015">
        <v>1294</v>
      </c>
      <c r="J7015">
        <f>GS32/313.6</f>
        <v>0</v>
      </c>
      <c r="M7015" t="inlineStr">
        <is>
          <t>-313K63.4</t>
        </is>
      </c>
    </row>
    <row r="7016">
      <c r="A7016">
        <v>7015</v>
      </c>
      <c r="B7016">
        <f>GS32</f>
        <v>0</v>
      </c>
      <c r="C7016" t="inlineStr">
        <is>
          <t>+LS7</t>
        </is>
      </c>
      <c r="D7016" t="inlineStr">
        <is>
          <t>-313K63.5</t>
        </is>
      </c>
      <c r="E7016" t="inlineStr">
        <is>
          <t>DIL_EM-10-G</t>
        </is>
      </c>
      <c r="F7016" t="inlineStr">
        <is>
          <t>#KALK!</t>
        </is>
      </c>
      <c r="G7016" t="inlineStr">
        <is>
          <t>LASTSCHUETZ</t>
        </is>
      </c>
      <c r="H7016" t="inlineStr">
        <is>
          <t>4kW 1S</t>
        </is>
      </c>
      <c r="I7016">
        <v>1294</v>
      </c>
      <c r="J7016">
        <f>GS32/313.6</f>
        <v>0</v>
      </c>
      <c r="M7016" t="inlineStr">
        <is>
          <t>-313K63.5</t>
        </is>
      </c>
    </row>
    <row r="7017">
      <c r="A7017">
        <v>7016</v>
      </c>
      <c r="B7017">
        <f>GS11</f>
        <v>0</v>
      </c>
      <c r="C7017" t="inlineStr">
        <is>
          <t>+LS7</t>
        </is>
      </c>
      <c r="D7017" t="inlineStr">
        <is>
          <t>-313K76.4</t>
        </is>
      </c>
      <c r="E7017" t="inlineStr">
        <is>
          <t>DIL_EM-10-G</t>
        </is>
      </c>
      <c r="F7017" t="inlineStr">
        <is>
          <t>#KALK!</t>
        </is>
      </c>
      <c r="G7017" t="inlineStr">
        <is>
          <t>LASTSCHUETZ</t>
        </is>
      </c>
      <c r="H7017" t="inlineStr">
        <is>
          <t>4kW 1S</t>
        </is>
      </c>
      <c r="I7017">
        <v>419</v>
      </c>
      <c r="J7017">
        <f>GS11/313.6</f>
        <v>0</v>
      </c>
      <c r="M7017" t="inlineStr">
        <is>
          <t>-313K76.4</t>
        </is>
      </c>
    </row>
    <row r="7018">
      <c r="A7018">
        <v>7017</v>
      </c>
      <c r="B7018">
        <f>GS21</f>
        <v>0</v>
      </c>
      <c r="C7018" t="inlineStr">
        <is>
          <t>+LS7</t>
        </is>
      </c>
      <c r="D7018" t="inlineStr">
        <is>
          <t>-313K76.4</t>
        </is>
      </c>
      <c r="E7018" t="inlineStr">
        <is>
          <t>DIL_EM-10-G</t>
        </is>
      </c>
      <c r="F7018" t="inlineStr">
        <is>
          <t>#KALK!</t>
        </is>
      </c>
      <c r="G7018" t="inlineStr">
        <is>
          <t>LASTSCHUETZ</t>
        </is>
      </c>
      <c r="H7018" t="inlineStr">
        <is>
          <t>4kW 1S</t>
        </is>
      </c>
      <c r="I7018">
        <v>401</v>
      </c>
      <c r="J7018">
        <f>GS21/313.6</f>
        <v>0</v>
      </c>
      <c r="M7018" t="inlineStr">
        <is>
          <t>-313K76.4</t>
        </is>
      </c>
    </row>
    <row r="7019">
      <c r="A7019">
        <v>7018</v>
      </c>
      <c r="B7019">
        <f>GC03</f>
        <v>0</v>
      </c>
      <c r="C7019" t="inlineStr">
        <is>
          <t>+LS8</t>
        </is>
      </c>
      <c r="D7019" t="inlineStr">
        <is>
          <t>-313K83.7</t>
        </is>
      </c>
      <c r="E7019" t="inlineStr">
        <is>
          <t>DIL_EM-10-G</t>
        </is>
      </c>
      <c r="F7019" t="inlineStr">
        <is>
          <t>#KALK!</t>
        </is>
      </c>
      <c r="G7019" t="inlineStr">
        <is>
          <t>LASTSCHUETZ</t>
        </is>
      </c>
      <c r="H7019" t="inlineStr">
        <is>
          <t>4kW 1S</t>
        </is>
      </c>
      <c r="I7019">
        <v>378</v>
      </c>
      <c r="J7019">
        <f>GC03/313.6</f>
        <v>0</v>
      </c>
      <c r="M7019" t="inlineStr">
        <is>
          <t>-313K83.7</t>
        </is>
      </c>
    </row>
    <row r="7020">
      <c r="A7020">
        <v>7019</v>
      </c>
      <c r="B7020">
        <f>GC03</f>
        <v>0</v>
      </c>
      <c r="C7020" t="inlineStr">
        <is>
          <t>+LS8</t>
        </is>
      </c>
      <c r="D7020" t="inlineStr">
        <is>
          <t>-313K84.0</t>
        </is>
      </c>
      <c r="E7020" t="inlineStr">
        <is>
          <t>DIL_EM-10-G</t>
        </is>
      </c>
      <c r="F7020" t="inlineStr">
        <is>
          <t>#KALK!</t>
        </is>
      </c>
      <c r="G7020" t="inlineStr">
        <is>
          <t>LASTSCHUETZ</t>
        </is>
      </c>
      <c r="H7020" t="inlineStr">
        <is>
          <t>4kW 1S</t>
        </is>
      </c>
      <c r="I7020">
        <v>378</v>
      </c>
      <c r="J7020">
        <f>GC03/313.6</f>
        <v>0</v>
      </c>
      <c r="M7020" t="inlineStr">
        <is>
          <t>-313K84.0</t>
        </is>
      </c>
    </row>
    <row r="7021">
      <c r="A7021">
        <v>7020</v>
      </c>
      <c r="B7021">
        <f>GS23</f>
        <v>0</v>
      </c>
      <c r="C7021" t="inlineStr">
        <is>
          <t>+LS6</t>
        </is>
      </c>
      <c r="D7021" t="inlineStr">
        <is>
          <t>-313K87.6</t>
        </is>
      </c>
      <c r="E7021" t="inlineStr">
        <is>
          <t>DIL_EM-10-G</t>
        </is>
      </c>
      <c r="F7021" t="inlineStr">
        <is>
          <t>#KALK!</t>
        </is>
      </c>
      <c r="G7021" t="inlineStr">
        <is>
          <t>LASTSCHUETZ</t>
        </is>
      </c>
      <c r="H7021" t="inlineStr">
        <is>
          <t>4kW 1S</t>
        </is>
      </c>
      <c r="I7021">
        <v>614</v>
      </c>
      <c r="J7021">
        <f>GS23/313.6</f>
        <v>0</v>
      </c>
      <c r="M7021" t="inlineStr">
        <is>
          <t>-313K87.6</t>
        </is>
      </c>
    </row>
    <row r="7022">
      <c r="A7022">
        <v>7021</v>
      </c>
      <c r="B7022">
        <f>GS23</f>
        <v>0</v>
      </c>
      <c r="C7022" t="inlineStr">
        <is>
          <t>+LS6</t>
        </is>
      </c>
      <c r="D7022" t="inlineStr">
        <is>
          <t>-313K87.7</t>
        </is>
      </c>
      <c r="E7022" t="inlineStr">
        <is>
          <t>DIL_EM-10-G</t>
        </is>
      </c>
      <c r="F7022" t="inlineStr">
        <is>
          <t>#KALK!</t>
        </is>
      </c>
      <c r="G7022" t="inlineStr">
        <is>
          <t>LASTSCHUETZ</t>
        </is>
      </c>
      <c r="H7022" t="inlineStr">
        <is>
          <t>4kW 1S</t>
        </is>
      </c>
      <c r="I7022">
        <v>614</v>
      </c>
      <c r="J7022">
        <f>GS23/313.6</f>
        <v>0</v>
      </c>
      <c r="M7022" t="inlineStr">
        <is>
          <t>-313K87.7</t>
        </is>
      </c>
    </row>
    <row r="7023">
      <c r="A7023">
        <v>7022</v>
      </c>
      <c r="B7023">
        <f>GS37</f>
        <v>0</v>
      </c>
      <c r="C7023" t="inlineStr">
        <is>
          <t>+LS06</t>
        </is>
      </c>
      <c r="D7023" t="inlineStr">
        <is>
          <t>-313Q111.4</t>
        </is>
      </c>
      <c r="E7023" t="inlineStr">
        <is>
          <t>DILM-9-10</t>
        </is>
      </c>
      <c r="F7023" t="inlineStr">
        <is>
          <t>#KALK!</t>
        </is>
      </c>
      <c r="G7023" t="inlineStr">
        <is>
          <t>LASTSCHUETZ</t>
        </is>
      </c>
      <c r="H7023" t="inlineStr">
        <is>
          <t>4kW 1S Federzugkl.</t>
        </is>
      </c>
      <c r="I7023">
        <v>469</v>
      </c>
      <c r="J7023">
        <f>GS37/313.6</f>
        <v>0</v>
      </c>
      <c r="M7023" t="inlineStr">
        <is>
          <t>-313Q111.4</t>
        </is>
      </c>
    </row>
    <row r="7024">
      <c r="A7024">
        <v>7023</v>
      </c>
      <c r="B7024">
        <f>GS13</f>
        <v>0</v>
      </c>
      <c r="C7024" t="inlineStr">
        <is>
          <t>+LS6</t>
        </is>
      </c>
      <c r="D7024" t="inlineStr">
        <is>
          <t>-31488.4</t>
        </is>
      </c>
      <c r="E7024" t="inlineStr">
        <is>
          <t>DIL_EM-10-G</t>
        </is>
      </c>
      <c r="F7024" t="inlineStr">
        <is>
          <t>#KALK!</t>
        </is>
      </c>
      <c r="G7024" t="inlineStr">
        <is>
          <t>LASTSCHUETZ</t>
        </is>
      </c>
      <c r="H7024" t="inlineStr">
        <is>
          <t>4kW 1S</t>
        </is>
      </c>
      <c r="I7024">
        <v>557</v>
      </c>
      <c r="J7024">
        <f>GS13/314.6</f>
        <v>0</v>
      </c>
      <c r="M7024" t="inlineStr">
        <is>
          <t>-31488.4</t>
        </is>
      </c>
    </row>
    <row r="7025">
      <c r="A7025">
        <v>7024</v>
      </c>
      <c r="B7025">
        <f>GS13</f>
        <v>0</v>
      </c>
      <c r="C7025" t="inlineStr">
        <is>
          <t>+LS6</t>
        </is>
      </c>
      <c r="D7025" t="inlineStr">
        <is>
          <t>-31488.5</t>
        </is>
      </c>
      <c r="E7025" t="inlineStr">
        <is>
          <t>DIL_EM-10-G</t>
        </is>
      </c>
      <c r="F7025" t="inlineStr">
        <is>
          <t>#KALK!</t>
        </is>
      </c>
      <c r="G7025" t="inlineStr">
        <is>
          <t>LASTSCHUETZ</t>
        </is>
      </c>
      <c r="H7025" t="inlineStr">
        <is>
          <t>4kW 1S</t>
        </is>
      </c>
      <c r="I7025">
        <v>557</v>
      </c>
      <c r="J7025">
        <f>GS13/314.6</f>
        <v>0</v>
      </c>
      <c r="M7025" t="inlineStr">
        <is>
          <t>-31488.5</t>
        </is>
      </c>
    </row>
    <row r="7026">
      <c r="A7026">
        <v>7025</v>
      </c>
      <c r="B7026">
        <f>GS15</f>
        <v>0</v>
      </c>
      <c r="C7026" t="inlineStr">
        <is>
          <t>+LS6</t>
        </is>
      </c>
      <c r="D7026" t="inlineStr">
        <is>
          <t>-314K14.4</t>
        </is>
      </c>
      <c r="E7026" t="inlineStr">
        <is>
          <t>DIL_EM-10-G</t>
        </is>
      </c>
      <c r="F7026" t="inlineStr">
        <is>
          <t>#KALK!</t>
        </is>
      </c>
      <c r="G7026" t="inlineStr">
        <is>
          <t>LASTSCHUETZ</t>
        </is>
      </c>
      <c r="H7026" t="inlineStr">
        <is>
          <t>4kW 1S</t>
        </is>
      </c>
      <c r="I7026">
        <v>812</v>
      </c>
      <c r="J7026">
        <f>GS15/314.6</f>
        <v>0</v>
      </c>
      <c r="M7026" t="inlineStr">
        <is>
          <t>-314K14.4</t>
        </is>
      </c>
    </row>
    <row r="7027">
      <c r="A7027">
        <v>7026</v>
      </c>
      <c r="B7027">
        <f>GS15</f>
        <v>0</v>
      </c>
      <c r="C7027" t="inlineStr">
        <is>
          <t>+LS6</t>
        </is>
      </c>
      <c r="D7027" t="inlineStr">
        <is>
          <t>-314K14.5</t>
        </is>
      </c>
      <c r="E7027" t="inlineStr">
        <is>
          <t>DIL_EM-10-G</t>
        </is>
      </c>
      <c r="F7027" t="inlineStr">
        <is>
          <t>#KALK!</t>
        </is>
      </c>
      <c r="G7027" t="inlineStr">
        <is>
          <t>LASTSCHUETZ</t>
        </is>
      </c>
      <c r="H7027" t="inlineStr">
        <is>
          <t>4kW 1S</t>
        </is>
      </c>
      <c r="I7027">
        <v>812</v>
      </c>
      <c r="J7027">
        <f>GS15/314.6</f>
        <v>0</v>
      </c>
      <c r="M7027" t="inlineStr">
        <is>
          <t>-314K14.5</t>
        </is>
      </c>
    </row>
    <row r="7028">
      <c r="A7028">
        <v>7027</v>
      </c>
      <c r="B7028">
        <f>GS11</f>
        <v>0</v>
      </c>
      <c r="C7028" t="inlineStr">
        <is>
          <t>+LS7</t>
        </is>
      </c>
      <c r="D7028" t="inlineStr">
        <is>
          <t>-314K21.4</t>
        </is>
      </c>
      <c r="E7028" t="inlineStr">
        <is>
          <t>DIL_EM-10-G</t>
        </is>
      </c>
      <c r="F7028" t="inlineStr">
        <is>
          <t>#KALK!</t>
        </is>
      </c>
      <c r="G7028" t="inlineStr">
        <is>
          <t>LASTSCHUETZ</t>
        </is>
      </c>
      <c r="H7028" t="inlineStr">
        <is>
          <t>4kW 1S</t>
        </is>
      </c>
      <c r="I7028">
        <v>420</v>
      </c>
      <c r="J7028">
        <f>GS11/314.6</f>
        <v>0</v>
      </c>
      <c r="M7028" t="inlineStr">
        <is>
          <t>-314K21.4</t>
        </is>
      </c>
    </row>
    <row r="7029">
      <c r="A7029">
        <v>7028</v>
      </c>
      <c r="B7029">
        <f>GS21</f>
        <v>0</v>
      </c>
      <c r="C7029" t="inlineStr">
        <is>
          <t>+LS7</t>
        </is>
      </c>
      <c r="D7029" t="inlineStr">
        <is>
          <t>-314K21.4</t>
        </is>
      </c>
      <c r="E7029" t="inlineStr">
        <is>
          <t>DIL_EM-10-G</t>
        </is>
      </c>
      <c r="F7029" t="inlineStr">
        <is>
          <t>#KALK!</t>
        </is>
      </c>
      <c r="G7029" t="inlineStr">
        <is>
          <t>LASTSCHUETZ</t>
        </is>
      </c>
      <c r="H7029" t="inlineStr">
        <is>
          <t>4kW 1S</t>
        </is>
      </c>
      <c r="I7029">
        <v>402</v>
      </c>
      <c r="J7029">
        <f>GS21/314.6</f>
        <v>0</v>
      </c>
      <c r="M7029" t="inlineStr">
        <is>
          <t>-314K21.4</t>
        </is>
      </c>
    </row>
    <row r="7030">
      <c r="A7030">
        <v>7029</v>
      </c>
      <c r="B7030">
        <f>GS33</f>
        <v>0</v>
      </c>
      <c r="C7030" t="inlineStr">
        <is>
          <t>+LS7</t>
        </is>
      </c>
      <c r="D7030" t="inlineStr">
        <is>
          <t>-314K3602.0</t>
        </is>
      </c>
      <c r="E7030" t="inlineStr">
        <is>
          <t>DIL_ER-22-G</t>
        </is>
      </c>
      <c r="F7030" t="inlineStr">
        <is>
          <t>#KALK!</t>
        </is>
      </c>
      <c r="G7030" t="inlineStr">
        <is>
          <t>HILFSSCHUETZ</t>
        </is>
      </c>
      <c r="H7030" t="inlineStr">
        <is>
          <t>2S 2OE</t>
        </is>
      </c>
      <c r="I7030">
        <v>762</v>
      </c>
      <c r="J7030">
        <f>GS33/314.5</f>
        <v>0</v>
      </c>
      <c r="M7030" t="inlineStr">
        <is>
          <t>-314K3602.0</t>
        </is>
      </c>
    </row>
    <row r="7031">
      <c r="A7031">
        <v>7030</v>
      </c>
      <c r="B7031">
        <f>GS33</f>
        <v>0</v>
      </c>
      <c r="C7031" t="inlineStr">
        <is>
          <t>+LS7</t>
        </is>
      </c>
      <c r="D7031" t="inlineStr">
        <is>
          <t>-314K3602.1</t>
        </is>
      </c>
      <c r="E7031" t="inlineStr">
        <is>
          <t>DIL_ER-22-G</t>
        </is>
      </c>
      <c r="F7031" t="inlineStr">
        <is>
          <t>#KALK!</t>
        </is>
      </c>
      <c r="G7031" t="inlineStr">
        <is>
          <t>HILFSSCHUETZ</t>
        </is>
      </c>
      <c r="H7031" t="inlineStr">
        <is>
          <t>2S 2OE</t>
        </is>
      </c>
      <c r="I7031">
        <v>762</v>
      </c>
      <c r="J7031">
        <f>GS33/314.6</f>
        <v>0</v>
      </c>
      <c r="M7031" t="inlineStr">
        <is>
          <t>-314K3602.1</t>
        </is>
      </c>
    </row>
    <row r="7032">
      <c r="A7032">
        <v>7031</v>
      </c>
      <c r="B7032">
        <f>GS33</f>
        <v>0</v>
      </c>
      <c r="C7032" t="inlineStr">
        <is>
          <t>+LS7</t>
        </is>
      </c>
      <c r="D7032" t="inlineStr">
        <is>
          <t>-314K3602.2</t>
        </is>
      </c>
      <c r="E7032" t="inlineStr">
        <is>
          <t>DIL_ER-22-G</t>
        </is>
      </c>
      <c r="F7032" t="inlineStr">
        <is>
          <t>#KALK!</t>
        </is>
      </c>
      <c r="G7032" t="inlineStr">
        <is>
          <t>HILFSSCHUETZ</t>
        </is>
      </c>
      <c r="H7032" t="inlineStr">
        <is>
          <t>2S 2OE</t>
        </is>
      </c>
      <c r="I7032">
        <v>762</v>
      </c>
      <c r="J7032">
        <f>GS33/314.7</f>
        <v>0</v>
      </c>
      <c r="M7032" t="inlineStr">
        <is>
          <t>-314K3602.2</t>
        </is>
      </c>
    </row>
    <row r="7033">
      <c r="A7033">
        <v>7032</v>
      </c>
      <c r="B7033">
        <f>GS33</f>
        <v>0</v>
      </c>
      <c r="C7033" t="inlineStr">
        <is>
          <t>+LS7</t>
        </is>
      </c>
      <c r="D7033" t="inlineStr">
        <is>
          <t>-314K3602.4</t>
        </is>
      </c>
      <c r="E7033" t="inlineStr">
        <is>
          <t>DIL_EM-10-G</t>
        </is>
      </c>
      <c r="F7033" t="inlineStr">
        <is>
          <t>#KALK!</t>
        </is>
      </c>
      <c r="G7033" t="inlineStr">
        <is>
          <t>LASTSCHUETZ</t>
        </is>
      </c>
      <c r="H7033" t="inlineStr">
        <is>
          <t>4kW 1S</t>
        </is>
      </c>
      <c r="I7033">
        <v>762</v>
      </c>
      <c r="J7033">
        <f>GS33/314.7</f>
        <v>0</v>
      </c>
      <c r="M7033" t="inlineStr">
        <is>
          <t>-314K3602.4</t>
        </is>
      </c>
    </row>
    <row r="7034">
      <c r="A7034">
        <v>7033</v>
      </c>
      <c r="B7034">
        <f>GS16</f>
        <v>0</v>
      </c>
      <c r="C7034" t="inlineStr">
        <is>
          <t>+LS5</t>
        </is>
      </c>
      <c r="D7034" t="inlineStr">
        <is>
          <t>-314K3763.2</t>
        </is>
      </c>
      <c r="E7034" t="inlineStr">
        <is>
          <t>DIL_EM-01-G</t>
        </is>
      </c>
      <c r="F7034" t="inlineStr">
        <is>
          <t>#KALK!</t>
        </is>
      </c>
      <c r="G7034" t="inlineStr">
        <is>
          <t>LASTSCHUETZ</t>
        </is>
      </c>
      <c r="H7034" t="inlineStr">
        <is>
          <t>4kW 1OE</t>
        </is>
      </c>
      <c r="I7034">
        <v>542</v>
      </c>
      <c r="J7034">
        <f>GS16/314.6</f>
        <v>0</v>
      </c>
      <c r="M7034" t="inlineStr">
        <is>
          <t>-314K3763.2</t>
        </is>
      </c>
    </row>
    <row r="7035">
      <c r="A7035">
        <v>7034</v>
      </c>
      <c r="B7035">
        <f>GS16</f>
        <v>0</v>
      </c>
      <c r="C7035" t="inlineStr">
        <is>
          <t>+LS5</t>
        </is>
      </c>
      <c r="D7035" t="inlineStr">
        <is>
          <t>-314K3763.3</t>
        </is>
      </c>
      <c r="E7035" t="inlineStr">
        <is>
          <t>DIL_EM-01-G</t>
        </is>
      </c>
      <c r="F7035" t="inlineStr">
        <is>
          <t>#KALK!</t>
        </is>
      </c>
      <c r="G7035" t="inlineStr">
        <is>
          <t>LASTSCHUETZ</t>
        </is>
      </c>
      <c r="H7035" t="inlineStr">
        <is>
          <t>4kW 1OE</t>
        </is>
      </c>
      <c r="I7035">
        <v>542</v>
      </c>
      <c r="J7035">
        <f>GS16/314.6</f>
        <v>0</v>
      </c>
      <c r="M7035" t="inlineStr">
        <is>
          <t>-314K3763.3</t>
        </is>
      </c>
    </row>
    <row r="7036">
      <c r="A7036">
        <v>7035</v>
      </c>
      <c r="B7036">
        <f>GS34</f>
        <v>0</v>
      </c>
      <c r="C7036" t="inlineStr">
        <is>
          <t>+LS7</t>
        </is>
      </c>
      <c r="D7036" t="inlineStr">
        <is>
          <t>-314K3803.5</t>
        </is>
      </c>
      <c r="E7036" t="inlineStr">
        <is>
          <t>DIL_EM-10-G</t>
        </is>
      </c>
      <c r="F7036" t="inlineStr">
        <is>
          <t>#KALK!</t>
        </is>
      </c>
      <c r="G7036" t="inlineStr">
        <is>
          <t>LASTSCHUETZ</t>
        </is>
      </c>
      <c r="H7036" t="inlineStr">
        <is>
          <t>4kW 1S</t>
        </is>
      </c>
      <c r="I7036">
        <v>439</v>
      </c>
      <c r="J7036">
        <f>GS34/314.7</f>
        <v>0</v>
      </c>
      <c r="M7036" t="inlineStr">
        <is>
          <t>-314K3803.5</t>
        </is>
      </c>
    </row>
    <row r="7037">
      <c r="A7037">
        <v>7036</v>
      </c>
      <c r="B7037">
        <f>GC22</f>
        <v>0</v>
      </c>
      <c r="C7037" t="inlineStr">
        <is>
          <t>+LS4</t>
        </is>
      </c>
      <c r="D7037" t="inlineStr">
        <is>
          <t>-314K41.4</t>
        </is>
      </c>
      <c r="E7037" t="inlineStr">
        <is>
          <t>DIL_EM-10-G</t>
        </is>
      </c>
      <c r="F7037" t="inlineStr">
        <is>
          <t>#KALK!</t>
        </is>
      </c>
      <c r="G7037" t="inlineStr">
        <is>
          <t>LASTSCHUETZ</t>
        </is>
      </c>
      <c r="H7037" t="inlineStr">
        <is>
          <t>4kW 1S</t>
        </is>
      </c>
      <c r="I7037">
        <v>2266</v>
      </c>
      <c r="J7037">
        <f>GC22/314.6</f>
        <v>0</v>
      </c>
      <c r="M7037" t="inlineStr">
        <is>
          <t>-314K41.4</t>
        </is>
      </c>
    </row>
    <row r="7038">
      <c r="A7038">
        <v>7037</v>
      </c>
      <c r="B7038">
        <f>GS12</f>
        <v>0</v>
      </c>
      <c r="C7038" t="inlineStr">
        <is>
          <t>+LS4</t>
        </is>
      </c>
      <c r="D7038" t="inlineStr">
        <is>
          <t>-314K41.4</t>
        </is>
      </c>
      <c r="E7038" t="inlineStr">
        <is>
          <t>DIL_EM-10-G</t>
        </is>
      </c>
      <c r="F7038" t="inlineStr">
        <is>
          <t>#KALK!</t>
        </is>
      </c>
      <c r="G7038" t="inlineStr">
        <is>
          <t>LASTSCHUETZ</t>
        </is>
      </c>
      <c r="H7038" t="inlineStr">
        <is>
          <t>4kW 1S</t>
        </is>
      </c>
      <c r="I7038">
        <v>446</v>
      </c>
      <c r="J7038">
        <f>GS12/314.6</f>
        <v>0</v>
      </c>
      <c r="M7038" t="inlineStr">
        <is>
          <t>-314K41.4</t>
        </is>
      </c>
    </row>
    <row r="7039">
      <c r="A7039">
        <v>7038</v>
      </c>
      <c r="B7039">
        <f>GS02</f>
        <v>0</v>
      </c>
      <c r="C7039" t="inlineStr">
        <is>
          <t>+LS6</t>
        </is>
      </c>
      <c r="D7039" t="inlineStr">
        <is>
          <t>-314K53.0</t>
        </is>
      </c>
      <c r="E7039" t="inlineStr">
        <is>
          <t>DIL_ER-22-G</t>
        </is>
      </c>
      <c r="F7039" t="inlineStr">
        <is>
          <t>#KALK!</t>
        </is>
      </c>
      <c r="G7039" t="inlineStr">
        <is>
          <t>HILFSSCHUETZ</t>
        </is>
      </c>
      <c r="H7039" t="inlineStr">
        <is>
          <t>2S 2OE</t>
        </is>
      </c>
      <c r="I7039">
        <v>720</v>
      </c>
      <c r="J7039">
        <f>GS02/314.5</f>
        <v>0</v>
      </c>
      <c r="M7039" t="inlineStr">
        <is>
          <t>-314K53.0</t>
        </is>
      </c>
    </row>
    <row r="7040">
      <c r="A7040">
        <v>7039</v>
      </c>
      <c r="B7040">
        <f>GS02</f>
        <v>0</v>
      </c>
      <c r="C7040" t="inlineStr">
        <is>
          <t>+LS6</t>
        </is>
      </c>
      <c r="D7040" t="inlineStr">
        <is>
          <t>-314K53.1</t>
        </is>
      </c>
      <c r="E7040" t="inlineStr">
        <is>
          <t>DIL_ER-22-G</t>
        </is>
      </c>
      <c r="F7040" t="inlineStr">
        <is>
          <t>#KALK!</t>
        </is>
      </c>
      <c r="G7040" t="inlineStr">
        <is>
          <t>HILFSSCHUETZ</t>
        </is>
      </c>
      <c r="H7040" t="inlineStr">
        <is>
          <t>2S 2OE</t>
        </is>
      </c>
      <c r="I7040">
        <v>720</v>
      </c>
      <c r="J7040">
        <f>GS02/314.6</f>
        <v>0</v>
      </c>
      <c r="M7040" t="inlineStr">
        <is>
          <t>-314K53.1</t>
        </is>
      </c>
    </row>
    <row r="7041">
      <c r="A7041">
        <v>7040</v>
      </c>
      <c r="B7041">
        <f>GS02</f>
        <v>0</v>
      </c>
      <c r="C7041" t="inlineStr">
        <is>
          <t>+LS6</t>
        </is>
      </c>
      <c r="D7041" t="inlineStr">
        <is>
          <t>-314K53.2</t>
        </is>
      </c>
      <c r="E7041" t="inlineStr">
        <is>
          <t>DIL_ER-22-G</t>
        </is>
      </c>
      <c r="F7041" t="inlineStr">
        <is>
          <t>#KALK!</t>
        </is>
      </c>
      <c r="G7041" t="inlineStr">
        <is>
          <t>HILFSSCHUETZ</t>
        </is>
      </c>
      <c r="H7041" t="inlineStr">
        <is>
          <t>2S 2OE</t>
        </is>
      </c>
      <c r="I7041">
        <v>720</v>
      </c>
      <c r="J7041">
        <f>GS02/314.7</f>
        <v>0</v>
      </c>
      <c r="M7041" t="inlineStr">
        <is>
          <t>-314K53.2</t>
        </is>
      </c>
    </row>
    <row r="7042">
      <c r="A7042">
        <v>7041</v>
      </c>
      <c r="B7042">
        <f>GS02</f>
        <v>0</v>
      </c>
      <c r="C7042" t="inlineStr">
        <is>
          <t>+LS6</t>
        </is>
      </c>
      <c r="D7042" t="inlineStr">
        <is>
          <t>-314K53.4</t>
        </is>
      </c>
      <c r="E7042" t="inlineStr">
        <is>
          <t>DIL_EM-10-G</t>
        </is>
      </c>
      <c r="F7042" t="inlineStr">
        <is>
          <t>#KALK!</t>
        </is>
      </c>
      <c r="G7042" t="inlineStr">
        <is>
          <t>LASTSCHUETZ</t>
        </is>
      </c>
      <c r="H7042" t="inlineStr">
        <is>
          <t>4kW 1S</t>
        </is>
      </c>
      <c r="I7042">
        <v>720</v>
      </c>
      <c r="J7042">
        <f>GS02/314.7</f>
        <v>0</v>
      </c>
      <c r="M7042" t="inlineStr">
        <is>
          <t>-314K53.4</t>
        </is>
      </c>
    </row>
    <row r="7043">
      <c r="A7043">
        <v>7042</v>
      </c>
      <c r="B7043">
        <f>GS32</f>
        <v>0</v>
      </c>
      <c r="C7043" t="inlineStr">
        <is>
          <t>+LS7</t>
        </is>
      </c>
      <c r="D7043" t="inlineStr">
        <is>
          <t>-314K63.6</t>
        </is>
      </c>
      <c r="E7043" t="inlineStr">
        <is>
          <t>DIL_EM-10-G</t>
        </is>
      </c>
      <c r="F7043" t="inlineStr">
        <is>
          <t>#KALK!</t>
        </is>
      </c>
      <c r="G7043" t="inlineStr">
        <is>
          <t>LASTSCHUETZ</t>
        </is>
      </c>
      <c r="H7043" t="inlineStr">
        <is>
          <t>4kW 1S</t>
        </is>
      </c>
      <c r="I7043">
        <v>1293</v>
      </c>
      <c r="J7043">
        <f>GS32/314.6</f>
        <v>0</v>
      </c>
      <c r="M7043" t="inlineStr">
        <is>
          <t>-314K63.6</t>
        </is>
      </c>
    </row>
    <row r="7044">
      <c r="A7044">
        <v>7043</v>
      </c>
      <c r="B7044">
        <f>GS32</f>
        <v>0</v>
      </c>
      <c r="C7044" t="inlineStr">
        <is>
          <t>+LS7</t>
        </is>
      </c>
      <c r="D7044" t="inlineStr">
        <is>
          <t>-314K63.7</t>
        </is>
      </c>
      <c r="E7044" t="inlineStr">
        <is>
          <t>DIL_EM-10-G</t>
        </is>
      </c>
      <c r="F7044" t="inlineStr">
        <is>
          <t>#KALK!</t>
        </is>
      </c>
      <c r="G7044" t="inlineStr">
        <is>
          <t>LASTSCHUETZ</t>
        </is>
      </c>
      <c r="H7044" t="inlineStr">
        <is>
          <t>4kW 1S</t>
        </is>
      </c>
      <c r="I7044">
        <v>1293</v>
      </c>
      <c r="J7044">
        <f>GS32/314.6</f>
        <v>0</v>
      </c>
      <c r="M7044" t="inlineStr">
        <is>
          <t>-314K63.7</t>
        </is>
      </c>
    </row>
    <row r="7045">
      <c r="A7045">
        <v>7044</v>
      </c>
      <c r="B7045">
        <f>GS11</f>
        <v>0</v>
      </c>
      <c r="C7045" t="inlineStr">
        <is>
          <t>+LS7</t>
        </is>
      </c>
      <c r="D7045" t="inlineStr">
        <is>
          <t>-314K76.5</t>
        </is>
      </c>
      <c r="E7045" t="inlineStr">
        <is>
          <t>DIL_EM-10-G</t>
        </is>
      </c>
      <c r="F7045" t="inlineStr">
        <is>
          <t>#KALK!</t>
        </is>
      </c>
      <c r="G7045" t="inlineStr">
        <is>
          <t>LASTSCHUETZ</t>
        </is>
      </c>
      <c r="H7045" t="inlineStr">
        <is>
          <t>4kW 1S</t>
        </is>
      </c>
      <c r="I7045">
        <v>420</v>
      </c>
      <c r="J7045">
        <f>GS11/314.6</f>
        <v>0</v>
      </c>
      <c r="M7045" t="inlineStr">
        <is>
          <t>-314K76.5</t>
        </is>
      </c>
    </row>
    <row r="7046">
      <c r="A7046">
        <v>7045</v>
      </c>
      <c r="B7046">
        <f>GS21</f>
        <v>0</v>
      </c>
      <c r="C7046" t="inlineStr">
        <is>
          <t>+LS7</t>
        </is>
      </c>
      <c r="D7046" t="inlineStr">
        <is>
          <t>-314K76.5</t>
        </is>
      </c>
      <c r="E7046" t="inlineStr">
        <is>
          <t>DIL_EM-10-G</t>
        </is>
      </c>
      <c r="F7046" t="inlineStr">
        <is>
          <t>#KALK!</t>
        </is>
      </c>
      <c r="G7046" t="inlineStr">
        <is>
          <t>LASTSCHUETZ</t>
        </is>
      </c>
      <c r="H7046" t="inlineStr">
        <is>
          <t>4kW 1S</t>
        </is>
      </c>
      <c r="I7046">
        <v>402</v>
      </c>
      <c r="J7046">
        <f>GS21/314.6</f>
        <v>0</v>
      </c>
      <c r="M7046" t="inlineStr">
        <is>
          <t>-314K76.5</t>
        </is>
      </c>
    </row>
    <row r="7047">
      <c r="A7047">
        <v>7046</v>
      </c>
      <c r="B7047">
        <f>GS23</f>
        <v>0</v>
      </c>
      <c r="C7047" t="inlineStr">
        <is>
          <t>+LS6</t>
        </is>
      </c>
      <c r="D7047" t="inlineStr">
        <is>
          <t>-314K88.4</t>
        </is>
      </c>
      <c r="E7047" t="inlineStr">
        <is>
          <t>DIL_EM-10-G</t>
        </is>
      </c>
      <c r="F7047" t="inlineStr">
        <is>
          <t>#KALK!</t>
        </is>
      </c>
      <c r="G7047" t="inlineStr">
        <is>
          <t>LASTSCHUETZ</t>
        </is>
      </c>
      <c r="H7047" t="inlineStr">
        <is>
          <t>4kW 1S</t>
        </is>
      </c>
      <c r="I7047">
        <v>615</v>
      </c>
      <c r="J7047">
        <f>GS23/314.6</f>
        <v>0</v>
      </c>
      <c r="M7047" t="inlineStr">
        <is>
          <t>-314K88.4</t>
        </is>
      </c>
    </row>
    <row r="7048">
      <c r="A7048">
        <v>7047</v>
      </c>
      <c r="B7048">
        <f>GS23</f>
        <v>0</v>
      </c>
      <c r="C7048" t="inlineStr">
        <is>
          <t>+LS6</t>
        </is>
      </c>
      <c r="D7048" t="inlineStr">
        <is>
          <t>-314K88.5</t>
        </is>
      </c>
      <c r="E7048" t="inlineStr">
        <is>
          <t>DIL_EM-10-G</t>
        </is>
      </c>
      <c r="F7048" t="inlineStr">
        <is>
          <t>#KALK!</t>
        </is>
      </c>
      <c r="G7048" t="inlineStr">
        <is>
          <t>LASTSCHUETZ</t>
        </is>
      </c>
      <c r="H7048" t="inlineStr">
        <is>
          <t>4kW 1S</t>
        </is>
      </c>
      <c r="I7048">
        <v>615</v>
      </c>
      <c r="J7048">
        <f>GS23/314.6</f>
        <v>0</v>
      </c>
      <c r="M7048" t="inlineStr">
        <is>
          <t>-314K88.5</t>
        </is>
      </c>
    </row>
    <row r="7049">
      <c r="A7049">
        <v>7048</v>
      </c>
      <c r="B7049">
        <f>GS13</f>
        <v>0</v>
      </c>
      <c r="C7049" t="inlineStr">
        <is>
          <t>+LS6</t>
        </is>
      </c>
      <c r="D7049" t="inlineStr">
        <is>
          <t>-31588.6</t>
        </is>
      </c>
      <c r="E7049" t="inlineStr">
        <is>
          <t>DIL_EM-10-G</t>
        </is>
      </c>
      <c r="F7049" t="inlineStr">
        <is>
          <t>#KALK!</t>
        </is>
      </c>
      <c r="G7049" t="inlineStr">
        <is>
          <t>LASTSCHUETZ</t>
        </is>
      </c>
      <c r="H7049" t="inlineStr">
        <is>
          <t>4kW 1S</t>
        </is>
      </c>
      <c r="I7049">
        <v>558</v>
      </c>
      <c r="J7049">
        <f>GS13/315.6</f>
        <v>0</v>
      </c>
      <c r="M7049" t="inlineStr">
        <is>
          <t>-31588.6</t>
        </is>
      </c>
    </row>
    <row r="7050">
      <c r="A7050">
        <v>7049</v>
      </c>
      <c r="B7050">
        <f>GS13</f>
        <v>0</v>
      </c>
      <c r="C7050" t="inlineStr">
        <is>
          <t>+LS6</t>
        </is>
      </c>
      <c r="D7050" t="inlineStr">
        <is>
          <t>-31588.7</t>
        </is>
      </c>
      <c r="E7050" t="inlineStr">
        <is>
          <t>DIL_EM-10-G</t>
        </is>
      </c>
      <c r="F7050" t="inlineStr">
        <is>
          <t>#KALK!</t>
        </is>
      </c>
      <c r="G7050" t="inlineStr">
        <is>
          <t>LASTSCHUETZ</t>
        </is>
      </c>
      <c r="H7050" t="inlineStr">
        <is>
          <t>4kW 1S</t>
        </is>
      </c>
      <c r="I7050">
        <v>558</v>
      </c>
      <c r="J7050">
        <f>GS13/315.6</f>
        <v>0</v>
      </c>
      <c r="M7050" t="inlineStr">
        <is>
          <t>-31588.7</t>
        </is>
      </c>
    </row>
    <row r="7051">
      <c r="A7051">
        <v>7050</v>
      </c>
      <c r="B7051">
        <f>GS01</f>
        <v>0</v>
      </c>
      <c r="C7051" t="inlineStr">
        <is>
          <t>+LS7</t>
        </is>
      </c>
      <c r="D7051" t="inlineStr">
        <is>
          <t>-315K1</t>
        </is>
      </c>
      <c r="E7051" t="inlineStr">
        <is>
          <t>DIL_2AM</t>
        </is>
      </c>
      <c r="F7051" t="inlineStr">
        <is>
          <t>22_DIL-M</t>
        </is>
      </c>
      <c r="G7051" t="inlineStr">
        <is>
          <t>LASTSCHUETZ</t>
        </is>
      </c>
      <c r="H7051" t="inlineStr">
        <is>
          <t>30 kW</t>
        </is>
      </c>
      <c r="I7051">
        <v>478</v>
      </c>
      <c r="J7051">
        <f>GS01/315.2</f>
        <v>0</v>
      </c>
      <c r="K7051" t="inlineStr">
        <is>
          <t>DIL2AM</t>
        </is>
      </c>
      <c r="M7051" t="inlineStr">
        <is>
          <t>-315K1</t>
        </is>
      </c>
    </row>
    <row r="7052">
      <c r="A7052">
        <v>7051</v>
      </c>
      <c r="B7052">
        <f>GS01</f>
        <v>0</v>
      </c>
      <c r="C7052" t="inlineStr">
        <is>
          <t>+LS7</t>
        </is>
      </c>
      <c r="D7052" t="inlineStr">
        <is>
          <t>-315K1</t>
        </is>
      </c>
      <c r="E7052" t="inlineStr">
        <is>
          <t>22_DIL-M</t>
        </is>
      </c>
      <c r="F7052" t="inlineStr">
        <is>
          <t>22_DIL-M</t>
        </is>
      </c>
      <c r="G7052" t="inlineStr">
        <is>
          <t>HILFSKONTAKTBLOCK</t>
        </is>
      </c>
      <c r="H7052" t="inlineStr">
        <is>
          <t>2S 2OE Lastschuetz DIL M</t>
        </is>
      </c>
      <c r="I7052">
        <v>478</v>
      </c>
      <c r="J7052">
        <f>GS01/315.2</f>
        <v>0</v>
      </c>
      <c r="K7052" t="inlineStr">
        <is>
          <t>DIL2AM</t>
        </is>
      </c>
      <c r="M7052" t="inlineStr">
        <is>
          <t>-315K1</t>
        </is>
      </c>
    </row>
    <row r="7053">
      <c r="A7053">
        <v>7052</v>
      </c>
      <c r="B7053">
        <f>GS24</f>
        <v>0</v>
      </c>
      <c r="C7053" t="inlineStr">
        <is>
          <t>+LS6</t>
        </is>
      </c>
      <c r="D7053" t="inlineStr">
        <is>
          <t>-315K1</t>
        </is>
      </c>
      <c r="E7053" t="inlineStr">
        <is>
          <t>22_DIL-M</t>
        </is>
      </c>
      <c r="F7053" t="inlineStr">
        <is>
          <t>22_DIL-M</t>
        </is>
      </c>
      <c r="G7053" t="inlineStr">
        <is>
          <t>HILFSKONTAKTBLOCK</t>
        </is>
      </c>
      <c r="H7053" t="inlineStr">
        <is>
          <t>2S 2OE Lastschuetz DIL M</t>
        </is>
      </c>
      <c r="I7053">
        <v>772</v>
      </c>
      <c r="J7053">
        <f>GS24/315.2</f>
        <v>0</v>
      </c>
      <c r="K7053" t="inlineStr">
        <is>
          <t>DIL0AM</t>
        </is>
      </c>
      <c r="M7053" t="inlineStr">
        <is>
          <t>-315K1</t>
        </is>
      </c>
    </row>
    <row r="7054">
      <c r="A7054">
        <v>7053</v>
      </c>
      <c r="B7054">
        <f>GS24</f>
        <v>0</v>
      </c>
      <c r="C7054" t="inlineStr">
        <is>
          <t>+LS6</t>
        </is>
      </c>
      <c r="D7054" t="inlineStr">
        <is>
          <t>-315K1</t>
        </is>
      </c>
      <c r="E7054" t="inlineStr">
        <is>
          <t>DIL_0AM</t>
        </is>
      </c>
      <c r="F7054" t="inlineStr">
        <is>
          <t>22_DIL-M</t>
        </is>
      </c>
      <c r="G7054" t="inlineStr">
        <is>
          <t>LASTSCHUETZ</t>
        </is>
      </c>
      <c r="H7054" t="inlineStr">
        <is>
          <t>11 kW</t>
        </is>
      </c>
      <c r="I7054">
        <v>772</v>
      </c>
      <c r="J7054">
        <f>GS24/315.2</f>
        <v>0</v>
      </c>
      <c r="K7054" t="inlineStr">
        <is>
          <t>DIL0AM</t>
        </is>
      </c>
      <c r="M7054" t="inlineStr">
        <is>
          <t>-315K1</t>
        </is>
      </c>
    </row>
    <row r="7055">
      <c r="A7055">
        <v>7054</v>
      </c>
      <c r="B7055">
        <f>GS36</f>
        <v>0</v>
      </c>
      <c r="C7055" t="inlineStr">
        <is>
          <t>+LS07</t>
        </is>
      </c>
      <c r="D7055" t="inlineStr">
        <is>
          <t>-343K1</t>
        </is>
      </c>
      <c r="E7055" t="inlineStr">
        <is>
          <t>DILM-9-01</t>
        </is>
      </c>
      <c r="F7055" t="inlineStr">
        <is>
          <t>#KALK!</t>
        </is>
      </c>
      <c r="G7055" t="inlineStr">
        <is>
          <t>LASTSCHUETZ</t>
        </is>
      </c>
      <c r="H7055" t="inlineStr">
        <is>
          <t>4kW 1Oe Federzugkl.</t>
        </is>
      </c>
      <c r="I7055">
        <v>516</v>
      </c>
      <c r="J7055">
        <f>GS36/343.6</f>
        <v>0</v>
      </c>
      <c r="L7055" t="inlineStr">
        <is>
          <t>Lichtvorhang KF</t>
        </is>
      </c>
      <c r="M7055" t="inlineStr">
        <is>
          <t>Lichtvorhang KF
-343K1</t>
        </is>
      </c>
    </row>
    <row r="7056">
      <c r="A7056">
        <v>7055</v>
      </c>
      <c r="B7056">
        <f>GS92</f>
        <v>0</v>
      </c>
      <c r="C7056" t="inlineStr">
        <is>
          <t>+LS05</t>
        </is>
      </c>
      <c r="D7056" t="inlineStr">
        <is>
          <t>-315K1322.4</t>
        </is>
      </c>
      <c r="E7056" t="inlineStr">
        <is>
          <t>DILA-40</t>
        </is>
      </c>
      <c r="F7056" t="inlineStr">
        <is>
          <t>#KALK!</t>
        </is>
      </c>
      <c r="G7056" t="inlineStr">
        <is>
          <t>HILFSSCHUETZ</t>
        </is>
      </c>
      <c r="H7056" t="inlineStr">
        <is>
          <t>4S Federzugkl.</t>
        </is>
      </c>
      <c r="I7056">
        <v>461</v>
      </c>
      <c r="J7056">
        <f>GS92/315.7</f>
        <v>0</v>
      </c>
      <c r="M7056" t="inlineStr">
        <is>
          <t>-315K1322.4</t>
        </is>
      </c>
    </row>
    <row r="7057">
      <c r="A7057">
        <v>7056</v>
      </c>
      <c r="B7057">
        <f>GS93</f>
        <v>0</v>
      </c>
      <c r="C7057" t="inlineStr">
        <is>
          <t>+LS05</t>
        </is>
      </c>
      <c r="D7057" t="inlineStr">
        <is>
          <t>-315K1322.4</t>
        </is>
      </c>
      <c r="E7057" t="inlineStr">
        <is>
          <t>DILA-40</t>
        </is>
      </c>
      <c r="F7057" t="inlineStr">
        <is>
          <t>#KALK!</t>
        </is>
      </c>
      <c r="G7057" t="inlineStr">
        <is>
          <t>HILFSSCHUETZ</t>
        </is>
      </c>
      <c r="H7057" t="inlineStr">
        <is>
          <t>4S Federzugkl.</t>
        </is>
      </c>
      <c r="I7057">
        <v>869</v>
      </c>
      <c r="J7057">
        <f>GS93/315.7</f>
        <v>0</v>
      </c>
      <c r="M7057" t="inlineStr">
        <is>
          <t>-315K1322.4</t>
        </is>
      </c>
    </row>
    <row r="7058">
      <c r="A7058">
        <v>7057</v>
      </c>
      <c r="B7058">
        <f>GS55</f>
        <v>0</v>
      </c>
      <c r="C7058" t="inlineStr">
        <is>
          <t>+LS04</t>
        </is>
      </c>
      <c r="D7058" t="inlineStr">
        <is>
          <t>-315K135.6</t>
        </is>
      </c>
      <c r="E7058" t="inlineStr">
        <is>
          <t>DILA-31</t>
        </is>
      </c>
      <c r="F7058" t="inlineStr">
        <is>
          <t>#KALK!</t>
        </is>
      </c>
      <c r="G7058" t="inlineStr">
        <is>
          <t>HILFSSCHUETZ</t>
        </is>
      </c>
      <c r="H7058" t="inlineStr">
        <is>
          <t>3S 1Oe Federzugkl.</t>
        </is>
      </c>
      <c r="I7058">
        <v>590</v>
      </c>
      <c r="J7058">
        <f>GS55/315.6</f>
        <v>0</v>
      </c>
      <c r="M7058" t="inlineStr">
        <is>
          <t>-315K135.6</t>
        </is>
      </c>
    </row>
    <row r="7059">
      <c r="A7059">
        <v>7058</v>
      </c>
      <c r="B7059">
        <f>GS15</f>
        <v>0</v>
      </c>
      <c r="C7059" t="inlineStr">
        <is>
          <t>+LS6</t>
        </is>
      </c>
      <c r="D7059" t="inlineStr">
        <is>
          <t>-315K14.6</t>
        </is>
      </c>
      <c r="E7059" t="inlineStr">
        <is>
          <t>DIL_EM-10-G</t>
        </is>
      </c>
      <c r="F7059" t="inlineStr">
        <is>
          <t>#KALK!</t>
        </is>
      </c>
      <c r="G7059" t="inlineStr">
        <is>
          <t>LASTSCHUETZ</t>
        </is>
      </c>
      <c r="H7059" t="inlineStr">
        <is>
          <t>4kW 1S</t>
        </is>
      </c>
      <c r="I7059">
        <v>813</v>
      </c>
      <c r="J7059">
        <f>GS15/315.6</f>
        <v>0</v>
      </c>
      <c r="M7059" t="inlineStr">
        <is>
          <t>-315K14.6</t>
        </is>
      </c>
    </row>
    <row r="7060">
      <c r="A7060">
        <v>7059</v>
      </c>
      <c r="B7060">
        <f>GS15</f>
        <v>0</v>
      </c>
      <c r="C7060" t="inlineStr">
        <is>
          <t>+LS6</t>
        </is>
      </c>
      <c r="D7060" t="inlineStr">
        <is>
          <t>-315K14.7</t>
        </is>
      </c>
      <c r="E7060" t="inlineStr">
        <is>
          <t>DIL_EM-10-G</t>
        </is>
      </c>
      <c r="F7060" t="inlineStr">
        <is>
          <t>#KALK!</t>
        </is>
      </c>
      <c r="G7060" t="inlineStr">
        <is>
          <t>LASTSCHUETZ</t>
        </is>
      </c>
      <c r="H7060" t="inlineStr">
        <is>
          <t>4kW 1S</t>
        </is>
      </c>
      <c r="I7060">
        <v>813</v>
      </c>
      <c r="J7060">
        <f>GS15/315.6</f>
        <v>0</v>
      </c>
      <c r="M7060" t="inlineStr">
        <is>
          <t>-315K14.7</t>
        </is>
      </c>
    </row>
    <row r="7061">
      <c r="A7061">
        <v>7060</v>
      </c>
      <c r="B7061">
        <f>GS90</f>
        <v>0</v>
      </c>
      <c r="C7061" t="inlineStr">
        <is>
          <t>+LS05</t>
        </is>
      </c>
      <c r="D7061" t="inlineStr">
        <is>
          <t>-315K186.4</t>
        </is>
      </c>
      <c r="E7061" t="inlineStr">
        <is>
          <t>DILA-40</t>
        </is>
      </c>
      <c r="F7061" t="inlineStr">
        <is>
          <t>#KALK!</t>
        </is>
      </c>
      <c r="G7061" t="inlineStr">
        <is>
          <t>HILFSSCHUETZ</t>
        </is>
      </c>
      <c r="H7061" t="inlineStr">
        <is>
          <t>4S Federzugkl.</t>
        </is>
      </c>
      <c r="I7061">
        <v>916</v>
      </c>
      <c r="J7061">
        <f>GS90/315.7</f>
        <v>0</v>
      </c>
      <c r="M7061" t="inlineStr">
        <is>
          <t>-315K186.4</t>
        </is>
      </c>
    </row>
    <row r="7062">
      <c r="A7062">
        <v>7061</v>
      </c>
      <c r="B7062">
        <f>GS11</f>
        <v>0</v>
      </c>
      <c r="C7062" t="inlineStr">
        <is>
          <t>+LS7</t>
        </is>
      </c>
      <c r="D7062" t="inlineStr">
        <is>
          <t>-315K21.5</t>
        </is>
      </c>
      <c r="E7062" t="inlineStr">
        <is>
          <t>DIL_EM-10-G</t>
        </is>
      </c>
      <c r="F7062" t="inlineStr">
        <is>
          <t>#KALK!</t>
        </is>
      </c>
      <c r="G7062" t="inlineStr">
        <is>
          <t>LASTSCHUETZ</t>
        </is>
      </c>
      <c r="H7062" t="inlineStr">
        <is>
          <t>4kW 1S</t>
        </is>
      </c>
      <c r="I7062">
        <v>421</v>
      </c>
      <c r="J7062">
        <f>GS11/315.6</f>
        <v>0</v>
      </c>
      <c r="M7062" t="inlineStr">
        <is>
          <t>-315K21.5</t>
        </is>
      </c>
    </row>
    <row r="7063">
      <c r="A7063">
        <v>7062</v>
      </c>
      <c r="B7063">
        <f>GS21</f>
        <v>0</v>
      </c>
      <c r="C7063" t="inlineStr">
        <is>
          <t>+LS7</t>
        </is>
      </c>
      <c r="D7063" t="inlineStr">
        <is>
          <t>-315K21.5</t>
        </is>
      </c>
      <c r="E7063" t="inlineStr">
        <is>
          <t>DIL_EM-10-G</t>
        </is>
      </c>
      <c r="F7063" t="inlineStr">
        <is>
          <t>#KALK!</t>
        </is>
      </c>
      <c r="G7063" t="inlineStr">
        <is>
          <t>LASTSCHUETZ</t>
        </is>
      </c>
      <c r="H7063" t="inlineStr">
        <is>
          <t>4kW 1S</t>
        </is>
      </c>
      <c r="I7063">
        <v>403</v>
      </c>
      <c r="J7063">
        <f>GS21/315.6</f>
        <v>0</v>
      </c>
      <c r="M7063" t="inlineStr">
        <is>
          <t>-315K21.5</t>
        </is>
      </c>
    </row>
    <row r="7064">
      <c r="A7064">
        <v>7063</v>
      </c>
      <c r="B7064">
        <f>GS34</f>
        <v>0</v>
      </c>
      <c r="C7064" t="inlineStr">
        <is>
          <t>+LS7</t>
        </is>
      </c>
      <c r="D7064" t="inlineStr">
        <is>
          <t>-315K3804.3</t>
        </is>
      </c>
      <c r="E7064" t="inlineStr">
        <is>
          <t>DIL_EM-10-G</t>
        </is>
      </c>
      <c r="F7064" t="inlineStr">
        <is>
          <t>#KALK!</t>
        </is>
      </c>
      <c r="G7064" t="inlineStr">
        <is>
          <t>LASTSCHUETZ</t>
        </is>
      </c>
      <c r="H7064" t="inlineStr">
        <is>
          <t>4kW 1S</t>
        </is>
      </c>
      <c r="I7064">
        <v>440</v>
      </c>
      <c r="J7064">
        <f>GS34/315.7</f>
        <v>0</v>
      </c>
      <c r="M7064" t="inlineStr">
        <is>
          <t>-315K3804.3</t>
        </is>
      </c>
    </row>
    <row r="7065">
      <c r="A7065">
        <v>7064</v>
      </c>
      <c r="B7065">
        <f>GS20</f>
        <v>0</v>
      </c>
      <c r="C7065" t="inlineStr">
        <is>
          <t>+LS07</t>
        </is>
      </c>
      <c r="D7065" t="inlineStr">
        <is>
          <t>-315K406.4</t>
        </is>
      </c>
      <c r="E7065" t="inlineStr">
        <is>
          <t>DILA-40</t>
        </is>
      </c>
      <c r="F7065" t="inlineStr">
        <is>
          <t>#KALK!</t>
        </is>
      </c>
      <c r="G7065" t="inlineStr">
        <is>
          <t>HILFSSCHUETZ</t>
        </is>
      </c>
      <c r="H7065" t="inlineStr">
        <is>
          <t>4S Federzugkl.</t>
        </is>
      </c>
      <c r="I7065">
        <v>2610</v>
      </c>
      <c r="J7065">
        <f>GS20/315.7</f>
        <v>0</v>
      </c>
      <c r="M7065" t="inlineStr">
        <is>
          <t>-315K406.4</t>
        </is>
      </c>
    </row>
    <row r="7066">
      <c r="A7066">
        <v>7065</v>
      </c>
      <c r="B7066">
        <f>GS36</f>
        <v>0</v>
      </c>
      <c r="C7066" t="inlineStr">
        <is>
          <t>+LS07</t>
        </is>
      </c>
      <c r="D7066" t="inlineStr">
        <is>
          <t>-343K2</t>
        </is>
      </c>
      <c r="E7066" t="inlineStr">
        <is>
          <t>DILM-9-01</t>
        </is>
      </c>
      <c r="F7066" t="inlineStr">
        <is>
          <t>#KALK!</t>
        </is>
      </c>
      <c r="G7066" t="inlineStr">
        <is>
          <t>LASTSCHUETZ</t>
        </is>
      </c>
      <c r="H7066" t="inlineStr">
        <is>
          <t>4kW 1Oe Federzugkl.</t>
        </is>
      </c>
      <c r="I7066">
        <v>516</v>
      </c>
      <c r="J7066">
        <f>GS36/343.7</f>
        <v>0</v>
      </c>
      <c r="L7066" t="inlineStr">
        <is>
          <t>Lichtvorhang KF</t>
        </is>
      </c>
      <c r="M7066" t="inlineStr">
        <is>
          <t>Lichtvorhang KF
-343K2</t>
        </is>
      </c>
    </row>
    <row r="7067">
      <c r="A7067">
        <v>7066</v>
      </c>
      <c r="B7067">
        <f>GC22</f>
        <v>0</v>
      </c>
      <c r="C7067" t="inlineStr">
        <is>
          <t>+LS4</t>
        </is>
      </c>
      <c r="D7067" t="inlineStr">
        <is>
          <t>-315K42.1</t>
        </is>
      </c>
      <c r="E7067" t="inlineStr">
        <is>
          <t>DIL_EM-10-G</t>
        </is>
      </c>
      <c r="F7067" t="inlineStr">
        <is>
          <t>#KALK!</t>
        </is>
      </c>
      <c r="G7067" t="inlineStr">
        <is>
          <t>LASTSCHUETZ</t>
        </is>
      </c>
      <c r="H7067" t="inlineStr">
        <is>
          <t>4kW 1S</t>
        </is>
      </c>
      <c r="I7067">
        <v>3628</v>
      </c>
      <c r="J7067">
        <f>GC22/315.7</f>
        <v>0</v>
      </c>
      <c r="M7067" t="inlineStr">
        <is>
          <t>-315K42.1</t>
        </is>
      </c>
    </row>
    <row r="7068">
      <c r="A7068">
        <v>7067</v>
      </c>
      <c r="B7068">
        <f>GS12</f>
        <v>0</v>
      </c>
      <c r="C7068" t="inlineStr">
        <is>
          <t>+LS4</t>
        </is>
      </c>
      <c r="D7068" t="inlineStr">
        <is>
          <t>-315K42.1</t>
        </is>
      </c>
      <c r="E7068" t="inlineStr">
        <is>
          <t>DIL_EM-10-G</t>
        </is>
      </c>
      <c r="F7068" t="inlineStr">
        <is>
          <t>#KALK!</t>
        </is>
      </c>
      <c r="G7068" t="inlineStr">
        <is>
          <t>LASTSCHUETZ</t>
        </is>
      </c>
      <c r="H7068" t="inlineStr">
        <is>
          <t>4kW 1S</t>
        </is>
      </c>
      <c r="I7068">
        <v>447</v>
      </c>
      <c r="J7068">
        <f>GS12/315.7</f>
        <v>0</v>
      </c>
      <c r="M7068" t="inlineStr">
        <is>
          <t>-315K42.1</t>
        </is>
      </c>
    </row>
    <row r="7069">
      <c r="A7069">
        <v>7068</v>
      </c>
      <c r="B7069">
        <f>GS35</f>
        <v>0</v>
      </c>
      <c r="C7069" t="inlineStr">
        <is>
          <t>+LS07</t>
        </is>
      </c>
      <c r="D7069" t="inlineStr">
        <is>
          <t>-315K441.0</t>
        </is>
      </c>
      <c r="E7069" t="inlineStr">
        <is>
          <t>DILA-40</t>
        </is>
      </c>
      <c r="F7069" t="inlineStr">
        <is>
          <t>#KALK!</t>
        </is>
      </c>
      <c r="G7069" t="inlineStr">
        <is>
          <t>HILFSSCHUETZ</t>
        </is>
      </c>
      <c r="H7069" t="inlineStr">
        <is>
          <t>4S Federzugkl.</t>
        </is>
      </c>
      <c r="I7069">
        <v>474</v>
      </c>
      <c r="J7069">
        <f>GS35/315.7</f>
        <v>0</v>
      </c>
      <c r="M7069" t="inlineStr">
        <is>
          <t>-315K441.0</t>
        </is>
      </c>
    </row>
    <row r="7070">
      <c r="A7070">
        <v>7069</v>
      </c>
      <c r="B7070">
        <f>GS94</f>
        <v>0</v>
      </c>
      <c r="C7070" t="inlineStr">
        <is>
          <t>+LS19</t>
        </is>
      </c>
      <c r="D7070" t="inlineStr">
        <is>
          <t>-315K495.7</t>
        </is>
      </c>
      <c r="E7070" t="inlineStr">
        <is>
          <t>DILA-40</t>
        </is>
      </c>
      <c r="F7070" t="inlineStr">
        <is>
          <t>#KALK!</t>
        </is>
      </c>
      <c r="G7070" t="inlineStr">
        <is>
          <t>HILFSSCHUETZ</t>
        </is>
      </c>
      <c r="H7070" t="inlineStr">
        <is>
          <t>4S Federzugkl.</t>
        </is>
      </c>
      <c r="I7070">
        <v>405</v>
      </c>
      <c r="J7070">
        <f>GS94/315.7</f>
        <v>0</v>
      </c>
      <c r="M7070" t="inlineStr">
        <is>
          <t>-315K495.7</t>
        </is>
      </c>
    </row>
    <row r="7071">
      <c r="A7071">
        <v>7070</v>
      </c>
      <c r="B7071">
        <f>GS95</f>
        <v>0</v>
      </c>
      <c r="C7071" t="inlineStr">
        <is>
          <t>+LS19</t>
        </is>
      </c>
      <c r="D7071" t="inlineStr">
        <is>
          <t>-315K495.7</t>
        </is>
      </c>
      <c r="E7071" t="inlineStr">
        <is>
          <t>DILA-40</t>
        </is>
      </c>
      <c r="F7071" t="inlineStr">
        <is>
          <t>#KALK!</t>
        </is>
      </c>
      <c r="G7071" t="inlineStr">
        <is>
          <t>HILFSSCHUETZ</t>
        </is>
      </c>
      <c r="H7071" t="inlineStr">
        <is>
          <t>4S Federzugkl.</t>
        </is>
      </c>
      <c r="I7071">
        <v>405</v>
      </c>
      <c r="J7071">
        <f>GS95/315.7</f>
        <v>0</v>
      </c>
      <c r="M7071" t="inlineStr">
        <is>
          <t>-315K495.7</t>
        </is>
      </c>
    </row>
    <row r="7072">
      <c r="A7072">
        <v>7071</v>
      </c>
      <c r="B7072">
        <f>GS96</f>
        <v>0</v>
      </c>
      <c r="C7072" t="inlineStr">
        <is>
          <t>+LS19</t>
        </is>
      </c>
      <c r="D7072" t="inlineStr">
        <is>
          <t>-315K495.7</t>
        </is>
      </c>
      <c r="E7072" t="inlineStr">
        <is>
          <t>DILA-40</t>
        </is>
      </c>
      <c r="F7072" t="inlineStr">
        <is>
          <t>#KALK!</t>
        </is>
      </c>
      <c r="G7072" t="inlineStr">
        <is>
          <t>HILFSSCHUETZ</t>
        </is>
      </c>
      <c r="H7072" t="inlineStr">
        <is>
          <t>4S Federzugkl.</t>
        </is>
      </c>
      <c r="I7072">
        <v>405</v>
      </c>
      <c r="J7072">
        <f>GS96/315.7</f>
        <v>0</v>
      </c>
      <c r="M7072" t="inlineStr">
        <is>
          <t>-315K495.7</t>
        </is>
      </c>
    </row>
    <row r="7073">
      <c r="A7073">
        <v>7072</v>
      </c>
      <c r="B7073">
        <f>GS97</f>
        <v>0</v>
      </c>
      <c r="C7073" t="inlineStr">
        <is>
          <t>+LS19</t>
        </is>
      </c>
      <c r="D7073" t="inlineStr">
        <is>
          <t>-315K495.7</t>
        </is>
      </c>
      <c r="E7073" t="inlineStr">
        <is>
          <t>DILA-40</t>
        </is>
      </c>
      <c r="F7073" t="inlineStr">
        <is>
          <t>#KALK!</t>
        </is>
      </c>
      <c r="G7073" t="inlineStr">
        <is>
          <t>HILFSSCHUETZ</t>
        </is>
      </c>
      <c r="H7073" t="inlineStr">
        <is>
          <t>4S Federzugkl.</t>
        </is>
      </c>
      <c r="I7073">
        <v>405</v>
      </c>
      <c r="J7073">
        <f>GS97/315.7</f>
        <v>0</v>
      </c>
      <c r="M7073" t="inlineStr">
        <is>
          <t>-315K495.7</t>
        </is>
      </c>
    </row>
    <row r="7074">
      <c r="A7074">
        <v>7073</v>
      </c>
      <c r="B7074">
        <f>GS32</f>
        <v>0</v>
      </c>
      <c r="C7074" t="inlineStr">
        <is>
          <t>+LS7</t>
        </is>
      </c>
      <c r="D7074" t="inlineStr">
        <is>
          <t>-315K64.3</t>
        </is>
      </c>
      <c r="E7074" t="inlineStr">
        <is>
          <t>DIL_EM-10-G</t>
        </is>
      </c>
      <c r="F7074" t="inlineStr">
        <is>
          <t>#KALK!</t>
        </is>
      </c>
      <c r="G7074" t="inlineStr">
        <is>
          <t>LASTSCHUETZ</t>
        </is>
      </c>
      <c r="H7074" t="inlineStr">
        <is>
          <t>4kW 1S</t>
        </is>
      </c>
      <c r="I7074">
        <v>1292</v>
      </c>
      <c r="J7074">
        <f>GS32/315.7</f>
        <v>0</v>
      </c>
      <c r="M7074" t="inlineStr">
        <is>
          <t>-315K64.3</t>
        </is>
      </c>
    </row>
    <row r="7075">
      <c r="A7075">
        <v>7074</v>
      </c>
      <c r="B7075">
        <f>GS30</f>
        <v>0</v>
      </c>
      <c r="C7075" t="inlineStr">
        <is>
          <t>+LS09</t>
        </is>
      </c>
      <c r="D7075" t="inlineStr">
        <is>
          <t>-315K702.4</t>
        </is>
      </c>
      <c r="E7075" t="inlineStr">
        <is>
          <t>DILA-40</t>
        </is>
      </c>
      <c r="F7075" t="inlineStr">
        <is>
          <t>#KALK!</t>
        </is>
      </c>
      <c r="G7075" t="inlineStr">
        <is>
          <t>HILFSSCHUETZ</t>
        </is>
      </c>
      <c r="H7075" t="inlineStr">
        <is>
          <t>4S Federzugkl.</t>
        </is>
      </c>
      <c r="I7075">
        <v>2726</v>
      </c>
      <c r="J7075">
        <f>GS30/315.7</f>
        <v>0</v>
      </c>
      <c r="M7075" t="inlineStr">
        <is>
          <t>-315K702.4</t>
        </is>
      </c>
    </row>
    <row r="7076">
      <c r="A7076">
        <v>7075</v>
      </c>
      <c r="B7076">
        <f>GS11</f>
        <v>0</v>
      </c>
      <c r="C7076" t="inlineStr">
        <is>
          <t>+LS7</t>
        </is>
      </c>
      <c r="D7076" t="inlineStr">
        <is>
          <t>-315K76.6</t>
        </is>
      </c>
      <c r="E7076" t="inlineStr">
        <is>
          <t>DIL_EM-10-G</t>
        </is>
      </c>
      <c r="F7076" t="inlineStr">
        <is>
          <t>#KALK!</t>
        </is>
      </c>
      <c r="G7076" t="inlineStr">
        <is>
          <t>LASTSCHUETZ</t>
        </is>
      </c>
      <c r="H7076" t="inlineStr">
        <is>
          <t>4kW 1S</t>
        </is>
      </c>
      <c r="I7076">
        <v>421</v>
      </c>
      <c r="J7076">
        <f>GS11/315.6</f>
        <v>0</v>
      </c>
      <c r="M7076" t="inlineStr">
        <is>
          <t>-315K76.6</t>
        </is>
      </c>
    </row>
    <row r="7077">
      <c r="A7077">
        <v>7076</v>
      </c>
      <c r="B7077">
        <f>GS21</f>
        <v>0</v>
      </c>
      <c r="C7077" t="inlineStr">
        <is>
          <t>+LS7</t>
        </is>
      </c>
      <c r="D7077" t="inlineStr">
        <is>
          <t>-315K76.6</t>
        </is>
      </c>
      <c r="E7077" t="inlineStr">
        <is>
          <t>DIL_EM-10-G</t>
        </is>
      </c>
      <c r="F7077" t="inlineStr">
        <is>
          <t>#KALK!</t>
        </is>
      </c>
      <c r="G7077" t="inlineStr">
        <is>
          <t>LASTSCHUETZ</t>
        </is>
      </c>
      <c r="H7077" t="inlineStr">
        <is>
          <t>4kW 1S</t>
        </is>
      </c>
      <c r="I7077">
        <v>403</v>
      </c>
      <c r="J7077">
        <f>GS21/315.6</f>
        <v>0</v>
      </c>
      <c r="M7077" t="inlineStr">
        <is>
          <t>-315K76.6</t>
        </is>
      </c>
    </row>
    <row r="7078">
      <c r="A7078">
        <v>7077</v>
      </c>
      <c r="B7078">
        <f>GS23</f>
        <v>0</v>
      </c>
      <c r="C7078" t="inlineStr">
        <is>
          <t>+LS6</t>
        </is>
      </c>
      <c r="D7078" t="inlineStr">
        <is>
          <t>-315K88.6</t>
        </is>
      </c>
      <c r="E7078" t="inlineStr">
        <is>
          <t>DIL_EM-10-G</t>
        </is>
      </c>
      <c r="F7078" t="inlineStr">
        <is>
          <t>#KALK!</t>
        </is>
      </c>
      <c r="G7078" t="inlineStr">
        <is>
          <t>LASTSCHUETZ</t>
        </is>
      </c>
      <c r="H7078" t="inlineStr">
        <is>
          <t>4kW 1S</t>
        </is>
      </c>
      <c r="I7078">
        <v>616</v>
      </c>
      <c r="J7078">
        <f>GS23/315.6</f>
        <v>0</v>
      </c>
      <c r="M7078" t="inlineStr">
        <is>
          <t>-315K88.6</t>
        </is>
      </c>
    </row>
    <row r="7079">
      <c r="A7079">
        <v>7078</v>
      </c>
      <c r="B7079">
        <f>GS23</f>
        <v>0</v>
      </c>
      <c r="C7079" t="inlineStr">
        <is>
          <t>+LS6</t>
        </is>
      </c>
      <c r="D7079" t="inlineStr">
        <is>
          <t>-315K88.7</t>
        </is>
      </c>
      <c r="E7079" t="inlineStr">
        <is>
          <t>DIL_EM-10-G</t>
        </is>
      </c>
      <c r="F7079" t="inlineStr">
        <is>
          <t>#KALK!</t>
        </is>
      </c>
      <c r="G7079" t="inlineStr">
        <is>
          <t>LASTSCHUETZ</t>
        </is>
      </c>
      <c r="H7079" t="inlineStr">
        <is>
          <t>4kW 1S</t>
        </is>
      </c>
      <c r="I7079">
        <v>616</v>
      </c>
      <c r="J7079">
        <f>GS23/315.6</f>
        <v>0</v>
      </c>
      <c r="M7079" t="inlineStr">
        <is>
          <t>-315K88.7</t>
        </is>
      </c>
    </row>
    <row r="7080">
      <c r="A7080">
        <v>7079</v>
      </c>
      <c r="B7080">
        <f>GS79</f>
        <v>0</v>
      </c>
      <c r="C7080" t="inlineStr">
        <is>
          <t>+LS[l1]</t>
        </is>
      </c>
      <c r="D7080" t="inlineStr">
        <is>
          <t>-315Q[a+223].5</t>
        </is>
      </c>
      <c r="E7080" t="inlineStr">
        <is>
          <t>DILM-9-10</t>
        </is>
      </c>
      <c r="F7080" t="inlineStr">
        <is>
          <t>#KALK!</t>
        </is>
      </c>
      <c r="G7080" t="inlineStr">
        <is>
          <t>LASTSCHUETZ</t>
        </is>
      </c>
      <c r="H7080" t="inlineStr">
        <is>
          <t>4kW 1S Federzugkl.</t>
        </is>
      </c>
      <c r="I7080">
        <v>216</v>
      </c>
      <c r="J7080">
        <f>GS79/315.6</f>
        <v>0</v>
      </c>
      <c r="M7080" t="inlineStr">
        <is>
          <t>-315Q[a+223].5</t>
        </is>
      </c>
    </row>
    <row r="7081">
      <c r="A7081">
        <v>7080</v>
      </c>
      <c r="B7081">
        <f>GS79</f>
        <v>0</v>
      </c>
      <c r="C7081" t="inlineStr">
        <is>
          <t>+LS[l1]</t>
        </is>
      </c>
      <c r="D7081" t="inlineStr">
        <is>
          <t>-315Q[a+223].5</t>
        </is>
      </c>
      <c r="E7081" t="inlineStr">
        <is>
          <t>DILM-9-10</t>
        </is>
      </c>
      <c r="F7081" t="inlineStr">
        <is>
          <t>#KALK!</t>
        </is>
      </c>
      <c r="G7081" t="inlineStr">
        <is>
          <t>LASTSCHUETZ</t>
        </is>
      </c>
      <c r="H7081" t="inlineStr">
        <is>
          <t>4kW 1S Federzugkl.</t>
        </is>
      </c>
      <c r="I7081">
        <v>161</v>
      </c>
      <c r="J7081">
        <f>GS79/315.6</f>
        <v>0</v>
      </c>
      <c r="M7081" t="inlineStr">
        <is>
          <t>-315Q[a+223].5</t>
        </is>
      </c>
    </row>
    <row r="7082">
      <c r="A7082">
        <v>7081</v>
      </c>
      <c r="B7082">
        <f>GS79</f>
        <v>0</v>
      </c>
      <c r="C7082" t="inlineStr">
        <is>
          <t>+LS[l1]</t>
        </is>
      </c>
      <c r="D7082" t="inlineStr">
        <is>
          <t>-315Q[a+223].5</t>
        </is>
      </c>
      <c r="E7082" t="inlineStr">
        <is>
          <t>DILM-9-10</t>
        </is>
      </c>
      <c r="F7082" t="inlineStr">
        <is>
          <t>#KALK!</t>
        </is>
      </c>
      <c r="G7082" t="inlineStr">
        <is>
          <t>LASTSCHUETZ</t>
        </is>
      </c>
      <c r="H7082" t="inlineStr">
        <is>
          <t>4kW 1S Federzugkl.</t>
        </is>
      </c>
      <c r="I7082">
        <v>279</v>
      </c>
      <c r="J7082">
        <f>GS79/315.6</f>
        <v>0</v>
      </c>
      <c r="M7082" t="inlineStr">
        <is>
          <t>-315Q[a+223].5</t>
        </is>
      </c>
    </row>
    <row r="7083">
      <c r="A7083">
        <v>7082</v>
      </c>
      <c r="B7083">
        <f>GS08</f>
        <v>0</v>
      </c>
      <c r="C7083" t="inlineStr">
        <is>
          <t>+LS05</t>
        </is>
      </c>
      <c r="D7083" t="inlineStr">
        <is>
          <t>-315Q1</t>
        </is>
      </c>
      <c r="E7083" t="inlineStr">
        <is>
          <t>DILA-XHI22</t>
        </is>
      </c>
      <c r="F7083" t="inlineStr">
        <is>
          <t>DILA-XHI22</t>
        </is>
      </c>
      <c r="G7083" t="inlineStr">
        <is>
          <t>HILFSKONTAKTBLOCK</t>
        </is>
      </c>
      <c r="H7083" t="inlineStr">
        <is>
          <t>2S 2OE Last+Hilfssch. Cage</t>
        </is>
      </c>
      <c r="I7083">
        <v>901</v>
      </c>
      <c r="J7083">
        <f>GS08/315.6</f>
        <v>0</v>
      </c>
      <c r="K7083" t="inlineStr">
        <is>
          <t>DIL MC25</t>
        </is>
      </c>
      <c r="M7083" t="inlineStr">
        <is>
          <t>-315Q1</t>
        </is>
      </c>
    </row>
    <row r="7084">
      <c r="A7084">
        <v>7083</v>
      </c>
      <c r="B7084">
        <f>GS08</f>
        <v>0</v>
      </c>
      <c r="C7084" t="inlineStr">
        <is>
          <t>+LS05</t>
        </is>
      </c>
      <c r="D7084" t="inlineStr">
        <is>
          <t>-315Q1</t>
        </is>
      </c>
      <c r="E7084" t="inlineStr">
        <is>
          <t>DILMC25-10(RDC24)</t>
        </is>
      </c>
      <c r="F7084" t="inlineStr">
        <is>
          <t>DILA-XHI22</t>
        </is>
      </c>
      <c r="G7084" t="inlineStr">
        <is>
          <t>LASTSCHUETZ</t>
        </is>
      </c>
      <c r="H7084" t="inlineStr">
        <is>
          <t>11kW 1S Federzugkl.</t>
        </is>
      </c>
      <c r="I7084">
        <v>901</v>
      </c>
      <c r="J7084">
        <f>GS08/315.6</f>
        <v>0</v>
      </c>
      <c r="K7084" t="inlineStr">
        <is>
          <t>DIL MC25</t>
        </is>
      </c>
      <c r="M7084" t="inlineStr">
        <is>
          <t>-315Q1</t>
        </is>
      </c>
    </row>
    <row r="7085">
      <c r="A7085">
        <v>7084</v>
      </c>
      <c r="B7085">
        <f>GS20</f>
        <v>0</v>
      </c>
      <c r="C7085" t="inlineStr">
        <is>
          <t>+LS07</t>
        </is>
      </c>
      <c r="D7085" t="inlineStr">
        <is>
          <t>-315Q1</t>
        </is>
      </c>
      <c r="E7085" t="inlineStr">
        <is>
          <t>DILA-XHI22</t>
        </is>
      </c>
      <c r="F7085" t="inlineStr">
        <is>
          <t>DILA-XHI22</t>
        </is>
      </c>
      <c r="G7085" t="inlineStr">
        <is>
          <t>HILFSKONTAKTBLOCK</t>
        </is>
      </c>
      <c r="H7085" t="inlineStr">
        <is>
          <t>2S 2OE Last+Hilfssch. Cage</t>
        </is>
      </c>
      <c r="I7085">
        <v>2610</v>
      </c>
      <c r="J7085">
        <f>GS20/315.4</f>
        <v>0</v>
      </c>
      <c r="K7085" t="inlineStr">
        <is>
          <t>DIL MC25</t>
        </is>
      </c>
      <c r="M7085" t="inlineStr">
        <is>
          <t>-315Q1</t>
        </is>
      </c>
    </row>
    <row r="7086">
      <c r="A7086">
        <v>7085</v>
      </c>
      <c r="B7086">
        <f>GS20</f>
        <v>0</v>
      </c>
      <c r="C7086" t="inlineStr">
        <is>
          <t>+LS07</t>
        </is>
      </c>
      <c r="D7086" t="inlineStr">
        <is>
          <t>-315Q1</t>
        </is>
      </c>
      <c r="E7086" t="inlineStr">
        <is>
          <t>DILMC25-10(RDC24)</t>
        </is>
      </c>
      <c r="F7086" t="inlineStr">
        <is>
          <t>DILA-XHI22</t>
        </is>
      </c>
      <c r="G7086" t="inlineStr">
        <is>
          <t>LASTSCHUETZ</t>
        </is>
      </c>
      <c r="H7086" t="inlineStr">
        <is>
          <t>11kW 1S Federzugkl.</t>
        </is>
      </c>
      <c r="I7086">
        <v>2610</v>
      </c>
      <c r="J7086">
        <f>GS20/315.4</f>
        <v>0</v>
      </c>
      <c r="K7086" t="inlineStr">
        <is>
          <t>DIL MC25</t>
        </is>
      </c>
      <c r="M7086" t="inlineStr">
        <is>
          <t>-315Q1</t>
        </is>
      </c>
    </row>
    <row r="7087">
      <c r="A7087">
        <v>7086</v>
      </c>
      <c r="B7087">
        <f>GS30</f>
        <v>0</v>
      </c>
      <c r="C7087" t="inlineStr">
        <is>
          <t>+LS09</t>
        </is>
      </c>
      <c r="D7087" t="inlineStr">
        <is>
          <t>-315Q1</t>
        </is>
      </c>
      <c r="E7087" t="inlineStr">
        <is>
          <t>DILA-XHI22</t>
        </is>
      </c>
      <c r="F7087" t="inlineStr">
        <is>
          <t>DILA-XHI22</t>
        </is>
      </c>
      <c r="G7087" t="inlineStr">
        <is>
          <t>HILFSKONTAKTBLOCK</t>
        </is>
      </c>
      <c r="H7087" t="inlineStr">
        <is>
          <t>2S 2OE Last+Hilfssch. Cage</t>
        </is>
      </c>
      <c r="I7087">
        <v>2726</v>
      </c>
      <c r="J7087">
        <f>GS30/315.4</f>
        <v>0</v>
      </c>
      <c r="K7087" t="inlineStr">
        <is>
          <t>DIL MC25</t>
        </is>
      </c>
      <c r="M7087" t="inlineStr">
        <is>
          <t>-315Q1</t>
        </is>
      </c>
    </row>
    <row r="7088">
      <c r="A7088">
        <v>7087</v>
      </c>
      <c r="B7088">
        <f>GS30</f>
        <v>0</v>
      </c>
      <c r="C7088" t="inlineStr">
        <is>
          <t>+LS09</t>
        </is>
      </c>
      <c r="D7088" t="inlineStr">
        <is>
          <t>-315Q1</t>
        </is>
      </c>
      <c r="E7088" t="inlineStr">
        <is>
          <t>DILMC25-10(RDC24)</t>
        </is>
      </c>
      <c r="F7088" t="inlineStr">
        <is>
          <t>DILA-XHI22</t>
        </is>
      </c>
      <c r="G7088" t="inlineStr">
        <is>
          <t>LASTSCHUETZ</t>
        </is>
      </c>
      <c r="H7088" t="inlineStr">
        <is>
          <t>11kW 1S Federzugkl.</t>
        </is>
      </c>
      <c r="I7088">
        <v>2726</v>
      </c>
      <c r="J7088">
        <f>GS30/315.4</f>
        <v>0</v>
      </c>
      <c r="K7088" t="inlineStr">
        <is>
          <t>DIL MC25</t>
        </is>
      </c>
      <c r="M7088" t="inlineStr">
        <is>
          <t>-315Q1</t>
        </is>
      </c>
    </row>
    <row r="7089">
      <c r="A7089">
        <v>7088</v>
      </c>
      <c r="B7089">
        <f>GS35</f>
        <v>0</v>
      </c>
      <c r="C7089" t="inlineStr">
        <is>
          <t>+LS07</t>
        </is>
      </c>
      <c r="D7089" t="inlineStr">
        <is>
          <t>-315Q1</t>
        </is>
      </c>
      <c r="E7089" t="inlineStr">
        <is>
          <t>DILM-25-10</t>
        </is>
      </c>
      <c r="F7089" t="inlineStr">
        <is>
          <t>DILA-XHI22</t>
        </is>
      </c>
      <c r="G7089" t="inlineStr">
        <is>
          <t>LASTSCHUETZ</t>
        </is>
      </c>
      <c r="H7089" t="inlineStr">
        <is>
          <t>11kW 1S Federzugkl.</t>
        </is>
      </c>
      <c r="I7089">
        <v>474</v>
      </c>
      <c r="J7089">
        <f>GS35/315.4</f>
        <v>0</v>
      </c>
      <c r="K7089" t="inlineStr">
        <is>
          <t>DIL MC25</t>
        </is>
      </c>
      <c r="M7089" t="inlineStr">
        <is>
          <t>-315Q1</t>
        </is>
      </c>
    </row>
    <row r="7090">
      <c r="A7090">
        <v>7089</v>
      </c>
      <c r="B7090">
        <f>GS35</f>
        <v>0</v>
      </c>
      <c r="C7090" t="inlineStr">
        <is>
          <t>+LS07</t>
        </is>
      </c>
      <c r="D7090" t="inlineStr">
        <is>
          <t>-315Q1</t>
        </is>
      </c>
      <c r="E7090" t="inlineStr">
        <is>
          <t>DILA-XHI22</t>
        </is>
      </c>
      <c r="F7090" t="inlineStr">
        <is>
          <t>DILA-XHI22</t>
        </is>
      </c>
      <c r="G7090" t="inlineStr">
        <is>
          <t>HILFSKONTAKTBLOCK</t>
        </is>
      </c>
      <c r="H7090" t="inlineStr">
        <is>
          <t>2S 2OE Last+Hilfssch. Cage</t>
        </is>
      </c>
      <c r="I7090">
        <v>474</v>
      </c>
      <c r="J7090">
        <f>GS35/315.4</f>
        <v>0</v>
      </c>
      <c r="K7090" t="inlineStr">
        <is>
          <t>DIL MC25</t>
        </is>
      </c>
      <c r="M7090" t="inlineStr">
        <is>
          <t>-315Q1</t>
        </is>
      </c>
    </row>
    <row r="7091">
      <c r="A7091">
        <v>7090</v>
      </c>
      <c r="B7091">
        <f>GS36</f>
        <v>0</v>
      </c>
      <c r="C7091" t="inlineStr">
        <is>
          <t>+LS07</t>
        </is>
      </c>
      <c r="D7091" t="inlineStr">
        <is>
          <t>-315Q1</t>
        </is>
      </c>
      <c r="E7091" t="inlineStr">
        <is>
          <t>DILMC25-10(RDC24)</t>
        </is>
      </c>
      <c r="F7091" t="inlineStr">
        <is>
          <t>DILA-XHI22</t>
        </is>
      </c>
      <c r="G7091" t="inlineStr">
        <is>
          <t>LASTSCHUETZ</t>
        </is>
      </c>
      <c r="H7091" t="inlineStr">
        <is>
          <t>11kW 1S Federzugkl.</t>
        </is>
      </c>
      <c r="I7091">
        <v>488</v>
      </c>
      <c r="J7091">
        <f>GS36/315.3</f>
        <v>0</v>
      </c>
      <c r="K7091" t="inlineStr">
        <is>
          <t>DIL MC25</t>
        </is>
      </c>
      <c r="L7091" t="inlineStr">
        <is>
          <t>HVO 11</t>
        </is>
      </c>
      <c r="M7091" t="inlineStr">
        <is>
          <t>HVO 11
-315Q1</t>
        </is>
      </c>
      <c r="N7091" t="inlineStr">
        <is>
          <t>P</t>
        </is>
      </c>
    </row>
    <row r="7092">
      <c r="A7092">
        <v>7091</v>
      </c>
      <c r="B7092">
        <f>GS36</f>
        <v>0</v>
      </c>
      <c r="C7092" t="inlineStr">
        <is>
          <t>+LS07</t>
        </is>
      </c>
      <c r="D7092" t="inlineStr">
        <is>
          <t>-315Q1</t>
        </is>
      </c>
      <c r="E7092" t="inlineStr">
        <is>
          <t>DILA-XHI22</t>
        </is>
      </c>
      <c r="F7092" t="inlineStr">
        <is>
          <t>DILA-XHI22</t>
        </is>
      </c>
      <c r="G7092" t="inlineStr">
        <is>
          <t>HILFSKONTAKTBLOCK</t>
        </is>
      </c>
      <c r="H7092" t="inlineStr">
        <is>
          <t>2S 2OE Last+Hilfssch. Cage</t>
        </is>
      </c>
      <c r="I7092">
        <v>488</v>
      </c>
      <c r="J7092">
        <f>GS36/315.3</f>
        <v>0</v>
      </c>
      <c r="K7092" t="inlineStr">
        <is>
          <t>DIL MC25</t>
        </is>
      </c>
      <c r="L7092" t="inlineStr">
        <is>
          <t>HVO 11</t>
        </is>
      </c>
      <c r="M7092" t="inlineStr">
        <is>
          <t>HVO 11
-315Q1</t>
        </is>
      </c>
      <c r="N7092" t="inlineStr">
        <is>
          <t>P</t>
        </is>
      </c>
    </row>
    <row r="7093">
      <c r="A7093">
        <v>7092</v>
      </c>
      <c r="B7093">
        <f>GS69</f>
        <v>0</v>
      </c>
      <c r="C7093" t="inlineStr">
        <is>
          <t>+LS06</t>
        </is>
      </c>
      <c r="D7093" t="inlineStr">
        <is>
          <t>-315Q1</t>
        </is>
      </c>
      <c r="E7093" t="inlineStr">
        <is>
          <t>DILA-XHI22</t>
        </is>
      </c>
      <c r="F7093" t="inlineStr">
        <is>
          <t>DILA-XHI22</t>
        </is>
      </c>
      <c r="G7093" t="inlineStr">
        <is>
          <t>HILFSKONTAKTBLOCK</t>
        </is>
      </c>
      <c r="H7093" t="inlineStr">
        <is>
          <t>2S 2OE Last+Hilfssch. Cage</t>
        </is>
      </c>
      <c r="I7093">
        <v>1068</v>
      </c>
      <c r="J7093">
        <f>GS69/315.6</f>
        <v>0</v>
      </c>
      <c r="K7093" t="inlineStr">
        <is>
          <t>DIL MC25</t>
        </is>
      </c>
      <c r="M7093" t="inlineStr">
        <is>
          <t>-315Q1</t>
        </is>
      </c>
    </row>
    <row r="7094">
      <c r="A7094">
        <v>7093</v>
      </c>
      <c r="B7094">
        <f>GS69</f>
        <v>0</v>
      </c>
      <c r="C7094" t="inlineStr">
        <is>
          <t>+LS06</t>
        </is>
      </c>
      <c r="D7094" t="inlineStr">
        <is>
          <t>-315Q1</t>
        </is>
      </c>
      <c r="E7094" t="inlineStr">
        <is>
          <t>DILMC25-10(RDC24)</t>
        </is>
      </c>
      <c r="F7094" t="inlineStr">
        <is>
          <t>DILA-XHI22</t>
        </is>
      </c>
      <c r="G7094" t="inlineStr">
        <is>
          <t>LASTSCHUETZ</t>
        </is>
      </c>
      <c r="H7094" t="inlineStr">
        <is>
          <t>11kW 1S Federzugkl.</t>
        </is>
      </c>
      <c r="I7094">
        <v>1068</v>
      </c>
      <c r="J7094">
        <f>GS69/315.6</f>
        <v>0</v>
      </c>
      <c r="K7094" t="inlineStr">
        <is>
          <t>DIL MC25</t>
        </is>
      </c>
      <c r="M7094" t="inlineStr">
        <is>
          <t>-315Q1</t>
        </is>
      </c>
    </row>
    <row r="7095">
      <c r="A7095">
        <v>7094</v>
      </c>
      <c r="B7095">
        <f>GS90</f>
        <v>0</v>
      </c>
      <c r="C7095" t="inlineStr">
        <is>
          <t>+LS05</t>
        </is>
      </c>
      <c r="D7095" t="inlineStr">
        <is>
          <t>-315Q1</t>
        </is>
      </c>
      <c r="E7095" t="inlineStr">
        <is>
          <t>DILMC25-10(RDC24)</t>
        </is>
      </c>
      <c r="F7095" t="inlineStr">
        <is>
          <t>DILA-XHI22</t>
        </is>
      </c>
      <c r="G7095" t="inlineStr">
        <is>
          <t>LASTSCHUETZ</t>
        </is>
      </c>
      <c r="H7095" t="inlineStr">
        <is>
          <t>11kW 1S Federzugkl.</t>
        </is>
      </c>
      <c r="I7095">
        <v>916</v>
      </c>
      <c r="J7095">
        <f>GS90/315.4</f>
        <v>0</v>
      </c>
      <c r="K7095" t="inlineStr">
        <is>
          <t>DIL MC25</t>
        </is>
      </c>
      <c r="M7095" t="inlineStr">
        <is>
          <t>-315Q1</t>
        </is>
      </c>
    </row>
    <row r="7096">
      <c r="A7096">
        <v>7095</v>
      </c>
      <c r="B7096">
        <f>GS90</f>
        <v>0</v>
      </c>
      <c r="C7096" t="inlineStr">
        <is>
          <t>+LS05</t>
        </is>
      </c>
      <c r="D7096" t="inlineStr">
        <is>
          <t>-315Q1</t>
        </is>
      </c>
      <c r="E7096" t="inlineStr">
        <is>
          <t>DILA-XHI22</t>
        </is>
      </c>
      <c r="F7096" t="inlineStr">
        <is>
          <t>DILA-XHI22</t>
        </is>
      </c>
      <c r="G7096" t="inlineStr">
        <is>
          <t>HILFSKONTAKTBLOCK</t>
        </is>
      </c>
      <c r="H7096" t="inlineStr">
        <is>
          <t>2S 2OE Last+Hilfssch. Cage</t>
        </is>
      </c>
      <c r="I7096">
        <v>916</v>
      </c>
      <c r="J7096">
        <f>GS90/315.4</f>
        <v>0</v>
      </c>
      <c r="K7096" t="inlineStr">
        <is>
          <t>DIL MC25</t>
        </is>
      </c>
      <c r="M7096" t="inlineStr">
        <is>
          <t>-315Q1</t>
        </is>
      </c>
    </row>
    <row r="7097">
      <c r="A7097">
        <v>7096</v>
      </c>
      <c r="B7097">
        <f>GS92</f>
        <v>0</v>
      </c>
      <c r="C7097" t="inlineStr">
        <is>
          <t>+LS05</t>
        </is>
      </c>
      <c r="D7097" t="inlineStr">
        <is>
          <t>-315Q1</t>
        </is>
      </c>
      <c r="E7097" t="inlineStr">
        <is>
          <t>DILMC25-10(RDC24)</t>
        </is>
      </c>
      <c r="F7097" t="inlineStr">
        <is>
          <t>DILA-XHI22</t>
        </is>
      </c>
      <c r="G7097" t="inlineStr">
        <is>
          <t>LASTSCHUETZ</t>
        </is>
      </c>
      <c r="H7097" t="inlineStr">
        <is>
          <t>11kW 1S Federzugkl.</t>
        </is>
      </c>
      <c r="I7097">
        <v>461</v>
      </c>
      <c r="J7097">
        <f>GS92/315.4</f>
        <v>0</v>
      </c>
      <c r="K7097" t="inlineStr">
        <is>
          <t>DIL MC25</t>
        </is>
      </c>
      <c r="M7097" t="inlineStr">
        <is>
          <t>-315Q1</t>
        </is>
      </c>
    </row>
    <row r="7098">
      <c r="A7098">
        <v>7097</v>
      </c>
      <c r="B7098">
        <f>GS92</f>
        <v>0</v>
      </c>
      <c r="C7098" t="inlineStr">
        <is>
          <t>+LS05</t>
        </is>
      </c>
      <c r="D7098" t="inlineStr">
        <is>
          <t>-315Q1</t>
        </is>
      </c>
      <c r="E7098" t="inlineStr">
        <is>
          <t>DILA-XHI22</t>
        </is>
      </c>
      <c r="F7098" t="inlineStr">
        <is>
          <t>DILA-XHI22</t>
        </is>
      </c>
      <c r="G7098" t="inlineStr">
        <is>
          <t>HILFSKONTAKTBLOCK</t>
        </is>
      </c>
      <c r="H7098" t="inlineStr">
        <is>
          <t>2S 2OE Last+Hilfssch. Cage</t>
        </is>
      </c>
      <c r="I7098">
        <v>461</v>
      </c>
      <c r="J7098">
        <f>GS92/315.4</f>
        <v>0</v>
      </c>
      <c r="K7098" t="inlineStr">
        <is>
          <t>DIL MC25</t>
        </is>
      </c>
      <c r="M7098" t="inlineStr">
        <is>
          <t>-315Q1</t>
        </is>
      </c>
    </row>
    <row r="7099">
      <c r="A7099">
        <v>7098</v>
      </c>
      <c r="B7099">
        <f>GS93</f>
        <v>0</v>
      </c>
      <c r="C7099" t="inlineStr">
        <is>
          <t>+LS05</t>
        </is>
      </c>
      <c r="D7099" t="inlineStr">
        <is>
          <t>-315Q1</t>
        </is>
      </c>
      <c r="E7099" t="inlineStr">
        <is>
          <t>DILMC25-10(RDC24)</t>
        </is>
      </c>
      <c r="F7099" t="inlineStr">
        <is>
          <t>DILA-XHI22</t>
        </is>
      </c>
      <c r="G7099" t="inlineStr">
        <is>
          <t>LASTSCHUETZ</t>
        </is>
      </c>
      <c r="H7099" t="inlineStr">
        <is>
          <t>11kW 1S Federzugkl.</t>
        </is>
      </c>
      <c r="I7099">
        <v>869</v>
      </c>
      <c r="J7099">
        <f>GS93/315.4</f>
        <v>0</v>
      </c>
      <c r="K7099" t="inlineStr">
        <is>
          <t>DIL MC25</t>
        </is>
      </c>
      <c r="M7099" t="inlineStr">
        <is>
          <t>-315Q1</t>
        </is>
      </c>
    </row>
    <row r="7100">
      <c r="A7100">
        <v>7099</v>
      </c>
      <c r="B7100">
        <f>GS93</f>
        <v>0</v>
      </c>
      <c r="C7100" t="inlineStr">
        <is>
          <t>+LS05</t>
        </is>
      </c>
      <c r="D7100" t="inlineStr">
        <is>
          <t>-315Q1</t>
        </is>
      </c>
      <c r="E7100" t="inlineStr">
        <is>
          <t>DILA-XHI22</t>
        </is>
      </c>
      <c r="F7100" t="inlineStr">
        <is>
          <t>DILA-XHI22</t>
        </is>
      </c>
      <c r="G7100" t="inlineStr">
        <is>
          <t>HILFSKONTAKTBLOCK</t>
        </is>
      </c>
      <c r="H7100" t="inlineStr">
        <is>
          <t>2S 2OE Last+Hilfssch. Cage</t>
        </is>
      </c>
      <c r="I7100">
        <v>869</v>
      </c>
      <c r="J7100">
        <f>GS93/315.4</f>
        <v>0</v>
      </c>
      <c r="K7100" t="inlineStr">
        <is>
          <t>DIL MC25</t>
        </is>
      </c>
      <c r="M7100" t="inlineStr">
        <is>
          <t>-315Q1</t>
        </is>
      </c>
    </row>
    <row r="7101">
      <c r="A7101">
        <v>7100</v>
      </c>
      <c r="B7101">
        <f>GS94</f>
        <v>0</v>
      </c>
      <c r="C7101" t="inlineStr">
        <is>
          <t>+LS19</t>
        </is>
      </c>
      <c r="D7101" t="inlineStr">
        <is>
          <t>-315Q1</t>
        </is>
      </c>
      <c r="E7101" t="inlineStr">
        <is>
          <t>DILMC25-10(RDC24)</t>
        </is>
      </c>
      <c r="F7101" t="inlineStr">
        <is>
          <t>DILA-XHI22</t>
        </is>
      </c>
      <c r="G7101" t="inlineStr">
        <is>
          <t>LASTSCHUETZ</t>
        </is>
      </c>
      <c r="H7101" t="inlineStr">
        <is>
          <t>11kW 1S Federzugkl.</t>
        </is>
      </c>
      <c r="I7101">
        <v>405</v>
      </c>
      <c r="J7101">
        <f>GS94/315.4</f>
        <v>0</v>
      </c>
      <c r="K7101" t="inlineStr">
        <is>
          <t>DIL MC25</t>
        </is>
      </c>
      <c r="M7101" t="inlineStr">
        <is>
          <t>-315Q1</t>
        </is>
      </c>
    </row>
    <row r="7102">
      <c r="A7102">
        <v>7101</v>
      </c>
      <c r="B7102">
        <f>GS94</f>
        <v>0</v>
      </c>
      <c r="C7102" t="inlineStr">
        <is>
          <t>+LS19</t>
        </is>
      </c>
      <c r="D7102" t="inlineStr">
        <is>
          <t>-315Q1</t>
        </is>
      </c>
      <c r="E7102" t="inlineStr">
        <is>
          <t>DILA-XHI22</t>
        </is>
      </c>
      <c r="F7102" t="inlineStr">
        <is>
          <t>DILA-XHI22</t>
        </is>
      </c>
      <c r="G7102" t="inlineStr">
        <is>
          <t>HILFSKONTAKTBLOCK</t>
        </is>
      </c>
      <c r="H7102" t="inlineStr">
        <is>
          <t>2S 2OE Last+Hilfssch. Cage</t>
        </is>
      </c>
      <c r="I7102">
        <v>405</v>
      </c>
      <c r="J7102">
        <f>GS94/315.4</f>
        <v>0</v>
      </c>
      <c r="K7102" t="inlineStr">
        <is>
          <t>DIL MC25</t>
        </is>
      </c>
      <c r="M7102" t="inlineStr">
        <is>
          <t>-315Q1</t>
        </is>
      </c>
    </row>
    <row r="7103">
      <c r="A7103">
        <v>7102</v>
      </c>
      <c r="B7103">
        <f>GS95</f>
        <v>0</v>
      </c>
      <c r="C7103" t="inlineStr">
        <is>
          <t>+LS19</t>
        </is>
      </c>
      <c r="D7103" t="inlineStr">
        <is>
          <t>-315Q1</t>
        </is>
      </c>
      <c r="E7103" t="inlineStr">
        <is>
          <t>DILA-XHI22</t>
        </is>
      </c>
      <c r="F7103" t="inlineStr">
        <is>
          <t>DILA-XHI22</t>
        </is>
      </c>
      <c r="G7103" t="inlineStr">
        <is>
          <t>HILFSKONTAKTBLOCK</t>
        </is>
      </c>
      <c r="H7103" t="inlineStr">
        <is>
          <t>2S 2OE Last+Hilfssch. Cage</t>
        </is>
      </c>
      <c r="I7103">
        <v>405</v>
      </c>
      <c r="J7103">
        <f>GS95/315.4</f>
        <v>0</v>
      </c>
      <c r="K7103" t="inlineStr">
        <is>
          <t>DIL MC25</t>
        </is>
      </c>
      <c r="M7103" t="inlineStr">
        <is>
          <t>-315Q1</t>
        </is>
      </c>
    </row>
    <row r="7104">
      <c r="A7104">
        <v>7103</v>
      </c>
      <c r="B7104">
        <f>GS95</f>
        <v>0</v>
      </c>
      <c r="C7104" t="inlineStr">
        <is>
          <t>+LS19</t>
        </is>
      </c>
      <c r="D7104" t="inlineStr">
        <is>
          <t>-315Q1</t>
        </is>
      </c>
      <c r="E7104" t="inlineStr">
        <is>
          <t>DILMC25-10(RDC24)</t>
        </is>
      </c>
      <c r="F7104" t="inlineStr">
        <is>
          <t>DILA-XHI22</t>
        </is>
      </c>
      <c r="G7104" t="inlineStr">
        <is>
          <t>LASTSCHUETZ</t>
        </is>
      </c>
      <c r="H7104" t="inlineStr">
        <is>
          <t>11kW 1S Federzugkl.</t>
        </is>
      </c>
      <c r="I7104">
        <v>405</v>
      </c>
      <c r="J7104">
        <f>GS95/315.4</f>
        <v>0</v>
      </c>
      <c r="K7104" t="inlineStr">
        <is>
          <t>DIL MC25</t>
        </is>
      </c>
      <c r="M7104" t="inlineStr">
        <is>
          <t>-315Q1</t>
        </is>
      </c>
    </row>
    <row r="7105">
      <c r="A7105">
        <v>7104</v>
      </c>
      <c r="B7105">
        <f>GS96</f>
        <v>0</v>
      </c>
      <c r="C7105" t="inlineStr">
        <is>
          <t>+LS19</t>
        </is>
      </c>
      <c r="D7105" t="inlineStr">
        <is>
          <t>-315Q1</t>
        </is>
      </c>
      <c r="E7105" t="inlineStr">
        <is>
          <t>DILA-XHI22</t>
        </is>
      </c>
      <c r="F7105" t="inlineStr">
        <is>
          <t>DILA-XHI22</t>
        </is>
      </c>
      <c r="G7105" t="inlineStr">
        <is>
          <t>HILFSKONTAKTBLOCK</t>
        </is>
      </c>
      <c r="H7105" t="inlineStr">
        <is>
          <t>2S 2OE Last+Hilfssch. Cage</t>
        </is>
      </c>
      <c r="I7105">
        <v>405</v>
      </c>
      <c r="J7105">
        <f>GS96/315.4</f>
        <v>0</v>
      </c>
      <c r="K7105" t="inlineStr">
        <is>
          <t>DIL MC25</t>
        </is>
      </c>
      <c r="M7105" t="inlineStr">
        <is>
          <t>-315Q1</t>
        </is>
      </c>
    </row>
    <row r="7106">
      <c r="A7106">
        <v>7105</v>
      </c>
      <c r="B7106">
        <f>GS96</f>
        <v>0</v>
      </c>
      <c r="C7106" t="inlineStr">
        <is>
          <t>+LS19</t>
        </is>
      </c>
      <c r="D7106" t="inlineStr">
        <is>
          <t>-315Q1</t>
        </is>
      </c>
      <c r="E7106" t="inlineStr">
        <is>
          <t>DILMC25-10(RDC24)</t>
        </is>
      </c>
      <c r="F7106" t="inlineStr">
        <is>
          <t>DILA-XHI22</t>
        </is>
      </c>
      <c r="G7106" t="inlineStr">
        <is>
          <t>LASTSCHUETZ</t>
        </is>
      </c>
      <c r="H7106" t="inlineStr">
        <is>
          <t>11kW 1S Federzugkl.</t>
        </is>
      </c>
      <c r="I7106">
        <v>405</v>
      </c>
      <c r="J7106">
        <f>GS96/315.4</f>
        <v>0</v>
      </c>
      <c r="K7106" t="inlineStr">
        <is>
          <t>DIL MC25</t>
        </is>
      </c>
      <c r="M7106" t="inlineStr">
        <is>
          <t>-315Q1</t>
        </is>
      </c>
    </row>
    <row r="7107">
      <c r="A7107">
        <v>7106</v>
      </c>
      <c r="B7107">
        <f>GS97</f>
        <v>0</v>
      </c>
      <c r="C7107" t="inlineStr">
        <is>
          <t>+LS19</t>
        </is>
      </c>
      <c r="D7107" t="inlineStr">
        <is>
          <t>-315Q1</t>
        </is>
      </c>
      <c r="E7107" t="inlineStr">
        <is>
          <t>DILMC25-10(RDC24)</t>
        </is>
      </c>
      <c r="F7107" t="inlineStr">
        <is>
          <t>DILA-XHI22</t>
        </is>
      </c>
      <c r="G7107" t="inlineStr">
        <is>
          <t>LASTSCHUETZ</t>
        </is>
      </c>
      <c r="H7107" t="inlineStr">
        <is>
          <t>11kW 1S Federzugkl.</t>
        </is>
      </c>
      <c r="I7107">
        <v>405</v>
      </c>
      <c r="J7107">
        <f>GS97/315.4</f>
        <v>0</v>
      </c>
      <c r="K7107" t="inlineStr">
        <is>
          <t>DIL MC25</t>
        </is>
      </c>
      <c r="M7107" t="inlineStr">
        <is>
          <t>-315Q1</t>
        </is>
      </c>
    </row>
    <row r="7108">
      <c r="A7108">
        <v>7107</v>
      </c>
      <c r="B7108">
        <f>GS97</f>
        <v>0</v>
      </c>
      <c r="C7108" t="inlineStr">
        <is>
          <t>+LS19</t>
        </is>
      </c>
      <c r="D7108" t="inlineStr">
        <is>
          <t>-315Q1</t>
        </is>
      </c>
      <c r="E7108" t="inlineStr">
        <is>
          <t>DILA-XHI22</t>
        </is>
      </c>
      <c r="F7108" t="inlineStr">
        <is>
          <t>DILA-XHI22</t>
        </is>
      </c>
      <c r="G7108" t="inlineStr">
        <is>
          <t>HILFSKONTAKTBLOCK</t>
        </is>
      </c>
      <c r="H7108" t="inlineStr">
        <is>
          <t>2S 2OE Last+Hilfssch. Cage</t>
        </is>
      </c>
      <c r="I7108">
        <v>405</v>
      </c>
      <c r="J7108">
        <f>GS97/315.4</f>
        <v>0</v>
      </c>
      <c r="K7108" t="inlineStr">
        <is>
          <t>DIL MC25</t>
        </is>
      </c>
      <c r="M7108" t="inlineStr">
        <is>
          <t>-315Q1</t>
        </is>
      </c>
    </row>
    <row r="7109">
      <c r="A7109">
        <v>7108</v>
      </c>
      <c r="B7109">
        <f>GS91</f>
        <v>0</v>
      </c>
      <c r="C7109" t="inlineStr">
        <is>
          <t>+LS04</t>
        </is>
      </c>
      <c r="D7109" t="inlineStr">
        <is>
          <t>-315Q178.2</t>
        </is>
      </c>
      <c r="E7109" t="inlineStr">
        <is>
          <t>DILM-9-10</t>
        </is>
      </c>
      <c r="F7109" t="inlineStr">
        <is>
          <t>#KALK!</t>
        </is>
      </c>
      <c r="G7109" t="inlineStr">
        <is>
          <t>LASTSCHUETZ</t>
        </is>
      </c>
      <c r="H7109" t="inlineStr">
        <is>
          <t>4kW 1S Federzugkl.</t>
        </is>
      </c>
      <c r="I7109">
        <v>462</v>
      </c>
      <c r="J7109">
        <f>GS91/315.5</f>
        <v>0</v>
      </c>
      <c r="M7109" t="inlineStr">
        <is>
          <t>-315Q178.2</t>
        </is>
      </c>
    </row>
    <row r="7110">
      <c r="A7110">
        <v>7109</v>
      </c>
      <c r="B7110">
        <f>GS13</f>
        <v>0</v>
      </c>
      <c r="C7110" t="inlineStr">
        <is>
          <t>+LS6</t>
        </is>
      </c>
      <c r="D7110" t="inlineStr">
        <is>
          <t>-31689.0</t>
        </is>
      </c>
      <c r="E7110" t="inlineStr">
        <is>
          <t>DIL_EM-10-G</t>
        </is>
      </c>
      <c r="F7110" t="inlineStr">
        <is>
          <t>#KALK!</t>
        </is>
      </c>
      <c r="G7110" t="inlineStr">
        <is>
          <t>LASTSCHUETZ</t>
        </is>
      </c>
      <c r="H7110" t="inlineStr">
        <is>
          <t>4kW 1S</t>
        </is>
      </c>
      <c r="I7110">
        <v>559</v>
      </c>
      <c r="J7110">
        <f>GS13/316.6</f>
        <v>0</v>
      </c>
      <c r="M7110" t="inlineStr">
        <is>
          <t>-31689.0</t>
        </is>
      </c>
    </row>
    <row r="7111">
      <c r="A7111">
        <v>7110</v>
      </c>
      <c r="B7111">
        <f>GS14</f>
        <v>0</v>
      </c>
      <c r="C7111" t="inlineStr">
        <is>
          <t>+LS6</t>
        </is>
      </c>
      <c r="D7111" t="inlineStr">
        <is>
          <t>-316K1</t>
        </is>
      </c>
      <c r="E7111" t="inlineStr">
        <is>
          <t>DIL_0AM</t>
        </is>
      </c>
      <c r="F7111" t="inlineStr">
        <is>
          <t>22_DIL-M</t>
        </is>
      </c>
      <c r="G7111" t="inlineStr">
        <is>
          <t>LASTSCHUETZ</t>
        </is>
      </c>
      <c r="H7111" t="inlineStr">
        <is>
          <t>11 kW</t>
        </is>
      </c>
      <c r="I7111">
        <v>445</v>
      </c>
      <c r="J7111">
        <f>GS14/316.2</f>
        <v>0</v>
      </c>
      <c r="K7111" t="inlineStr">
        <is>
          <t>DIL0AM</t>
        </is>
      </c>
      <c r="M7111" t="inlineStr">
        <is>
          <t>-316K1</t>
        </is>
      </c>
    </row>
    <row r="7112">
      <c r="A7112">
        <v>7111</v>
      </c>
      <c r="B7112">
        <f>GS14</f>
        <v>0</v>
      </c>
      <c r="C7112" t="inlineStr">
        <is>
          <t>+LS6</t>
        </is>
      </c>
      <c r="D7112" t="inlineStr">
        <is>
          <t>-316K1</t>
        </is>
      </c>
      <c r="E7112" t="inlineStr">
        <is>
          <t>22_DIL-M</t>
        </is>
      </c>
      <c r="F7112" t="inlineStr">
        <is>
          <t>22_DIL-M</t>
        </is>
      </c>
      <c r="G7112" t="inlineStr">
        <is>
          <t>HILFSKONTAKTBLOCK</t>
        </is>
      </c>
      <c r="H7112" t="inlineStr">
        <is>
          <t>2S 2OE Lastschuetz DIL M</t>
        </is>
      </c>
      <c r="I7112">
        <v>445</v>
      </c>
      <c r="J7112">
        <f>GS14/316.2</f>
        <v>0</v>
      </c>
      <c r="K7112" t="inlineStr">
        <is>
          <t>DIL0AM</t>
        </is>
      </c>
      <c r="M7112" t="inlineStr">
        <is>
          <t>-316K1</t>
        </is>
      </c>
    </row>
    <row r="7113">
      <c r="A7113">
        <v>7112</v>
      </c>
      <c r="B7113">
        <f>GS15</f>
        <v>0</v>
      </c>
      <c r="C7113" t="inlineStr">
        <is>
          <t>+LS6</t>
        </is>
      </c>
      <c r="D7113" t="inlineStr">
        <is>
          <t>-316K15.0</t>
        </is>
      </c>
      <c r="E7113" t="inlineStr">
        <is>
          <t>DIL_EM-10-G</t>
        </is>
      </c>
      <c r="F7113" t="inlineStr">
        <is>
          <t>#KALK!</t>
        </is>
      </c>
      <c r="G7113" t="inlineStr">
        <is>
          <t>LASTSCHUETZ</t>
        </is>
      </c>
      <c r="H7113" t="inlineStr">
        <is>
          <t>4kW 1S</t>
        </is>
      </c>
      <c r="I7113">
        <v>814</v>
      </c>
      <c r="J7113">
        <f>GS15/316.6</f>
        <v>0</v>
      </c>
      <c r="M7113" t="inlineStr">
        <is>
          <t>-316K15.0</t>
        </is>
      </c>
    </row>
    <row r="7114">
      <c r="A7114">
        <v>7113</v>
      </c>
      <c r="B7114">
        <f>GS15</f>
        <v>0</v>
      </c>
      <c r="C7114" t="inlineStr">
        <is>
          <t>+LS6</t>
        </is>
      </c>
      <c r="D7114" t="inlineStr">
        <is>
          <t>-316K15.1</t>
        </is>
      </c>
      <c r="E7114" t="inlineStr">
        <is>
          <t>DIL_EM-10-G</t>
        </is>
      </c>
      <c r="F7114" t="inlineStr">
        <is>
          <t>#KALK!</t>
        </is>
      </c>
      <c r="G7114" t="inlineStr">
        <is>
          <t>LASTSCHUETZ</t>
        </is>
      </c>
      <c r="H7114" t="inlineStr">
        <is>
          <t>4kW 1S</t>
        </is>
      </c>
      <c r="I7114">
        <v>814</v>
      </c>
      <c r="J7114">
        <f>GS15/316.6</f>
        <v>0</v>
      </c>
      <c r="M7114" t="inlineStr">
        <is>
          <t>-316K15.1</t>
        </is>
      </c>
    </row>
    <row r="7115">
      <c r="A7115">
        <v>7114</v>
      </c>
      <c r="B7115">
        <f>GS11</f>
        <v>0</v>
      </c>
      <c r="C7115" t="inlineStr">
        <is>
          <t>+LS7</t>
        </is>
      </c>
      <c r="D7115" t="inlineStr">
        <is>
          <t>-316K22.1</t>
        </is>
      </c>
      <c r="E7115" t="inlineStr">
        <is>
          <t>DIL_EM-10-G</t>
        </is>
      </c>
      <c r="F7115" t="inlineStr">
        <is>
          <t>#KALK!</t>
        </is>
      </c>
      <c r="G7115" t="inlineStr">
        <is>
          <t>LASTSCHUETZ</t>
        </is>
      </c>
      <c r="H7115" t="inlineStr">
        <is>
          <t>4kW 1S</t>
        </is>
      </c>
      <c r="I7115">
        <v>422</v>
      </c>
      <c r="J7115">
        <f>GS11/316.7</f>
        <v>0</v>
      </c>
      <c r="M7115" t="inlineStr">
        <is>
          <t>-316K22.1</t>
        </is>
      </c>
    </row>
    <row r="7116">
      <c r="A7116">
        <v>7115</v>
      </c>
      <c r="B7116">
        <f>GS21</f>
        <v>0</v>
      </c>
      <c r="C7116" t="inlineStr">
        <is>
          <t>+LS7</t>
        </is>
      </c>
      <c r="D7116" t="inlineStr">
        <is>
          <t>-316K22.1</t>
        </is>
      </c>
      <c r="E7116" t="inlineStr">
        <is>
          <t>DIL_EM-10-G</t>
        </is>
      </c>
      <c r="F7116" t="inlineStr">
        <is>
          <t>#KALK!</t>
        </is>
      </c>
      <c r="G7116" t="inlineStr">
        <is>
          <t>LASTSCHUETZ</t>
        </is>
      </c>
      <c r="H7116" t="inlineStr">
        <is>
          <t>4kW 1S</t>
        </is>
      </c>
      <c r="I7116">
        <v>404</v>
      </c>
      <c r="J7116">
        <f>GS21/316.7</f>
        <v>0</v>
      </c>
      <c r="M7116" t="inlineStr">
        <is>
          <t>-316K22.1</t>
        </is>
      </c>
    </row>
    <row r="7117">
      <c r="A7117">
        <v>7116</v>
      </c>
      <c r="B7117">
        <f>GS34</f>
        <v>0</v>
      </c>
      <c r="C7117" t="inlineStr">
        <is>
          <t>+LS7</t>
        </is>
      </c>
      <c r="D7117" t="inlineStr">
        <is>
          <t>-316K3804.7</t>
        </is>
      </c>
      <c r="E7117" t="inlineStr">
        <is>
          <t>DIL_EM-10-G</t>
        </is>
      </c>
      <c r="F7117" t="inlineStr">
        <is>
          <t>#KALK!</t>
        </is>
      </c>
      <c r="G7117" t="inlineStr">
        <is>
          <t>LASTSCHUETZ</t>
        </is>
      </c>
      <c r="H7117" t="inlineStr">
        <is>
          <t>4kW 1S</t>
        </is>
      </c>
      <c r="I7117">
        <v>441</v>
      </c>
      <c r="J7117">
        <f>GS34/316.7</f>
        <v>0</v>
      </c>
      <c r="M7117" t="inlineStr">
        <is>
          <t>-316K3804.7</t>
        </is>
      </c>
    </row>
    <row r="7118">
      <c r="A7118">
        <v>7117</v>
      </c>
      <c r="B7118">
        <f>GC22</f>
        <v>0</v>
      </c>
      <c r="C7118" t="inlineStr">
        <is>
          <t>+LS4</t>
        </is>
      </c>
      <c r="D7118" t="inlineStr">
        <is>
          <t>-316K42.5</t>
        </is>
      </c>
      <c r="E7118" t="inlineStr">
        <is>
          <t>DIL_EM-10-G</t>
        </is>
      </c>
      <c r="F7118" t="inlineStr">
        <is>
          <t>#KALK!</t>
        </is>
      </c>
      <c r="G7118" t="inlineStr">
        <is>
          <t>LASTSCHUETZ</t>
        </is>
      </c>
      <c r="H7118" t="inlineStr">
        <is>
          <t>4kW 1S</t>
        </is>
      </c>
      <c r="I7118">
        <v>3629</v>
      </c>
      <c r="J7118">
        <f>GC22/316.7</f>
        <v>0</v>
      </c>
      <c r="M7118" t="inlineStr">
        <is>
          <t>-316K42.5</t>
        </is>
      </c>
    </row>
    <row r="7119">
      <c r="A7119">
        <v>7118</v>
      </c>
      <c r="B7119">
        <f>GS12</f>
        <v>0</v>
      </c>
      <c r="C7119" t="inlineStr">
        <is>
          <t>+LS4</t>
        </is>
      </c>
      <c r="D7119" t="inlineStr">
        <is>
          <t>-316K42.5</t>
        </is>
      </c>
      <c r="E7119" t="inlineStr">
        <is>
          <t>DIL_EM-10-G</t>
        </is>
      </c>
      <c r="F7119" t="inlineStr">
        <is>
          <t>#KALK!</t>
        </is>
      </c>
      <c r="G7119" t="inlineStr">
        <is>
          <t>LASTSCHUETZ</t>
        </is>
      </c>
      <c r="H7119" t="inlineStr">
        <is>
          <t>4kW 1S</t>
        </is>
      </c>
      <c r="I7119">
        <v>448</v>
      </c>
      <c r="J7119">
        <f>GS12/316.7</f>
        <v>0</v>
      </c>
      <c r="M7119" t="inlineStr">
        <is>
          <t>-316K42.5</t>
        </is>
      </c>
    </row>
    <row r="7120">
      <c r="A7120">
        <v>7119</v>
      </c>
      <c r="B7120">
        <f>GS32</f>
        <v>0</v>
      </c>
      <c r="C7120" t="inlineStr">
        <is>
          <t>+LS7</t>
        </is>
      </c>
      <c r="D7120" t="inlineStr">
        <is>
          <t>-316K64.4</t>
        </is>
      </c>
      <c r="E7120" t="inlineStr">
        <is>
          <t>DIL_EM-10-G</t>
        </is>
      </c>
      <c r="F7120" t="inlineStr">
        <is>
          <t>#KALK!</t>
        </is>
      </c>
      <c r="G7120" t="inlineStr">
        <is>
          <t>LASTSCHUETZ</t>
        </is>
      </c>
      <c r="H7120" t="inlineStr">
        <is>
          <t>4kW 1S</t>
        </is>
      </c>
      <c r="I7120">
        <v>1291</v>
      </c>
      <c r="J7120">
        <f>GS32/316.6</f>
        <v>0</v>
      </c>
      <c r="M7120" t="inlineStr">
        <is>
          <t>-316K64.4</t>
        </is>
      </c>
    </row>
    <row r="7121">
      <c r="A7121">
        <v>7120</v>
      </c>
      <c r="B7121">
        <f>GS23</f>
        <v>0</v>
      </c>
      <c r="C7121" t="inlineStr">
        <is>
          <t>+LS6</t>
        </is>
      </c>
      <c r="D7121" t="inlineStr">
        <is>
          <t>-316K89.0</t>
        </is>
      </c>
      <c r="E7121" t="inlineStr">
        <is>
          <t>DIL_EM-10-G</t>
        </is>
      </c>
      <c r="F7121" t="inlineStr">
        <is>
          <t>#KALK!</t>
        </is>
      </c>
      <c r="G7121" t="inlineStr">
        <is>
          <t>LASTSCHUETZ</t>
        </is>
      </c>
      <c r="H7121" t="inlineStr">
        <is>
          <t>4kW 1S</t>
        </is>
      </c>
      <c r="I7121">
        <v>617</v>
      </c>
      <c r="J7121">
        <f>GS23/316.6</f>
        <v>0</v>
      </c>
      <c r="M7121" t="inlineStr">
        <is>
          <t>-316K89.0</t>
        </is>
      </c>
    </row>
    <row r="7122">
      <c r="A7122">
        <v>7121</v>
      </c>
      <c r="B7122">
        <f>GS79</f>
        <v>0</v>
      </c>
      <c r="C7122" t="inlineStr">
        <is>
          <t>+LS[l1]</t>
        </is>
      </c>
      <c r="D7122" t="inlineStr">
        <is>
          <t>-316Q[a+224].0</t>
        </is>
      </c>
      <c r="E7122" t="inlineStr">
        <is>
          <t>DILM-9-10</t>
        </is>
      </c>
      <c r="F7122" t="inlineStr">
        <is>
          <t>#ÜBERLAUF!</t>
        </is>
      </c>
      <c r="G7122" t="inlineStr">
        <is>
          <t>LASTSCHUETZ</t>
        </is>
      </c>
      <c r="H7122" t="inlineStr">
        <is>
          <t>4kW 1S Federzugkl.</t>
        </is>
      </c>
      <c r="I7122">
        <v>217</v>
      </c>
      <c r="J7122">
        <f>GS79/316.7</f>
        <v>0</v>
      </c>
      <c r="M7122" t="inlineStr">
        <is>
          <t>-316Q[a+224].0</t>
        </is>
      </c>
    </row>
    <row r="7123">
      <c r="A7123">
        <v>7122</v>
      </c>
      <c r="B7123">
        <f>GS79</f>
        <v>0</v>
      </c>
      <c r="C7123" t="inlineStr">
        <is>
          <t>+LS[l1]</t>
        </is>
      </c>
      <c r="D7123" t="inlineStr">
        <is>
          <t>-316Q[a+224].0</t>
        </is>
      </c>
      <c r="E7123" t="inlineStr">
        <is>
          <t>DILM-9-10</t>
        </is>
      </c>
      <c r="F7123" t="inlineStr">
        <is>
          <t>#ÜBERLAUF!</t>
        </is>
      </c>
      <c r="G7123" t="inlineStr">
        <is>
          <t>LASTSCHUETZ</t>
        </is>
      </c>
      <c r="H7123" t="inlineStr">
        <is>
          <t>4kW 1S Federzugkl.</t>
        </is>
      </c>
      <c r="I7123">
        <v>160</v>
      </c>
      <c r="J7123">
        <f>GS79/316.7</f>
        <v>0</v>
      </c>
      <c r="M7123" t="inlineStr">
        <is>
          <t>-316Q[a+224].0</t>
        </is>
      </c>
    </row>
    <row r="7124">
      <c r="A7124">
        <v>7123</v>
      </c>
      <c r="B7124">
        <f>GS79</f>
        <v>0</v>
      </c>
      <c r="C7124" t="inlineStr">
        <is>
          <t>+LS[l1]</t>
        </is>
      </c>
      <c r="D7124" t="inlineStr">
        <is>
          <t>-316Q[a+224].0</t>
        </is>
      </c>
      <c r="E7124" t="inlineStr">
        <is>
          <t>DILM-9-10</t>
        </is>
      </c>
      <c r="F7124" t="inlineStr">
        <is>
          <t>#ÜBERLAUF!</t>
        </is>
      </c>
      <c r="G7124" t="inlineStr">
        <is>
          <t>LASTSCHUETZ</t>
        </is>
      </c>
      <c r="H7124" t="inlineStr">
        <is>
          <t>4kW 1S Federzugkl.</t>
        </is>
      </c>
      <c r="I7124">
        <v>187</v>
      </c>
      <c r="J7124">
        <f>GS79/316.7</f>
        <v>0</v>
      </c>
      <c r="M7124" t="inlineStr">
        <is>
          <t>-316Q[a+224].0</t>
        </is>
      </c>
    </row>
    <row r="7125">
      <c r="A7125">
        <v>7124</v>
      </c>
      <c r="B7125">
        <f>GS79</f>
        <v>0</v>
      </c>
      <c r="C7125" t="inlineStr">
        <is>
          <t>+LS[l1]</t>
        </is>
      </c>
      <c r="D7125" t="inlineStr">
        <is>
          <t>-316Q[a+224].0</t>
        </is>
      </c>
      <c r="E7125" t="inlineStr">
        <is>
          <t>DILA-XHI04</t>
        </is>
      </c>
      <c r="F7125" t="inlineStr">
        <is>
          <t>#ÜBERLAUF!</t>
        </is>
      </c>
      <c r="G7125" t="inlineStr">
        <is>
          <t>HILFSKONTAKTBLOCK</t>
        </is>
      </c>
      <c r="H7125" t="inlineStr">
        <is>
          <t>4OE Last+Hilfssch. Cage</t>
        </is>
      </c>
      <c r="I7125">
        <v>217</v>
      </c>
      <c r="J7125">
        <f>GS79/316.7</f>
        <v>0</v>
      </c>
      <c r="M7125" t="inlineStr">
        <is>
          <t>-316Q[a+224].0</t>
        </is>
      </c>
    </row>
    <row r="7126">
      <c r="A7126">
        <v>7125</v>
      </c>
      <c r="B7126">
        <f>GS79</f>
        <v>0</v>
      </c>
      <c r="C7126" t="inlineStr">
        <is>
          <t>+LS[l1]</t>
        </is>
      </c>
      <c r="D7126" t="inlineStr">
        <is>
          <t>-316Q[a+224].0</t>
        </is>
      </c>
      <c r="E7126" t="inlineStr">
        <is>
          <t>DILA-XHI04</t>
        </is>
      </c>
      <c r="F7126" t="inlineStr">
        <is>
          <t>#ÜBERLAUF!</t>
        </is>
      </c>
      <c r="G7126" t="inlineStr">
        <is>
          <t>HILFSKONTAKTBLOCK</t>
        </is>
      </c>
      <c r="H7126" t="inlineStr">
        <is>
          <t>4OE Last+Hilfssch. Cage</t>
        </is>
      </c>
      <c r="I7126">
        <v>160</v>
      </c>
      <c r="J7126">
        <f>GS79/316.7</f>
        <v>0</v>
      </c>
      <c r="M7126" t="inlineStr">
        <is>
          <t>-316Q[a+224].0</t>
        </is>
      </c>
    </row>
    <row r="7127">
      <c r="A7127">
        <v>7126</v>
      </c>
      <c r="B7127">
        <f>GS79</f>
        <v>0</v>
      </c>
      <c r="C7127" t="inlineStr">
        <is>
          <t>+LS[l1]</t>
        </is>
      </c>
      <c r="D7127" t="inlineStr">
        <is>
          <t>-316Q[a+224].0</t>
        </is>
      </c>
      <c r="E7127" t="inlineStr">
        <is>
          <t>DILA-XHI04</t>
        </is>
      </c>
      <c r="F7127" t="inlineStr">
        <is>
          <t>#ÜBERLAUF!</t>
        </is>
      </c>
      <c r="G7127" t="inlineStr">
        <is>
          <t>HILFSKONTAKTBLOCK</t>
        </is>
      </c>
      <c r="H7127" t="inlineStr">
        <is>
          <t>4OE Last+Hilfssch. Cage</t>
        </is>
      </c>
      <c r="I7127">
        <v>187</v>
      </c>
      <c r="J7127">
        <f>GS79/316.7</f>
        <v>0</v>
      </c>
      <c r="M7127" t="inlineStr">
        <is>
          <t>-316Q[a+224].0</t>
        </is>
      </c>
    </row>
    <row r="7128">
      <c r="A7128">
        <v>7127</v>
      </c>
      <c r="B7128">
        <f>GS79</f>
        <v>0</v>
      </c>
      <c r="C7128" t="inlineStr">
        <is>
          <t>+LS[l1]</t>
        </is>
      </c>
      <c r="D7128" t="inlineStr">
        <is>
          <t>-316Q[a+224].1</t>
        </is>
      </c>
      <c r="E7128" t="inlineStr">
        <is>
          <t>DILM-9-10</t>
        </is>
      </c>
      <c r="F7128" t="inlineStr">
        <is>
          <t>#ÜBERLAUF!</t>
        </is>
      </c>
      <c r="G7128" t="inlineStr">
        <is>
          <t>LASTSCHUETZ</t>
        </is>
      </c>
      <c r="H7128" t="inlineStr">
        <is>
          <t>4kW 1S Federzugkl.</t>
        </is>
      </c>
      <c r="I7128">
        <v>217</v>
      </c>
      <c r="J7128">
        <f>GS79/316.7</f>
        <v>0</v>
      </c>
      <c r="M7128" t="inlineStr">
        <is>
          <t>-316Q[a+224].1</t>
        </is>
      </c>
    </row>
    <row r="7129">
      <c r="A7129">
        <v>7128</v>
      </c>
      <c r="B7129">
        <f>GS79</f>
        <v>0</v>
      </c>
      <c r="C7129" t="inlineStr">
        <is>
          <t>+LS[l1]</t>
        </is>
      </c>
      <c r="D7129" t="inlineStr">
        <is>
          <t>-316Q[a+224].1</t>
        </is>
      </c>
      <c r="E7129" t="inlineStr">
        <is>
          <t>DILM-9-10</t>
        </is>
      </c>
      <c r="F7129" t="inlineStr">
        <is>
          <t>#ÜBERLAUF!</t>
        </is>
      </c>
      <c r="G7129" t="inlineStr">
        <is>
          <t>LASTSCHUETZ</t>
        </is>
      </c>
      <c r="H7129" t="inlineStr">
        <is>
          <t>4kW 1S Federzugkl.</t>
        </is>
      </c>
      <c r="I7129">
        <v>160</v>
      </c>
      <c r="J7129">
        <f>GS79/316.7</f>
        <v>0</v>
      </c>
      <c r="M7129" t="inlineStr">
        <is>
          <t>-316Q[a+224].1</t>
        </is>
      </c>
    </row>
    <row r="7130">
      <c r="A7130">
        <v>7129</v>
      </c>
      <c r="B7130">
        <f>GS79</f>
        <v>0</v>
      </c>
      <c r="C7130" t="inlineStr">
        <is>
          <t>+LS[l1]</t>
        </is>
      </c>
      <c r="D7130" t="inlineStr">
        <is>
          <t>-316Q[a+224].1</t>
        </is>
      </c>
      <c r="E7130" t="inlineStr">
        <is>
          <t>DILM-9-10</t>
        </is>
      </c>
      <c r="F7130" t="inlineStr">
        <is>
          <t>#ÜBERLAUF!</t>
        </is>
      </c>
      <c r="G7130" t="inlineStr">
        <is>
          <t>LASTSCHUETZ</t>
        </is>
      </c>
      <c r="H7130" t="inlineStr">
        <is>
          <t>4kW 1S Federzugkl.</t>
        </is>
      </c>
      <c r="I7130">
        <v>187</v>
      </c>
      <c r="J7130">
        <f>GS79/316.7</f>
        <v>0</v>
      </c>
      <c r="M7130" t="inlineStr">
        <is>
          <t>-316Q[a+224].1</t>
        </is>
      </c>
    </row>
    <row r="7131">
      <c r="A7131">
        <v>7130</v>
      </c>
      <c r="B7131">
        <f>GS79</f>
        <v>0</v>
      </c>
      <c r="C7131" t="inlineStr">
        <is>
          <t>+LS[l1]</t>
        </is>
      </c>
      <c r="D7131" t="inlineStr">
        <is>
          <t>-316Q[a+224].1</t>
        </is>
      </c>
      <c r="E7131" t="inlineStr">
        <is>
          <t>DILA-XHI04</t>
        </is>
      </c>
      <c r="F7131" t="inlineStr">
        <is>
          <t>#ÜBERLAUF!</t>
        </is>
      </c>
      <c r="G7131" t="inlineStr">
        <is>
          <t>HILFSKONTAKTBLOCK</t>
        </is>
      </c>
      <c r="H7131" t="inlineStr">
        <is>
          <t>4OE Last+Hilfssch. Cage</t>
        </is>
      </c>
      <c r="I7131">
        <v>217</v>
      </c>
      <c r="J7131">
        <f>GS79/316.7</f>
        <v>0</v>
      </c>
      <c r="M7131" t="inlineStr">
        <is>
          <t>-316Q[a+224].1</t>
        </is>
      </c>
    </row>
    <row r="7132">
      <c r="A7132">
        <v>7131</v>
      </c>
      <c r="B7132">
        <f>GS79</f>
        <v>0</v>
      </c>
      <c r="C7132" t="inlineStr">
        <is>
          <t>+LS[l1]</t>
        </is>
      </c>
      <c r="D7132" t="inlineStr">
        <is>
          <t>-316Q[a+224].1</t>
        </is>
      </c>
      <c r="E7132" t="inlineStr">
        <is>
          <t>DILA-XHI04</t>
        </is>
      </c>
      <c r="F7132" t="inlineStr">
        <is>
          <t>#ÜBERLAUF!</t>
        </is>
      </c>
      <c r="G7132" t="inlineStr">
        <is>
          <t>HILFSKONTAKTBLOCK</t>
        </is>
      </c>
      <c r="H7132" t="inlineStr">
        <is>
          <t>4OE Last+Hilfssch. Cage</t>
        </is>
      </c>
      <c r="I7132">
        <v>187</v>
      </c>
      <c r="J7132">
        <f>GS79/316.7</f>
        <v>0</v>
      </c>
      <c r="M7132" t="inlineStr">
        <is>
          <t>-316Q[a+224].1</t>
        </is>
      </c>
    </row>
    <row r="7133">
      <c r="A7133">
        <v>7132</v>
      </c>
      <c r="B7133">
        <f>GS79</f>
        <v>0</v>
      </c>
      <c r="C7133" t="inlineStr">
        <is>
          <t>+LS[l1]</t>
        </is>
      </c>
      <c r="D7133" t="inlineStr">
        <is>
          <t>-316Q[a+224].1</t>
        </is>
      </c>
      <c r="E7133" t="inlineStr">
        <is>
          <t>DILA-XHI04</t>
        </is>
      </c>
      <c r="F7133" t="inlineStr">
        <is>
          <t>#ÜBERLAUF!</t>
        </is>
      </c>
      <c r="G7133" t="inlineStr">
        <is>
          <t>HILFSKONTAKTBLOCK</t>
        </is>
      </c>
      <c r="H7133" t="inlineStr">
        <is>
          <t>4OE Last+Hilfssch. Cage</t>
        </is>
      </c>
      <c r="I7133">
        <v>160</v>
      </c>
      <c r="J7133">
        <f>GS79/316.7</f>
        <v>0</v>
      </c>
      <c r="M7133" t="inlineStr">
        <is>
          <t>-316Q[a+224].1</t>
        </is>
      </c>
    </row>
    <row r="7134">
      <c r="A7134">
        <v>7133</v>
      </c>
      <c r="B7134">
        <f>GS91</f>
        <v>0</v>
      </c>
      <c r="C7134" t="inlineStr">
        <is>
          <t>+LS04</t>
        </is>
      </c>
      <c r="D7134" t="inlineStr">
        <is>
          <t>-316Q178.3</t>
        </is>
      </c>
      <c r="E7134" t="inlineStr">
        <is>
          <t>DILM-9-10</t>
        </is>
      </c>
      <c r="F7134" t="inlineStr">
        <is>
          <t>#KALK!</t>
        </is>
      </c>
      <c r="G7134" t="inlineStr">
        <is>
          <t>LASTSCHUETZ</t>
        </is>
      </c>
      <c r="H7134" t="inlineStr">
        <is>
          <t>4kW 1S Federzugkl.</t>
        </is>
      </c>
      <c r="I7134">
        <v>463</v>
      </c>
      <c r="J7134">
        <f>GS91/316.5</f>
        <v>0</v>
      </c>
      <c r="M7134" t="inlineStr">
        <is>
          <t>-316Q178.3</t>
        </is>
      </c>
    </row>
    <row r="7135">
      <c r="A7135">
        <v>7134</v>
      </c>
      <c r="B7135">
        <f>GS02</f>
        <v>0</v>
      </c>
      <c r="C7135" t="inlineStr">
        <is>
          <t>+LS6</t>
        </is>
      </c>
      <c r="D7135" t="inlineStr">
        <is>
          <t>-317K1</t>
        </is>
      </c>
      <c r="E7135" t="inlineStr">
        <is>
          <t>DIL_EM-10-G</t>
        </is>
      </c>
      <c r="F7135" t="inlineStr">
        <is>
          <t>#KALK!</t>
        </is>
      </c>
      <c r="G7135" t="inlineStr">
        <is>
          <t>LASTSCHUETZ</t>
        </is>
      </c>
      <c r="H7135" t="inlineStr">
        <is>
          <t>4kW 1S</t>
        </is>
      </c>
      <c r="I7135">
        <v>723</v>
      </c>
      <c r="J7135">
        <f>GS02/317.5</f>
        <v>0</v>
      </c>
      <c r="M7135" t="inlineStr">
        <is>
          <t>-317K1</t>
        </is>
      </c>
    </row>
    <row r="7136">
      <c r="A7136">
        <v>7135</v>
      </c>
      <c r="B7136">
        <f>GS25</f>
        <v>0</v>
      </c>
      <c r="C7136" t="inlineStr">
        <is>
          <t>+LS6</t>
        </is>
      </c>
      <c r="D7136" t="inlineStr">
        <is>
          <t>-317K1</t>
        </is>
      </c>
      <c r="E7136" t="inlineStr">
        <is>
          <t>DIL_0AM</t>
        </is>
      </c>
      <c r="F7136" t="inlineStr">
        <is>
          <t>22_DIL-M</t>
        </is>
      </c>
      <c r="G7136" t="inlineStr">
        <is>
          <t>LASTSCHUETZ</t>
        </is>
      </c>
      <c r="H7136" t="inlineStr">
        <is>
          <t>11 kW</t>
        </is>
      </c>
      <c r="I7136">
        <v>441</v>
      </c>
      <c r="J7136">
        <f>GS25/317.2</f>
        <v>0</v>
      </c>
      <c r="K7136" t="inlineStr">
        <is>
          <t>DIL0AM</t>
        </is>
      </c>
      <c r="M7136" t="inlineStr">
        <is>
          <t>-317K1</t>
        </is>
      </c>
    </row>
    <row r="7137">
      <c r="A7137">
        <v>7136</v>
      </c>
      <c r="B7137">
        <f>GS25</f>
        <v>0</v>
      </c>
      <c r="C7137" t="inlineStr">
        <is>
          <t>+LS6</t>
        </is>
      </c>
      <c r="D7137" t="inlineStr">
        <is>
          <t>-317K1</t>
        </is>
      </c>
      <c r="E7137" t="inlineStr">
        <is>
          <t>22_DIL-M</t>
        </is>
      </c>
      <c r="F7137" t="inlineStr">
        <is>
          <t>22_DIL-M</t>
        </is>
      </c>
      <c r="G7137" t="inlineStr">
        <is>
          <t>HILFSKONTAKTBLOCK</t>
        </is>
      </c>
      <c r="H7137" t="inlineStr">
        <is>
          <t>2S 2OE Lastschuetz DIL M</t>
        </is>
      </c>
      <c r="I7137">
        <v>441</v>
      </c>
      <c r="J7137">
        <f>GS25/317.2</f>
        <v>0</v>
      </c>
      <c r="K7137" t="inlineStr">
        <is>
          <t>DIL0AM</t>
        </is>
      </c>
      <c r="M7137" t="inlineStr">
        <is>
          <t>-317K1</t>
        </is>
      </c>
    </row>
    <row r="7138">
      <c r="A7138">
        <v>7137</v>
      </c>
      <c r="B7138">
        <f>GS24</f>
        <v>0</v>
      </c>
      <c r="C7138" t="inlineStr">
        <is>
          <t>+LS6</t>
        </is>
      </c>
      <c r="D7138" t="inlineStr">
        <is>
          <t>-317K14.2</t>
        </is>
      </c>
      <c r="E7138" t="inlineStr">
        <is>
          <t>DIL_EM-10-G</t>
        </is>
      </c>
      <c r="F7138" t="inlineStr">
        <is>
          <t>#KALK!</t>
        </is>
      </c>
      <c r="G7138" t="inlineStr">
        <is>
          <t>LASTSCHUETZ</t>
        </is>
      </c>
      <c r="H7138" t="inlineStr">
        <is>
          <t>4kW 1S</t>
        </is>
      </c>
      <c r="I7138">
        <v>770</v>
      </c>
      <c r="J7138">
        <f>GS24/317.6</f>
        <v>0</v>
      </c>
      <c r="M7138" t="inlineStr">
        <is>
          <t>-317K14.2</t>
        </is>
      </c>
    </row>
    <row r="7139">
      <c r="A7139">
        <v>7138</v>
      </c>
      <c r="B7139">
        <f>GS24</f>
        <v>0</v>
      </c>
      <c r="C7139" t="inlineStr">
        <is>
          <t>+LS6</t>
        </is>
      </c>
      <c r="D7139" t="inlineStr">
        <is>
          <t>-317K14.3</t>
        </is>
      </c>
      <c r="E7139" t="inlineStr">
        <is>
          <t>DIL_EM-10-G</t>
        </is>
      </c>
      <c r="F7139" t="inlineStr">
        <is>
          <t>#KALK!</t>
        </is>
      </c>
      <c r="G7139" t="inlineStr">
        <is>
          <t>LASTSCHUETZ</t>
        </is>
      </c>
      <c r="H7139" t="inlineStr">
        <is>
          <t>4kW 1S</t>
        </is>
      </c>
      <c r="I7139">
        <v>770</v>
      </c>
      <c r="J7139">
        <f>GS24/317.6</f>
        <v>0</v>
      </c>
      <c r="M7139" t="inlineStr">
        <is>
          <t>-317K14.3</t>
        </is>
      </c>
    </row>
    <row r="7140">
      <c r="A7140">
        <v>7139</v>
      </c>
      <c r="B7140">
        <f>GS15</f>
        <v>0</v>
      </c>
      <c r="C7140" t="inlineStr">
        <is>
          <t>+LS6</t>
        </is>
      </c>
      <c r="D7140" t="inlineStr">
        <is>
          <t>-317K15.5</t>
        </is>
      </c>
      <c r="E7140" t="inlineStr">
        <is>
          <t>DIL_EM-10-G</t>
        </is>
      </c>
      <c r="F7140" t="inlineStr">
        <is>
          <t>#KALK!</t>
        </is>
      </c>
      <c r="G7140" t="inlineStr">
        <is>
          <t>LASTSCHUETZ</t>
        </is>
      </c>
      <c r="H7140" t="inlineStr">
        <is>
          <t>4kW 1S</t>
        </is>
      </c>
      <c r="I7140">
        <v>815</v>
      </c>
      <c r="J7140">
        <f>GS15/317.7</f>
        <v>0</v>
      </c>
      <c r="M7140" t="inlineStr">
        <is>
          <t>-317K15.5</t>
        </is>
      </c>
    </row>
    <row r="7141">
      <c r="A7141">
        <v>7140</v>
      </c>
      <c r="B7141">
        <f>GS11</f>
        <v>0</v>
      </c>
      <c r="C7141" t="inlineStr">
        <is>
          <t>+LS7</t>
        </is>
      </c>
      <c r="D7141" t="inlineStr">
        <is>
          <t>-317K22.2</t>
        </is>
      </c>
      <c r="E7141" t="inlineStr">
        <is>
          <t>DIL_EM-10-G</t>
        </is>
      </c>
      <c r="F7141" t="inlineStr">
        <is>
          <t>22_DIL-E</t>
        </is>
      </c>
      <c r="G7141" t="inlineStr">
        <is>
          <t>LASTSCHUETZ</t>
        </is>
      </c>
      <c r="H7141" t="inlineStr">
        <is>
          <t>4kW 1S</t>
        </is>
      </c>
      <c r="I7141">
        <v>423</v>
      </c>
      <c r="J7141">
        <f>GS11/317.6</f>
        <v>0</v>
      </c>
      <c r="M7141" t="inlineStr">
        <is>
          <t>-317K22.2</t>
        </is>
      </c>
    </row>
    <row r="7142">
      <c r="A7142">
        <v>7141</v>
      </c>
      <c r="B7142">
        <f>GS11</f>
        <v>0</v>
      </c>
      <c r="C7142" t="inlineStr">
        <is>
          <t>+LS7</t>
        </is>
      </c>
      <c r="D7142" t="inlineStr">
        <is>
          <t>-317K22.2</t>
        </is>
      </c>
      <c r="E7142" t="inlineStr">
        <is>
          <t>22_DIL-E</t>
        </is>
      </c>
      <c r="F7142" t="inlineStr">
        <is>
          <t>22_DIL-E</t>
        </is>
      </c>
      <c r="G7142" t="inlineStr">
        <is>
          <t>HILFSKONTAKTBLOCK</t>
        </is>
      </c>
      <c r="H7142" t="inlineStr">
        <is>
          <t>2S 2OE Last+Hilfsschuetz</t>
        </is>
      </c>
      <c r="I7142">
        <v>423</v>
      </c>
      <c r="J7142">
        <f>GS11/317.6</f>
        <v>0</v>
      </c>
      <c r="M7142" t="inlineStr">
        <is>
          <t>-317K22.2</t>
        </is>
      </c>
    </row>
    <row r="7143">
      <c r="A7143">
        <v>7142</v>
      </c>
      <c r="B7143">
        <f>GS21</f>
        <v>0</v>
      </c>
      <c r="C7143" t="inlineStr">
        <is>
          <t>+LS7</t>
        </is>
      </c>
      <c r="D7143" t="inlineStr">
        <is>
          <t>-317K22.2</t>
        </is>
      </c>
      <c r="E7143" t="inlineStr">
        <is>
          <t>DIL_EM-10-G</t>
        </is>
      </c>
      <c r="F7143" t="inlineStr">
        <is>
          <t>22_DIL-E</t>
        </is>
      </c>
      <c r="G7143" t="inlineStr">
        <is>
          <t>LASTSCHUETZ</t>
        </is>
      </c>
      <c r="H7143" t="inlineStr">
        <is>
          <t>4kW 1S</t>
        </is>
      </c>
      <c r="I7143">
        <v>405</v>
      </c>
      <c r="J7143">
        <f>GS21/317.6</f>
        <v>0</v>
      </c>
      <c r="M7143" t="inlineStr">
        <is>
          <t>-317K22.2</t>
        </is>
      </c>
    </row>
    <row r="7144">
      <c r="A7144">
        <v>7143</v>
      </c>
      <c r="B7144">
        <f>GS21</f>
        <v>0</v>
      </c>
      <c r="C7144" t="inlineStr">
        <is>
          <t>+LS7</t>
        </is>
      </c>
      <c r="D7144" t="inlineStr">
        <is>
          <t>-317K22.2</t>
        </is>
      </c>
      <c r="E7144" t="inlineStr">
        <is>
          <t>22_DIL-E</t>
        </is>
      </c>
      <c r="F7144" t="inlineStr">
        <is>
          <t>22_DIL-E</t>
        </is>
      </c>
      <c r="G7144" t="inlineStr">
        <is>
          <t>HILFSKONTAKTBLOCK</t>
        </is>
      </c>
      <c r="H7144" t="inlineStr">
        <is>
          <t>2S 2OE Last+Hilfsschuetz</t>
        </is>
      </c>
      <c r="I7144">
        <v>405</v>
      </c>
      <c r="J7144">
        <f>GS21/317.6</f>
        <v>0</v>
      </c>
      <c r="M7144" t="inlineStr">
        <is>
          <t>-317K22.2</t>
        </is>
      </c>
    </row>
    <row r="7145">
      <c r="A7145">
        <v>7144</v>
      </c>
      <c r="B7145">
        <f>GS11</f>
        <v>0</v>
      </c>
      <c r="C7145" t="inlineStr">
        <is>
          <t>+LS7</t>
        </is>
      </c>
      <c r="D7145" t="inlineStr">
        <is>
          <t>-317K22.3</t>
        </is>
      </c>
      <c r="E7145" t="inlineStr">
        <is>
          <t>DIL_EM-10-G</t>
        </is>
      </c>
      <c r="F7145" t="inlineStr">
        <is>
          <t>22_DIL-E</t>
        </is>
      </c>
      <c r="G7145" t="inlineStr">
        <is>
          <t>LASTSCHUETZ</t>
        </is>
      </c>
      <c r="H7145" t="inlineStr">
        <is>
          <t>4kW 1S</t>
        </is>
      </c>
      <c r="I7145">
        <v>423</v>
      </c>
      <c r="J7145">
        <f>GS11/317.6</f>
        <v>0</v>
      </c>
      <c r="M7145" t="inlineStr">
        <is>
          <t>-317K22.3</t>
        </is>
      </c>
    </row>
    <row r="7146">
      <c r="A7146">
        <v>7145</v>
      </c>
      <c r="B7146">
        <f>GS11</f>
        <v>0</v>
      </c>
      <c r="C7146" t="inlineStr">
        <is>
          <t>+LS7</t>
        </is>
      </c>
      <c r="D7146" t="inlineStr">
        <is>
          <t>-317K22.3</t>
        </is>
      </c>
      <c r="E7146" t="inlineStr">
        <is>
          <t>22_DIL-E</t>
        </is>
      </c>
      <c r="F7146" t="inlineStr">
        <is>
          <t>22_DIL-E</t>
        </is>
      </c>
      <c r="G7146" t="inlineStr">
        <is>
          <t>HILFSKONTAKTBLOCK</t>
        </is>
      </c>
      <c r="H7146" t="inlineStr">
        <is>
          <t>2S 2OE Last+Hilfsschuetz</t>
        </is>
      </c>
      <c r="I7146">
        <v>423</v>
      </c>
      <c r="J7146">
        <f>GS11/317.6</f>
        <v>0</v>
      </c>
      <c r="M7146" t="inlineStr">
        <is>
          <t>-317K22.3</t>
        </is>
      </c>
    </row>
    <row r="7147">
      <c r="A7147">
        <v>7146</v>
      </c>
      <c r="B7147">
        <f>GS21</f>
        <v>0</v>
      </c>
      <c r="C7147" t="inlineStr">
        <is>
          <t>+LS7</t>
        </is>
      </c>
      <c r="D7147" t="inlineStr">
        <is>
          <t>-317K22.3</t>
        </is>
      </c>
      <c r="E7147" t="inlineStr">
        <is>
          <t>DIL_EM-10-G</t>
        </is>
      </c>
      <c r="F7147" t="inlineStr">
        <is>
          <t>22_DIL-E</t>
        </is>
      </c>
      <c r="G7147" t="inlineStr">
        <is>
          <t>LASTSCHUETZ</t>
        </is>
      </c>
      <c r="H7147" t="inlineStr">
        <is>
          <t>4kW 1S</t>
        </is>
      </c>
      <c r="I7147">
        <v>405</v>
      </c>
      <c r="J7147">
        <f>GS21/317.6</f>
        <v>0</v>
      </c>
      <c r="M7147" t="inlineStr">
        <is>
          <t>-317K22.3</t>
        </is>
      </c>
    </row>
    <row r="7148">
      <c r="A7148">
        <v>7147</v>
      </c>
      <c r="B7148">
        <f>GS21</f>
        <v>0</v>
      </c>
      <c r="C7148" t="inlineStr">
        <is>
          <t>+LS7</t>
        </is>
      </c>
      <c r="D7148" t="inlineStr">
        <is>
          <t>-317K22.3</t>
        </is>
      </c>
      <c r="E7148" t="inlineStr">
        <is>
          <t>22_DIL-E</t>
        </is>
      </c>
      <c r="F7148" t="inlineStr">
        <is>
          <t>22_DIL-E</t>
        </is>
      </c>
      <c r="G7148" t="inlineStr">
        <is>
          <t>HILFSKONTAKTBLOCK</t>
        </is>
      </c>
      <c r="H7148" t="inlineStr">
        <is>
          <t>2S 2OE Last+Hilfsschuetz</t>
        </is>
      </c>
      <c r="I7148">
        <v>405</v>
      </c>
      <c r="J7148">
        <f>GS21/317.6</f>
        <v>0</v>
      </c>
      <c r="M7148" t="inlineStr">
        <is>
          <t>-317K22.3</t>
        </is>
      </c>
    </row>
    <row r="7149">
      <c r="A7149">
        <v>7148</v>
      </c>
      <c r="B7149">
        <f>GS34</f>
        <v>0</v>
      </c>
      <c r="C7149" t="inlineStr">
        <is>
          <t>+LS7</t>
        </is>
      </c>
      <c r="D7149" t="inlineStr">
        <is>
          <t>-317K3805.0</t>
        </is>
      </c>
      <c r="E7149" t="inlineStr">
        <is>
          <t>DIL_EM-10-G</t>
        </is>
      </c>
      <c r="F7149" t="inlineStr">
        <is>
          <t>#KALK!</t>
        </is>
      </c>
      <c r="G7149" t="inlineStr">
        <is>
          <t>LASTSCHUETZ</t>
        </is>
      </c>
      <c r="H7149" t="inlineStr">
        <is>
          <t>4kW 1S</t>
        </is>
      </c>
      <c r="I7149">
        <v>442</v>
      </c>
      <c r="J7149">
        <f>GS34/317.6</f>
        <v>0</v>
      </c>
      <c r="M7149" t="inlineStr">
        <is>
          <t>-317K3805.0</t>
        </is>
      </c>
    </row>
    <row r="7150">
      <c r="A7150">
        <v>7149</v>
      </c>
      <c r="B7150">
        <f>GS34</f>
        <v>0</v>
      </c>
      <c r="C7150" t="inlineStr">
        <is>
          <t>+LS7</t>
        </is>
      </c>
      <c r="D7150" t="inlineStr">
        <is>
          <t>-317K3805.5</t>
        </is>
      </c>
      <c r="E7150" t="inlineStr">
        <is>
          <t>DIL_EM-10-G</t>
        </is>
      </c>
      <c r="F7150" t="inlineStr">
        <is>
          <t>#KALK!</t>
        </is>
      </c>
      <c r="G7150" t="inlineStr">
        <is>
          <t>LASTSCHUETZ</t>
        </is>
      </c>
      <c r="H7150" t="inlineStr">
        <is>
          <t>4kW 1S</t>
        </is>
      </c>
      <c r="I7150">
        <v>442</v>
      </c>
      <c r="J7150">
        <f>GS34/317.6</f>
        <v>0</v>
      </c>
      <c r="M7150" t="inlineStr">
        <is>
          <t>-317K3805.5</t>
        </is>
      </c>
    </row>
    <row r="7151">
      <c r="A7151">
        <v>7150</v>
      </c>
      <c r="B7151">
        <f>GS32</f>
        <v>0</v>
      </c>
      <c r="C7151" t="inlineStr">
        <is>
          <t>+LS7</t>
        </is>
      </c>
      <c r="D7151" t="inlineStr">
        <is>
          <t>-317K64.5</t>
        </is>
      </c>
      <c r="E7151" t="inlineStr">
        <is>
          <t>DIL_EM-10-G</t>
        </is>
      </c>
      <c r="F7151" t="inlineStr">
        <is>
          <t>#KALK!</t>
        </is>
      </c>
      <c r="G7151" t="inlineStr">
        <is>
          <t>LASTSCHUETZ</t>
        </is>
      </c>
      <c r="H7151" t="inlineStr">
        <is>
          <t>4kW 1S</t>
        </is>
      </c>
      <c r="I7151">
        <v>1290</v>
      </c>
      <c r="J7151">
        <f>GS32/317.6</f>
        <v>0</v>
      </c>
      <c r="M7151" t="inlineStr">
        <is>
          <t>-317K64.5</t>
        </is>
      </c>
    </row>
    <row r="7152">
      <c r="A7152">
        <v>7151</v>
      </c>
      <c r="B7152">
        <f>GS32</f>
        <v>0</v>
      </c>
      <c r="C7152" t="inlineStr">
        <is>
          <t>+LS7</t>
        </is>
      </c>
      <c r="D7152" t="inlineStr">
        <is>
          <t>-317K64.6</t>
        </is>
      </c>
      <c r="E7152" t="inlineStr">
        <is>
          <t>DIL_EM-10-G</t>
        </is>
      </c>
      <c r="F7152" t="inlineStr">
        <is>
          <t>#KALK!</t>
        </is>
      </c>
      <c r="G7152" t="inlineStr">
        <is>
          <t>LASTSCHUETZ</t>
        </is>
      </c>
      <c r="H7152" t="inlineStr">
        <is>
          <t>4kW 1S</t>
        </is>
      </c>
      <c r="I7152">
        <v>1290</v>
      </c>
      <c r="J7152">
        <f>GS32/317.6</f>
        <v>0</v>
      </c>
      <c r="M7152" t="inlineStr">
        <is>
          <t>-317K64.6</t>
        </is>
      </c>
    </row>
    <row r="7153">
      <c r="A7153">
        <v>7152</v>
      </c>
      <c r="B7153">
        <f>GS04</f>
        <v>0</v>
      </c>
      <c r="C7153" t="inlineStr">
        <is>
          <t>+LS7</t>
        </is>
      </c>
      <c r="D7153" t="inlineStr">
        <is>
          <t>-317KK1</t>
        </is>
      </c>
      <c r="E7153" t="inlineStr">
        <is>
          <t>DILM-9-01</t>
        </is>
      </c>
      <c r="F7153" t="inlineStr">
        <is>
          <t>#KALK!</t>
        </is>
      </c>
      <c r="G7153" t="inlineStr">
        <is>
          <t>LASTSCHUETZ</t>
        </is>
      </c>
      <c r="H7153" t="inlineStr">
        <is>
          <t>4kW 1Oe Federzugkl.</t>
        </is>
      </c>
      <c r="I7153">
        <v>568</v>
      </c>
      <c r="J7153">
        <f>GS04/317.6</f>
        <v>0</v>
      </c>
      <c r="M7153" t="inlineStr">
        <is>
          <t>-317KK1</t>
        </is>
      </c>
    </row>
    <row r="7154">
      <c r="A7154">
        <v>7153</v>
      </c>
      <c r="B7154">
        <f>GS04</f>
        <v>0</v>
      </c>
      <c r="C7154" t="inlineStr">
        <is>
          <t>+LS7</t>
        </is>
      </c>
      <c r="D7154" t="inlineStr">
        <is>
          <t>-317KK2</t>
        </is>
      </c>
      <c r="E7154" t="inlineStr">
        <is>
          <t>DILM-9-01</t>
        </is>
      </c>
      <c r="F7154" t="inlineStr">
        <is>
          <t>#KALK!</t>
        </is>
      </c>
      <c r="G7154" t="inlineStr">
        <is>
          <t>LASTSCHUETZ</t>
        </is>
      </c>
      <c r="H7154" t="inlineStr">
        <is>
          <t>4kW 1Oe Federzugkl.</t>
        </is>
      </c>
      <c r="I7154">
        <v>568</v>
      </c>
      <c r="J7154">
        <f>GS04/317.6</f>
        <v>0</v>
      </c>
      <c r="M7154" t="inlineStr">
        <is>
          <t>-317KK2</t>
        </is>
      </c>
    </row>
    <row r="7155">
      <c r="A7155">
        <v>7154</v>
      </c>
      <c r="B7155">
        <f>GS79</f>
        <v>0</v>
      </c>
      <c r="C7155" t="inlineStr">
        <is>
          <t>+LS[l1]</t>
        </is>
      </c>
      <c r="D7155" t="inlineStr">
        <is>
          <t>-317Q[a+224].2</t>
        </is>
      </c>
      <c r="E7155" t="inlineStr">
        <is>
          <t>DILM-9-10</t>
        </is>
      </c>
      <c r="F7155" t="inlineStr">
        <is>
          <t>#KALK!</t>
        </is>
      </c>
      <c r="G7155" t="inlineStr">
        <is>
          <t>LASTSCHUETZ</t>
        </is>
      </c>
      <c r="H7155" t="inlineStr">
        <is>
          <t>4kW 1S Federzugkl.</t>
        </is>
      </c>
      <c r="I7155">
        <v>218</v>
      </c>
      <c r="J7155">
        <f>GS79/317.6</f>
        <v>0</v>
      </c>
      <c r="M7155" t="inlineStr">
        <is>
          <t>-317Q[a+224].2</t>
        </is>
      </c>
    </row>
    <row r="7156">
      <c r="A7156">
        <v>7155</v>
      </c>
      <c r="B7156">
        <f>GS79</f>
        <v>0</v>
      </c>
      <c r="C7156" t="inlineStr">
        <is>
          <t>+LS[l1]</t>
        </is>
      </c>
      <c r="D7156" t="inlineStr">
        <is>
          <t>-317Q[a+224].2</t>
        </is>
      </c>
      <c r="E7156" t="inlineStr">
        <is>
          <t>DILM-9-10</t>
        </is>
      </c>
      <c r="F7156" t="inlineStr">
        <is>
          <t>#KALK!</t>
        </is>
      </c>
      <c r="G7156" t="inlineStr">
        <is>
          <t>LASTSCHUETZ</t>
        </is>
      </c>
      <c r="H7156" t="inlineStr">
        <is>
          <t>4kW 1S Federzugkl.</t>
        </is>
      </c>
      <c r="I7156">
        <v>159</v>
      </c>
      <c r="J7156">
        <f>GS79/317.6</f>
        <v>0</v>
      </c>
      <c r="M7156" t="inlineStr">
        <is>
          <t>-317Q[a+224].2</t>
        </is>
      </c>
    </row>
    <row r="7157">
      <c r="A7157">
        <v>7156</v>
      </c>
      <c r="B7157">
        <f>GS79</f>
        <v>0</v>
      </c>
      <c r="C7157" t="inlineStr">
        <is>
          <t>+LS[l1]</t>
        </is>
      </c>
      <c r="D7157" t="inlineStr">
        <is>
          <t>-317Q[a+224].2</t>
        </is>
      </c>
      <c r="E7157" t="inlineStr">
        <is>
          <t>DILM-9-10</t>
        </is>
      </c>
      <c r="F7157" t="inlineStr">
        <is>
          <t>#KALK!</t>
        </is>
      </c>
      <c r="G7157" t="inlineStr">
        <is>
          <t>LASTSCHUETZ</t>
        </is>
      </c>
      <c r="H7157" t="inlineStr">
        <is>
          <t>4kW 1S Federzugkl.</t>
        </is>
      </c>
      <c r="I7157">
        <v>280</v>
      </c>
      <c r="J7157">
        <f>GS79/317.6</f>
        <v>0</v>
      </c>
      <c r="M7157" t="inlineStr">
        <is>
          <t>-317Q[a+224].2</t>
        </is>
      </c>
    </row>
    <row r="7158">
      <c r="A7158">
        <v>7157</v>
      </c>
      <c r="B7158">
        <f>GS24</f>
        <v>0</v>
      </c>
      <c r="C7158" t="inlineStr">
        <is>
          <t>+LS6</t>
        </is>
      </c>
      <c r="D7158" t="inlineStr">
        <is>
          <t>-318K15.3</t>
        </is>
      </c>
      <c r="E7158" t="inlineStr">
        <is>
          <t>DIL_EM-10-G</t>
        </is>
      </c>
      <c r="F7158" t="inlineStr">
        <is>
          <t>#KALK!</t>
        </is>
      </c>
      <c r="G7158" t="inlineStr">
        <is>
          <t>LASTSCHUETZ</t>
        </is>
      </c>
      <c r="H7158" t="inlineStr">
        <is>
          <t>4kW 1S</t>
        </is>
      </c>
      <c r="I7158">
        <v>769</v>
      </c>
      <c r="J7158">
        <f>GS24/318.7</f>
        <v>0</v>
      </c>
      <c r="M7158" t="inlineStr">
        <is>
          <t>-318K15.3</t>
        </is>
      </c>
    </row>
    <row r="7159">
      <c r="A7159">
        <v>7158</v>
      </c>
      <c r="B7159">
        <f>GS15</f>
        <v>0</v>
      </c>
      <c r="C7159" t="inlineStr">
        <is>
          <t>+LS6</t>
        </is>
      </c>
      <c r="D7159" t="inlineStr">
        <is>
          <t>-318K15.6</t>
        </is>
      </c>
      <c r="E7159" t="inlineStr">
        <is>
          <t>DIL_EM-10-G</t>
        </is>
      </c>
      <c r="F7159" t="inlineStr">
        <is>
          <t>#KALK!</t>
        </is>
      </c>
      <c r="G7159" t="inlineStr">
        <is>
          <t>LASTSCHUETZ</t>
        </is>
      </c>
      <c r="H7159" t="inlineStr">
        <is>
          <t>4kW 1S</t>
        </is>
      </c>
      <c r="I7159">
        <v>816</v>
      </c>
      <c r="J7159">
        <f>GS15/318.6</f>
        <v>0</v>
      </c>
      <c r="M7159" t="inlineStr">
        <is>
          <t>-318K15.6</t>
        </is>
      </c>
    </row>
    <row r="7160">
      <c r="A7160">
        <v>7159</v>
      </c>
      <c r="B7160">
        <f>GS14</f>
        <v>0</v>
      </c>
      <c r="C7160" t="inlineStr">
        <is>
          <t>+LS6</t>
        </is>
      </c>
      <c r="D7160" t="inlineStr">
        <is>
          <t>-318K22.0</t>
        </is>
      </c>
      <c r="E7160" t="inlineStr">
        <is>
          <t>DIL_EM-10-G</t>
        </is>
      </c>
      <c r="F7160" t="inlineStr">
        <is>
          <t>#KALK!</t>
        </is>
      </c>
      <c r="G7160" t="inlineStr">
        <is>
          <t>LASTSCHUETZ</t>
        </is>
      </c>
      <c r="H7160" t="inlineStr">
        <is>
          <t>4kW 1S</t>
        </is>
      </c>
      <c r="I7160">
        <v>447</v>
      </c>
      <c r="J7160">
        <f>GS14/318.6</f>
        <v>0</v>
      </c>
      <c r="M7160" t="inlineStr">
        <is>
          <t>-318K22.0</t>
        </is>
      </c>
    </row>
    <row r="7161">
      <c r="A7161">
        <v>7160</v>
      </c>
      <c r="B7161">
        <f>GS14</f>
        <v>0</v>
      </c>
      <c r="C7161" t="inlineStr">
        <is>
          <t>+LS6</t>
        </is>
      </c>
      <c r="D7161" t="inlineStr">
        <is>
          <t>-318K22.1</t>
        </is>
      </c>
      <c r="E7161" t="inlineStr">
        <is>
          <t>DIL_EM-10-G</t>
        </is>
      </c>
      <c r="F7161" t="inlineStr">
        <is>
          <t>#KALK!</t>
        </is>
      </c>
      <c r="G7161" t="inlineStr">
        <is>
          <t>LASTSCHUETZ</t>
        </is>
      </c>
      <c r="H7161" t="inlineStr">
        <is>
          <t>4kW 1S</t>
        </is>
      </c>
      <c r="I7161">
        <v>447</v>
      </c>
      <c r="J7161">
        <f>GS14/318.6</f>
        <v>0</v>
      </c>
      <c r="M7161" t="inlineStr">
        <is>
          <t>-318K22.1</t>
        </is>
      </c>
    </row>
    <row r="7162">
      <c r="A7162">
        <v>7161</v>
      </c>
      <c r="B7162">
        <f>GS11</f>
        <v>0</v>
      </c>
      <c r="C7162" t="inlineStr">
        <is>
          <t>+LS7</t>
        </is>
      </c>
      <c r="D7162" t="inlineStr">
        <is>
          <t>-318K22.7</t>
        </is>
      </c>
      <c r="E7162" t="inlineStr">
        <is>
          <t>DIL_EM-10-G</t>
        </is>
      </c>
      <c r="F7162" t="inlineStr">
        <is>
          <t>#KALK!</t>
        </is>
      </c>
      <c r="G7162" t="inlineStr">
        <is>
          <t>LASTSCHUETZ</t>
        </is>
      </c>
      <c r="H7162" t="inlineStr">
        <is>
          <t>4kW 1S</t>
        </is>
      </c>
      <c r="I7162">
        <v>424</v>
      </c>
      <c r="J7162">
        <f>GS11/318.7</f>
        <v>0</v>
      </c>
      <c r="M7162" t="inlineStr">
        <is>
          <t>-318K22.7</t>
        </is>
      </c>
    </row>
    <row r="7163">
      <c r="A7163">
        <v>7162</v>
      </c>
      <c r="B7163">
        <f>GS21</f>
        <v>0</v>
      </c>
      <c r="C7163" t="inlineStr">
        <is>
          <t>+LS7</t>
        </is>
      </c>
      <c r="D7163" t="inlineStr">
        <is>
          <t>-318K22.7</t>
        </is>
      </c>
      <c r="E7163" t="inlineStr">
        <is>
          <t>DIL_EM-10-G</t>
        </is>
      </c>
      <c r="F7163" t="inlineStr">
        <is>
          <t>#KALK!</t>
        </is>
      </c>
      <c r="G7163" t="inlineStr">
        <is>
          <t>LASTSCHUETZ</t>
        </is>
      </c>
      <c r="H7163" t="inlineStr">
        <is>
          <t>4kW 1S</t>
        </is>
      </c>
      <c r="I7163">
        <v>406</v>
      </c>
      <c r="J7163">
        <f>GS21/318.7</f>
        <v>0</v>
      </c>
      <c r="M7163" t="inlineStr">
        <is>
          <t>-318K22.7</t>
        </is>
      </c>
    </row>
    <row r="7164">
      <c r="A7164">
        <v>7163</v>
      </c>
      <c r="B7164">
        <f>GS33</f>
        <v>0</v>
      </c>
      <c r="C7164" t="inlineStr">
        <is>
          <t>+LS7</t>
        </is>
      </c>
      <c r="D7164" t="inlineStr">
        <is>
          <t>-318K3603.7</t>
        </is>
      </c>
      <c r="E7164" t="inlineStr">
        <is>
          <t>DIL_EM-10-G</t>
        </is>
      </c>
      <c r="F7164" t="inlineStr">
        <is>
          <t>#KALK!</t>
        </is>
      </c>
      <c r="G7164" t="inlineStr">
        <is>
          <t>LASTSCHUETZ</t>
        </is>
      </c>
      <c r="H7164" t="inlineStr">
        <is>
          <t>4kW 1S</t>
        </is>
      </c>
      <c r="I7164">
        <v>766</v>
      </c>
      <c r="J7164">
        <f>GS33/318.7</f>
        <v>0</v>
      </c>
      <c r="M7164" t="inlineStr">
        <is>
          <t>-318K3603.7</t>
        </is>
      </c>
    </row>
    <row r="7165">
      <c r="A7165">
        <v>7164</v>
      </c>
      <c r="B7165">
        <f>GS33</f>
        <v>0</v>
      </c>
      <c r="C7165" t="inlineStr">
        <is>
          <t>+LS7</t>
        </is>
      </c>
      <c r="D7165" t="inlineStr">
        <is>
          <t>-318K3605.7</t>
        </is>
      </c>
      <c r="E7165" t="inlineStr">
        <is>
          <t>DIL_EM-10-G</t>
        </is>
      </c>
      <c r="F7165" t="inlineStr">
        <is>
          <t>#KALK!</t>
        </is>
      </c>
      <c r="G7165" t="inlineStr">
        <is>
          <t>LASTSCHUETZ</t>
        </is>
      </c>
      <c r="H7165" t="inlineStr">
        <is>
          <t>4kW 1S</t>
        </is>
      </c>
      <c r="I7165">
        <v>766</v>
      </c>
      <c r="J7165">
        <f>GS33/318.8</f>
        <v>0</v>
      </c>
      <c r="M7165" t="inlineStr">
        <is>
          <t>-318K3605.7</t>
        </is>
      </c>
    </row>
    <row r="7166">
      <c r="A7166">
        <v>7165</v>
      </c>
      <c r="B7166">
        <f>GS34</f>
        <v>0</v>
      </c>
      <c r="C7166" t="inlineStr">
        <is>
          <t>+LS7</t>
        </is>
      </c>
      <c r="D7166" t="inlineStr">
        <is>
          <t>-318K3805.4</t>
        </is>
      </c>
      <c r="E7166" t="inlineStr">
        <is>
          <t>DIL_EM-10-G</t>
        </is>
      </c>
      <c r="F7166" t="inlineStr">
        <is>
          <t>#KALK!</t>
        </is>
      </c>
      <c r="G7166" t="inlineStr">
        <is>
          <t>LASTSCHUETZ</t>
        </is>
      </c>
      <c r="H7166" t="inlineStr">
        <is>
          <t>4kW 1S</t>
        </is>
      </c>
      <c r="I7166">
        <v>443</v>
      </c>
      <c r="J7166">
        <f>GS34/318.7</f>
        <v>0</v>
      </c>
      <c r="M7166" t="inlineStr">
        <is>
          <t>-318K3805.4</t>
        </is>
      </c>
    </row>
    <row r="7167">
      <c r="A7167">
        <v>7166</v>
      </c>
      <c r="B7167">
        <f>GS01</f>
        <v>0</v>
      </c>
      <c r="C7167" t="inlineStr">
        <is>
          <t>+LS7</t>
        </is>
      </c>
      <c r="D7167" t="inlineStr">
        <is>
          <t>-318K62.0</t>
        </is>
      </c>
      <c r="E7167" t="inlineStr">
        <is>
          <t>DIL_EM-10-G</t>
        </is>
      </c>
      <c r="F7167" t="inlineStr">
        <is>
          <t>#KALK!</t>
        </is>
      </c>
      <c r="G7167" t="inlineStr">
        <is>
          <t>LASTSCHUETZ</t>
        </is>
      </c>
      <c r="H7167" t="inlineStr">
        <is>
          <t>4kW 1S</t>
        </is>
      </c>
      <c r="I7167">
        <v>481</v>
      </c>
      <c r="J7167">
        <f>GS01/318.6</f>
        <v>0</v>
      </c>
      <c r="M7167" t="inlineStr">
        <is>
          <t>-318K62.0</t>
        </is>
      </c>
    </row>
    <row r="7168">
      <c r="A7168">
        <v>7167</v>
      </c>
      <c r="B7168">
        <f>GS01</f>
        <v>0</v>
      </c>
      <c r="C7168" t="inlineStr">
        <is>
          <t>+LS7</t>
        </is>
      </c>
      <c r="D7168" t="inlineStr">
        <is>
          <t>-318K62.1</t>
        </is>
      </c>
      <c r="E7168" t="inlineStr">
        <is>
          <t>DIL_EM-10-G</t>
        </is>
      </c>
      <c r="F7168" t="inlineStr">
        <is>
          <t>#KALK!</t>
        </is>
      </c>
      <c r="G7168" t="inlineStr">
        <is>
          <t>LASTSCHUETZ</t>
        </is>
      </c>
      <c r="H7168" t="inlineStr">
        <is>
          <t>4kW 1S</t>
        </is>
      </c>
      <c r="I7168">
        <v>481</v>
      </c>
      <c r="J7168">
        <f>GS01/318.6</f>
        <v>0</v>
      </c>
      <c r="M7168" t="inlineStr">
        <is>
          <t>-318K62.1</t>
        </is>
      </c>
    </row>
    <row r="7169">
      <c r="A7169">
        <v>7168</v>
      </c>
      <c r="B7169">
        <f>GS32</f>
        <v>0</v>
      </c>
      <c r="C7169" t="inlineStr">
        <is>
          <t>+LS7</t>
        </is>
      </c>
      <c r="D7169" t="inlineStr">
        <is>
          <t>-318K64.7</t>
        </is>
      </c>
      <c r="E7169" t="inlineStr">
        <is>
          <t>DIL_EM-10-G</t>
        </is>
      </c>
      <c r="F7169" t="inlineStr">
        <is>
          <t>#KALK!</t>
        </is>
      </c>
      <c r="G7169" t="inlineStr">
        <is>
          <t>LASTSCHUETZ</t>
        </is>
      </c>
      <c r="H7169" t="inlineStr">
        <is>
          <t>4kW 1S</t>
        </is>
      </c>
      <c r="I7169">
        <v>1289</v>
      </c>
      <c r="J7169">
        <f>GS32/318.6</f>
        <v>0</v>
      </c>
      <c r="M7169" t="inlineStr">
        <is>
          <t>-318K64.7</t>
        </is>
      </c>
    </row>
    <row r="7170">
      <c r="A7170">
        <v>7169</v>
      </c>
      <c r="B7170">
        <f>GS32</f>
        <v>0</v>
      </c>
      <c r="C7170" t="inlineStr">
        <is>
          <t>+LS7</t>
        </is>
      </c>
      <c r="D7170" t="inlineStr">
        <is>
          <t>-318K65.0</t>
        </is>
      </c>
      <c r="E7170" t="inlineStr">
        <is>
          <t>DIL_EM-10-G</t>
        </is>
      </c>
      <c r="F7170" t="inlineStr">
        <is>
          <t>#KALK!</t>
        </is>
      </c>
      <c r="G7170" t="inlineStr">
        <is>
          <t>LASTSCHUETZ</t>
        </is>
      </c>
      <c r="H7170" t="inlineStr">
        <is>
          <t>4kW 1S</t>
        </is>
      </c>
      <c r="I7170">
        <v>1289</v>
      </c>
      <c r="J7170">
        <f>GS32/318.6</f>
        <v>0</v>
      </c>
      <c r="M7170" t="inlineStr">
        <is>
          <t>-318K65.0</t>
        </is>
      </c>
    </row>
    <row r="7171">
      <c r="A7171">
        <v>7170</v>
      </c>
      <c r="B7171">
        <f>GS24</f>
        <v>0</v>
      </c>
      <c r="C7171" t="inlineStr">
        <is>
          <t>+LS6</t>
        </is>
      </c>
      <c r="D7171" t="inlineStr">
        <is>
          <t>-319K15.4</t>
        </is>
      </c>
      <c r="E7171" t="inlineStr">
        <is>
          <t>DIL_EM-10-G</t>
        </is>
      </c>
      <c r="F7171" t="inlineStr">
        <is>
          <t>#KALK!</t>
        </is>
      </c>
      <c r="G7171" t="inlineStr">
        <is>
          <t>LASTSCHUETZ</t>
        </is>
      </c>
      <c r="H7171" t="inlineStr">
        <is>
          <t>4kW 1S</t>
        </is>
      </c>
      <c r="I7171">
        <v>768</v>
      </c>
      <c r="J7171">
        <f>GS24/319.6</f>
        <v>0</v>
      </c>
      <c r="M7171" t="inlineStr">
        <is>
          <t>-319K15.4</t>
        </is>
      </c>
    </row>
    <row r="7172">
      <c r="A7172">
        <v>7171</v>
      </c>
      <c r="B7172">
        <f>GS15</f>
        <v>0</v>
      </c>
      <c r="C7172" t="inlineStr">
        <is>
          <t>+LS6</t>
        </is>
      </c>
      <c r="D7172" t="inlineStr">
        <is>
          <t>-319K15.7</t>
        </is>
      </c>
      <c r="E7172" t="inlineStr">
        <is>
          <t>DIL_EM-10-G</t>
        </is>
      </c>
      <c r="F7172" t="inlineStr">
        <is>
          <t>#KALK!</t>
        </is>
      </c>
      <c r="G7172" t="inlineStr">
        <is>
          <t>LASTSCHUETZ</t>
        </is>
      </c>
      <c r="H7172" t="inlineStr">
        <is>
          <t>4kW 1S</t>
        </is>
      </c>
      <c r="I7172">
        <v>817</v>
      </c>
      <c r="J7172">
        <f>GS15/319.6</f>
        <v>0</v>
      </c>
      <c r="M7172" t="inlineStr">
        <is>
          <t>-319K15.7</t>
        </is>
      </c>
    </row>
    <row r="7173">
      <c r="A7173">
        <v>7172</v>
      </c>
      <c r="B7173">
        <f>GS15</f>
        <v>0</v>
      </c>
      <c r="C7173" t="inlineStr">
        <is>
          <t>+LS6</t>
        </is>
      </c>
      <c r="D7173" t="inlineStr">
        <is>
          <t>-319K16.0</t>
        </is>
      </c>
      <c r="E7173" t="inlineStr">
        <is>
          <t>DIL_EM-10-G</t>
        </is>
      </c>
      <c r="F7173" t="inlineStr">
        <is>
          <t>#KALK!</t>
        </is>
      </c>
      <c r="G7173" t="inlineStr">
        <is>
          <t>LASTSCHUETZ</t>
        </is>
      </c>
      <c r="H7173" t="inlineStr">
        <is>
          <t>4kW 1S</t>
        </is>
      </c>
      <c r="I7173">
        <v>817</v>
      </c>
      <c r="J7173">
        <f>GS15/319.6</f>
        <v>0</v>
      </c>
      <c r="M7173" t="inlineStr">
        <is>
          <t>-319K16.0</t>
        </is>
      </c>
    </row>
    <row r="7174">
      <c r="A7174">
        <v>7173</v>
      </c>
      <c r="B7174">
        <f>GS25</f>
        <v>0</v>
      </c>
      <c r="C7174" t="inlineStr">
        <is>
          <t>+LS6</t>
        </is>
      </c>
      <c r="D7174" t="inlineStr">
        <is>
          <t>-319K18.0</t>
        </is>
      </c>
      <c r="E7174" t="inlineStr">
        <is>
          <t>DIL_EM-10-G</t>
        </is>
      </c>
      <c r="F7174" t="inlineStr">
        <is>
          <t>#KALK!</t>
        </is>
      </c>
      <c r="G7174" t="inlineStr">
        <is>
          <t>LASTSCHUETZ</t>
        </is>
      </c>
      <c r="H7174" t="inlineStr">
        <is>
          <t>4kW 1S</t>
        </is>
      </c>
      <c r="I7174">
        <v>443</v>
      </c>
      <c r="J7174">
        <f>GS25/319.6</f>
        <v>0</v>
      </c>
      <c r="M7174" t="inlineStr">
        <is>
          <t>-319K18.0</t>
        </is>
      </c>
    </row>
    <row r="7175">
      <c r="A7175">
        <v>7174</v>
      </c>
      <c r="B7175">
        <f>GS25</f>
        <v>0</v>
      </c>
      <c r="C7175" t="inlineStr">
        <is>
          <t>+LS6</t>
        </is>
      </c>
      <c r="D7175" t="inlineStr">
        <is>
          <t>-319K18.1</t>
        </is>
      </c>
      <c r="E7175" t="inlineStr">
        <is>
          <t>DIL_EM-10-G</t>
        </is>
      </c>
      <c r="F7175" t="inlineStr">
        <is>
          <t>#KALK!</t>
        </is>
      </c>
      <c r="G7175" t="inlineStr">
        <is>
          <t>LASTSCHUETZ</t>
        </is>
      </c>
      <c r="H7175" t="inlineStr">
        <is>
          <t>4kW 1S</t>
        </is>
      </c>
      <c r="I7175">
        <v>443</v>
      </c>
      <c r="J7175">
        <f>GS25/319.6</f>
        <v>0</v>
      </c>
      <c r="M7175" t="inlineStr">
        <is>
          <t>-319K18.1</t>
        </is>
      </c>
    </row>
    <row r="7176">
      <c r="A7176">
        <v>7175</v>
      </c>
      <c r="B7176">
        <f>GS14</f>
        <v>0</v>
      </c>
      <c r="C7176" t="inlineStr">
        <is>
          <t>+LS6</t>
        </is>
      </c>
      <c r="D7176" t="inlineStr">
        <is>
          <t>-319K22.2</t>
        </is>
      </c>
      <c r="E7176" t="inlineStr">
        <is>
          <t>DIL_EM-10-G</t>
        </is>
      </c>
      <c r="F7176" t="inlineStr">
        <is>
          <t>#KALK!</t>
        </is>
      </c>
      <c r="G7176" t="inlineStr">
        <is>
          <t>LASTSCHUETZ</t>
        </is>
      </c>
      <c r="H7176" t="inlineStr">
        <is>
          <t>4kW 1S</t>
        </is>
      </c>
      <c r="I7176">
        <v>448</v>
      </c>
      <c r="J7176">
        <f>GS14/319.6</f>
        <v>0</v>
      </c>
      <c r="M7176" t="inlineStr">
        <is>
          <t>-319K22.2</t>
        </is>
      </c>
    </row>
    <row r="7177">
      <c r="A7177">
        <v>7176</v>
      </c>
      <c r="B7177">
        <f>GS14</f>
        <v>0</v>
      </c>
      <c r="C7177" t="inlineStr">
        <is>
          <t>+LS6</t>
        </is>
      </c>
      <c r="D7177" t="inlineStr">
        <is>
          <t>-319K22.3</t>
        </is>
      </c>
      <c r="E7177" t="inlineStr">
        <is>
          <t>DIL_EM-10-G</t>
        </is>
      </c>
      <c r="F7177" t="inlineStr">
        <is>
          <t>#KALK!</t>
        </is>
      </c>
      <c r="G7177" t="inlineStr">
        <is>
          <t>LASTSCHUETZ</t>
        </is>
      </c>
      <c r="H7177" t="inlineStr">
        <is>
          <t>4kW 1S</t>
        </is>
      </c>
      <c r="I7177">
        <v>448</v>
      </c>
      <c r="J7177">
        <f>GS14/319.6</f>
        <v>0</v>
      </c>
      <c r="M7177" t="inlineStr">
        <is>
          <t>-319K22.3</t>
        </is>
      </c>
    </row>
    <row r="7178">
      <c r="A7178">
        <v>7177</v>
      </c>
      <c r="B7178">
        <f>GS11</f>
        <v>0</v>
      </c>
      <c r="C7178" t="inlineStr">
        <is>
          <t>+LS7</t>
        </is>
      </c>
      <c r="D7178" t="inlineStr">
        <is>
          <t>-319K23.3</t>
        </is>
      </c>
      <c r="E7178" t="inlineStr">
        <is>
          <t>DIL_EM-10-G</t>
        </is>
      </c>
      <c r="F7178" t="inlineStr">
        <is>
          <t>#KALK!</t>
        </is>
      </c>
      <c r="G7178" t="inlineStr">
        <is>
          <t>LASTSCHUETZ</t>
        </is>
      </c>
      <c r="H7178" t="inlineStr">
        <is>
          <t>4kW 1S</t>
        </is>
      </c>
      <c r="I7178">
        <v>425</v>
      </c>
      <c r="J7178">
        <f>GS11/319.7</f>
        <v>0</v>
      </c>
      <c r="M7178" t="inlineStr">
        <is>
          <t>-319K23.3</t>
        </is>
      </c>
    </row>
    <row r="7179">
      <c r="A7179">
        <v>7178</v>
      </c>
      <c r="B7179">
        <f>GS21</f>
        <v>0</v>
      </c>
      <c r="C7179" t="inlineStr">
        <is>
          <t>+LS7</t>
        </is>
      </c>
      <c r="D7179" t="inlineStr">
        <is>
          <t>-319K23.3</t>
        </is>
      </c>
      <c r="E7179" t="inlineStr">
        <is>
          <t>DIL_EM-10-G</t>
        </is>
      </c>
      <c r="F7179" t="inlineStr">
        <is>
          <t>#KALK!</t>
        </is>
      </c>
      <c r="G7179" t="inlineStr">
        <is>
          <t>LASTSCHUETZ</t>
        </is>
      </c>
      <c r="H7179" t="inlineStr">
        <is>
          <t>4kW 1S</t>
        </is>
      </c>
      <c r="I7179">
        <v>407</v>
      </c>
      <c r="J7179">
        <f>GS21/319.7</f>
        <v>0</v>
      </c>
      <c r="M7179" t="inlineStr">
        <is>
          <t>-319K23.3</t>
        </is>
      </c>
    </row>
    <row r="7180">
      <c r="A7180">
        <v>7179</v>
      </c>
      <c r="B7180">
        <f>GS33</f>
        <v>0</v>
      </c>
      <c r="C7180" t="inlineStr">
        <is>
          <t>+LS7</t>
        </is>
      </c>
      <c r="D7180" t="inlineStr">
        <is>
          <t>-319K3603.5</t>
        </is>
      </c>
      <c r="E7180" t="inlineStr">
        <is>
          <t>DIL_EM-10-G</t>
        </is>
      </c>
      <c r="F7180" t="inlineStr">
        <is>
          <t>#KALK!</t>
        </is>
      </c>
      <c r="G7180" t="inlineStr">
        <is>
          <t>LASTSCHUETZ</t>
        </is>
      </c>
      <c r="H7180" t="inlineStr">
        <is>
          <t>4kW 1S</t>
        </is>
      </c>
      <c r="I7180">
        <v>767</v>
      </c>
      <c r="J7180">
        <f>GS33/319.7</f>
        <v>0</v>
      </c>
      <c r="M7180" t="inlineStr">
        <is>
          <t>-319K3603.5</t>
        </is>
      </c>
    </row>
    <row r="7181">
      <c r="A7181">
        <v>7180</v>
      </c>
      <c r="B7181">
        <f>GS01</f>
        <v>0</v>
      </c>
      <c r="C7181" t="inlineStr">
        <is>
          <t>+LS7</t>
        </is>
      </c>
      <c r="D7181" t="inlineStr">
        <is>
          <t>-319K62.2</t>
        </is>
      </c>
      <c r="E7181" t="inlineStr">
        <is>
          <t>DIL_EM-10-G</t>
        </is>
      </c>
      <c r="F7181" t="inlineStr">
        <is>
          <t>#KALK!</t>
        </is>
      </c>
      <c r="G7181" t="inlineStr">
        <is>
          <t>LASTSCHUETZ</t>
        </is>
      </c>
      <c r="H7181" t="inlineStr">
        <is>
          <t>4kW 1S</t>
        </is>
      </c>
      <c r="I7181">
        <v>482</v>
      </c>
      <c r="J7181">
        <f>GS01/319.6</f>
        <v>0</v>
      </c>
      <c r="M7181" t="inlineStr">
        <is>
          <t>-319K62.2</t>
        </is>
      </c>
    </row>
    <row r="7182">
      <c r="A7182">
        <v>7181</v>
      </c>
      <c r="B7182">
        <f>GS01</f>
        <v>0</v>
      </c>
      <c r="C7182" t="inlineStr">
        <is>
          <t>+LS7</t>
        </is>
      </c>
      <c r="D7182" t="inlineStr">
        <is>
          <t>-319K62.3</t>
        </is>
      </c>
      <c r="E7182" t="inlineStr">
        <is>
          <t>DIL_EM-10-G</t>
        </is>
      </c>
      <c r="F7182" t="inlineStr">
        <is>
          <t>#KALK!</t>
        </is>
      </c>
      <c r="G7182" t="inlineStr">
        <is>
          <t>LASTSCHUETZ</t>
        </is>
      </c>
      <c r="H7182" t="inlineStr">
        <is>
          <t>4kW 1S</t>
        </is>
      </c>
      <c r="I7182">
        <v>482</v>
      </c>
      <c r="J7182">
        <f>GS01/319.6</f>
        <v>0</v>
      </c>
      <c r="M7182" t="inlineStr">
        <is>
          <t>-319K62.3</t>
        </is>
      </c>
    </row>
    <row r="7183">
      <c r="A7183">
        <v>7182</v>
      </c>
      <c r="B7183">
        <f>GS94</f>
        <v>0</v>
      </c>
      <c r="C7183" t="inlineStr">
        <is>
          <t>+LS19</t>
        </is>
      </c>
      <c r="D7183" t="inlineStr">
        <is>
          <t>-319Q495.5</t>
        </is>
      </c>
      <c r="E7183" t="inlineStr">
        <is>
          <t>DILM-9-10</t>
        </is>
      </c>
      <c r="F7183" t="inlineStr">
        <is>
          <t>#KALK!</t>
        </is>
      </c>
      <c r="G7183" t="inlineStr">
        <is>
          <t>LASTSCHUETZ</t>
        </is>
      </c>
      <c r="H7183" t="inlineStr">
        <is>
          <t>4kW 1S Federzugkl.</t>
        </is>
      </c>
      <c r="I7183">
        <v>409</v>
      </c>
      <c r="J7183">
        <f>GS94/319.5</f>
        <v>0</v>
      </c>
      <c r="M7183" t="inlineStr">
        <is>
          <t>-319Q495.5</t>
        </is>
      </c>
    </row>
    <row r="7184">
      <c r="A7184">
        <v>7183</v>
      </c>
      <c r="B7184">
        <f>GS95</f>
        <v>0</v>
      </c>
      <c r="C7184" t="inlineStr">
        <is>
          <t>+LS19</t>
        </is>
      </c>
      <c r="D7184" t="inlineStr">
        <is>
          <t>-319Q495.5</t>
        </is>
      </c>
      <c r="E7184" t="inlineStr">
        <is>
          <t>DILM-9-10</t>
        </is>
      </c>
      <c r="F7184" t="inlineStr">
        <is>
          <t>#KALK!</t>
        </is>
      </c>
      <c r="G7184" t="inlineStr">
        <is>
          <t>LASTSCHUETZ</t>
        </is>
      </c>
      <c r="H7184" t="inlineStr">
        <is>
          <t>4kW 1S Federzugkl.</t>
        </is>
      </c>
      <c r="I7184">
        <v>409</v>
      </c>
      <c r="J7184">
        <f>GS95/319.5</f>
        <v>0</v>
      </c>
      <c r="M7184" t="inlineStr">
        <is>
          <t>-319Q495.5</t>
        </is>
      </c>
    </row>
    <row r="7185">
      <c r="A7185">
        <v>7184</v>
      </c>
      <c r="B7185">
        <f>GS96</f>
        <v>0</v>
      </c>
      <c r="C7185" t="inlineStr">
        <is>
          <t>+LS19</t>
        </is>
      </c>
      <c r="D7185" t="inlineStr">
        <is>
          <t>-319Q495.5</t>
        </is>
      </c>
      <c r="E7185" t="inlineStr">
        <is>
          <t>DILM-9-10</t>
        </is>
      </c>
      <c r="F7185" t="inlineStr">
        <is>
          <t>#KALK!</t>
        </is>
      </c>
      <c r="G7185" t="inlineStr">
        <is>
          <t>LASTSCHUETZ</t>
        </is>
      </c>
      <c r="H7185" t="inlineStr">
        <is>
          <t>4kW 1S Federzugkl.</t>
        </is>
      </c>
      <c r="I7185">
        <v>409</v>
      </c>
      <c r="J7185">
        <f>GS96/319.5</f>
        <v>0</v>
      </c>
      <c r="M7185" t="inlineStr">
        <is>
          <t>-319Q495.5</t>
        </is>
      </c>
    </row>
    <row r="7186">
      <c r="A7186">
        <v>7185</v>
      </c>
      <c r="B7186">
        <f>GS97</f>
        <v>0</v>
      </c>
      <c r="C7186" t="inlineStr">
        <is>
          <t>+LS19</t>
        </is>
      </c>
      <c r="D7186" t="inlineStr">
        <is>
          <t>-319Q495.5</t>
        </is>
      </c>
      <c r="E7186" t="inlineStr">
        <is>
          <t>DILM-9-10</t>
        </is>
      </c>
      <c r="F7186" t="inlineStr">
        <is>
          <t>#KALK!</t>
        </is>
      </c>
      <c r="G7186" t="inlineStr">
        <is>
          <t>LASTSCHUETZ</t>
        </is>
      </c>
      <c r="H7186" t="inlineStr">
        <is>
          <t>4kW 1S Federzugkl.</t>
        </is>
      </c>
      <c r="I7186">
        <v>409</v>
      </c>
      <c r="J7186">
        <f>GS97/319.5</f>
        <v>0</v>
      </c>
      <c r="M7186" t="inlineStr">
        <is>
          <t>-319Q495.5</t>
        </is>
      </c>
    </row>
    <row r="7187">
      <c r="A7187">
        <v>7186</v>
      </c>
      <c r="B7187">
        <f>GS04</f>
        <v>0</v>
      </c>
      <c r="C7187" t="inlineStr">
        <is>
          <t>+ES1</t>
        </is>
      </c>
      <c r="D7187" t="inlineStr">
        <is>
          <t>-31K1</t>
        </is>
      </c>
      <c r="E7187" t="inlineStr">
        <is>
          <t>DIL_ER-40-G</t>
        </is>
      </c>
      <c r="F7187" t="inlineStr">
        <is>
          <t>22_DIL-E</t>
        </is>
      </c>
      <c r="G7187" t="inlineStr">
        <is>
          <t>HILFSSCHUETZ</t>
        </is>
      </c>
      <c r="H7187" t="inlineStr">
        <is>
          <t>4S</t>
        </is>
      </c>
      <c r="I7187">
        <v>277</v>
      </c>
      <c r="J7187">
        <f>GS04/31.6</f>
        <v>0</v>
      </c>
      <c r="M7187" t="inlineStr">
        <is>
          <t>-31K1</t>
        </is>
      </c>
    </row>
    <row r="7188">
      <c r="A7188">
        <v>7187</v>
      </c>
      <c r="B7188">
        <f>GS04</f>
        <v>0</v>
      </c>
      <c r="C7188" t="inlineStr">
        <is>
          <t>+ES1</t>
        </is>
      </c>
      <c r="D7188" t="inlineStr">
        <is>
          <t>-31K1</t>
        </is>
      </c>
      <c r="E7188" t="inlineStr">
        <is>
          <t>22_DIL-E</t>
        </is>
      </c>
      <c r="F7188" t="inlineStr">
        <is>
          <t>22_DIL-E</t>
        </is>
      </c>
      <c r="G7188" t="inlineStr">
        <is>
          <t>HILFSKONTAKTBLOCK</t>
        </is>
      </c>
      <c r="H7188" t="inlineStr">
        <is>
          <t>2S 2OE Last+Hilfsschuetz</t>
        </is>
      </c>
      <c r="I7188">
        <v>277</v>
      </c>
      <c r="J7188">
        <f>GS04/31.6</f>
        <v>0</v>
      </c>
      <c r="M7188" t="inlineStr">
        <is>
          <t>-31K1</t>
        </is>
      </c>
    </row>
    <row r="7189">
      <c r="A7189">
        <v>7188</v>
      </c>
      <c r="B7189">
        <f>GS31</f>
        <v>0</v>
      </c>
      <c r="C7189" t="inlineStr">
        <is>
          <t>+ES1</t>
        </is>
      </c>
      <c r="D7189" t="inlineStr">
        <is>
          <t>-31K1</t>
        </is>
      </c>
      <c r="E7189" t="inlineStr">
        <is>
          <t>22_DIL-E</t>
        </is>
      </c>
      <c r="F7189" t="inlineStr">
        <is>
          <t>22_DIL-E</t>
        </is>
      </c>
      <c r="G7189" t="inlineStr">
        <is>
          <t>HILFSKONTAKTBLOCK</t>
        </is>
      </c>
      <c r="H7189" t="inlineStr">
        <is>
          <t>2S 2OE Last+Hilfsschuetz</t>
        </is>
      </c>
      <c r="I7189">
        <v>314</v>
      </c>
      <c r="J7189">
        <f>GS31/31.6</f>
        <v>0</v>
      </c>
      <c r="M7189" t="inlineStr">
        <is>
          <t>-31K1</t>
        </is>
      </c>
    </row>
    <row r="7190">
      <c r="A7190">
        <v>7189</v>
      </c>
      <c r="B7190">
        <f>GS31</f>
        <v>0</v>
      </c>
      <c r="C7190" t="inlineStr">
        <is>
          <t>+ES1</t>
        </is>
      </c>
      <c r="D7190" t="inlineStr">
        <is>
          <t>-31K1</t>
        </is>
      </c>
      <c r="E7190" t="inlineStr">
        <is>
          <t>DIL_ER-40-G</t>
        </is>
      </c>
      <c r="F7190" t="inlineStr">
        <is>
          <t>22_DIL-E</t>
        </is>
      </c>
      <c r="G7190" t="inlineStr">
        <is>
          <t>HILFSSCHUETZ</t>
        </is>
      </c>
      <c r="H7190" t="inlineStr">
        <is>
          <t>4S</t>
        </is>
      </c>
      <c r="I7190">
        <v>314</v>
      </c>
      <c r="J7190">
        <f>GS31/31.6</f>
        <v>0</v>
      </c>
      <c r="M7190" t="inlineStr">
        <is>
          <t>-31K1</t>
        </is>
      </c>
    </row>
    <row r="7191">
      <c r="A7191">
        <v>7190</v>
      </c>
      <c r="B7191">
        <f>GS33</f>
        <v>0</v>
      </c>
      <c r="C7191" t="inlineStr">
        <is>
          <t>+ES1</t>
        </is>
      </c>
      <c r="D7191" t="inlineStr">
        <is>
          <t>-31K1</t>
        </is>
      </c>
      <c r="E7191" t="inlineStr">
        <is>
          <t>22_DIL-E</t>
        </is>
      </c>
      <c r="F7191" t="inlineStr">
        <is>
          <t>22_DIL-E</t>
        </is>
      </c>
      <c r="G7191" t="inlineStr">
        <is>
          <t>HILFSKONTAKTBLOCK</t>
        </is>
      </c>
      <c r="H7191" t="inlineStr">
        <is>
          <t>2S 2OE Last+Hilfsschuetz</t>
        </is>
      </c>
      <c r="I7191">
        <v>470</v>
      </c>
      <c r="J7191">
        <f>GS33/31.6</f>
        <v>0</v>
      </c>
      <c r="M7191" t="inlineStr">
        <is>
          <t>-31K1</t>
        </is>
      </c>
    </row>
    <row r="7192">
      <c r="A7192">
        <v>7191</v>
      </c>
      <c r="B7192">
        <f>GS33</f>
        <v>0</v>
      </c>
      <c r="C7192" t="inlineStr">
        <is>
          <t>+ES1</t>
        </is>
      </c>
      <c r="D7192" t="inlineStr">
        <is>
          <t>-31K1</t>
        </is>
      </c>
      <c r="E7192" t="inlineStr">
        <is>
          <t>DIL_ER-40-G</t>
        </is>
      </c>
      <c r="F7192" t="inlineStr">
        <is>
          <t>22_DIL-E</t>
        </is>
      </c>
      <c r="G7192" t="inlineStr">
        <is>
          <t>HILFSSCHUETZ</t>
        </is>
      </c>
      <c r="H7192" t="inlineStr">
        <is>
          <t>4S</t>
        </is>
      </c>
      <c r="I7192">
        <v>470</v>
      </c>
      <c r="J7192">
        <f>GS33/31.6</f>
        <v>0</v>
      </c>
      <c r="M7192" t="inlineStr">
        <is>
          <t>-31K1</t>
        </is>
      </c>
    </row>
    <row r="7193">
      <c r="A7193">
        <v>7192</v>
      </c>
      <c r="B7193">
        <f>GS04</f>
        <v>0</v>
      </c>
      <c r="C7193" t="inlineStr">
        <is>
          <t>+ES1</t>
        </is>
      </c>
      <c r="D7193" t="inlineStr">
        <is>
          <t>-31K2</t>
        </is>
      </c>
      <c r="E7193" t="inlineStr">
        <is>
          <t>DIL_ER-40-G</t>
        </is>
      </c>
      <c r="F7193" t="inlineStr">
        <is>
          <t>22_DIL-E</t>
        </is>
      </c>
      <c r="G7193" t="inlineStr">
        <is>
          <t>HILFSSCHUETZ</t>
        </is>
      </c>
      <c r="H7193" t="inlineStr">
        <is>
          <t>4S</t>
        </is>
      </c>
      <c r="I7193">
        <v>277</v>
      </c>
      <c r="J7193">
        <f>GS04/31.6</f>
        <v>0</v>
      </c>
      <c r="M7193" t="inlineStr">
        <is>
          <t>-31K2</t>
        </is>
      </c>
    </row>
    <row r="7194">
      <c r="A7194">
        <v>7193</v>
      </c>
      <c r="B7194">
        <f>GS04</f>
        <v>0</v>
      </c>
      <c r="C7194" t="inlineStr">
        <is>
          <t>+ES1</t>
        </is>
      </c>
      <c r="D7194" t="inlineStr">
        <is>
          <t>-31K2</t>
        </is>
      </c>
      <c r="E7194" t="inlineStr">
        <is>
          <t>22_DIL-E</t>
        </is>
      </c>
      <c r="F7194" t="inlineStr">
        <is>
          <t>22_DIL-E</t>
        </is>
      </c>
      <c r="G7194" t="inlineStr">
        <is>
          <t>HILFSKONTAKTBLOCK</t>
        </is>
      </c>
      <c r="H7194" t="inlineStr">
        <is>
          <t>2S 2OE Last+Hilfsschuetz</t>
        </is>
      </c>
      <c r="I7194">
        <v>277</v>
      </c>
      <c r="J7194">
        <f>GS04/31.6</f>
        <v>0</v>
      </c>
      <c r="M7194" t="inlineStr">
        <is>
          <t>-31K2</t>
        </is>
      </c>
    </row>
    <row r="7195">
      <c r="A7195">
        <v>7194</v>
      </c>
      <c r="B7195">
        <f>GS31</f>
        <v>0</v>
      </c>
      <c r="C7195" t="inlineStr">
        <is>
          <t>+ES1</t>
        </is>
      </c>
      <c r="D7195" t="inlineStr">
        <is>
          <t>-31K2</t>
        </is>
      </c>
      <c r="E7195" t="inlineStr">
        <is>
          <t>22_DIL-E</t>
        </is>
      </c>
      <c r="F7195" t="inlineStr">
        <is>
          <t>22_DIL-E</t>
        </is>
      </c>
      <c r="G7195" t="inlineStr">
        <is>
          <t>HILFSKONTAKTBLOCK</t>
        </is>
      </c>
      <c r="H7195" t="inlineStr">
        <is>
          <t>2S 2OE Last+Hilfsschuetz</t>
        </is>
      </c>
      <c r="I7195">
        <v>314</v>
      </c>
      <c r="J7195">
        <f>GS31/31.6</f>
        <v>0</v>
      </c>
      <c r="M7195" t="inlineStr">
        <is>
          <t>-31K2</t>
        </is>
      </c>
    </row>
    <row r="7196">
      <c r="A7196">
        <v>7195</v>
      </c>
      <c r="B7196">
        <f>GS31</f>
        <v>0</v>
      </c>
      <c r="C7196" t="inlineStr">
        <is>
          <t>+ES1</t>
        </is>
      </c>
      <c r="D7196" t="inlineStr">
        <is>
          <t>-31K2</t>
        </is>
      </c>
      <c r="E7196" t="inlineStr">
        <is>
          <t>DIL_ER-40-G</t>
        </is>
      </c>
      <c r="F7196" t="inlineStr">
        <is>
          <t>22_DIL-E</t>
        </is>
      </c>
      <c r="G7196" t="inlineStr">
        <is>
          <t>HILFSSCHUETZ</t>
        </is>
      </c>
      <c r="H7196" t="inlineStr">
        <is>
          <t>4S</t>
        </is>
      </c>
      <c r="I7196">
        <v>314</v>
      </c>
      <c r="J7196">
        <f>GS31/31.6</f>
        <v>0</v>
      </c>
      <c r="M7196" t="inlineStr">
        <is>
          <t>-31K2</t>
        </is>
      </c>
    </row>
    <row r="7197">
      <c r="A7197">
        <v>7196</v>
      </c>
      <c r="B7197">
        <f>GS33</f>
        <v>0</v>
      </c>
      <c r="C7197" t="inlineStr">
        <is>
          <t>+ES1</t>
        </is>
      </c>
      <c r="D7197" t="inlineStr">
        <is>
          <t>-31K2</t>
        </is>
      </c>
      <c r="E7197" t="inlineStr">
        <is>
          <t>22_DIL-E</t>
        </is>
      </c>
      <c r="F7197" t="inlineStr">
        <is>
          <t>22_DIL-E</t>
        </is>
      </c>
      <c r="G7197" t="inlineStr">
        <is>
          <t>HILFSKONTAKTBLOCK</t>
        </is>
      </c>
      <c r="H7197" t="inlineStr">
        <is>
          <t>2S 2OE Last+Hilfsschuetz</t>
        </is>
      </c>
      <c r="I7197">
        <v>470</v>
      </c>
      <c r="J7197">
        <f>GS33/31.6</f>
        <v>0</v>
      </c>
      <c r="M7197" t="inlineStr">
        <is>
          <t>-31K2</t>
        </is>
      </c>
    </row>
    <row r="7198">
      <c r="A7198">
        <v>7197</v>
      </c>
      <c r="B7198">
        <f>GS33</f>
        <v>0</v>
      </c>
      <c r="C7198" t="inlineStr">
        <is>
          <t>+ES1</t>
        </is>
      </c>
      <c r="D7198" t="inlineStr">
        <is>
          <t>-31K2</t>
        </is>
      </c>
      <c r="E7198" t="inlineStr">
        <is>
          <t>DIL_ER-40-G</t>
        </is>
      </c>
      <c r="F7198" t="inlineStr">
        <is>
          <t>22_DIL-E</t>
        </is>
      </c>
      <c r="G7198" t="inlineStr">
        <is>
          <t>HILFSSCHUETZ</t>
        </is>
      </c>
      <c r="H7198" t="inlineStr">
        <is>
          <t>4S</t>
        </is>
      </c>
      <c r="I7198">
        <v>470</v>
      </c>
      <c r="J7198">
        <f>GS33/31.6</f>
        <v>0</v>
      </c>
      <c r="M7198" t="inlineStr">
        <is>
          <t>-31K2</t>
        </is>
      </c>
    </row>
    <row r="7199">
      <c r="A7199">
        <v>7198</v>
      </c>
      <c r="B7199">
        <f>GS66</f>
        <v>0</v>
      </c>
      <c r="C7199" t="inlineStr">
        <is>
          <t>+LS[ll]</t>
        </is>
      </c>
      <c r="D7199" t="inlineStr">
        <is>
          <t>-31Q[a+6].5</t>
        </is>
      </c>
      <c r="E7199" t="inlineStr">
        <is>
          <t>DILM-9-10</t>
        </is>
      </c>
      <c r="F7199" t="inlineStr">
        <is>
          <t>#KALK!</t>
        </is>
      </c>
      <c r="G7199" t="inlineStr">
        <is>
          <t>LASTSCHUETZ</t>
        </is>
      </c>
      <c r="H7199" t="inlineStr">
        <is>
          <t>4kW 1S Federzugkl.</t>
        </is>
      </c>
      <c r="I7199">
        <v>170</v>
      </c>
      <c r="J7199">
        <f>GS66/31.6</f>
        <v>0</v>
      </c>
      <c r="M7199" t="inlineStr">
        <is>
          <t>-31Q[a+6].5</t>
        </is>
      </c>
    </row>
    <row r="7200">
      <c r="A7200">
        <v>7199</v>
      </c>
      <c r="B7200">
        <f>GS05</f>
        <v>0</v>
      </c>
      <c r="C7200" t="inlineStr">
        <is>
          <t>+ES02</t>
        </is>
      </c>
      <c r="D7200" t="inlineStr">
        <is>
          <t>-32.1K1</t>
        </is>
      </c>
      <c r="E7200" t="inlineStr">
        <is>
          <t>DILA-40</t>
        </is>
      </c>
      <c r="F7200" t="inlineStr">
        <is>
          <t>DILA-XHIC31</t>
        </is>
      </c>
      <c r="G7200" t="inlineStr">
        <is>
          <t>HILFSSCHUETZ</t>
        </is>
      </c>
      <c r="H7200" t="inlineStr">
        <is>
          <t>4S Federzugkl.</t>
        </is>
      </c>
      <c r="I7200">
        <v>415</v>
      </c>
      <c r="J7200">
        <f>GS05/32.1.4</f>
        <v>0</v>
      </c>
      <c r="M7200" t="inlineStr">
        <is>
          <t>-32.1K1</t>
        </is>
      </c>
    </row>
    <row r="7201">
      <c r="A7201">
        <v>7200</v>
      </c>
      <c r="B7201">
        <f>GS05</f>
        <v>0</v>
      </c>
      <c r="C7201" t="inlineStr">
        <is>
          <t>+ES02</t>
        </is>
      </c>
      <c r="D7201" t="inlineStr">
        <is>
          <t>-32.1K1</t>
        </is>
      </c>
      <c r="E7201" t="inlineStr">
        <is>
          <t>DILA-XHIC31</t>
        </is>
      </c>
      <c r="F7201" t="inlineStr">
        <is>
          <t>DILA-XHIC31</t>
        </is>
      </c>
      <c r="G7201" t="inlineStr">
        <is>
          <t>HILFSKONTAKTBLOCK</t>
        </is>
      </c>
      <c r="H7201" t="inlineStr">
        <is>
          <t>3S 1OE Last+Hilfssch. Cage</t>
        </is>
      </c>
      <c r="I7201">
        <v>415</v>
      </c>
      <c r="J7201">
        <f>GS05/32.1.4</f>
        <v>0</v>
      </c>
      <c r="M7201" t="inlineStr">
        <is>
          <t>-32.1K1</t>
        </is>
      </c>
    </row>
    <row r="7202">
      <c r="A7202">
        <v>7201</v>
      </c>
      <c r="B7202">
        <f>GS06</f>
        <v>0</v>
      </c>
      <c r="C7202" t="inlineStr">
        <is>
          <t>+ES02</t>
        </is>
      </c>
      <c r="D7202" t="inlineStr">
        <is>
          <t>-32.1K1</t>
        </is>
      </c>
      <c r="E7202" t="inlineStr">
        <is>
          <t>DILA-XHIC31</t>
        </is>
      </c>
      <c r="F7202" t="inlineStr">
        <is>
          <t>DILA-XHIC31</t>
        </is>
      </c>
      <c r="G7202" t="inlineStr">
        <is>
          <t>HILFSKONTAKTBLOCK</t>
        </is>
      </c>
      <c r="H7202" t="inlineStr">
        <is>
          <t>3S 1OE Last+Hilfssch. Cage</t>
        </is>
      </c>
      <c r="I7202">
        <v>302</v>
      </c>
      <c r="J7202">
        <f>GS06/32.1.4</f>
        <v>0</v>
      </c>
      <c r="M7202" t="inlineStr">
        <is>
          <t>-32.1K1</t>
        </is>
      </c>
    </row>
    <row r="7203">
      <c r="A7203">
        <v>7202</v>
      </c>
      <c r="B7203">
        <f>GS06</f>
        <v>0</v>
      </c>
      <c r="C7203" t="inlineStr">
        <is>
          <t>+ES02</t>
        </is>
      </c>
      <c r="D7203" t="inlineStr">
        <is>
          <t>-32.1K1</t>
        </is>
      </c>
      <c r="E7203" t="inlineStr">
        <is>
          <t>DILA-40</t>
        </is>
      </c>
      <c r="F7203" t="inlineStr">
        <is>
          <t>DILA-XHIC31</t>
        </is>
      </c>
      <c r="G7203" t="inlineStr">
        <is>
          <t>HILFSSCHUETZ</t>
        </is>
      </c>
      <c r="H7203" t="inlineStr">
        <is>
          <t>4S Federzugkl.</t>
        </is>
      </c>
      <c r="I7203">
        <v>302</v>
      </c>
      <c r="J7203">
        <f>GS06/32.1.4</f>
        <v>0</v>
      </c>
      <c r="M7203" t="inlineStr">
        <is>
          <t>-32.1K1</t>
        </is>
      </c>
    </row>
    <row r="7204">
      <c r="A7204">
        <v>7203</v>
      </c>
      <c r="B7204">
        <f>GS20</f>
        <v>0</v>
      </c>
      <c r="C7204" t="inlineStr">
        <is>
          <t>+ES02</t>
        </is>
      </c>
      <c r="D7204" t="inlineStr">
        <is>
          <t>-32.1K1</t>
        </is>
      </c>
      <c r="E7204" t="inlineStr">
        <is>
          <t>DILA-XHI22</t>
        </is>
      </c>
      <c r="F7204" t="inlineStr">
        <is>
          <t>DILA-XHI22</t>
        </is>
      </c>
      <c r="G7204" t="inlineStr">
        <is>
          <t>HILFSKONTAKTBLOCK</t>
        </is>
      </c>
      <c r="H7204" t="inlineStr">
        <is>
          <t>2S 2OE Last+Hilfssch. Cage</t>
        </is>
      </c>
      <c r="I7204">
        <v>302</v>
      </c>
      <c r="J7204">
        <f>GS20/32.1.3</f>
        <v>0</v>
      </c>
      <c r="M7204" t="inlineStr">
        <is>
          <t>-32.1K1</t>
        </is>
      </c>
    </row>
    <row r="7205">
      <c r="A7205">
        <v>7204</v>
      </c>
      <c r="B7205">
        <f>GS20</f>
        <v>0</v>
      </c>
      <c r="C7205" t="inlineStr">
        <is>
          <t>+ES02</t>
        </is>
      </c>
      <c r="D7205" t="inlineStr">
        <is>
          <t>-32.1K1</t>
        </is>
      </c>
      <c r="E7205" t="inlineStr">
        <is>
          <t>DILA-40</t>
        </is>
      </c>
      <c r="F7205" t="inlineStr">
        <is>
          <t>DILA-XHI22</t>
        </is>
      </c>
      <c r="G7205" t="inlineStr">
        <is>
          <t>HILFSSCHUETZ</t>
        </is>
      </c>
      <c r="H7205" t="inlineStr">
        <is>
          <t>4S Federzugkl.</t>
        </is>
      </c>
      <c r="I7205">
        <v>302</v>
      </c>
      <c r="J7205">
        <f>GS20/32.1.3</f>
        <v>0</v>
      </c>
      <c r="M7205" t="inlineStr">
        <is>
          <t>-32.1K1</t>
        </is>
      </c>
    </row>
    <row r="7206">
      <c r="A7206">
        <v>7205</v>
      </c>
      <c r="B7206">
        <f>GS30</f>
        <v>0</v>
      </c>
      <c r="C7206" t="inlineStr">
        <is>
          <t>+ES02</t>
        </is>
      </c>
      <c r="D7206" t="inlineStr">
        <is>
          <t>-32.1K1</t>
        </is>
      </c>
      <c r="E7206" t="inlineStr">
        <is>
          <t>DILA-XHI22</t>
        </is>
      </c>
      <c r="F7206" t="inlineStr">
        <is>
          <t>DILA-XHI22</t>
        </is>
      </c>
      <c r="G7206" t="inlineStr">
        <is>
          <t>HILFSKONTAKTBLOCK</t>
        </is>
      </c>
      <c r="H7206" t="inlineStr">
        <is>
          <t>2S 2OE Last+Hilfssch. Cage</t>
        </is>
      </c>
      <c r="I7206">
        <v>302</v>
      </c>
      <c r="J7206">
        <f>GS30/32.1.3</f>
        <v>0</v>
      </c>
      <c r="M7206" t="inlineStr">
        <is>
          <t>-32.1K1</t>
        </is>
      </c>
    </row>
    <row r="7207">
      <c r="A7207">
        <v>7206</v>
      </c>
      <c r="B7207">
        <f>GS30</f>
        <v>0</v>
      </c>
      <c r="C7207" t="inlineStr">
        <is>
          <t>+ES02</t>
        </is>
      </c>
      <c r="D7207" t="inlineStr">
        <is>
          <t>-32.1K1</t>
        </is>
      </c>
      <c r="E7207" t="inlineStr">
        <is>
          <t>DILA-40</t>
        </is>
      </c>
      <c r="F7207" t="inlineStr">
        <is>
          <t>DILA-XHI22</t>
        </is>
      </c>
      <c r="G7207" t="inlineStr">
        <is>
          <t>HILFSSCHUETZ</t>
        </is>
      </c>
      <c r="H7207" t="inlineStr">
        <is>
          <t>4S Federzugkl.</t>
        </is>
      </c>
      <c r="I7207">
        <v>302</v>
      </c>
      <c r="J7207">
        <f>GS30/32.1.3</f>
        <v>0</v>
      </c>
      <c r="M7207" t="inlineStr">
        <is>
          <t>-32.1K1</t>
        </is>
      </c>
    </row>
    <row r="7208">
      <c r="A7208">
        <v>7207</v>
      </c>
      <c r="B7208">
        <f>GS51</f>
        <v>0</v>
      </c>
      <c r="C7208" t="inlineStr">
        <is>
          <t>+ES02</t>
        </is>
      </c>
      <c r="D7208" t="inlineStr">
        <is>
          <t>-32.1K1</t>
        </is>
      </c>
      <c r="E7208" t="inlineStr">
        <is>
          <t>DILA-XHIC31</t>
        </is>
      </c>
      <c r="F7208" t="inlineStr">
        <is>
          <t>DILA-XHIC31</t>
        </is>
      </c>
      <c r="G7208" t="inlineStr">
        <is>
          <t>HILFSKONTAKTBLOCK</t>
        </is>
      </c>
      <c r="H7208" t="inlineStr">
        <is>
          <t>3S 1OE Last+Hilfssch. Cage</t>
        </is>
      </c>
      <c r="I7208">
        <v>249</v>
      </c>
      <c r="J7208">
        <f>GS51/32.1.4</f>
        <v>0</v>
      </c>
      <c r="M7208" t="inlineStr">
        <is>
          <t>-32.1K1</t>
        </is>
      </c>
    </row>
    <row r="7209">
      <c r="A7209">
        <v>7208</v>
      </c>
      <c r="B7209">
        <f>GS51</f>
        <v>0</v>
      </c>
      <c r="C7209" t="inlineStr">
        <is>
          <t>+ES02</t>
        </is>
      </c>
      <c r="D7209" t="inlineStr">
        <is>
          <t>-32.1K1</t>
        </is>
      </c>
      <c r="E7209" t="inlineStr">
        <is>
          <t>DILA-40</t>
        </is>
      </c>
      <c r="F7209" t="inlineStr">
        <is>
          <t>DILA-XHIC31</t>
        </is>
      </c>
      <c r="G7209" t="inlineStr">
        <is>
          <t>HILFSSCHUETZ</t>
        </is>
      </c>
      <c r="H7209" t="inlineStr">
        <is>
          <t>4S Federzugkl.</t>
        </is>
      </c>
      <c r="I7209">
        <v>249</v>
      </c>
      <c r="J7209">
        <f>GS51/32.1.4</f>
        <v>0</v>
      </c>
      <c r="M7209" t="inlineStr">
        <is>
          <t>-32.1K1</t>
        </is>
      </c>
    </row>
    <row r="7210">
      <c r="A7210">
        <v>7209</v>
      </c>
      <c r="B7210">
        <f>GS55</f>
        <v>0</v>
      </c>
      <c r="C7210" t="inlineStr">
        <is>
          <t>+ES02</t>
        </is>
      </c>
      <c r="D7210" t="inlineStr">
        <is>
          <t>-32.1K1</t>
        </is>
      </c>
      <c r="E7210" t="inlineStr">
        <is>
          <t>DILA-40</t>
        </is>
      </c>
      <c r="F7210" t="inlineStr">
        <is>
          <t>DILA-XHIC31</t>
        </is>
      </c>
      <c r="G7210" t="inlineStr">
        <is>
          <t>HILFSSCHUETZ</t>
        </is>
      </c>
      <c r="H7210" t="inlineStr">
        <is>
          <t>4S Federzugkl.</t>
        </is>
      </c>
      <c r="I7210">
        <v>272</v>
      </c>
      <c r="J7210">
        <f>GS55/32.1.4</f>
        <v>0</v>
      </c>
      <c r="M7210" t="inlineStr">
        <is>
          <t>-32.1K1</t>
        </is>
      </c>
    </row>
    <row r="7211">
      <c r="A7211">
        <v>7210</v>
      </c>
      <c r="B7211">
        <f>GS55</f>
        <v>0</v>
      </c>
      <c r="C7211" t="inlineStr">
        <is>
          <t>+ES02</t>
        </is>
      </c>
      <c r="D7211" t="inlineStr">
        <is>
          <t>-32.1K1</t>
        </is>
      </c>
      <c r="E7211" t="inlineStr">
        <is>
          <t>DILA-XHIC31</t>
        </is>
      </c>
      <c r="F7211" t="inlineStr">
        <is>
          <t>DILA-XHIC31</t>
        </is>
      </c>
      <c r="G7211" t="inlineStr">
        <is>
          <t>HILFSKONTAKTBLOCK</t>
        </is>
      </c>
      <c r="H7211" t="inlineStr">
        <is>
          <t>3S 1OE Last+Hilfssch. Cage</t>
        </is>
      </c>
      <c r="I7211">
        <v>272</v>
      </c>
      <c r="J7211">
        <f>GS55/32.1.4</f>
        <v>0</v>
      </c>
      <c r="M7211" t="inlineStr">
        <is>
          <t>-32.1K1</t>
        </is>
      </c>
    </row>
    <row r="7212">
      <c r="A7212">
        <v>7211</v>
      </c>
      <c r="B7212">
        <f>GS05</f>
        <v>0</v>
      </c>
      <c r="C7212" t="inlineStr">
        <is>
          <t>+ES02</t>
        </is>
      </c>
      <c r="D7212" t="inlineStr">
        <is>
          <t>-32.1K2</t>
        </is>
      </c>
      <c r="E7212" t="inlineStr">
        <is>
          <t>DILA-40</t>
        </is>
      </c>
      <c r="F7212" t="inlineStr">
        <is>
          <t>DILA-XHIC31</t>
        </is>
      </c>
      <c r="G7212" t="inlineStr">
        <is>
          <t>HILFSSCHUETZ</t>
        </is>
      </c>
      <c r="H7212" t="inlineStr">
        <is>
          <t>4S Federzugkl.</t>
        </is>
      </c>
      <c r="I7212">
        <v>415</v>
      </c>
      <c r="J7212">
        <f>GS05/32.1.5</f>
        <v>0</v>
      </c>
      <c r="M7212" t="inlineStr">
        <is>
          <t>-32.1K2</t>
        </is>
      </c>
    </row>
    <row r="7213">
      <c r="A7213">
        <v>7212</v>
      </c>
      <c r="B7213">
        <f>GS05</f>
        <v>0</v>
      </c>
      <c r="C7213" t="inlineStr">
        <is>
          <t>+ES02</t>
        </is>
      </c>
      <c r="D7213" t="inlineStr">
        <is>
          <t>-32.1K2</t>
        </is>
      </c>
      <c r="E7213" t="inlineStr">
        <is>
          <t>DILA-XHIC31</t>
        </is>
      </c>
      <c r="F7213" t="inlineStr">
        <is>
          <t>DILA-XHIC31</t>
        </is>
      </c>
      <c r="G7213" t="inlineStr">
        <is>
          <t>HILFSKONTAKTBLOCK</t>
        </is>
      </c>
      <c r="H7213" t="inlineStr">
        <is>
          <t>3S 1OE Last+Hilfssch. Cage</t>
        </is>
      </c>
      <c r="I7213">
        <v>415</v>
      </c>
      <c r="J7213">
        <f>GS05/32.1.5</f>
        <v>0</v>
      </c>
      <c r="M7213" t="inlineStr">
        <is>
          <t>-32.1K2</t>
        </is>
      </c>
    </row>
    <row r="7214">
      <c r="A7214">
        <v>7213</v>
      </c>
      <c r="B7214">
        <f>GS06</f>
        <v>0</v>
      </c>
      <c r="C7214" t="inlineStr">
        <is>
          <t>+ES02</t>
        </is>
      </c>
      <c r="D7214" t="inlineStr">
        <is>
          <t>-32.1K2</t>
        </is>
      </c>
      <c r="E7214" t="inlineStr">
        <is>
          <t>DILA-XHIC31</t>
        </is>
      </c>
      <c r="F7214" t="inlineStr">
        <is>
          <t>DILA-XHIC31</t>
        </is>
      </c>
      <c r="G7214" t="inlineStr">
        <is>
          <t>HILFSKONTAKTBLOCK</t>
        </is>
      </c>
      <c r="H7214" t="inlineStr">
        <is>
          <t>3S 1OE Last+Hilfssch. Cage</t>
        </is>
      </c>
      <c r="I7214">
        <v>302</v>
      </c>
      <c r="J7214">
        <f>GS06/32.1.5</f>
        <v>0</v>
      </c>
      <c r="M7214" t="inlineStr">
        <is>
          <t>-32.1K2</t>
        </is>
      </c>
    </row>
    <row r="7215">
      <c r="A7215">
        <v>7214</v>
      </c>
      <c r="B7215">
        <f>GS06</f>
        <v>0</v>
      </c>
      <c r="C7215" t="inlineStr">
        <is>
          <t>+ES02</t>
        </is>
      </c>
      <c r="D7215" t="inlineStr">
        <is>
          <t>-32.1K2</t>
        </is>
      </c>
      <c r="E7215" t="inlineStr">
        <is>
          <t>DILA-40</t>
        </is>
      </c>
      <c r="F7215" t="inlineStr">
        <is>
          <t>DILA-XHIC31</t>
        </is>
      </c>
      <c r="G7215" t="inlineStr">
        <is>
          <t>HILFSSCHUETZ</t>
        </is>
      </c>
      <c r="H7215" t="inlineStr">
        <is>
          <t>4S Federzugkl.</t>
        </is>
      </c>
      <c r="I7215">
        <v>302</v>
      </c>
      <c r="J7215">
        <f>GS06/32.1.5</f>
        <v>0</v>
      </c>
      <c r="M7215" t="inlineStr">
        <is>
          <t>-32.1K2</t>
        </is>
      </c>
    </row>
    <row r="7216">
      <c r="A7216">
        <v>7215</v>
      </c>
      <c r="B7216">
        <f>GS20</f>
        <v>0</v>
      </c>
      <c r="C7216" t="inlineStr">
        <is>
          <t>+ES02</t>
        </is>
      </c>
      <c r="D7216" t="inlineStr">
        <is>
          <t>-32.1K2</t>
        </is>
      </c>
      <c r="E7216" t="inlineStr">
        <is>
          <t>DILA-XHI22</t>
        </is>
      </c>
      <c r="F7216" t="inlineStr">
        <is>
          <t>DILA-XHI22</t>
        </is>
      </c>
      <c r="G7216" t="inlineStr">
        <is>
          <t>HILFSKONTAKTBLOCK</t>
        </is>
      </c>
      <c r="H7216" t="inlineStr">
        <is>
          <t>2S 2OE Last+Hilfssch. Cage</t>
        </is>
      </c>
      <c r="I7216">
        <v>302</v>
      </c>
      <c r="J7216">
        <f>GS20/32.1.3</f>
        <v>0</v>
      </c>
      <c r="M7216" t="inlineStr">
        <is>
          <t>-32.1K2</t>
        </is>
      </c>
    </row>
    <row r="7217">
      <c r="A7217">
        <v>7216</v>
      </c>
      <c r="B7217">
        <f>GS20</f>
        <v>0</v>
      </c>
      <c r="C7217" t="inlineStr">
        <is>
          <t>+ES02</t>
        </is>
      </c>
      <c r="D7217" t="inlineStr">
        <is>
          <t>-32.1K2</t>
        </is>
      </c>
      <c r="E7217" t="inlineStr">
        <is>
          <t>DILA-40</t>
        </is>
      </c>
      <c r="F7217" t="inlineStr">
        <is>
          <t>DILA-XHI22</t>
        </is>
      </c>
      <c r="G7217" t="inlineStr">
        <is>
          <t>HILFSSCHUETZ</t>
        </is>
      </c>
      <c r="H7217" t="inlineStr">
        <is>
          <t>4S Federzugkl.</t>
        </is>
      </c>
      <c r="I7217">
        <v>302</v>
      </c>
      <c r="J7217">
        <f>GS20/32.1.3</f>
        <v>0</v>
      </c>
      <c r="M7217" t="inlineStr">
        <is>
          <t>-32.1K2</t>
        </is>
      </c>
    </row>
    <row r="7218">
      <c r="A7218">
        <v>7217</v>
      </c>
      <c r="B7218">
        <f>GS30</f>
        <v>0</v>
      </c>
      <c r="C7218" t="inlineStr">
        <is>
          <t>+ES02</t>
        </is>
      </c>
      <c r="D7218" t="inlineStr">
        <is>
          <t>-32.1K2</t>
        </is>
      </c>
      <c r="E7218" t="inlineStr">
        <is>
          <t>DILA-XHI22</t>
        </is>
      </c>
      <c r="F7218" t="inlineStr">
        <is>
          <t>DILA-XHI22</t>
        </is>
      </c>
      <c r="G7218" t="inlineStr">
        <is>
          <t>HILFSKONTAKTBLOCK</t>
        </is>
      </c>
      <c r="H7218" t="inlineStr">
        <is>
          <t>2S 2OE Last+Hilfssch. Cage</t>
        </is>
      </c>
      <c r="I7218">
        <v>302</v>
      </c>
      <c r="J7218">
        <f>GS30/32.1.3</f>
        <v>0</v>
      </c>
      <c r="M7218" t="inlineStr">
        <is>
          <t>-32.1K2</t>
        </is>
      </c>
    </row>
    <row r="7219">
      <c r="A7219">
        <v>7218</v>
      </c>
      <c r="B7219">
        <f>GS30</f>
        <v>0</v>
      </c>
      <c r="C7219" t="inlineStr">
        <is>
          <t>+ES02</t>
        </is>
      </c>
      <c r="D7219" t="inlineStr">
        <is>
          <t>-32.1K2</t>
        </is>
      </c>
      <c r="E7219" t="inlineStr">
        <is>
          <t>DILA-40</t>
        </is>
      </c>
      <c r="F7219" t="inlineStr">
        <is>
          <t>DILA-XHI22</t>
        </is>
      </c>
      <c r="G7219" t="inlineStr">
        <is>
          <t>HILFSSCHUETZ</t>
        </is>
      </c>
      <c r="H7219" t="inlineStr">
        <is>
          <t>4S Federzugkl.</t>
        </is>
      </c>
      <c r="I7219">
        <v>302</v>
      </c>
      <c r="J7219">
        <f>GS30/32.1.3</f>
        <v>0</v>
      </c>
      <c r="M7219" t="inlineStr">
        <is>
          <t>-32.1K2</t>
        </is>
      </c>
    </row>
    <row r="7220">
      <c r="A7220">
        <v>7219</v>
      </c>
      <c r="B7220">
        <f>GS51</f>
        <v>0</v>
      </c>
      <c r="C7220" t="inlineStr">
        <is>
          <t>+ES02</t>
        </is>
      </c>
      <c r="D7220" t="inlineStr">
        <is>
          <t>-32.1K2</t>
        </is>
      </c>
      <c r="E7220" t="inlineStr">
        <is>
          <t>DILA-XHIC31</t>
        </is>
      </c>
      <c r="F7220" t="inlineStr">
        <is>
          <t>DILA-XHIC31</t>
        </is>
      </c>
      <c r="G7220" t="inlineStr">
        <is>
          <t>HILFSKONTAKTBLOCK</t>
        </is>
      </c>
      <c r="H7220" t="inlineStr">
        <is>
          <t>3S 1OE Last+Hilfssch. Cage</t>
        </is>
      </c>
      <c r="I7220">
        <v>249</v>
      </c>
      <c r="J7220">
        <f>GS51/32.1.5</f>
        <v>0</v>
      </c>
      <c r="M7220" t="inlineStr">
        <is>
          <t>-32.1K2</t>
        </is>
      </c>
    </row>
    <row r="7221">
      <c r="A7221">
        <v>7220</v>
      </c>
      <c r="B7221">
        <f>GS51</f>
        <v>0</v>
      </c>
      <c r="C7221" t="inlineStr">
        <is>
          <t>+ES02</t>
        </is>
      </c>
      <c r="D7221" t="inlineStr">
        <is>
          <t>-32.1K2</t>
        </is>
      </c>
      <c r="E7221" t="inlineStr">
        <is>
          <t>DILA-40</t>
        </is>
      </c>
      <c r="F7221" t="inlineStr">
        <is>
          <t>DILA-XHIC31</t>
        </is>
      </c>
      <c r="G7221" t="inlineStr">
        <is>
          <t>HILFSSCHUETZ</t>
        </is>
      </c>
      <c r="H7221" t="inlineStr">
        <is>
          <t>4S Federzugkl.</t>
        </is>
      </c>
      <c r="I7221">
        <v>249</v>
      </c>
      <c r="J7221">
        <f>GS51/32.1.5</f>
        <v>0</v>
      </c>
      <c r="M7221" t="inlineStr">
        <is>
          <t>-32.1K2</t>
        </is>
      </c>
    </row>
    <row r="7222">
      <c r="A7222">
        <v>7221</v>
      </c>
      <c r="B7222">
        <f>GS55</f>
        <v>0</v>
      </c>
      <c r="C7222" t="inlineStr">
        <is>
          <t>+ES02</t>
        </is>
      </c>
      <c r="D7222" t="inlineStr">
        <is>
          <t>-32.1K2</t>
        </is>
      </c>
      <c r="E7222" t="inlineStr">
        <is>
          <t>DILA-40</t>
        </is>
      </c>
      <c r="F7222" t="inlineStr">
        <is>
          <t>DILA-XHIC31</t>
        </is>
      </c>
      <c r="G7222" t="inlineStr">
        <is>
          <t>HILFSSCHUETZ</t>
        </is>
      </c>
      <c r="H7222" t="inlineStr">
        <is>
          <t>4S Federzugkl.</t>
        </is>
      </c>
      <c r="I7222">
        <v>272</v>
      </c>
      <c r="J7222">
        <f>GS55/32.1.5</f>
        <v>0</v>
      </c>
      <c r="M7222" t="inlineStr">
        <is>
          <t>-32.1K2</t>
        </is>
      </c>
    </row>
    <row r="7223">
      <c r="A7223">
        <v>7222</v>
      </c>
      <c r="B7223">
        <f>GS55</f>
        <v>0</v>
      </c>
      <c r="C7223" t="inlineStr">
        <is>
          <t>+ES02</t>
        </is>
      </c>
      <c r="D7223" t="inlineStr">
        <is>
          <t>-32.1K2</t>
        </is>
      </c>
      <c r="E7223" t="inlineStr">
        <is>
          <t>DILA-XHIC31</t>
        </is>
      </c>
      <c r="F7223" t="inlineStr">
        <is>
          <t>DILA-XHIC31</t>
        </is>
      </c>
      <c r="G7223" t="inlineStr">
        <is>
          <t>HILFSKONTAKTBLOCK</t>
        </is>
      </c>
      <c r="H7223" t="inlineStr">
        <is>
          <t>3S 1OE Last+Hilfssch. Cage</t>
        </is>
      </c>
      <c r="I7223">
        <v>272</v>
      </c>
      <c r="J7223">
        <f>GS55/32.1.5</f>
        <v>0</v>
      </c>
      <c r="M7223" t="inlineStr">
        <is>
          <t>-32.1K2</t>
        </is>
      </c>
    </row>
    <row r="7224">
      <c r="A7224">
        <v>7223</v>
      </c>
      <c r="B7224">
        <f>GS51</f>
        <v>0</v>
      </c>
      <c r="C7224" t="inlineStr">
        <is>
          <t>+ES02</t>
        </is>
      </c>
      <c r="D7224" t="inlineStr">
        <is>
          <t>-32.1K3</t>
        </is>
      </c>
      <c r="E7224" t="inlineStr">
        <is>
          <t>DILA-XHIC31</t>
        </is>
      </c>
      <c r="F7224" t="inlineStr">
        <is>
          <t>DILA-XHIC31</t>
        </is>
      </c>
      <c r="G7224" t="inlineStr">
        <is>
          <t>HILFSKONTAKTBLOCK</t>
        </is>
      </c>
      <c r="H7224" t="inlineStr">
        <is>
          <t>3S 1OE Last+Hilfssch. Cage</t>
        </is>
      </c>
      <c r="I7224">
        <v>249</v>
      </c>
      <c r="J7224">
        <f>GS51/32.1.6</f>
        <v>0</v>
      </c>
      <c r="M7224" t="inlineStr">
        <is>
          <t>-32.1K3</t>
        </is>
      </c>
    </row>
    <row r="7225">
      <c r="A7225">
        <v>7224</v>
      </c>
      <c r="B7225">
        <f>GS51</f>
        <v>0</v>
      </c>
      <c r="C7225" t="inlineStr">
        <is>
          <t>+ES02</t>
        </is>
      </c>
      <c r="D7225" t="inlineStr">
        <is>
          <t>-32.1K3</t>
        </is>
      </c>
      <c r="E7225" t="inlineStr">
        <is>
          <t>DILA-40</t>
        </is>
      </c>
      <c r="F7225" t="inlineStr">
        <is>
          <t>DILA-XHIC31</t>
        </is>
      </c>
      <c r="G7225" t="inlineStr">
        <is>
          <t>HILFSSCHUETZ</t>
        </is>
      </c>
      <c r="H7225" t="inlineStr">
        <is>
          <t>4S Federzugkl.</t>
        </is>
      </c>
      <c r="I7225">
        <v>249</v>
      </c>
      <c r="J7225">
        <f>GS51/32.1.6</f>
        <v>0</v>
      </c>
      <c r="M7225" t="inlineStr">
        <is>
          <t>-32.1K3</t>
        </is>
      </c>
    </row>
    <row r="7226">
      <c r="A7226">
        <v>7225</v>
      </c>
      <c r="B7226">
        <f>GS51</f>
        <v>0</v>
      </c>
      <c r="C7226" t="inlineStr">
        <is>
          <t>+ES02</t>
        </is>
      </c>
      <c r="D7226" t="inlineStr">
        <is>
          <t>-32.1K4</t>
        </is>
      </c>
      <c r="E7226" t="inlineStr">
        <is>
          <t>DILA-XHIC31</t>
        </is>
      </c>
      <c r="F7226" t="inlineStr">
        <is>
          <t>DILA-XHIC31</t>
        </is>
      </c>
      <c r="G7226" t="inlineStr">
        <is>
          <t>HILFSKONTAKTBLOCK</t>
        </is>
      </c>
      <c r="H7226" t="inlineStr">
        <is>
          <t>3S 1OE Last+Hilfssch. Cage</t>
        </is>
      </c>
      <c r="I7226">
        <v>249</v>
      </c>
      <c r="J7226">
        <f>GS51/32.1.6</f>
        <v>0</v>
      </c>
      <c r="M7226" t="inlineStr">
        <is>
          <t>-32.1K4</t>
        </is>
      </c>
    </row>
    <row r="7227">
      <c r="A7227">
        <v>7226</v>
      </c>
      <c r="B7227">
        <f>GS51</f>
        <v>0</v>
      </c>
      <c r="C7227" t="inlineStr">
        <is>
          <t>+ES02</t>
        </is>
      </c>
      <c r="D7227" t="inlineStr">
        <is>
          <t>-32.1K4</t>
        </is>
      </c>
      <c r="E7227" t="inlineStr">
        <is>
          <t>DILA-40</t>
        </is>
      </c>
      <c r="F7227" t="inlineStr">
        <is>
          <t>DILA-XHIC31</t>
        </is>
      </c>
      <c r="G7227" t="inlineStr">
        <is>
          <t>HILFSSCHUETZ</t>
        </is>
      </c>
      <c r="H7227" t="inlineStr">
        <is>
          <t>4S Federzugkl.</t>
        </is>
      </c>
      <c r="I7227">
        <v>249</v>
      </c>
      <c r="J7227">
        <f>GS51/32.1.6</f>
        <v>0</v>
      </c>
      <c r="M7227" t="inlineStr">
        <is>
          <t>-32.1K4</t>
        </is>
      </c>
    </row>
    <row r="7228">
      <c r="A7228">
        <v>7227</v>
      </c>
      <c r="B7228">
        <f>GS05</f>
        <v>0</v>
      </c>
      <c r="C7228" t="inlineStr">
        <is>
          <t>+ES02</t>
        </is>
      </c>
      <c r="D7228" t="inlineStr">
        <is>
          <t>-32.3K1</t>
        </is>
      </c>
      <c r="E7228" t="inlineStr">
        <is>
          <t>DILA-40</t>
        </is>
      </c>
      <c r="F7228" t="inlineStr">
        <is>
          <t>DILA-XHIC31</t>
        </is>
      </c>
      <c r="G7228" t="inlineStr">
        <is>
          <t>HILFSSCHUETZ</t>
        </is>
      </c>
      <c r="H7228" t="inlineStr">
        <is>
          <t>4S Federzugkl.</t>
        </is>
      </c>
      <c r="I7228">
        <v>1332</v>
      </c>
      <c r="J7228">
        <f>GS05/32.3.4</f>
        <v>0</v>
      </c>
      <c r="M7228" t="inlineStr">
        <is>
          <t>-32.3K1</t>
        </is>
      </c>
    </row>
    <row r="7229">
      <c r="A7229">
        <v>7228</v>
      </c>
      <c r="B7229">
        <f>GS05</f>
        <v>0</v>
      </c>
      <c r="C7229" t="inlineStr">
        <is>
          <t>+ES02</t>
        </is>
      </c>
      <c r="D7229" t="inlineStr">
        <is>
          <t>-32.3K1</t>
        </is>
      </c>
      <c r="E7229" t="inlineStr">
        <is>
          <t>DILA-XHIC31</t>
        </is>
      </c>
      <c r="F7229" t="inlineStr">
        <is>
          <t>DILA-XHIC31</t>
        </is>
      </c>
      <c r="G7229" t="inlineStr">
        <is>
          <t>HILFSKONTAKTBLOCK</t>
        </is>
      </c>
      <c r="H7229" t="inlineStr">
        <is>
          <t>3S 1OE Last+Hilfssch. Cage</t>
        </is>
      </c>
      <c r="I7229">
        <v>1332</v>
      </c>
      <c r="J7229">
        <f>GS05/32.3.4</f>
        <v>0</v>
      </c>
      <c r="M7229" t="inlineStr">
        <is>
          <t>-32.3K1</t>
        </is>
      </c>
    </row>
    <row r="7230">
      <c r="A7230">
        <v>7229</v>
      </c>
      <c r="B7230">
        <f>GS55</f>
        <v>0</v>
      </c>
      <c r="C7230" t="inlineStr">
        <is>
          <t>+ES02</t>
        </is>
      </c>
      <c r="D7230" t="inlineStr">
        <is>
          <t>-32.3K1</t>
        </is>
      </c>
      <c r="E7230" t="inlineStr">
        <is>
          <t>DILA-40</t>
        </is>
      </c>
      <c r="F7230" t="inlineStr">
        <is>
          <t>DILA-XHIC31</t>
        </is>
      </c>
      <c r="G7230" t="inlineStr">
        <is>
          <t>HILFSSCHUETZ</t>
        </is>
      </c>
      <c r="H7230" t="inlineStr">
        <is>
          <t>4S Federzugkl.</t>
        </is>
      </c>
      <c r="I7230">
        <v>210</v>
      </c>
      <c r="J7230">
        <f>GS55/32.3.4</f>
        <v>0</v>
      </c>
      <c r="M7230" t="inlineStr">
        <is>
          <t>-32.3K1</t>
        </is>
      </c>
    </row>
    <row r="7231">
      <c r="A7231">
        <v>7230</v>
      </c>
      <c r="B7231">
        <f>GS55</f>
        <v>0</v>
      </c>
      <c r="C7231" t="inlineStr">
        <is>
          <t>+ES02</t>
        </is>
      </c>
      <c r="D7231" t="inlineStr">
        <is>
          <t>-32.3K1</t>
        </is>
      </c>
      <c r="E7231" t="inlineStr">
        <is>
          <t>DILA-XHIC31</t>
        </is>
      </c>
      <c r="F7231" t="inlineStr">
        <is>
          <t>DILA-XHIC31</t>
        </is>
      </c>
      <c r="G7231" t="inlineStr">
        <is>
          <t>HILFSKONTAKTBLOCK</t>
        </is>
      </c>
      <c r="H7231" t="inlineStr">
        <is>
          <t>3S 1OE Last+Hilfssch. Cage</t>
        </is>
      </c>
      <c r="I7231">
        <v>210</v>
      </c>
      <c r="J7231">
        <f>GS55/32.3.4</f>
        <v>0</v>
      </c>
      <c r="M7231" t="inlineStr">
        <is>
          <t>-32.3K1</t>
        </is>
      </c>
    </row>
    <row r="7232">
      <c r="A7232">
        <v>7231</v>
      </c>
      <c r="B7232">
        <f>GS05</f>
        <v>0</v>
      </c>
      <c r="C7232" t="inlineStr">
        <is>
          <t>+ES02</t>
        </is>
      </c>
      <c r="D7232" t="inlineStr">
        <is>
          <t>-32.3K2</t>
        </is>
      </c>
      <c r="E7232" t="inlineStr">
        <is>
          <t>DILA-40</t>
        </is>
      </c>
      <c r="F7232" t="inlineStr">
        <is>
          <t>DILA-XHIC31</t>
        </is>
      </c>
      <c r="G7232" t="inlineStr">
        <is>
          <t>HILFSSCHUETZ</t>
        </is>
      </c>
      <c r="H7232" t="inlineStr">
        <is>
          <t>4S Federzugkl.</t>
        </is>
      </c>
      <c r="I7232">
        <v>1332</v>
      </c>
      <c r="J7232">
        <f>GS05/32.3.5</f>
        <v>0</v>
      </c>
      <c r="M7232" t="inlineStr">
        <is>
          <t>-32.3K2</t>
        </is>
      </c>
    </row>
    <row r="7233">
      <c r="A7233">
        <v>7232</v>
      </c>
      <c r="B7233">
        <f>GS05</f>
        <v>0</v>
      </c>
      <c r="C7233" t="inlineStr">
        <is>
          <t>+ES02</t>
        </is>
      </c>
      <c r="D7233" t="inlineStr">
        <is>
          <t>-32.3K2</t>
        </is>
      </c>
      <c r="E7233" t="inlineStr">
        <is>
          <t>DILA-XHIC31</t>
        </is>
      </c>
      <c r="F7233" t="inlineStr">
        <is>
          <t>DILA-XHIC31</t>
        </is>
      </c>
      <c r="G7233" t="inlineStr">
        <is>
          <t>HILFSKONTAKTBLOCK</t>
        </is>
      </c>
      <c r="H7233" t="inlineStr">
        <is>
          <t>3S 1OE Last+Hilfssch. Cage</t>
        </is>
      </c>
      <c r="I7233">
        <v>1332</v>
      </c>
      <c r="J7233">
        <f>GS05/32.3.5</f>
        <v>0</v>
      </c>
      <c r="M7233" t="inlineStr">
        <is>
          <t>-32.3K2</t>
        </is>
      </c>
    </row>
    <row r="7234">
      <c r="A7234">
        <v>7233</v>
      </c>
      <c r="B7234">
        <f>GS55</f>
        <v>0</v>
      </c>
      <c r="C7234" t="inlineStr">
        <is>
          <t>+ES02</t>
        </is>
      </c>
      <c r="D7234" t="inlineStr">
        <is>
          <t>-32.3K2</t>
        </is>
      </c>
      <c r="E7234" t="inlineStr">
        <is>
          <t>DILA-40</t>
        </is>
      </c>
      <c r="F7234" t="inlineStr">
        <is>
          <t>DILA-XHIC31</t>
        </is>
      </c>
      <c r="G7234" t="inlineStr">
        <is>
          <t>HILFSSCHUETZ</t>
        </is>
      </c>
      <c r="H7234" t="inlineStr">
        <is>
          <t>4S Federzugkl.</t>
        </is>
      </c>
      <c r="I7234">
        <v>210</v>
      </c>
      <c r="J7234">
        <f>GS55/32.3.5</f>
        <v>0</v>
      </c>
      <c r="M7234" t="inlineStr">
        <is>
          <t>-32.3K2</t>
        </is>
      </c>
    </row>
    <row r="7235">
      <c r="A7235">
        <v>7234</v>
      </c>
      <c r="B7235">
        <f>GS55</f>
        <v>0</v>
      </c>
      <c r="C7235" t="inlineStr">
        <is>
          <t>+ES02</t>
        </is>
      </c>
      <c r="D7235" t="inlineStr">
        <is>
          <t>-32.3K2</t>
        </is>
      </c>
      <c r="E7235" t="inlineStr">
        <is>
          <t>DILA-XHIC31</t>
        </is>
      </c>
      <c r="F7235" t="inlineStr">
        <is>
          <t>DILA-XHIC31</t>
        </is>
      </c>
      <c r="G7235" t="inlineStr">
        <is>
          <t>HILFSKONTAKTBLOCK</t>
        </is>
      </c>
      <c r="H7235" t="inlineStr">
        <is>
          <t>3S 1OE Last+Hilfssch. Cage</t>
        </is>
      </c>
      <c r="I7235">
        <v>210</v>
      </c>
      <c r="J7235">
        <f>GS55/32.3.5</f>
        <v>0</v>
      </c>
      <c r="M7235" t="inlineStr">
        <is>
          <t>-32.3K2</t>
        </is>
      </c>
    </row>
    <row r="7236">
      <c r="A7236">
        <v>7235</v>
      </c>
      <c r="B7236">
        <f>GS55</f>
        <v>0</v>
      </c>
      <c r="C7236" t="inlineStr">
        <is>
          <t>+ES02</t>
        </is>
      </c>
      <c r="D7236" t="inlineStr">
        <is>
          <t>-32.5K1</t>
        </is>
      </c>
      <c r="E7236" t="inlineStr">
        <is>
          <t>DILA-40</t>
        </is>
      </c>
      <c r="F7236" t="inlineStr">
        <is>
          <t>DILA-XHIC31</t>
        </is>
      </c>
      <c r="G7236" t="inlineStr">
        <is>
          <t>HILFSSCHUETZ</t>
        </is>
      </c>
      <c r="H7236" t="inlineStr">
        <is>
          <t>4S Federzugkl.</t>
        </is>
      </c>
      <c r="I7236">
        <v>357</v>
      </c>
      <c r="J7236">
        <f>GS55/32.5.4</f>
        <v>0</v>
      </c>
      <c r="M7236" t="inlineStr">
        <is>
          <t>-32.5K1</t>
        </is>
      </c>
    </row>
    <row r="7237">
      <c r="A7237">
        <v>7236</v>
      </c>
      <c r="B7237">
        <f>GS55</f>
        <v>0</v>
      </c>
      <c r="C7237" t="inlineStr">
        <is>
          <t>+ES02</t>
        </is>
      </c>
      <c r="D7237" t="inlineStr">
        <is>
          <t>-32.5K1</t>
        </is>
      </c>
      <c r="E7237" t="inlineStr">
        <is>
          <t>DILA-XHIC31</t>
        </is>
      </c>
      <c r="F7237" t="inlineStr">
        <is>
          <t>DILA-XHIC31</t>
        </is>
      </c>
      <c r="G7237" t="inlineStr">
        <is>
          <t>HILFSKONTAKTBLOCK</t>
        </is>
      </c>
      <c r="H7237" t="inlineStr">
        <is>
          <t>3S 1OE Last+Hilfssch. Cage</t>
        </is>
      </c>
      <c r="I7237">
        <v>357</v>
      </c>
      <c r="J7237">
        <f>GS55/32.5.4</f>
        <v>0</v>
      </c>
      <c r="M7237" t="inlineStr">
        <is>
          <t>-32.5K1</t>
        </is>
      </c>
    </row>
    <row r="7238">
      <c r="A7238">
        <v>7237</v>
      </c>
      <c r="B7238">
        <f>GS55</f>
        <v>0</v>
      </c>
      <c r="C7238" t="inlineStr">
        <is>
          <t>+ES02</t>
        </is>
      </c>
      <c r="D7238" t="inlineStr">
        <is>
          <t>-32.5K2</t>
        </is>
      </c>
      <c r="E7238" t="inlineStr">
        <is>
          <t>DILA-40</t>
        </is>
      </c>
      <c r="F7238" t="inlineStr">
        <is>
          <t>DILA-XHIC31</t>
        </is>
      </c>
      <c r="G7238" t="inlineStr">
        <is>
          <t>HILFSSCHUETZ</t>
        </is>
      </c>
      <c r="H7238" t="inlineStr">
        <is>
          <t>4S Federzugkl.</t>
        </is>
      </c>
      <c r="I7238">
        <v>357</v>
      </c>
      <c r="J7238">
        <f>GS55/32.5.5</f>
        <v>0</v>
      </c>
      <c r="M7238" t="inlineStr">
        <is>
          <t>-32.5K2</t>
        </is>
      </c>
    </row>
    <row r="7239">
      <c r="A7239">
        <v>7238</v>
      </c>
      <c r="B7239">
        <f>GS55</f>
        <v>0</v>
      </c>
      <c r="C7239" t="inlineStr">
        <is>
          <t>+ES02</t>
        </is>
      </c>
      <c r="D7239" t="inlineStr">
        <is>
          <t>-32.5K2</t>
        </is>
      </c>
      <c r="E7239" t="inlineStr">
        <is>
          <t>DILA-XHIC31</t>
        </is>
      </c>
      <c r="F7239" t="inlineStr">
        <is>
          <t>DILA-XHIC31</t>
        </is>
      </c>
      <c r="G7239" t="inlineStr">
        <is>
          <t>HILFSKONTAKTBLOCK</t>
        </is>
      </c>
      <c r="H7239" t="inlineStr">
        <is>
          <t>3S 1OE Last+Hilfssch. Cage</t>
        </is>
      </c>
      <c r="I7239">
        <v>357</v>
      </c>
      <c r="J7239">
        <f>GS55/32.5.5</f>
        <v>0</v>
      </c>
      <c r="M7239" t="inlineStr">
        <is>
          <t>-32.5K2</t>
        </is>
      </c>
    </row>
    <row r="7240">
      <c r="A7240">
        <v>7239</v>
      </c>
      <c r="B7240">
        <f>GS32</f>
        <v>0</v>
      </c>
      <c r="C7240" t="inlineStr">
        <is>
          <t>+LS7</t>
        </is>
      </c>
      <c r="D7240" t="inlineStr">
        <is>
          <t>-320.1Q77.4</t>
        </is>
      </c>
      <c r="E7240" t="inlineStr">
        <is>
          <t>DILA-XHI22</t>
        </is>
      </c>
      <c r="F7240" t="inlineStr">
        <is>
          <t>DILA-XHI22</t>
        </is>
      </c>
      <c r="G7240" t="inlineStr">
        <is>
          <t>HILFSKONTAKTBLOCK</t>
        </is>
      </c>
      <c r="H7240" t="inlineStr">
        <is>
          <t>2S 2OE Last+Hilfssch. Cage</t>
        </is>
      </c>
      <c r="I7240">
        <v>1583</v>
      </c>
      <c r="J7240">
        <f>GS32/320.1.5</f>
        <v>0</v>
      </c>
      <c r="K7240" t="inlineStr">
        <is>
          <t>DIL MC25</t>
        </is>
      </c>
      <c r="M7240" t="inlineStr">
        <is>
          <t>-320.1Q77.4</t>
        </is>
      </c>
    </row>
    <row r="7241">
      <c r="A7241">
        <v>7240</v>
      </c>
      <c r="B7241">
        <f>GS32</f>
        <v>0</v>
      </c>
      <c r="C7241" t="inlineStr">
        <is>
          <t>+LS7</t>
        </is>
      </c>
      <c r="D7241" t="inlineStr">
        <is>
          <t>-320.1Q77.4</t>
        </is>
      </c>
      <c r="E7241" t="inlineStr">
        <is>
          <t>DILMC25-10(RDC24)</t>
        </is>
      </c>
      <c r="F7241" t="inlineStr">
        <is>
          <t>DILA-XHI22</t>
        </is>
      </c>
      <c r="G7241" t="inlineStr">
        <is>
          <t>LASTSCHUETZ</t>
        </is>
      </c>
      <c r="H7241" t="inlineStr">
        <is>
          <t>11kW 1S Federzugkl.</t>
        </is>
      </c>
      <c r="I7241">
        <v>1583</v>
      </c>
      <c r="J7241">
        <f>GS32/320.1.5</f>
        <v>0</v>
      </c>
      <c r="K7241" t="inlineStr">
        <is>
          <t>DIL MC25</t>
        </is>
      </c>
      <c r="M7241" t="inlineStr">
        <is>
          <t>-320.1Q77.4</t>
        </is>
      </c>
    </row>
    <row r="7242">
      <c r="A7242">
        <v>7241</v>
      </c>
      <c r="B7242">
        <f>GS32</f>
        <v>0</v>
      </c>
      <c r="C7242" t="inlineStr">
        <is>
          <t>+LS7</t>
        </is>
      </c>
      <c r="D7242" t="inlineStr">
        <is>
          <t>-320.3K1</t>
        </is>
      </c>
      <c r="E7242" t="inlineStr">
        <is>
          <t>DILA-XHI22</t>
        </is>
      </c>
      <c r="F7242" t="inlineStr">
        <is>
          <t>DILA-XHI22</t>
        </is>
      </c>
      <c r="G7242" t="inlineStr">
        <is>
          <t>HILFSKONTAKTBLOCK</t>
        </is>
      </c>
      <c r="H7242" t="inlineStr">
        <is>
          <t>2S 2OE Last+Hilfssch. Cage</t>
        </is>
      </c>
      <c r="I7242">
        <v>1601</v>
      </c>
      <c r="J7242">
        <f>GS32/320.3.5</f>
        <v>0</v>
      </c>
      <c r="M7242" t="inlineStr">
        <is>
          <t>-320.3K1</t>
        </is>
      </c>
    </row>
    <row r="7243">
      <c r="A7243">
        <v>7242</v>
      </c>
      <c r="B7243">
        <f>GS32</f>
        <v>0</v>
      </c>
      <c r="C7243" t="inlineStr">
        <is>
          <t>+LS7</t>
        </is>
      </c>
      <c r="D7243" t="inlineStr">
        <is>
          <t>-320.3K1</t>
        </is>
      </c>
      <c r="E7243" t="inlineStr">
        <is>
          <t>DILM-9-10</t>
        </is>
      </c>
      <c r="F7243" t="inlineStr">
        <is>
          <t>DILA-XHI22</t>
        </is>
      </c>
      <c r="G7243" t="inlineStr">
        <is>
          <t>LASTSCHUETZ</t>
        </is>
      </c>
      <c r="H7243" t="inlineStr">
        <is>
          <t>4kW 1S Federzugkl.</t>
        </is>
      </c>
      <c r="I7243">
        <v>1601</v>
      </c>
      <c r="J7243">
        <f>GS32/320.3.5</f>
        <v>0</v>
      </c>
      <c r="M7243" t="inlineStr">
        <is>
          <t>-320.3K1</t>
        </is>
      </c>
    </row>
    <row r="7244">
      <c r="A7244">
        <v>7243</v>
      </c>
      <c r="B7244">
        <f>GS32</f>
        <v>0</v>
      </c>
      <c r="C7244" t="inlineStr">
        <is>
          <t>+LS7</t>
        </is>
      </c>
      <c r="D7244" t="inlineStr">
        <is>
          <t>-320.3K2</t>
        </is>
      </c>
      <c r="E7244" t="inlineStr">
        <is>
          <t>DILA-XHI22</t>
        </is>
      </c>
      <c r="F7244" t="inlineStr">
        <is>
          <t>DILA-XHI22</t>
        </is>
      </c>
      <c r="G7244" t="inlineStr">
        <is>
          <t>HILFSKONTAKTBLOCK</t>
        </is>
      </c>
      <c r="H7244" t="inlineStr">
        <is>
          <t>2S 2OE Last+Hilfssch. Cage</t>
        </is>
      </c>
      <c r="I7244">
        <v>1601</v>
      </c>
      <c r="J7244">
        <f>GS32/320.3.6</f>
        <v>0</v>
      </c>
      <c r="M7244" t="inlineStr">
        <is>
          <t>-320.3K2</t>
        </is>
      </c>
    </row>
    <row r="7245">
      <c r="A7245">
        <v>7244</v>
      </c>
      <c r="B7245">
        <f>GS32</f>
        <v>0</v>
      </c>
      <c r="C7245" t="inlineStr">
        <is>
          <t>+LS7</t>
        </is>
      </c>
      <c r="D7245" t="inlineStr">
        <is>
          <t>-320.3K2</t>
        </is>
      </c>
      <c r="E7245" t="inlineStr">
        <is>
          <t>DILM-9-10</t>
        </is>
      </c>
      <c r="F7245" t="inlineStr">
        <is>
          <t>DILA-XHI22</t>
        </is>
      </c>
      <c r="G7245" t="inlineStr">
        <is>
          <t>LASTSCHUETZ</t>
        </is>
      </c>
      <c r="H7245" t="inlineStr">
        <is>
          <t>4kW 1S Federzugkl.</t>
        </is>
      </c>
      <c r="I7245">
        <v>1601</v>
      </c>
      <c r="J7245">
        <f>GS32/320.3.6</f>
        <v>0</v>
      </c>
      <c r="M7245" t="inlineStr">
        <is>
          <t>-320.3K2</t>
        </is>
      </c>
    </row>
    <row r="7246">
      <c r="A7246">
        <v>7245</v>
      </c>
      <c r="B7246">
        <f>GS32</f>
        <v>0</v>
      </c>
      <c r="C7246" t="inlineStr">
        <is>
          <t>+LS7</t>
        </is>
      </c>
      <c r="D7246" t="inlineStr">
        <is>
          <t>-320.4K1</t>
        </is>
      </c>
      <c r="E7246" t="inlineStr">
        <is>
          <t>DILM-9-10</t>
        </is>
      </c>
      <c r="F7246" t="inlineStr">
        <is>
          <t>DILA-XHI22</t>
        </is>
      </c>
      <c r="G7246" t="inlineStr">
        <is>
          <t>LASTSCHUETZ</t>
        </is>
      </c>
      <c r="H7246" t="inlineStr">
        <is>
          <t>4kW 1S Federzugkl.</t>
        </is>
      </c>
      <c r="I7246">
        <v>1628</v>
      </c>
      <c r="J7246">
        <f>GS32/320.4.5</f>
        <v>0</v>
      </c>
      <c r="M7246" t="inlineStr">
        <is>
          <t>-320.4K1</t>
        </is>
      </c>
    </row>
    <row r="7247">
      <c r="A7247">
        <v>7246</v>
      </c>
      <c r="B7247">
        <f>GS32</f>
        <v>0</v>
      </c>
      <c r="C7247" t="inlineStr">
        <is>
          <t>+LS7</t>
        </is>
      </c>
      <c r="D7247" t="inlineStr">
        <is>
          <t>-320.4K1</t>
        </is>
      </c>
      <c r="E7247" t="inlineStr">
        <is>
          <t>DILA-XHI22</t>
        </is>
      </c>
      <c r="F7247" t="inlineStr">
        <is>
          <t>DILA-XHI22</t>
        </is>
      </c>
      <c r="G7247" t="inlineStr">
        <is>
          <t>HILFSKONTAKTBLOCK</t>
        </is>
      </c>
      <c r="H7247" t="inlineStr">
        <is>
          <t>2S 2OE Last+Hilfssch. Cage</t>
        </is>
      </c>
      <c r="I7247">
        <v>1628</v>
      </c>
      <c r="J7247">
        <f>GS32/320.4.5</f>
        <v>0</v>
      </c>
      <c r="M7247" t="inlineStr">
        <is>
          <t>-320.4K1</t>
        </is>
      </c>
    </row>
    <row r="7248">
      <c r="A7248">
        <v>7247</v>
      </c>
      <c r="B7248">
        <f>GS32</f>
        <v>0</v>
      </c>
      <c r="C7248" t="inlineStr">
        <is>
          <t>+LS7</t>
        </is>
      </c>
      <c r="D7248" t="inlineStr">
        <is>
          <t>-320.4K2</t>
        </is>
      </c>
      <c r="E7248" t="inlineStr">
        <is>
          <t>DILM-9-10</t>
        </is>
      </c>
      <c r="F7248" t="inlineStr">
        <is>
          <t>DILA-XHI22</t>
        </is>
      </c>
      <c r="G7248" t="inlineStr">
        <is>
          <t>LASTSCHUETZ</t>
        </is>
      </c>
      <c r="H7248" t="inlineStr">
        <is>
          <t>4kW 1S Federzugkl.</t>
        </is>
      </c>
      <c r="I7248">
        <v>1628</v>
      </c>
      <c r="J7248">
        <f>GS32/320.4.6</f>
        <v>0</v>
      </c>
      <c r="M7248" t="inlineStr">
        <is>
          <t>-320.4K2</t>
        </is>
      </c>
    </row>
    <row r="7249">
      <c r="A7249">
        <v>7248</v>
      </c>
      <c r="B7249">
        <f>GS32</f>
        <v>0</v>
      </c>
      <c r="C7249" t="inlineStr">
        <is>
          <t>+LS7</t>
        </is>
      </c>
      <c r="D7249" t="inlineStr">
        <is>
          <t>-320.4K2</t>
        </is>
      </c>
      <c r="E7249" t="inlineStr">
        <is>
          <t>DILA-XHI22</t>
        </is>
      </c>
      <c r="F7249" t="inlineStr">
        <is>
          <t>DILA-XHI22</t>
        </is>
      </c>
      <c r="G7249" t="inlineStr">
        <is>
          <t>HILFSKONTAKTBLOCK</t>
        </is>
      </c>
      <c r="H7249" t="inlineStr">
        <is>
          <t>2S 2OE Last+Hilfssch. Cage</t>
        </is>
      </c>
      <c r="I7249">
        <v>1628</v>
      </c>
      <c r="J7249">
        <f>GS32/320.4.6</f>
        <v>0</v>
      </c>
      <c r="M7249" t="inlineStr">
        <is>
          <t>-320.4K2</t>
        </is>
      </c>
    </row>
    <row r="7250">
      <c r="A7250">
        <v>7249</v>
      </c>
      <c r="B7250">
        <f>GS32</f>
        <v>0</v>
      </c>
      <c r="C7250" t="inlineStr">
        <is>
          <t>+LS7</t>
        </is>
      </c>
      <c r="D7250" t="inlineStr">
        <is>
          <t>-320.5K1</t>
        </is>
      </c>
      <c r="E7250" t="inlineStr">
        <is>
          <t>DILA-40</t>
        </is>
      </c>
      <c r="F7250" t="inlineStr">
        <is>
          <t>#KALK!</t>
        </is>
      </c>
      <c r="G7250" t="inlineStr">
        <is>
          <t>HILFSSCHUETZ</t>
        </is>
      </c>
      <c r="H7250" t="inlineStr">
        <is>
          <t>4S Federzugkl.</t>
        </is>
      </c>
      <c r="I7250">
        <v>1629</v>
      </c>
      <c r="J7250">
        <f>GS32/320.5.2</f>
        <v>0</v>
      </c>
      <c r="M7250" t="inlineStr">
        <is>
          <t>-320.5K1</t>
        </is>
      </c>
    </row>
    <row r="7251">
      <c r="A7251">
        <v>7250</v>
      </c>
      <c r="B7251">
        <f>GS55</f>
        <v>0</v>
      </c>
      <c r="C7251" t="inlineStr">
        <is>
          <t>+LS40</t>
        </is>
      </c>
      <c r="D7251" t="inlineStr">
        <is>
          <t>-3200Q1</t>
        </is>
      </c>
      <c r="E7251" t="inlineStr">
        <is>
          <t>DILMC25-10(RDC24)</t>
        </is>
      </c>
      <c r="F7251" t="inlineStr">
        <is>
          <t>DILA-XHI22</t>
        </is>
      </c>
      <c r="G7251" t="inlineStr">
        <is>
          <t>LASTSCHUETZ</t>
        </is>
      </c>
      <c r="H7251" t="inlineStr">
        <is>
          <t>11kW 1S Federzugkl.</t>
        </is>
      </c>
      <c r="I7251">
        <v>3558</v>
      </c>
      <c r="J7251">
        <f>GS55/3200.6</f>
        <v>0</v>
      </c>
      <c r="K7251" t="inlineStr">
        <is>
          <t>DIL MC25</t>
        </is>
      </c>
      <c r="M7251" t="inlineStr">
        <is>
          <t>-3200Q1</t>
        </is>
      </c>
    </row>
    <row r="7252">
      <c r="A7252">
        <v>7251</v>
      </c>
      <c r="B7252">
        <f>GS55</f>
        <v>0</v>
      </c>
      <c r="C7252" t="inlineStr">
        <is>
          <t>+LS40</t>
        </is>
      </c>
      <c r="D7252" t="inlineStr">
        <is>
          <t>-3200Q1</t>
        </is>
      </c>
      <c r="E7252" t="inlineStr">
        <is>
          <t>DILA-XHI22</t>
        </is>
      </c>
      <c r="F7252" t="inlineStr">
        <is>
          <t>DILA-XHI22</t>
        </is>
      </c>
      <c r="G7252" t="inlineStr">
        <is>
          <t>HILFSKONTAKTBLOCK</t>
        </is>
      </c>
      <c r="H7252" t="inlineStr">
        <is>
          <t>2S 2OE Last+Hilfssch. Cage</t>
        </is>
      </c>
      <c r="I7252">
        <v>3558</v>
      </c>
      <c r="J7252">
        <f>GS55/3200.6</f>
        <v>0</v>
      </c>
      <c r="K7252" t="inlineStr">
        <is>
          <t>DIL MC25</t>
        </is>
      </c>
      <c r="M7252" t="inlineStr">
        <is>
          <t>-3200Q1</t>
        </is>
      </c>
    </row>
    <row r="7253">
      <c r="A7253">
        <v>7252</v>
      </c>
      <c r="B7253">
        <f>GC03</f>
        <v>0</v>
      </c>
      <c r="C7253" t="inlineStr">
        <is>
          <t>+LS8</t>
        </is>
      </c>
      <c r="D7253" t="inlineStr">
        <is>
          <t>-320K1</t>
        </is>
      </c>
      <c r="E7253" t="inlineStr">
        <is>
          <t>22_DIL-M</t>
        </is>
      </c>
      <c r="F7253" t="inlineStr">
        <is>
          <t>22_DIL-M</t>
        </is>
      </c>
      <c r="G7253" t="inlineStr">
        <is>
          <t>HILFSKONTAKTBLOCK</t>
        </is>
      </c>
      <c r="H7253" t="inlineStr">
        <is>
          <t>2S 2OE Lastschuetz DIL M</t>
        </is>
      </c>
      <c r="I7253">
        <v>3954</v>
      </c>
      <c r="J7253">
        <f>GC03/320.2</f>
        <v>0</v>
      </c>
      <c r="K7253" t="inlineStr">
        <is>
          <t>DIL0AM</t>
        </is>
      </c>
      <c r="M7253" t="inlineStr">
        <is>
          <t>-320K1</t>
        </is>
      </c>
    </row>
    <row r="7254">
      <c r="A7254">
        <v>7253</v>
      </c>
      <c r="B7254">
        <f>GC03</f>
        <v>0</v>
      </c>
      <c r="C7254" t="inlineStr">
        <is>
          <t>+LS8</t>
        </is>
      </c>
      <c r="D7254" t="inlineStr">
        <is>
          <t>-320K1</t>
        </is>
      </c>
      <c r="E7254" t="inlineStr">
        <is>
          <t>DIL_0AM</t>
        </is>
      </c>
      <c r="F7254" t="inlineStr">
        <is>
          <t>22_DIL-M</t>
        </is>
      </c>
      <c r="G7254" t="inlineStr">
        <is>
          <t>LASTSCHUETZ</t>
        </is>
      </c>
      <c r="H7254" t="inlineStr">
        <is>
          <t>11 kW</t>
        </is>
      </c>
      <c r="I7254">
        <v>3954</v>
      </c>
      <c r="J7254">
        <f>GC03/320.2</f>
        <v>0</v>
      </c>
      <c r="K7254" t="inlineStr">
        <is>
          <t>DIL0AM</t>
        </is>
      </c>
      <c r="M7254" t="inlineStr">
        <is>
          <t>-320K1</t>
        </is>
      </c>
    </row>
    <row r="7255">
      <c r="A7255">
        <v>7254</v>
      </c>
      <c r="B7255">
        <f>GS16</f>
        <v>0</v>
      </c>
      <c r="C7255" t="inlineStr">
        <is>
          <t>+LS5</t>
        </is>
      </c>
      <c r="D7255" t="inlineStr">
        <is>
          <t>-320K1</t>
        </is>
      </c>
      <c r="E7255" t="inlineStr">
        <is>
          <t>DILM40(230V50HZ)</t>
        </is>
      </c>
      <c r="F7255" t="inlineStr">
        <is>
          <t>DILM150-XHIC22</t>
        </is>
      </c>
      <c r="G7255" t="inlineStr">
        <is>
          <t>LASTSCHUETZ</t>
        </is>
      </c>
      <c r="H7255" t="inlineStr">
        <is>
          <t>18,5kW Schraubkl.</t>
        </is>
      </c>
      <c r="I7255">
        <v>548</v>
      </c>
      <c r="J7255">
        <f>GS16/320.2</f>
        <v>0</v>
      </c>
      <c r="K7255" t="inlineStr">
        <is>
          <t>DILMC40</t>
        </is>
      </c>
      <c r="M7255" t="inlineStr">
        <is>
          <t>-320K1</t>
        </is>
      </c>
    </row>
    <row r="7256">
      <c r="A7256">
        <v>7255</v>
      </c>
      <c r="B7256">
        <f>GS16</f>
        <v>0</v>
      </c>
      <c r="C7256" t="inlineStr">
        <is>
          <t>+LS5</t>
        </is>
      </c>
      <c r="D7256" t="inlineStr">
        <is>
          <t>-320K1</t>
        </is>
      </c>
      <c r="E7256" t="inlineStr">
        <is>
          <t>DILM150-XHIC22</t>
        </is>
      </c>
      <c r="F7256" t="inlineStr">
        <is>
          <t>DILM150-XHIC22</t>
        </is>
      </c>
      <c r="G7256" t="inlineStr">
        <is>
          <t>HILFSKONTAKTBLOCK</t>
        </is>
      </c>
      <c r="H7256" t="inlineStr">
        <is>
          <t>2S 2OE ab DILMC40</t>
        </is>
      </c>
      <c r="I7256">
        <v>548</v>
      </c>
      <c r="J7256">
        <f>GS16/320.2</f>
        <v>0</v>
      </c>
      <c r="K7256" t="inlineStr">
        <is>
          <t>DILMC40</t>
        </is>
      </c>
      <c r="M7256" t="inlineStr">
        <is>
          <t>-320K1</t>
        </is>
      </c>
    </row>
    <row r="7257">
      <c r="A7257">
        <v>7256</v>
      </c>
      <c r="B7257">
        <f>GS31</f>
        <v>0</v>
      </c>
      <c r="C7257" t="inlineStr">
        <is>
          <t>+LS6</t>
        </is>
      </c>
      <c r="D7257" t="inlineStr">
        <is>
          <t>-320K1</t>
        </is>
      </c>
      <c r="E7257" t="inlineStr">
        <is>
          <t>22_DIL-M</t>
        </is>
      </c>
      <c r="F7257" t="inlineStr">
        <is>
          <t>22_DIL-M</t>
        </is>
      </c>
      <c r="G7257" t="inlineStr">
        <is>
          <t>HILFSKONTAKTBLOCK</t>
        </is>
      </c>
      <c r="H7257" t="inlineStr">
        <is>
          <t>2S 2OE Lastschuetz DIL M</t>
        </is>
      </c>
      <c r="I7257">
        <v>611</v>
      </c>
      <c r="J7257">
        <f>GS31/320.2</f>
        <v>0</v>
      </c>
      <c r="K7257" t="inlineStr">
        <is>
          <t>DIL2AM</t>
        </is>
      </c>
      <c r="M7257" t="inlineStr">
        <is>
          <t>-320K1</t>
        </is>
      </c>
    </row>
    <row r="7258">
      <c r="A7258">
        <v>7257</v>
      </c>
      <c r="B7258">
        <f>GS31</f>
        <v>0</v>
      </c>
      <c r="C7258" t="inlineStr">
        <is>
          <t>+LS6</t>
        </is>
      </c>
      <c r="D7258" t="inlineStr">
        <is>
          <t>-320K1</t>
        </is>
      </c>
      <c r="E7258" t="inlineStr">
        <is>
          <t>DIL_2AM</t>
        </is>
      </c>
      <c r="F7258" t="inlineStr">
        <is>
          <t>22_DIL-M</t>
        </is>
      </c>
      <c r="G7258" t="inlineStr">
        <is>
          <t>LASTSCHUETZ</t>
        </is>
      </c>
      <c r="H7258" t="inlineStr">
        <is>
          <t>30 kW</t>
        </is>
      </c>
      <c r="I7258">
        <v>611</v>
      </c>
      <c r="J7258">
        <f>GS31/320.2</f>
        <v>0</v>
      </c>
      <c r="K7258" t="inlineStr">
        <is>
          <t>DIL2AM</t>
        </is>
      </c>
      <c r="M7258" t="inlineStr">
        <is>
          <t>-320K1</t>
        </is>
      </c>
    </row>
    <row r="7259">
      <c r="A7259">
        <v>7258</v>
      </c>
      <c r="B7259">
        <f>GS34</f>
        <v>0</v>
      </c>
      <c r="C7259" t="inlineStr">
        <is>
          <t>+LS7</t>
        </is>
      </c>
      <c r="D7259" t="inlineStr">
        <is>
          <t>-320K1</t>
        </is>
      </c>
      <c r="E7259" t="inlineStr">
        <is>
          <t>DIL_EM-10-G</t>
        </is>
      </c>
      <c r="F7259" t="inlineStr">
        <is>
          <t>#KALK!</t>
        </is>
      </c>
      <c r="G7259" t="inlineStr">
        <is>
          <t>LASTSCHUETZ</t>
        </is>
      </c>
      <c r="H7259" t="inlineStr">
        <is>
          <t>4kW 1S</t>
        </is>
      </c>
      <c r="I7259">
        <v>445</v>
      </c>
      <c r="J7259">
        <f>GS34/320.5</f>
        <v>0</v>
      </c>
      <c r="M7259" t="inlineStr">
        <is>
          <t>-320K1</t>
        </is>
      </c>
    </row>
    <row r="7260">
      <c r="A7260">
        <v>7259</v>
      </c>
      <c r="B7260">
        <f>GS37</f>
        <v>0</v>
      </c>
      <c r="C7260" t="inlineStr">
        <is>
          <t>+LS06</t>
        </is>
      </c>
      <c r="D7260" t="inlineStr">
        <is>
          <t>-320K114.0</t>
        </is>
      </c>
      <c r="E7260" t="inlineStr">
        <is>
          <t>DILA-40</t>
        </is>
      </c>
      <c r="F7260" t="inlineStr">
        <is>
          <t>#KALK!</t>
        </is>
      </c>
      <c r="G7260" t="inlineStr">
        <is>
          <t>HILFSSCHUETZ</t>
        </is>
      </c>
      <c r="H7260" t="inlineStr">
        <is>
          <t>4S Federzugkl.</t>
        </is>
      </c>
      <c r="I7260">
        <v>484</v>
      </c>
      <c r="J7260">
        <f>GS37/320.7</f>
        <v>0</v>
      </c>
      <c r="M7260" t="inlineStr">
        <is>
          <t>-320K114.0</t>
        </is>
      </c>
    </row>
    <row r="7261">
      <c r="A7261">
        <v>7260</v>
      </c>
      <c r="B7261">
        <f>GS24</f>
        <v>0</v>
      </c>
      <c r="C7261" t="inlineStr">
        <is>
          <t>+LS6</t>
        </is>
      </c>
      <c r="D7261" t="inlineStr">
        <is>
          <t>-320K16.0</t>
        </is>
      </c>
      <c r="E7261" t="inlineStr">
        <is>
          <t>DIL_EM-10-G</t>
        </is>
      </c>
      <c r="F7261" t="inlineStr">
        <is>
          <t>#KALK!</t>
        </is>
      </c>
      <c r="G7261" t="inlineStr">
        <is>
          <t>LASTSCHUETZ</t>
        </is>
      </c>
      <c r="H7261" t="inlineStr">
        <is>
          <t>4kW 1S</t>
        </is>
      </c>
      <c r="I7261">
        <v>767</v>
      </c>
      <c r="J7261">
        <f>GS24/320.7</f>
        <v>0</v>
      </c>
      <c r="M7261" t="inlineStr">
        <is>
          <t>-320K16.0</t>
        </is>
      </c>
    </row>
    <row r="7262">
      <c r="A7262">
        <v>7261</v>
      </c>
      <c r="B7262">
        <f>GS25</f>
        <v>0</v>
      </c>
      <c r="C7262" t="inlineStr">
        <is>
          <t>+LS6</t>
        </is>
      </c>
      <c r="D7262" t="inlineStr">
        <is>
          <t>-320K18.2</t>
        </is>
      </c>
      <c r="E7262" t="inlineStr">
        <is>
          <t>DIL_EM-10-G</t>
        </is>
      </c>
      <c r="F7262" t="inlineStr">
        <is>
          <t>#KALK!</t>
        </is>
      </c>
      <c r="G7262" t="inlineStr">
        <is>
          <t>LASTSCHUETZ</t>
        </is>
      </c>
      <c r="H7262" t="inlineStr">
        <is>
          <t>4kW 1S</t>
        </is>
      </c>
      <c r="I7262">
        <v>444</v>
      </c>
      <c r="J7262">
        <f>GS25/320.6</f>
        <v>0</v>
      </c>
      <c r="M7262" t="inlineStr">
        <is>
          <t>-320K18.2</t>
        </is>
      </c>
    </row>
    <row r="7263">
      <c r="A7263">
        <v>7262</v>
      </c>
      <c r="B7263">
        <f>GS25</f>
        <v>0</v>
      </c>
      <c r="C7263" t="inlineStr">
        <is>
          <t>+LS6</t>
        </is>
      </c>
      <c r="D7263" t="inlineStr">
        <is>
          <t>-320K18.3</t>
        </is>
      </c>
      <c r="E7263" t="inlineStr">
        <is>
          <t>DIL_EM-10-G</t>
        </is>
      </c>
      <c r="F7263" t="inlineStr">
        <is>
          <t>#KALK!</t>
        </is>
      </c>
      <c r="G7263" t="inlineStr">
        <is>
          <t>LASTSCHUETZ</t>
        </is>
      </c>
      <c r="H7263" t="inlineStr">
        <is>
          <t>4kW 1S</t>
        </is>
      </c>
      <c r="I7263">
        <v>444</v>
      </c>
      <c r="J7263">
        <f>GS25/320.6</f>
        <v>0</v>
      </c>
      <c r="M7263" t="inlineStr">
        <is>
          <t>-320K18.3</t>
        </is>
      </c>
    </row>
    <row r="7264">
      <c r="A7264">
        <v>7263</v>
      </c>
      <c r="B7264">
        <f>GS90</f>
        <v>0</v>
      </c>
      <c r="C7264" t="inlineStr">
        <is>
          <t>+LS05</t>
        </is>
      </c>
      <c r="D7264" t="inlineStr">
        <is>
          <t>-320K189.4</t>
        </is>
      </c>
      <c r="E7264" t="inlineStr">
        <is>
          <t>DILA-40</t>
        </is>
      </c>
      <c r="F7264" t="inlineStr">
        <is>
          <t>#KALK!</t>
        </is>
      </c>
      <c r="G7264" t="inlineStr">
        <is>
          <t>HILFSSCHUETZ</t>
        </is>
      </c>
      <c r="H7264" t="inlineStr">
        <is>
          <t>4S Federzugkl.</t>
        </is>
      </c>
      <c r="I7264">
        <v>904</v>
      </c>
      <c r="J7264">
        <f>GS90/320.7</f>
        <v>0</v>
      </c>
      <c r="M7264" t="inlineStr">
        <is>
          <t>-320K189.4</t>
        </is>
      </c>
    </row>
    <row r="7265">
      <c r="A7265">
        <v>7264</v>
      </c>
      <c r="B7265">
        <f>GS31</f>
        <v>0</v>
      </c>
      <c r="C7265" t="inlineStr">
        <is>
          <t>+LS6</t>
        </is>
      </c>
      <c r="D7265" t="inlineStr">
        <is>
          <t>-320K2</t>
        </is>
      </c>
      <c r="E7265" t="inlineStr">
        <is>
          <t>22_DIL-M</t>
        </is>
      </c>
      <c r="F7265" t="inlineStr">
        <is>
          <t>22_DIL-M</t>
        </is>
      </c>
      <c r="G7265" t="inlineStr">
        <is>
          <t>HILFSKONTAKTBLOCK</t>
        </is>
      </c>
      <c r="H7265" t="inlineStr">
        <is>
          <t>2S 2OE Lastschuetz DIL M</t>
        </is>
      </c>
      <c r="I7265">
        <v>611</v>
      </c>
      <c r="J7265">
        <f>GS31/320.3</f>
        <v>0</v>
      </c>
      <c r="K7265" t="inlineStr">
        <is>
          <t>DIL0AM</t>
        </is>
      </c>
      <c r="M7265" t="inlineStr">
        <is>
          <t>-320K2</t>
        </is>
      </c>
    </row>
    <row r="7266">
      <c r="A7266">
        <v>7265</v>
      </c>
      <c r="B7266">
        <f>GS31</f>
        <v>0</v>
      </c>
      <c r="C7266" t="inlineStr">
        <is>
          <t>+LS6</t>
        </is>
      </c>
      <c r="D7266" t="inlineStr">
        <is>
          <t>-320K2</t>
        </is>
      </c>
      <c r="E7266" t="inlineStr">
        <is>
          <t>DIL_0AM</t>
        </is>
      </c>
      <c r="F7266" t="inlineStr">
        <is>
          <t>22_DIL-M</t>
        </is>
      </c>
      <c r="G7266" t="inlineStr">
        <is>
          <t>LASTSCHUETZ</t>
        </is>
      </c>
      <c r="H7266" t="inlineStr">
        <is>
          <t>11 kW</t>
        </is>
      </c>
      <c r="I7266">
        <v>611</v>
      </c>
      <c r="J7266">
        <f>GS31/320.3</f>
        <v>0</v>
      </c>
      <c r="K7266" t="inlineStr">
        <is>
          <t>DIL0AM</t>
        </is>
      </c>
      <c r="M7266" t="inlineStr">
        <is>
          <t>-320K2</t>
        </is>
      </c>
    </row>
    <row r="7267">
      <c r="A7267">
        <v>7266</v>
      </c>
      <c r="B7267">
        <f>GS14</f>
        <v>0</v>
      </c>
      <c r="C7267" t="inlineStr">
        <is>
          <t>+LS6</t>
        </is>
      </c>
      <c r="D7267" t="inlineStr">
        <is>
          <t>-320K22.4</t>
        </is>
      </c>
      <c r="E7267" t="inlineStr">
        <is>
          <t>DIL_EM-10-G</t>
        </is>
      </c>
      <c r="F7267" t="inlineStr">
        <is>
          <t>#KALK!</t>
        </is>
      </c>
      <c r="G7267" t="inlineStr">
        <is>
          <t>LASTSCHUETZ</t>
        </is>
      </c>
      <c r="H7267" t="inlineStr">
        <is>
          <t>4kW 1S</t>
        </is>
      </c>
      <c r="I7267">
        <v>449</v>
      </c>
      <c r="J7267">
        <f>GS14/320.6</f>
        <v>0</v>
      </c>
      <c r="M7267" t="inlineStr">
        <is>
          <t>-320K22.4</t>
        </is>
      </c>
    </row>
    <row r="7268">
      <c r="A7268">
        <v>7267</v>
      </c>
      <c r="B7268">
        <f>GS11</f>
        <v>0</v>
      </c>
      <c r="C7268" t="inlineStr">
        <is>
          <t>+LS7</t>
        </is>
      </c>
      <c r="D7268" t="inlineStr">
        <is>
          <t>-320K23.7</t>
        </is>
      </c>
      <c r="E7268" t="inlineStr">
        <is>
          <t>DIL_EM-10-G</t>
        </is>
      </c>
      <c r="F7268" t="inlineStr">
        <is>
          <t>#KALK!</t>
        </is>
      </c>
      <c r="G7268" t="inlineStr">
        <is>
          <t>LASTSCHUETZ</t>
        </is>
      </c>
      <c r="H7268" t="inlineStr">
        <is>
          <t>4kW 1S</t>
        </is>
      </c>
      <c r="I7268">
        <v>426</v>
      </c>
      <c r="J7268">
        <f>GS11/320.7</f>
        <v>0</v>
      </c>
      <c r="M7268" t="inlineStr">
        <is>
          <t>-320K23.7</t>
        </is>
      </c>
    </row>
    <row r="7269">
      <c r="A7269">
        <v>7268</v>
      </c>
      <c r="B7269">
        <f>GS21</f>
        <v>0</v>
      </c>
      <c r="C7269" t="inlineStr">
        <is>
          <t>+LS7</t>
        </is>
      </c>
      <c r="D7269" t="inlineStr">
        <is>
          <t>-320K23.7</t>
        </is>
      </c>
      <c r="E7269" t="inlineStr">
        <is>
          <t>DIL_EM-10-G</t>
        </is>
      </c>
      <c r="F7269" t="inlineStr">
        <is>
          <t>#KALK!</t>
        </is>
      </c>
      <c r="G7269" t="inlineStr">
        <is>
          <t>LASTSCHUETZ</t>
        </is>
      </c>
      <c r="H7269" t="inlineStr">
        <is>
          <t>4kW 1S</t>
        </is>
      </c>
      <c r="I7269">
        <v>408</v>
      </c>
      <c r="J7269">
        <f>GS21/320.7</f>
        <v>0</v>
      </c>
      <c r="M7269" t="inlineStr">
        <is>
          <t>-320K23.7</t>
        </is>
      </c>
    </row>
    <row r="7270">
      <c r="A7270">
        <v>7269</v>
      </c>
      <c r="B7270">
        <f>GS31</f>
        <v>0</v>
      </c>
      <c r="C7270" t="inlineStr">
        <is>
          <t>+LS6</t>
        </is>
      </c>
      <c r="D7270" t="inlineStr">
        <is>
          <t>-320K3</t>
        </is>
      </c>
      <c r="E7270" t="inlineStr">
        <is>
          <t>22_DIL-M</t>
        </is>
      </c>
      <c r="F7270" t="inlineStr">
        <is>
          <t>22_DIL-M</t>
        </is>
      </c>
      <c r="G7270" t="inlineStr">
        <is>
          <t>HILFSKONTAKTBLOCK</t>
        </is>
      </c>
      <c r="H7270" t="inlineStr">
        <is>
          <t>2S 2OE Lastschuetz DIL M</t>
        </is>
      </c>
      <c r="I7270">
        <v>611</v>
      </c>
      <c r="J7270">
        <f>GS31/320.4</f>
        <v>0</v>
      </c>
      <c r="K7270" t="inlineStr">
        <is>
          <t>DIL0AM</t>
        </is>
      </c>
      <c r="M7270" t="inlineStr">
        <is>
          <t>-320K3</t>
        </is>
      </c>
    </row>
    <row r="7271">
      <c r="A7271">
        <v>7270</v>
      </c>
      <c r="B7271">
        <f>GS31</f>
        <v>0</v>
      </c>
      <c r="C7271" t="inlineStr">
        <is>
          <t>+LS6</t>
        </is>
      </c>
      <c r="D7271" t="inlineStr">
        <is>
          <t>-320K3</t>
        </is>
      </c>
      <c r="E7271" t="inlineStr">
        <is>
          <t>DIL_0AM</t>
        </is>
      </c>
      <c r="F7271" t="inlineStr">
        <is>
          <t>22_DIL-M</t>
        </is>
      </c>
      <c r="G7271" t="inlineStr">
        <is>
          <t>LASTSCHUETZ</t>
        </is>
      </c>
      <c r="H7271" t="inlineStr">
        <is>
          <t>11 kW</t>
        </is>
      </c>
      <c r="I7271">
        <v>611</v>
      </c>
      <c r="J7271">
        <f>GS31/320.4</f>
        <v>0</v>
      </c>
      <c r="K7271" t="inlineStr">
        <is>
          <t>DIL0AM</t>
        </is>
      </c>
      <c r="M7271" t="inlineStr">
        <is>
          <t>-320K3</t>
        </is>
      </c>
    </row>
    <row r="7272">
      <c r="A7272">
        <v>7271</v>
      </c>
      <c r="B7272">
        <f>GS01</f>
        <v>0</v>
      </c>
      <c r="C7272" t="inlineStr">
        <is>
          <t>+LS7</t>
        </is>
      </c>
      <c r="D7272" t="inlineStr">
        <is>
          <t>-320K62.4</t>
        </is>
      </c>
      <c r="E7272" t="inlineStr">
        <is>
          <t>DIL_EM-10-G</t>
        </is>
      </c>
      <c r="F7272" t="inlineStr">
        <is>
          <t>#KALK!</t>
        </is>
      </c>
      <c r="G7272" t="inlineStr">
        <is>
          <t>LASTSCHUETZ</t>
        </is>
      </c>
      <c r="H7272" t="inlineStr">
        <is>
          <t>4kW 1S</t>
        </is>
      </c>
      <c r="I7272">
        <v>483</v>
      </c>
      <c r="J7272">
        <f>GS01/320.6</f>
        <v>0</v>
      </c>
      <c r="M7272" t="inlineStr">
        <is>
          <t>-320K62.4</t>
        </is>
      </c>
    </row>
    <row r="7273">
      <c r="A7273">
        <v>7272</v>
      </c>
      <c r="B7273">
        <f>GS01</f>
        <v>0</v>
      </c>
      <c r="C7273" t="inlineStr">
        <is>
          <t>+LS7</t>
        </is>
      </c>
      <c r="D7273" t="inlineStr">
        <is>
          <t>-320K62.5</t>
        </is>
      </c>
      <c r="E7273" t="inlineStr">
        <is>
          <t>DIL_EM-10-G</t>
        </is>
      </c>
      <c r="F7273" t="inlineStr">
        <is>
          <t>#KALK!</t>
        </is>
      </c>
      <c r="G7273" t="inlineStr">
        <is>
          <t>LASTSCHUETZ</t>
        </is>
      </c>
      <c r="H7273" t="inlineStr">
        <is>
          <t>4kW 1S</t>
        </is>
      </c>
      <c r="I7273">
        <v>483</v>
      </c>
      <c r="J7273">
        <f>GS01/320.6</f>
        <v>0</v>
      </c>
      <c r="M7273" t="inlineStr">
        <is>
          <t>-320K62.5</t>
        </is>
      </c>
    </row>
    <row r="7274">
      <c r="A7274">
        <v>7273</v>
      </c>
      <c r="B7274">
        <f>GS37</f>
        <v>0</v>
      </c>
      <c r="C7274" t="inlineStr">
        <is>
          <t>+LS06</t>
        </is>
      </c>
      <c r="D7274" t="inlineStr">
        <is>
          <t>-320Q1</t>
        </is>
      </c>
      <c r="E7274" t="inlineStr">
        <is>
          <t>DILMC25-10(RDC24)</t>
        </is>
      </c>
      <c r="F7274" t="inlineStr">
        <is>
          <t>DILA-XHI22</t>
        </is>
      </c>
      <c r="G7274" t="inlineStr">
        <is>
          <t>LASTSCHUETZ</t>
        </is>
      </c>
      <c r="H7274" t="inlineStr">
        <is>
          <t>11kW 1S Federzugkl.</t>
        </is>
      </c>
      <c r="I7274">
        <v>484</v>
      </c>
      <c r="J7274">
        <f>GS37/320.3</f>
        <v>0</v>
      </c>
      <c r="K7274" t="inlineStr">
        <is>
          <t>DIL MC25</t>
        </is>
      </c>
      <c r="M7274" t="inlineStr">
        <is>
          <t>-320Q1</t>
        </is>
      </c>
    </row>
    <row r="7275">
      <c r="A7275">
        <v>7274</v>
      </c>
      <c r="B7275">
        <f>GS37</f>
        <v>0</v>
      </c>
      <c r="C7275" t="inlineStr">
        <is>
          <t>+LS06</t>
        </is>
      </c>
      <c r="D7275" t="inlineStr">
        <is>
          <t>-320Q1</t>
        </is>
      </c>
      <c r="E7275" t="inlineStr">
        <is>
          <t>DILA-XHI22</t>
        </is>
      </c>
      <c r="F7275" t="inlineStr">
        <is>
          <t>DILA-XHI22</t>
        </is>
      </c>
      <c r="G7275" t="inlineStr">
        <is>
          <t>HILFSKONTAKTBLOCK</t>
        </is>
      </c>
      <c r="H7275" t="inlineStr">
        <is>
          <t>2S 2OE Last+Hilfssch. Cage</t>
        </is>
      </c>
      <c r="I7275">
        <v>484</v>
      </c>
      <c r="J7275">
        <f>GS37/320.3</f>
        <v>0</v>
      </c>
      <c r="K7275" t="inlineStr">
        <is>
          <t>DIL MC25</t>
        </is>
      </c>
      <c r="M7275" t="inlineStr">
        <is>
          <t>-320Q1</t>
        </is>
      </c>
    </row>
    <row r="7276">
      <c r="A7276">
        <v>7275</v>
      </c>
      <c r="B7276">
        <f>GS90</f>
        <v>0</v>
      </c>
      <c r="C7276" t="inlineStr">
        <is>
          <t>+LS05</t>
        </is>
      </c>
      <c r="D7276" t="inlineStr">
        <is>
          <t>-320Q1</t>
        </is>
      </c>
      <c r="E7276" t="inlineStr">
        <is>
          <t>DILMC25-10(RDC24)</t>
        </is>
      </c>
      <c r="F7276" t="inlineStr">
        <is>
          <t>DILA-XHI22</t>
        </is>
      </c>
      <c r="G7276" t="inlineStr">
        <is>
          <t>LASTSCHUETZ</t>
        </is>
      </c>
      <c r="H7276" t="inlineStr">
        <is>
          <t>11kW 1S Federzugkl.</t>
        </is>
      </c>
      <c r="I7276">
        <v>904</v>
      </c>
      <c r="J7276">
        <f>GS90/320.4</f>
        <v>0</v>
      </c>
      <c r="K7276" t="inlineStr">
        <is>
          <t>DIL MC25</t>
        </is>
      </c>
      <c r="M7276" t="inlineStr">
        <is>
          <t>-320Q1</t>
        </is>
      </c>
    </row>
    <row r="7277">
      <c r="A7277">
        <v>7276</v>
      </c>
      <c r="B7277">
        <f>GS90</f>
        <v>0</v>
      </c>
      <c r="C7277" t="inlineStr">
        <is>
          <t>+LS05</t>
        </is>
      </c>
      <c r="D7277" t="inlineStr">
        <is>
          <t>-320Q1</t>
        </is>
      </c>
      <c r="E7277" t="inlineStr">
        <is>
          <t>DILA-XHI22</t>
        </is>
      </c>
      <c r="F7277" t="inlineStr">
        <is>
          <t>DILA-XHI22</t>
        </is>
      </c>
      <c r="G7277" t="inlineStr">
        <is>
          <t>HILFSKONTAKTBLOCK</t>
        </is>
      </c>
      <c r="H7277" t="inlineStr">
        <is>
          <t>2S 2OE Last+Hilfssch. Cage</t>
        </is>
      </c>
      <c r="I7277">
        <v>904</v>
      </c>
      <c r="J7277">
        <f>GS90/320.4</f>
        <v>0</v>
      </c>
      <c r="K7277" t="inlineStr">
        <is>
          <t>DIL MC25</t>
        </is>
      </c>
      <c r="M7277" t="inlineStr">
        <is>
          <t>-320Q1</t>
        </is>
      </c>
    </row>
    <row r="7278">
      <c r="A7278">
        <v>7277</v>
      </c>
      <c r="B7278">
        <f>GS55</f>
        <v>0</v>
      </c>
      <c r="C7278" t="inlineStr">
        <is>
          <t>+LS40</t>
        </is>
      </c>
      <c r="D7278" t="inlineStr">
        <is>
          <t>-3215K1</t>
        </is>
      </c>
      <c r="E7278" t="inlineStr">
        <is>
          <t>DILA-22</t>
        </is>
      </c>
      <c r="F7278" t="inlineStr">
        <is>
          <t>#KALK!</t>
        </is>
      </c>
      <c r="G7278" t="inlineStr">
        <is>
          <t>HILFSSCHUETZ</t>
        </is>
      </c>
      <c r="H7278" t="inlineStr">
        <is>
          <t>2S 2Oe Federzugkl.</t>
        </is>
      </c>
      <c r="I7278">
        <v>3518</v>
      </c>
      <c r="J7278">
        <f>GS55/3215.7</f>
        <v>0</v>
      </c>
      <c r="M7278" t="inlineStr">
        <is>
          <t>-3215K1</t>
        </is>
      </c>
    </row>
    <row r="7279">
      <c r="A7279">
        <v>7278</v>
      </c>
      <c r="B7279">
        <f>GS55</f>
        <v>0</v>
      </c>
      <c r="C7279" t="inlineStr">
        <is>
          <t>+LS40</t>
        </is>
      </c>
      <c r="D7279" t="inlineStr">
        <is>
          <t>-3215Q1</t>
        </is>
      </c>
      <c r="E7279" t="inlineStr">
        <is>
          <t>DILM150-XHIC22</t>
        </is>
      </c>
      <c r="F7279" t="inlineStr">
        <is>
          <t>DILM150-XHIC22</t>
        </is>
      </c>
      <c r="G7279" t="inlineStr">
        <is>
          <t>HILFSKONTAKTBLOCK</t>
        </is>
      </c>
      <c r="H7279" t="inlineStr">
        <is>
          <t>2S 2OE ab DILMC40</t>
        </is>
      </c>
      <c r="I7279">
        <v>3518</v>
      </c>
      <c r="J7279">
        <f>GS55/3215.6</f>
        <v>0</v>
      </c>
      <c r="K7279" t="inlineStr">
        <is>
          <t>DIL MC40</t>
        </is>
      </c>
      <c r="M7279" t="inlineStr">
        <is>
          <t>-3215Q1</t>
        </is>
      </c>
    </row>
    <row r="7280">
      <c r="A7280">
        <v>7279</v>
      </c>
      <c r="B7280">
        <f>GS55</f>
        <v>0</v>
      </c>
      <c r="C7280" t="inlineStr">
        <is>
          <t>+LS40</t>
        </is>
      </c>
      <c r="D7280" t="inlineStr">
        <is>
          <t>-3215Q1</t>
        </is>
      </c>
      <c r="E7280" t="inlineStr">
        <is>
          <t>DILMC40(RDC24)</t>
        </is>
      </c>
      <c r="F7280" t="inlineStr">
        <is>
          <t>DILM150-XHIC22</t>
        </is>
      </c>
      <c r="G7280" t="inlineStr">
        <is>
          <t>LASTSCHUETZ</t>
        </is>
      </c>
      <c r="H7280" t="inlineStr">
        <is>
          <t>18,5kW Federzugkl.</t>
        </is>
      </c>
      <c r="I7280">
        <v>3518</v>
      </c>
      <c r="J7280">
        <f>GS55/3215.6</f>
        <v>0</v>
      </c>
      <c r="K7280" t="inlineStr">
        <is>
          <t>DIL MC40</t>
        </is>
      </c>
      <c r="M7280" t="inlineStr">
        <is>
          <t>-3215Q1</t>
        </is>
      </c>
    </row>
    <row r="7281">
      <c r="A7281">
        <v>7280</v>
      </c>
      <c r="B7281">
        <f>GS55</f>
        <v>0</v>
      </c>
      <c r="C7281" t="inlineStr">
        <is>
          <t>+LS40</t>
        </is>
      </c>
      <c r="D7281" t="inlineStr">
        <is>
          <t>-3217Q1</t>
        </is>
      </c>
      <c r="E7281" t="inlineStr">
        <is>
          <t>DILM-9-10</t>
        </is>
      </c>
      <c r="F7281" t="inlineStr">
        <is>
          <t>#KALK!</t>
        </is>
      </c>
      <c r="G7281" t="inlineStr">
        <is>
          <t>LASTSCHUETZ</t>
        </is>
      </c>
      <c r="H7281" t="inlineStr">
        <is>
          <t>4kW 1S Federzugkl.</t>
        </is>
      </c>
      <c r="I7281">
        <v>3516</v>
      </c>
      <c r="J7281">
        <f>GS55/3217.7</f>
        <v>0</v>
      </c>
      <c r="M7281" t="inlineStr">
        <is>
          <t>-3217Q1</t>
        </is>
      </c>
    </row>
    <row r="7282">
      <c r="A7282">
        <v>7281</v>
      </c>
      <c r="B7282">
        <f>GS24</f>
        <v>0</v>
      </c>
      <c r="C7282" t="inlineStr">
        <is>
          <t>+LS6</t>
        </is>
      </c>
      <c r="D7282" t="inlineStr">
        <is>
          <t>-321K16.1</t>
        </is>
      </c>
      <c r="E7282" t="inlineStr">
        <is>
          <t>DIL_EM-10-G</t>
        </is>
      </c>
      <c r="F7282" t="inlineStr">
        <is>
          <t>#KALK!</t>
        </is>
      </c>
      <c r="G7282" t="inlineStr">
        <is>
          <t>LASTSCHUETZ</t>
        </is>
      </c>
      <c r="H7282" t="inlineStr">
        <is>
          <t>4kW 1S</t>
        </is>
      </c>
      <c r="I7282">
        <v>766</v>
      </c>
      <c r="J7282">
        <f>GS24/321.6</f>
        <v>0</v>
      </c>
      <c r="M7282" t="inlineStr">
        <is>
          <t>-321K16.1</t>
        </is>
      </c>
    </row>
    <row r="7283">
      <c r="A7283">
        <v>7282</v>
      </c>
      <c r="B7283">
        <f>GS24</f>
        <v>0</v>
      </c>
      <c r="C7283" t="inlineStr">
        <is>
          <t>+LS6</t>
        </is>
      </c>
      <c r="D7283" t="inlineStr">
        <is>
          <t>-321K16.2</t>
        </is>
      </c>
      <c r="E7283" t="inlineStr">
        <is>
          <t>DIL_EM-10-G</t>
        </is>
      </c>
      <c r="F7283" t="inlineStr">
        <is>
          <t>#KALK!</t>
        </is>
      </c>
      <c r="G7283" t="inlineStr">
        <is>
          <t>LASTSCHUETZ</t>
        </is>
      </c>
      <c r="H7283" t="inlineStr">
        <is>
          <t>4kW 1S</t>
        </is>
      </c>
      <c r="I7283">
        <v>766</v>
      </c>
      <c r="J7283">
        <f>GS24/321.6</f>
        <v>0</v>
      </c>
      <c r="M7283" t="inlineStr">
        <is>
          <t>-321K16.2</t>
        </is>
      </c>
    </row>
    <row r="7284">
      <c r="A7284">
        <v>7283</v>
      </c>
      <c r="B7284">
        <f>GS25</f>
        <v>0</v>
      </c>
      <c r="C7284" t="inlineStr">
        <is>
          <t>+LS6</t>
        </is>
      </c>
      <c r="D7284" t="inlineStr">
        <is>
          <t>-321K19.3</t>
        </is>
      </c>
      <c r="E7284" t="inlineStr">
        <is>
          <t>DIL_EM-10-G</t>
        </is>
      </c>
      <c r="F7284" t="inlineStr">
        <is>
          <t>#KALK!</t>
        </is>
      </c>
      <c r="G7284" t="inlineStr">
        <is>
          <t>LASTSCHUETZ</t>
        </is>
      </c>
      <c r="H7284" t="inlineStr">
        <is>
          <t>4kW 1S</t>
        </is>
      </c>
      <c r="I7284">
        <v>445</v>
      </c>
      <c r="J7284">
        <f>GS25/321.7</f>
        <v>0</v>
      </c>
      <c r="M7284" t="inlineStr">
        <is>
          <t>-321K19.3</t>
        </is>
      </c>
    </row>
    <row r="7285">
      <c r="A7285">
        <v>7284</v>
      </c>
      <c r="B7285">
        <f>GS14</f>
        <v>0</v>
      </c>
      <c r="C7285" t="inlineStr">
        <is>
          <t>+LS6</t>
        </is>
      </c>
      <c r="D7285" t="inlineStr">
        <is>
          <t>-321K23.0</t>
        </is>
      </c>
      <c r="E7285" t="inlineStr">
        <is>
          <t>DIL_EM-10-G</t>
        </is>
      </c>
      <c r="F7285" t="inlineStr">
        <is>
          <t>#KALK!</t>
        </is>
      </c>
      <c r="G7285" t="inlineStr">
        <is>
          <t>LASTSCHUETZ</t>
        </is>
      </c>
      <c r="H7285" t="inlineStr">
        <is>
          <t>4kW 1S</t>
        </is>
      </c>
      <c r="I7285">
        <v>450</v>
      </c>
      <c r="J7285">
        <f>GS14/321.7</f>
        <v>0</v>
      </c>
      <c r="M7285" t="inlineStr">
        <is>
          <t>-321K23.0</t>
        </is>
      </c>
    </row>
    <row r="7286">
      <c r="A7286">
        <v>7285</v>
      </c>
      <c r="B7286">
        <f>GS33</f>
        <v>0</v>
      </c>
      <c r="C7286" t="inlineStr">
        <is>
          <t>+LS7</t>
        </is>
      </c>
      <c r="D7286" t="inlineStr">
        <is>
          <t>-321K3604.7</t>
        </is>
      </c>
      <c r="E7286" t="inlineStr">
        <is>
          <t>DIL_EM-10-G</t>
        </is>
      </c>
      <c r="F7286" t="inlineStr">
        <is>
          <t>#KALK!</t>
        </is>
      </c>
      <c r="G7286" t="inlineStr">
        <is>
          <t>LASTSCHUETZ</t>
        </is>
      </c>
      <c r="H7286" t="inlineStr">
        <is>
          <t>4kW 1S</t>
        </is>
      </c>
      <c r="I7286">
        <v>769</v>
      </c>
      <c r="J7286">
        <f>GS33/321.7</f>
        <v>0</v>
      </c>
      <c r="M7286" t="inlineStr">
        <is>
          <t>-321K3604.7</t>
        </is>
      </c>
    </row>
    <row r="7287">
      <c r="A7287">
        <v>7286</v>
      </c>
      <c r="B7287">
        <f>GS16</f>
        <v>0</v>
      </c>
      <c r="C7287" t="inlineStr">
        <is>
          <t>+LS5</t>
        </is>
      </c>
      <c r="D7287" t="inlineStr">
        <is>
          <t>-321K3760.5</t>
        </is>
      </c>
      <c r="E7287" t="inlineStr">
        <is>
          <t>DILM-9-10</t>
        </is>
      </c>
      <c r="F7287" t="inlineStr">
        <is>
          <t>#KALK!</t>
        </is>
      </c>
      <c r="G7287" t="inlineStr">
        <is>
          <t>LASTSCHUETZ</t>
        </is>
      </c>
      <c r="H7287" t="inlineStr">
        <is>
          <t>4kW 1S Federzugkl.</t>
        </is>
      </c>
      <c r="I7287">
        <v>549</v>
      </c>
      <c r="J7287">
        <f>GS16/321.7</f>
        <v>0</v>
      </c>
      <c r="M7287" t="inlineStr">
        <is>
          <t>-321K3760.5</t>
        </is>
      </c>
    </row>
    <row r="7288">
      <c r="A7288">
        <v>7287</v>
      </c>
      <c r="B7288">
        <f>GS01</f>
        <v>0</v>
      </c>
      <c r="C7288" t="inlineStr">
        <is>
          <t>+LS7</t>
        </is>
      </c>
      <c r="D7288" t="inlineStr">
        <is>
          <t>-321K62.6</t>
        </is>
      </c>
      <c r="E7288" t="inlineStr">
        <is>
          <t>DIL_EM-10-G</t>
        </is>
      </c>
      <c r="F7288" t="inlineStr">
        <is>
          <t>#KALK!</t>
        </is>
      </c>
      <c r="G7288" t="inlineStr">
        <is>
          <t>LASTSCHUETZ</t>
        </is>
      </c>
      <c r="H7288" t="inlineStr">
        <is>
          <t>4kW 1S</t>
        </is>
      </c>
      <c r="I7288">
        <v>484</v>
      </c>
      <c r="J7288">
        <f>GS01/321.6</f>
        <v>0</v>
      </c>
      <c r="M7288" t="inlineStr">
        <is>
          <t>-321K62.6</t>
        </is>
      </c>
    </row>
    <row r="7289">
      <c r="A7289">
        <v>7288</v>
      </c>
      <c r="B7289">
        <f>GS01</f>
        <v>0</v>
      </c>
      <c r="C7289" t="inlineStr">
        <is>
          <t>+LS7</t>
        </is>
      </c>
      <c r="D7289" t="inlineStr">
        <is>
          <t>-321K62.7</t>
        </is>
      </c>
      <c r="E7289" t="inlineStr">
        <is>
          <t>DIL_EM-10-G</t>
        </is>
      </c>
      <c r="F7289" t="inlineStr">
        <is>
          <t>#KALK!</t>
        </is>
      </c>
      <c r="G7289" t="inlineStr">
        <is>
          <t>LASTSCHUETZ</t>
        </is>
      </c>
      <c r="H7289" t="inlineStr">
        <is>
          <t>4kW 1S</t>
        </is>
      </c>
      <c r="I7289">
        <v>484</v>
      </c>
      <c r="J7289">
        <f>GS01/321.6</f>
        <v>0</v>
      </c>
      <c r="M7289" t="inlineStr">
        <is>
          <t>-321K62.7</t>
        </is>
      </c>
    </row>
    <row r="7290">
      <c r="A7290">
        <v>7289</v>
      </c>
      <c r="B7290">
        <f>GS37</f>
        <v>0</v>
      </c>
      <c r="C7290" t="inlineStr">
        <is>
          <t>+LS06</t>
        </is>
      </c>
      <c r="D7290" t="inlineStr">
        <is>
          <t>-321Q114.2</t>
        </is>
      </c>
      <c r="E7290" t="inlineStr">
        <is>
          <t>DILM-9-10</t>
        </is>
      </c>
      <c r="F7290" t="inlineStr">
        <is>
          <t>#KALK!</t>
        </is>
      </c>
      <c r="G7290" t="inlineStr">
        <is>
          <t>LASTSCHUETZ</t>
        </is>
      </c>
      <c r="H7290" t="inlineStr">
        <is>
          <t>4kW 1S Federzugkl.</t>
        </is>
      </c>
      <c r="I7290">
        <v>486</v>
      </c>
      <c r="J7290">
        <f>GS37/321.6</f>
        <v>0</v>
      </c>
      <c r="M7290" t="inlineStr">
        <is>
          <t>-321Q114.2</t>
        </is>
      </c>
    </row>
    <row r="7291">
      <c r="A7291">
        <v>7290</v>
      </c>
      <c r="B7291">
        <f>GS08</f>
        <v>0</v>
      </c>
      <c r="C7291" t="inlineStr">
        <is>
          <t>+LS05</t>
        </is>
      </c>
      <c r="D7291" t="inlineStr">
        <is>
          <t>-321Q229.1</t>
        </is>
      </c>
      <c r="E7291" t="inlineStr">
        <is>
          <t>DILM-9-10</t>
        </is>
      </c>
      <c r="F7291" t="inlineStr">
        <is>
          <t>#KALK!</t>
        </is>
      </c>
      <c r="G7291" t="inlineStr">
        <is>
          <t>LASTSCHUETZ</t>
        </is>
      </c>
      <c r="H7291" t="inlineStr">
        <is>
          <t>4kW 1S Federzugkl.</t>
        </is>
      </c>
      <c r="I7291">
        <v>1572</v>
      </c>
      <c r="J7291">
        <f>GS08/321.6</f>
        <v>0</v>
      </c>
      <c r="K7291" t="inlineStr">
        <is>
          <t>DIL MC9</t>
        </is>
      </c>
      <c r="M7291" t="inlineStr">
        <is>
          <t>-321Q229.1</t>
        </is>
      </c>
    </row>
    <row r="7292">
      <c r="A7292">
        <v>7291</v>
      </c>
      <c r="B7292">
        <f>GS32</f>
        <v>0</v>
      </c>
      <c r="C7292" t="inlineStr">
        <is>
          <t>+LS7</t>
        </is>
      </c>
      <c r="D7292" t="inlineStr">
        <is>
          <t>-322.1K77.6</t>
        </is>
      </c>
      <c r="E7292" t="inlineStr">
        <is>
          <t>DIL_EM-10-G</t>
        </is>
      </c>
      <c r="F7292" t="inlineStr">
        <is>
          <t>#KALK!</t>
        </is>
      </c>
      <c r="G7292" t="inlineStr">
        <is>
          <t>LASTSCHUETZ</t>
        </is>
      </c>
      <c r="H7292" t="inlineStr">
        <is>
          <t>4kW 1S</t>
        </is>
      </c>
      <c r="I7292">
        <v>1283</v>
      </c>
      <c r="J7292">
        <f>GS32/322.1.7</f>
        <v>0</v>
      </c>
      <c r="M7292" t="inlineStr">
        <is>
          <t>-322.1K77.6</t>
        </is>
      </c>
    </row>
    <row r="7293">
      <c r="A7293">
        <v>7292</v>
      </c>
      <c r="B7293">
        <f>GS32</f>
        <v>0</v>
      </c>
      <c r="C7293" t="inlineStr">
        <is>
          <t>+LS7</t>
        </is>
      </c>
      <c r="D7293" t="inlineStr">
        <is>
          <t>-322.2K77.0</t>
        </is>
      </c>
      <c r="E7293" t="inlineStr">
        <is>
          <t>DIL_EM-10-G</t>
        </is>
      </c>
      <c r="F7293" t="inlineStr">
        <is>
          <t>#KALK!</t>
        </is>
      </c>
      <c r="G7293" t="inlineStr">
        <is>
          <t>LASTSCHUETZ</t>
        </is>
      </c>
      <c r="H7293" t="inlineStr">
        <is>
          <t>4kW 1S</t>
        </is>
      </c>
      <c r="I7293">
        <v>1282</v>
      </c>
      <c r="J7293">
        <f>GS32/322.2.5</f>
        <v>0</v>
      </c>
      <c r="M7293" t="inlineStr">
        <is>
          <t>-322.2K77.0</t>
        </is>
      </c>
    </row>
    <row r="7294">
      <c r="A7294">
        <v>7293</v>
      </c>
      <c r="B7294">
        <f>GS32</f>
        <v>0</v>
      </c>
      <c r="C7294" t="inlineStr">
        <is>
          <t>+LS7</t>
        </is>
      </c>
      <c r="D7294" t="inlineStr">
        <is>
          <t>-322.2K77.1</t>
        </is>
      </c>
      <c r="E7294" t="inlineStr">
        <is>
          <t>DIL_EM-10-G</t>
        </is>
      </c>
      <c r="F7294" t="inlineStr">
        <is>
          <t>#KALK!</t>
        </is>
      </c>
      <c r="G7294" t="inlineStr">
        <is>
          <t>LASTSCHUETZ</t>
        </is>
      </c>
      <c r="H7294" t="inlineStr">
        <is>
          <t>4kW 1S</t>
        </is>
      </c>
      <c r="I7294">
        <v>1282</v>
      </c>
      <c r="J7294">
        <f>GS32/322.2.6</f>
        <v>0</v>
      </c>
      <c r="M7294" t="inlineStr">
        <is>
          <t>-322.2K77.1</t>
        </is>
      </c>
    </row>
    <row r="7295">
      <c r="A7295">
        <v>7294</v>
      </c>
      <c r="B7295">
        <f>GS55</f>
        <v>0</v>
      </c>
      <c r="C7295" t="inlineStr">
        <is>
          <t>+LS40</t>
        </is>
      </c>
      <c r="D7295" t="inlineStr">
        <is>
          <t>-3225K2023.3</t>
        </is>
      </c>
      <c r="E7295" t="inlineStr">
        <is>
          <t>DILA-22</t>
        </is>
      </c>
      <c r="F7295" t="inlineStr">
        <is>
          <t>#KALK!</t>
        </is>
      </c>
      <c r="G7295" t="inlineStr">
        <is>
          <t>HILFSSCHUETZ</t>
        </is>
      </c>
      <c r="H7295" t="inlineStr">
        <is>
          <t>2S 2Oe Federzugkl.</t>
        </is>
      </c>
      <c r="I7295">
        <v>3508</v>
      </c>
      <c r="J7295">
        <f>GS55/3225.2</f>
        <v>0</v>
      </c>
      <c r="M7295" t="inlineStr">
        <is>
          <t>-3225K2023.3</t>
        </is>
      </c>
    </row>
    <row r="7296">
      <c r="A7296">
        <v>7295</v>
      </c>
      <c r="B7296">
        <f>GS55</f>
        <v>0</v>
      </c>
      <c r="C7296" t="inlineStr">
        <is>
          <t>+LS40</t>
        </is>
      </c>
      <c r="D7296" t="inlineStr">
        <is>
          <t>-3225Q2023.4</t>
        </is>
      </c>
      <c r="E7296" t="inlineStr">
        <is>
          <t>DILM-9-10</t>
        </is>
      </c>
      <c r="F7296" t="inlineStr">
        <is>
          <t>#KALK!</t>
        </is>
      </c>
      <c r="G7296" t="inlineStr">
        <is>
          <t>LASTSCHUETZ</t>
        </is>
      </c>
      <c r="H7296" t="inlineStr">
        <is>
          <t>4kW 1S Federzugkl.</t>
        </is>
      </c>
      <c r="I7296">
        <v>3508</v>
      </c>
      <c r="J7296">
        <f>GS55/3225.3</f>
        <v>0</v>
      </c>
      <c r="K7296" t="inlineStr">
        <is>
          <t>DIL MC9</t>
        </is>
      </c>
      <c r="M7296" t="inlineStr">
        <is>
          <t>-3225Q2023.4</t>
        </is>
      </c>
    </row>
    <row r="7297">
      <c r="A7297">
        <v>7296</v>
      </c>
      <c r="B7297">
        <f>GC22</f>
        <v>0</v>
      </c>
      <c r="C7297" t="inlineStr">
        <is>
          <t>+LS4</t>
        </is>
      </c>
      <c r="D7297" t="inlineStr">
        <is>
          <t>-322K1</t>
        </is>
      </c>
      <c r="E7297" t="inlineStr">
        <is>
          <t>31 DIL M</t>
        </is>
      </c>
      <c r="F7297" t="inlineStr">
        <is>
          <t>31 DIL M</t>
        </is>
      </c>
      <c r="G7297" t="inlineStr">
        <is>
          <t>HILFSKONTAKTBLOCK</t>
        </is>
      </c>
      <c r="H7297" t="inlineStr">
        <is>
          <t>3S 1OE Lastschuetz DIL M</t>
        </is>
      </c>
      <c r="I7297">
        <v>2265</v>
      </c>
      <c r="J7297">
        <f>GC22/322.5</f>
        <v>0</v>
      </c>
      <c r="K7297" t="inlineStr">
        <is>
          <t>DIL2AM</t>
        </is>
      </c>
      <c r="M7297" t="inlineStr">
        <is>
          <t>-322K1</t>
        </is>
      </c>
    </row>
    <row r="7298">
      <c r="A7298">
        <v>7297</v>
      </c>
      <c r="B7298">
        <f>GC22</f>
        <v>0</v>
      </c>
      <c r="C7298" t="inlineStr">
        <is>
          <t>+LS4</t>
        </is>
      </c>
      <c r="D7298" t="inlineStr">
        <is>
          <t>-322K1</t>
        </is>
      </c>
      <c r="E7298" t="inlineStr">
        <is>
          <t>DIL_2AM</t>
        </is>
      </c>
      <c r="F7298" t="inlineStr">
        <is>
          <t>31 DIL M</t>
        </is>
      </c>
      <c r="G7298" t="inlineStr">
        <is>
          <t>LASTSCHUETZ</t>
        </is>
      </c>
      <c r="H7298" t="inlineStr">
        <is>
          <t>30 kW</t>
        </is>
      </c>
      <c r="I7298">
        <v>2265</v>
      </c>
      <c r="J7298">
        <f>GC22/322.5</f>
        <v>0</v>
      </c>
      <c r="K7298" t="inlineStr">
        <is>
          <t>DIL2AM</t>
        </is>
      </c>
      <c r="M7298" t="inlineStr">
        <is>
          <t>-322K1</t>
        </is>
      </c>
    </row>
    <row r="7299">
      <c r="A7299">
        <v>7298</v>
      </c>
      <c r="B7299">
        <f>GS12</f>
        <v>0</v>
      </c>
      <c r="C7299" t="inlineStr">
        <is>
          <t>+LS4</t>
        </is>
      </c>
      <c r="D7299" t="inlineStr">
        <is>
          <t>-322K1</t>
        </is>
      </c>
      <c r="E7299" t="inlineStr">
        <is>
          <t>DIL_2AM</t>
        </is>
      </c>
      <c r="F7299" t="inlineStr">
        <is>
          <t>31 DIL M</t>
        </is>
      </c>
      <c r="G7299" t="inlineStr">
        <is>
          <t>LASTSCHUETZ</t>
        </is>
      </c>
      <c r="H7299" t="inlineStr">
        <is>
          <t>30 kW</t>
        </is>
      </c>
      <c r="I7299">
        <v>454</v>
      </c>
      <c r="J7299">
        <f>GS12/322.5</f>
        <v>0</v>
      </c>
      <c r="K7299" t="inlineStr">
        <is>
          <t>DIL2AM</t>
        </is>
      </c>
      <c r="M7299" t="inlineStr">
        <is>
          <t>-322K1</t>
        </is>
      </c>
    </row>
    <row r="7300">
      <c r="A7300">
        <v>7299</v>
      </c>
      <c r="B7300">
        <f>GS12</f>
        <v>0</v>
      </c>
      <c r="C7300" t="inlineStr">
        <is>
          <t>+LS4</t>
        </is>
      </c>
      <c r="D7300" t="inlineStr">
        <is>
          <t>-322K1</t>
        </is>
      </c>
      <c r="E7300" t="inlineStr">
        <is>
          <t>31 DIL M</t>
        </is>
      </c>
      <c r="F7300" t="inlineStr">
        <is>
          <t>31 DIL M</t>
        </is>
      </c>
      <c r="G7300" t="inlineStr">
        <is>
          <t>HILFSKONTAKTBLOCK</t>
        </is>
      </c>
      <c r="H7300" t="inlineStr">
        <is>
          <t>3S 1OE Lastschuetz DIL M</t>
        </is>
      </c>
      <c r="I7300">
        <v>454</v>
      </c>
      <c r="J7300">
        <f>GS12/322.5</f>
        <v>0</v>
      </c>
      <c r="K7300" t="inlineStr">
        <is>
          <t>DIL2AM</t>
        </is>
      </c>
      <c r="M7300" t="inlineStr">
        <is>
          <t>-322K1</t>
        </is>
      </c>
    </row>
    <row r="7301">
      <c r="A7301">
        <v>7300</v>
      </c>
      <c r="B7301">
        <f>GS24</f>
        <v>0</v>
      </c>
      <c r="C7301" t="inlineStr">
        <is>
          <t>+LS6</t>
        </is>
      </c>
      <c r="D7301" t="inlineStr">
        <is>
          <t>-322K16.3</t>
        </is>
      </c>
      <c r="E7301" t="inlineStr">
        <is>
          <t>DIL_EM-10-G</t>
        </is>
      </c>
      <c r="F7301" t="inlineStr">
        <is>
          <t>#KALK!</t>
        </is>
      </c>
      <c r="G7301" t="inlineStr">
        <is>
          <t>LASTSCHUETZ</t>
        </is>
      </c>
      <c r="H7301" t="inlineStr">
        <is>
          <t>4kW 1S</t>
        </is>
      </c>
      <c r="I7301">
        <v>765</v>
      </c>
      <c r="J7301">
        <f>GS24/322.6</f>
        <v>0</v>
      </c>
      <c r="M7301" t="inlineStr">
        <is>
          <t>-322K16.3</t>
        </is>
      </c>
    </row>
    <row r="7302">
      <c r="A7302">
        <v>7301</v>
      </c>
      <c r="B7302">
        <f>GS24</f>
        <v>0</v>
      </c>
      <c r="C7302" t="inlineStr">
        <is>
          <t>+LS6</t>
        </is>
      </c>
      <c r="D7302" t="inlineStr">
        <is>
          <t>-322K16.6</t>
        </is>
      </c>
      <c r="E7302" t="inlineStr">
        <is>
          <t>DIL_EM-10-G</t>
        </is>
      </c>
      <c r="F7302" t="inlineStr">
        <is>
          <t>#KALK!</t>
        </is>
      </c>
      <c r="G7302" t="inlineStr">
        <is>
          <t>LASTSCHUETZ</t>
        </is>
      </c>
      <c r="H7302" t="inlineStr">
        <is>
          <t>4kW 1S</t>
        </is>
      </c>
      <c r="I7302">
        <v>765</v>
      </c>
      <c r="J7302">
        <f>GS24/322.6</f>
        <v>0</v>
      </c>
      <c r="M7302" t="inlineStr">
        <is>
          <t>-322K16.6</t>
        </is>
      </c>
    </row>
    <row r="7303">
      <c r="A7303">
        <v>7302</v>
      </c>
      <c r="B7303">
        <f>GS25</f>
        <v>0</v>
      </c>
      <c r="C7303" t="inlineStr">
        <is>
          <t>+LS6</t>
        </is>
      </c>
      <c r="D7303" t="inlineStr">
        <is>
          <t>-322K19.4</t>
        </is>
      </c>
      <c r="E7303" t="inlineStr">
        <is>
          <t>DIL_EM-10-G</t>
        </is>
      </c>
      <c r="F7303" t="inlineStr">
        <is>
          <t>#KALK!</t>
        </is>
      </c>
      <c r="G7303" t="inlineStr">
        <is>
          <t>LASTSCHUETZ</t>
        </is>
      </c>
      <c r="H7303" t="inlineStr">
        <is>
          <t>4kW 1S</t>
        </is>
      </c>
      <c r="I7303">
        <v>446</v>
      </c>
      <c r="J7303">
        <f>GS25/322.6</f>
        <v>0</v>
      </c>
      <c r="M7303" t="inlineStr">
        <is>
          <t>-322K19.4</t>
        </is>
      </c>
    </row>
    <row r="7304">
      <c r="A7304">
        <v>7303</v>
      </c>
      <c r="B7304">
        <f>GS14</f>
        <v>0</v>
      </c>
      <c r="C7304" t="inlineStr">
        <is>
          <t>+LS6</t>
        </is>
      </c>
      <c r="D7304" t="inlineStr">
        <is>
          <t>-322K23.1</t>
        </is>
      </c>
      <c r="E7304" t="inlineStr">
        <is>
          <t>DIL_EM-10-G</t>
        </is>
      </c>
      <c r="F7304" t="inlineStr">
        <is>
          <t>#KALK!</t>
        </is>
      </c>
      <c r="G7304" t="inlineStr">
        <is>
          <t>LASTSCHUETZ</t>
        </is>
      </c>
      <c r="H7304" t="inlineStr">
        <is>
          <t>4kW 1S</t>
        </is>
      </c>
      <c r="I7304">
        <v>451</v>
      </c>
      <c r="J7304">
        <f>GS14/322.6</f>
        <v>0</v>
      </c>
      <c r="M7304" t="inlineStr">
        <is>
          <t>-322K23.1</t>
        </is>
      </c>
    </row>
    <row r="7305">
      <c r="A7305">
        <v>7304</v>
      </c>
      <c r="B7305">
        <f>GS14</f>
        <v>0</v>
      </c>
      <c r="C7305" t="inlineStr">
        <is>
          <t>+LS6</t>
        </is>
      </c>
      <c r="D7305" t="inlineStr">
        <is>
          <t>-322K23.2</t>
        </is>
      </c>
      <c r="E7305" t="inlineStr">
        <is>
          <t>DIL_EM-10-G</t>
        </is>
      </c>
      <c r="F7305" t="inlineStr">
        <is>
          <t>#KALK!</t>
        </is>
      </c>
      <c r="G7305" t="inlineStr">
        <is>
          <t>LASTSCHUETZ</t>
        </is>
      </c>
      <c r="H7305" t="inlineStr">
        <is>
          <t>4kW 1S</t>
        </is>
      </c>
      <c r="I7305">
        <v>451</v>
      </c>
      <c r="J7305">
        <f>GS14/322.6</f>
        <v>0</v>
      </c>
      <c r="M7305" t="inlineStr">
        <is>
          <t>-322K23.2</t>
        </is>
      </c>
    </row>
    <row r="7306">
      <c r="A7306">
        <v>7305</v>
      </c>
      <c r="B7306">
        <f>GS33</f>
        <v>0</v>
      </c>
      <c r="C7306" t="inlineStr">
        <is>
          <t>+LS7</t>
        </is>
      </c>
      <c r="D7306" t="inlineStr">
        <is>
          <t>-322K3605.0</t>
        </is>
      </c>
      <c r="E7306" t="inlineStr">
        <is>
          <t>DIL_EM-10-G</t>
        </is>
      </c>
      <c r="F7306" t="inlineStr">
        <is>
          <t>#KALK!</t>
        </is>
      </c>
      <c r="G7306" t="inlineStr">
        <is>
          <t>LASTSCHUETZ</t>
        </is>
      </c>
      <c r="H7306" t="inlineStr">
        <is>
          <t>4kW 1S</t>
        </is>
      </c>
      <c r="I7306">
        <v>770</v>
      </c>
      <c r="J7306">
        <f>GS33/322.6</f>
        <v>0</v>
      </c>
      <c r="M7306" t="inlineStr">
        <is>
          <t>-322K3605.0</t>
        </is>
      </c>
    </row>
    <row r="7307">
      <c r="A7307">
        <v>7306</v>
      </c>
      <c r="B7307">
        <f>GS33</f>
        <v>0</v>
      </c>
      <c r="C7307" t="inlineStr">
        <is>
          <t>+LS7</t>
        </is>
      </c>
      <c r="D7307" t="inlineStr">
        <is>
          <t>-322K3605.5</t>
        </is>
      </c>
      <c r="E7307" t="inlineStr">
        <is>
          <t>DIL_EM-10-G</t>
        </is>
      </c>
      <c r="F7307" t="inlineStr">
        <is>
          <t>#KALK!</t>
        </is>
      </c>
      <c r="G7307" t="inlineStr">
        <is>
          <t>LASTSCHUETZ</t>
        </is>
      </c>
      <c r="H7307" t="inlineStr">
        <is>
          <t>4kW 1S</t>
        </is>
      </c>
      <c r="I7307">
        <v>770</v>
      </c>
      <c r="J7307">
        <f>GS33/322.7</f>
        <v>0</v>
      </c>
      <c r="M7307" t="inlineStr">
        <is>
          <t>-322K3605.5</t>
        </is>
      </c>
    </row>
    <row r="7308">
      <c r="A7308">
        <v>7307</v>
      </c>
      <c r="B7308">
        <f>GS16</f>
        <v>0</v>
      </c>
      <c r="C7308" t="inlineStr">
        <is>
          <t>+LS5</t>
        </is>
      </c>
      <c r="D7308" t="inlineStr">
        <is>
          <t>-322K3761.5</t>
        </is>
      </c>
      <c r="E7308" t="inlineStr">
        <is>
          <t>DILM-9-10</t>
        </is>
      </c>
      <c r="F7308" t="inlineStr">
        <is>
          <t>#KALK!</t>
        </is>
      </c>
      <c r="G7308" t="inlineStr">
        <is>
          <t>LASTSCHUETZ</t>
        </is>
      </c>
      <c r="H7308" t="inlineStr">
        <is>
          <t>4kW 1S Federzugkl.</t>
        </is>
      </c>
      <c r="I7308">
        <v>550</v>
      </c>
      <c r="J7308">
        <f>GS16/322.7</f>
        <v>0</v>
      </c>
      <c r="M7308" t="inlineStr">
        <is>
          <t>-322K3761.5</t>
        </is>
      </c>
    </row>
    <row r="7309">
      <c r="A7309">
        <v>7308</v>
      </c>
      <c r="B7309">
        <f>GS01</f>
        <v>0</v>
      </c>
      <c r="C7309" t="inlineStr">
        <is>
          <t>+LS7</t>
        </is>
      </c>
      <c r="D7309" t="inlineStr">
        <is>
          <t>-322K63.0</t>
        </is>
      </c>
      <c r="E7309" t="inlineStr">
        <is>
          <t>DIL_EM-10-G</t>
        </is>
      </c>
      <c r="F7309" t="inlineStr">
        <is>
          <t>#KALK!</t>
        </is>
      </c>
      <c r="G7309" t="inlineStr">
        <is>
          <t>LASTSCHUETZ</t>
        </is>
      </c>
      <c r="H7309" t="inlineStr">
        <is>
          <t>4kW 1S</t>
        </is>
      </c>
      <c r="I7309">
        <v>485</v>
      </c>
      <c r="J7309">
        <f>GS01/322.6</f>
        <v>0</v>
      </c>
      <c r="M7309" t="inlineStr">
        <is>
          <t>-322K63.0</t>
        </is>
      </c>
    </row>
    <row r="7310">
      <c r="A7310">
        <v>7309</v>
      </c>
      <c r="B7310">
        <f>GS01</f>
        <v>0</v>
      </c>
      <c r="C7310" t="inlineStr">
        <is>
          <t>+LS7</t>
        </is>
      </c>
      <c r="D7310" t="inlineStr">
        <is>
          <t>-322K63.1</t>
        </is>
      </c>
      <c r="E7310" t="inlineStr">
        <is>
          <t>DIL_EM-10-G</t>
        </is>
      </c>
      <c r="F7310" t="inlineStr">
        <is>
          <t>#KALK!</t>
        </is>
      </c>
      <c r="G7310" t="inlineStr">
        <is>
          <t>LASTSCHUETZ</t>
        </is>
      </c>
      <c r="H7310" t="inlineStr">
        <is>
          <t>4kW 1S</t>
        </is>
      </c>
      <c r="I7310">
        <v>485</v>
      </c>
      <c r="J7310">
        <f>GS01/322.6</f>
        <v>0</v>
      </c>
      <c r="M7310" t="inlineStr">
        <is>
          <t>-322K63.1</t>
        </is>
      </c>
    </row>
    <row r="7311">
      <c r="A7311">
        <v>7310</v>
      </c>
      <c r="B7311">
        <f>GS32</f>
        <v>0</v>
      </c>
      <c r="C7311" t="inlineStr">
        <is>
          <t>+LS7</t>
        </is>
      </c>
      <c r="D7311" t="inlineStr">
        <is>
          <t>-322K76.5</t>
        </is>
      </c>
      <c r="E7311" t="inlineStr">
        <is>
          <t>DIL_EM-10-G</t>
        </is>
      </c>
      <c r="F7311" t="inlineStr">
        <is>
          <t>#KALK!</t>
        </is>
      </c>
      <c r="G7311" t="inlineStr">
        <is>
          <t>LASTSCHUETZ</t>
        </is>
      </c>
      <c r="H7311" t="inlineStr">
        <is>
          <t>4kW 1S</t>
        </is>
      </c>
      <c r="I7311">
        <v>1284</v>
      </c>
      <c r="J7311">
        <f>GS32/322.7</f>
        <v>0</v>
      </c>
      <c r="M7311" t="inlineStr">
        <is>
          <t>-322K76.5</t>
        </is>
      </c>
    </row>
    <row r="7312">
      <c r="A7312">
        <v>7311</v>
      </c>
      <c r="B7312">
        <f>GC03</f>
        <v>0</v>
      </c>
      <c r="C7312" t="inlineStr">
        <is>
          <t>+LS8</t>
        </is>
      </c>
      <c r="D7312" t="inlineStr">
        <is>
          <t>-322K90.0</t>
        </is>
      </c>
      <c r="E7312" t="inlineStr">
        <is>
          <t>DIL_EM-10-G</t>
        </is>
      </c>
      <c r="F7312" t="inlineStr">
        <is>
          <t>#KALK!</t>
        </is>
      </c>
      <c r="G7312" t="inlineStr">
        <is>
          <t>LASTSCHUETZ</t>
        </is>
      </c>
      <c r="H7312" t="inlineStr">
        <is>
          <t>4kW 1S</t>
        </is>
      </c>
      <c r="I7312">
        <v>213</v>
      </c>
      <c r="J7312">
        <f>GC03/322.6</f>
        <v>0</v>
      </c>
      <c r="M7312" t="inlineStr">
        <is>
          <t>-322K90.0</t>
        </is>
      </c>
    </row>
    <row r="7313">
      <c r="A7313">
        <v>7312</v>
      </c>
      <c r="B7313">
        <f>GC03</f>
        <v>0</v>
      </c>
      <c r="C7313" t="inlineStr">
        <is>
          <t>+LS8</t>
        </is>
      </c>
      <c r="D7313" t="inlineStr">
        <is>
          <t>-322K90.1</t>
        </is>
      </c>
      <c r="E7313" t="inlineStr">
        <is>
          <t>DIL_EM-10-G</t>
        </is>
      </c>
      <c r="F7313" t="inlineStr">
        <is>
          <t>#KALK!</t>
        </is>
      </c>
      <c r="G7313" t="inlineStr">
        <is>
          <t>LASTSCHUETZ</t>
        </is>
      </c>
      <c r="H7313" t="inlineStr">
        <is>
          <t>4kW 1S</t>
        </is>
      </c>
      <c r="I7313">
        <v>213</v>
      </c>
      <c r="J7313">
        <f>GC03/322.6</f>
        <v>0</v>
      </c>
      <c r="M7313" t="inlineStr">
        <is>
          <t>-322K90.1</t>
        </is>
      </c>
    </row>
    <row r="7314">
      <c r="A7314">
        <v>7313</v>
      </c>
      <c r="B7314">
        <f>GS37</f>
        <v>0</v>
      </c>
      <c r="C7314" t="inlineStr">
        <is>
          <t>+LS06</t>
        </is>
      </c>
      <c r="D7314" t="inlineStr">
        <is>
          <t>-322Q114.4</t>
        </is>
      </c>
      <c r="E7314" t="inlineStr">
        <is>
          <t>DILM-9-10</t>
        </is>
      </c>
      <c r="F7314" t="inlineStr">
        <is>
          <t>#KALK!</t>
        </is>
      </c>
      <c r="G7314" t="inlineStr">
        <is>
          <t>LASTSCHUETZ</t>
        </is>
      </c>
      <c r="H7314" t="inlineStr">
        <is>
          <t>4kW 1S Federzugkl.</t>
        </is>
      </c>
      <c r="I7314">
        <v>485</v>
      </c>
      <c r="J7314">
        <f>GS37/322.6</f>
        <v>0</v>
      </c>
      <c r="M7314" t="inlineStr">
        <is>
          <t>-322Q114.4</t>
        </is>
      </c>
    </row>
    <row r="7315">
      <c r="A7315">
        <v>7314</v>
      </c>
      <c r="B7315">
        <f>GS55</f>
        <v>0</v>
      </c>
      <c r="C7315" t="inlineStr">
        <is>
          <t>+LS40</t>
        </is>
      </c>
      <c r="D7315" t="inlineStr">
        <is>
          <t>-3230Q1</t>
        </is>
      </c>
      <c r="E7315" t="inlineStr">
        <is>
          <t>DILMC25-10(RDC24)</t>
        </is>
      </c>
      <c r="F7315" t="inlineStr">
        <is>
          <t>DILA-XHI22</t>
        </is>
      </c>
      <c r="G7315" t="inlineStr">
        <is>
          <t>LASTSCHUETZ</t>
        </is>
      </c>
      <c r="H7315" t="inlineStr">
        <is>
          <t>11kW 1S Federzugkl.</t>
        </is>
      </c>
      <c r="I7315">
        <v>3533</v>
      </c>
      <c r="J7315">
        <f>GS55/3230.6</f>
        <v>0</v>
      </c>
      <c r="K7315" t="inlineStr">
        <is>
          <t>DIL MC25</t>
        </is>
      </c>
      <c r="M7315" t="inlineStr">
        <is>
          <t>-3230Q1</t>
        </is>
      </c>
    </row>
    <row r="7316">
      <c r="A7316">
        <v>7315</v>
      </c>
      <c r="B7316">
        <f>GS55</f>
        <v>0</v>
      </c>
      <c r="C7316" t="inlineStr">
        <is>
          <t>+LS40</t>
        </is>
      </c>
      <c r="D7316" t="inlineStr">
        <is>
          <t>-3230Q1</t>
        </is>
      </c>
      <c r="E7316" t="inlineStr">
        <is>
          <t>DILA-XHI22</t>
        </is>
      </c>
      <c r="F7316" t="inlineStr">
        <is>
          <t>DILA-XHI22</t>
        </is>
      </c>
      <c r="G7316" t="inlineStr">
        <is>
          <t>HILFSKONTAKTBLOCK</t>
        </is>
      </c>
      <c r="H7316" t="inlineStr">
        <is>
          <t>2S 2OE Last+Hilfssch. Cage</t>
        </is>
      </c>
      <c r="I7316">
        <v>3533</v>
      </c>
      <c r="J7316">
        <f>GS55/3230.6</f>
        <v>0</v>
      </c>
      <c r="K7316" t="inlineStr">
        <is>
          <t>DIL MC25</t>
        </is>
      </c>
      <c r="M7316" t="inlineStr">
        <is>
          <t>-3230Q1</t>
        </is>
      </c>
    </row>
    <row r="7317">
      <c r="A7317">
        <v>7316</v>
      </c>
      <c r="B7317">
        <f>GS32</f>
        <v>0</v>
      </c>
      <c r="C7317" t="inlineStr">
        <is>
          <t>+LS7</t>
        </is>
      </c>
      <c r="D7317" t="inlineStr">
        <is>
          <t>-323K1</t>
        </is>
      </c>
      <c r="E7317" t="inlineStr">
        <is>
          <t>DIL_2AM</t>
        </is>
      </c>
      <c r="F7317" t="inlineStr">
        <is>
          <t>31 DIL M</t>
        </is>
      </c>
      <c r="G7317" t="inlineStr">
        <is>
          <t>LASTSCHUETZ</t>
        </is>
      </c>
      <c r="H7317" t="inlineStr">
        <is>
          <t>30 kW</t>
        </is>
      </c>
      <c r="I7317">
        <v>1281</v>
      </c>
      <c r="J7317">
        <f>GS32/323.5</f>
        <v>0</v>
      </c>
      <c r="K7317" t="inlineStr">
        <is>
          <t>DIL2AM</t>
        </is>
      </c>
      <c r="M7317" t="inlineStr">
        <is>
          <t>-323K1</t>
        </is>
      </c>
    </row>
    <row r="7318">
      <c r="A7318">
        <v>7317</v>
      </c>
      <c r="B7318">
        <f>GS32</f>
        <v>0</v>
      </c>
      <c r="C7318" t="inlineStr">
        <is>
          <t>+LS7</t>
        </is>
      </c>
      <c r="D7318" t="inlineStr">
        <is>
          <t>-323K1</t>
        </is>
      </c>
      <c r="E7318" t="inlineStr">
        <is>
          <t>31 DIL M</t>
        </is>
      </c>
      <c r="F7318" t="inlineStr">
        <is>
          <t>31 DIL M</t>
        </is>
      </c>
      <c r="G7318" t="inlineStr">
        <is>
          <t>HILFSKONTAKTBLOCK</t>
        </is>
      </c>
      <c r="H7318" t="inlineStr">
        <is>
          <t>3S 1OE Lastschuetz DIL M</t>
        </is>
      </c>
      <c r="I7318">
        <v>1281</v>
      </c>
      <c r="J7318">
        <f>GS32/323.5</f>
        <v>0</v>
      </c>
      <c r="K7318" t="inlineStr">
        <is>
          <t>DIL2AM</t>
        </is>
      </c>
      <c r="M7318" t="inlineStr">
        <is>
          <t>-323K1</t>
        </is>
      </c>
    </row>
    <row r="7319">
      <c r="A7319">
        <v>7318</v>
      </c>
      <c r="B7319">
        <f>GS36</f>
        <v>0</v>
      </c>
      <c r="C7319" t="inlineStr">
        <is>
          <t>+LS07</t>
        </is>
      </c>
      <c r="D7319" t="inlineStr">
        <is>
          <t>-345K421.0</t>
        </is>
      </c>
      <c r="E7319" t="inlineStr">
        <is>
          <t>DILA-40</t>
        </is>
      </c>
      <c r="F7319" t="inlineStr">
        <is>
          <t>#KALK!</t>
        </is>
      </c>
      <c r="G7319" t="inlineStr">
        <is>
          <t>HILFSSCHUETZ</t>
        </is>
      </c>
      <c r="H7319" t="inlineStr">
        <is>
          <t>4S Federzugkl.</t>
        </is>
      </c>
      <c r="I7319">
        <v>518</v>
      </c>
      <c r="J7319">
        <f>GS36/345.7</f>
        <v>0</v>
      </c>
      <c r="M7319" t="inlineStr">
        <is>
          <t>-345K421.0</t>
        </is>
      </c>
    </row>
    <row r="7320">
      <c r="A7320">
        <v>7319</v>
      </c>
      <c r="B7320">
        <f>GS24</f>
        <v>0</v>
      </c>
      <c r="C7320" t="inlineStr">
        <is>
          <t>+LS6</t>
        </is>
      </c>
      <c r="D7320" t="inlineStr">
        <is>
          <t>-323K16.7</t>
        </is>
      </c>
      <c r="E7320" t="inlineStr">
        <is>
          <t>DIL_EM-10-G</t>
        </is>
      </c>
      <c r="F7320" t="inlineStr">
        <is>
          <t>#KALK!</t>
        </is>
      </c>
      <c r="G7320" t="inlineStr">
        <is>
          <t>LASTSCHUETZ</t>
        </is>
      </c>
      <c r="H7320" t="inlineStr">
        <is>
          <t>4kW 1S</t>
        </is>
      </c>
      <c r="I7320">
        <v>764</v>
      </c>
      <c r="J7320">
        <f>GS24/323.6</f>
        <v>0</v>
      </c>
      <c r="M7320" t="inlineStr">
        <is>
          <t>-323K16.7</t>
        </is>
      </c>
    </row>
    <row r="7321">
      <c r="A7321">
        <v>7320</v>
      </c>
      <c r="B7321">
        <f>GS36</f>
        <v>0</v>
      </c>
      <c r="C7321" t="inlineStr">
        <is>
          <t>+LS07</t>
        </is>
      </c>
      <c r="D7321" t="inlineStr">
        <is>
          <t>-353K1</t>
        </is>
      </c>
      <c r="E7321" t="inlineStr">
        <is>
          <t>DILM-9-01</t>
        </is>
      </c>
      <c r="F7321" t="inlineStr">
        <is>
          <t>#KALK!</t>
        </is>
      </c>
      <c r="G7321" t="inlineStr">
        <is>
          <t>LASTSCHUETZ</t>
        </is>
      </c>
      <c r="H7321" t="inlineStr">
        <is>
          <t>4kW 1Oe Federzugkl.</t>
        </is>
      </c>
      <c r="I7321">
        <v>526</v>
      </c>
      <c r="J7321">
        <f>GS36/353.6</f>
        <v>0</v>
      </c>
      <c r="L7321" t="inlineStr">
        <is>
          <t>Lichtvorhang KF</t>
        </is>
      </c>
      <c r="M7321" t="inlineStr">
        <is>
          <t>Lichtvorhang KF
-353K1</t>
        </is>
      </c>
    </row>
    <row r="7322">
      <c r="A7322">
        <v>7321</v>
      </c>
      <c r="B7322">
        <f>GS25</f>
        <v>0</v>
      </c>
      <c r="C7322" t="inlineStr">
        <is>
          <t>+LS6</t>
        </is>
      </c>
      <c r="D7322" t="inlineStr">
        <is>
          <t>-323K20.0</t>
        </is>
      </c>
      <c r="E7322" t="inlineStr">
        <is>
          <t>DIL_EM-10-G</t>
        </is>
      </c>
      <c r="F7322" t="inlineStr">
        <is>
          <t>#KALK!</t>
        </is>
      </c>
      <c r="G7322" t="inlineStr">
        <is>
          <t>LASTSCHUETZ</t>
        </is>
      </c>
      <c r="H7322" t="inlineStr">
        <is>
          <t>4kW 1S</t>
        </is>
      </c>
      <c r="I7322">
        <v>447</v>
      </c>
      <c r="J7322">
        <f>GS25/323.7</f>
        <v>0</v>
      </c>
      <c r="M7322" t="inlineStr">
        <is>
          <t>-323K20.0</t>
        </is>
      </c>
    </row>
    <row r="7323">
      <c r="A7323">
        <v>7322</v>
      </c>
      <c r="B7323">
        <f>GS14</f>
        <v>0</v>
      </c>
      <c r="C7323" t="inlineStr">
        <is>
          <t>+LS6</t>
        </is>
      </c>
      <c r="D7323" t="inlineStr">
        <is>
          <t>-323K23.3</t>
        </is>
      </c>
      <c r="E7323" t="inlineStr">
        <is>
          <t>DIL_EM-10-G</t>
        </is>
      </c>
      <c r="F7323" t="inlineStr">
        <is>
          <t>#KALK!</t>
        </is>
      </c>
      <c r="G7323" t="inlineStr">
        <is>
          <t>LASTSCHUETZ</t>
        </is>
      </c>
      <c r="H7323" t="inlineStr">
        <is>
          <t>4kW 1S</t>
        </is>
      </c>
      <c r="I7323">
        <v>452</v>
      </c>
      <c r="J7323">
        <f>GS14/323.6</f>
        <v>0</v>
      </c>
      <c r="M7323" t="inlineStr">
        <is>
          <t>-323K23.3</t>
        </is>
      </c>
    </row>
    <row r="7324">
      <c r="A7324">
        <v>7323</v>
      </c>
      <c r="B7324">
        <f>GS14</f>
        <v>0</v>
      </c>
      <c r="C7324" t="inlineStr">
        <is>
          <t>+LS6</t>
        </is>
      </c>
      <c r="D7324" t="inlineStr">
        <is>
          <t>-323K23.4</t>
        </is>
      </c>
      <c r="E7324" t="inlineStr">
        <is>
          <t>DIL_EM-10-G</t>
        </is>
      </c>
      <c r="F7324" t="inlineStr">
        <is>
          <t>#KALK!</t>
        </is>
      </c>
      <c r="G7324" t="inlineStr">
        <is>
          <t>LASTSCHUETZ</t>
        </is>
      </c>
      <c r="H7324" t="inlineStr">
        <is>
          <t>4kW 1S</t>
        </is>
      </c>
      <c r="I7324">
        <v>452</v>
      </c>
      <c r="J7324">
        <f>GS14/323.6</f>
        <v>0</v>
      </c>
      <c r="M7324" t="inlineStr">
        <is>
          <t>-323K23.4</t>
        </is>
      </c>
    </row>
    <row r="7325">
      <c r="A7325">
        <v>7324</v>
      </c>
      <c r="B7325">
        <f>GS33</f>
        <v>0</v>
      </c>
      <c r="C7325" t="inlineStr">
        <is>
          <t>+LS7</t>
        </is>
      </c>
      <c r="D7325" t="inlineStr">
        <is>
          <t>-323K3605.4</t>
        </is>
      </c>
      <c r="E7325" t="inlineStr">
        <is>
          <t>DIL_EM-10-G</t>
        </is>
      </c>
      <c r="F7325" t="inlineStr">
        <is>
          <t>#KALK!</t>
        </is>
      </c>
      <c r="G7325" t="inlineStr">
        <is>
          <t>LASTSCHUETZ</t>
        </is>
      </c>
      <c r="H7325" t="inlineStr">
        <is>
          <t>4kW 1S</t>
        </is>
      </c>
      <c r="I7325">
        <v>771</v>
      </c>
      <c r="J7325">
        <f>GS33/323.7</f>
        <v>0</v>
      </c>
      <c r="M7325" t="inlineStr">
        <is>
          <t>-323K3605.4</t>
        </is>
      </c>
    </row>
    <row r="7326">
      <c r="A7326">
        <v>7325</v>
      </c>
      <c r="B7326">
        <f>GS16</f>
        <v>0</v>
      </c>
      <c r="C7326" t="inlineStr">
        <is>
          <t>+LS5</t>
        </is>
      </c>
      <c r="D7326" t="inlineStr">
        <is>
          <t>-323K3760.0</t>
        </is>
      </c>
      <c r="E7326" t="inlineStr">
        <is>
          <t>DILM-9-10</t>
        </is>
      </c>
      <c r="F7326" t="inlineStr">
        <is>
          <t>#KALK!</t>
        </is>
      </c>
      <c r="G7326" t="inlineStr">
        <is>
          <t>LASTSCHUETZ</t>
        </is>
      </c>
      <c r="H7326" t="inlineStr">
        <is>
          <t>4kW 1S Federzugkl.</t>
        </is>
      </c>
      <c r="I7326">
        <v>551</v>
      </c>
      <c r="J7326">
        <f>GS16/323.6</f>
        <v>0</v>
      </c>
      <c r="M7326" t="inlineStr">
        <is>
          <t>-323K3760.0</t>
        </is>
      </c>
    </row>
    <row r="7327">
      <c r="A7327">
        <v>7326</v>
      </c>
      <c r="B7327">
        <f>GS16</f>
        <v>0</v>
      </c>
      <c r="C7327" t="inlineStr">
        <is>
          <t>+LS5</t>
        </is>
      </c>
      <c r="D7327" t="inlineStr">
        <is>
          <t>-323K3760.1</t>
        </is>
      </c>
      <c r="E7327" t="inlineStr">
        <is>
          <t>DILM-9-10</t>
        </is>
      </c>
      <c r="F7327" t="inlineStr">
        <is>
          <t>#KALK!</t>
        </is>
      </c>
      <c r="G7327" t="inlineStr">
        <is>
          <t>LASTSCHUETZ</t>
        </is>
      </c>
      <c r="H7327" t="inlineStr">
        <is>
          <t>4kW 1S Federzugkl.</t>
        </is>
      </c>
      <c r="I7327">
        <v>551</v>
      </c>
      <c r="J7327">
        <f>GS16/323.6</f>
        <v>0</v>
      </c>
      <c r="M7327" t="inlineStr">
        <is>
          <t>-323K3760.1</t>
        </is>
      </c>
    </row>
    <row r="7328">
      <c r="A7328">
        <v>7327</v>
      </c>
      <c r="B7328">
        <f>GS01</f>
        <v>0</v>
      </c>
      <c r="C7328" t="inlineStr">
        <is>
          <t>+LS7</t>
        </is>
      </c>
      <c r="D7328" t="inlineStr">
        <is>
          <t>-323K63.5</t>
        </is>
      </c>
      <c r="E7328" t="inlineStr">
        <is>
          <t>DIL_EM-10-G</t>
        </is>
      </c>
      <c r="F7328" t="inlineStr">
        <is>
          <t>#KALK!</t>
        </is>
      </c>
      <c r="G7328" t="inlineStr">
        <is>
          <t>LASTSCHUETZ</t>
        </is>
      </c>
      <c r="H7328" t="inlineStr">
        <is>
          <t>4kW 1S</t>
        </is>
      </c>
      <c r="I7328">
        <v>486</v>
      </c>
      <c r="J7328">
        <f>GS01/323.7</f>
        <v>0</v>
      </c>
      <c r="M7328" t="inlineStr">
        <is>
          <t>-323K63.5</t>
        </is>
      </c>
    </row>
    <row r="7329">
      <c r="A7329">
        <v>7328</v>
      </c>
      <c r="B7329">
        <f>GC03</f>
        <v>0</v>
      </c>
      <c r="C7329" t="inlineStr">
        <is>
          <t>+LS8</t>
        </is>
      </c>
      <c r="D7329" t="inlineStr">
        <is>
          <t>-323K90.2</t>
        </is>
      </c>
      <c r="E7329" t="inlineStr">
        <is>
          <t>DIL_EM-10-G</t>
        </is>
      </c>
      <c r="F7329" t="inlineStr">
        <is>
          <t>#KALK!</t>
        </is>
      </c>
      <c r="G7329" t="inlineStr">
        <is>
          <t>LASTSCHUETZ</t>
        </is>
      </c>
      <c r="H7329" t="inlineStr">
        <is>
          <t>4kW 1S</t>
        </is>
      </c>
      <c r="I7329">
        <v>3953</v>
      </c>
      <c r="J7329">
        <f>GC03/323.6</f>
        <v>0</v>
      </c>
      <c r="M7329" t="inlineStr">
        <is>
          <t>-323K90.2</t>
        </is>
      </c>
    </row>
    <row r="7330">
      <c r="A7330">
        <v>7329</v>
      </c>
      <c r="B7330">
        <f>GC03</f>
        <v>0</v>
      </c>
      <c r="C7330" t="inlineStr">
        <is>
          <t>+LS8</t>
        </is>
      </c>
      <c r="D7330" t="inlineStr">
        <is>
          <t>-323K90.3</t>
        </is>
      </c>
      <c r="E7330" t="inlineStr">
        <is>
          <t>DIL_EM-10-G</t>
        </is>
      </c>
      <c r="F7330" t="inlineStr">
        <is>
          <t>#KALK!</t>
        </is>
      </c>
      <c r="G7330" t="inlineStr">
        <is>
          <t>LASTSCHUETZ</t>
        </is>
      </c>
      <c r="H7330" t="inlineStr">
        <is>
          <t>4kW 1S</t>
        </is>
      </c>
      <c r="I7330">
        <v>3953</v>
      </c>
      <c r="J7330">
        <f>GC03/323.6</f>
        <v>0</v>
      </c>
      <c r="M7330" t="inlineStr">
        <is>
          <t>-323K90.3</t>
        </is>
      </c>
    </row>
    <row r="7331">
      <c r="A7331">
        <v>7330</v>
      </c>
      <c r="B7331">
        <f>GS33</f>
        <v>0</v>
      </c>
      <c r="C7331" t="inlineStr">
        <is>
          <t>+LS7</t>
        </is>
      </c>
      <c r="D7331" t="inlineStr">
        <is>
          <t>-324.1K3612.5</t>
        </is>
      </c>
      <c r="E7331" t="inlineStr">
        <is>
          <t>DILMC12-10(24VDC)</t>
        </is>
      </c>
      <c r="F7331" t="inlineStr">
        <is>
          <t>#KALK!</t>
        </is>
      </c>
      <c r="G7331" t="inlineStr">
        <is>
          <t>LASTSCHUETZ</t>
        </is>
      </c>
      <c r="H7331" t="inlineStr">
        <is>
          <t>5,5kW 1S Federzugkl.</t>
        </is>
      </c>
      <c r="I7331">
        <v>773</v>
      </c>
      <c r="J7331">
        <f>GS33/324.1.5</f>
        <v>0</v>
      </c>
      <c r="K7331" t="inlineStr">
        <is>
          <t>DIL MC12</t>
        </is>
      </c>
      <c r="M7331" t="inlineStr">
        <is>
          <t>-324.1K3612.5</t>
        </is>
      </c>
    </row>
    <row r="7332">
      <c r="A7332">
        <v>7331</v>
      </c>
      <c r="B7332">
        <f>GS34</f>
        <v>0</v>
      </c>
      <c r="C7332" t="inlineStr">
        <is>
          <t>+LS7</t>
        </is>
      </c>
      <c r="D7332" t="inlineStr">
        <is>
          <t>-324K1</t>
        </is>
      </c>
      <c r="E7332" t="inlineStr">
        <is>
          <t>31 DIL M</t>
        </is>
      </c>
      <c r="F7332" t="inlineStr">
        <is>
          <t>31 DIL M</t>
        </is>
      </c>
      <c r="G7332" t="inlineStr">
        <is>
          <t>HILFSKONTAKTBLOCK</t>
        </is>
      </c>
      <c r="H7332" t="inlineStr">
        <is>
          <t>3S 1OE Lastschuetz DIL M</t>
        </is>
      </c>
      <c r="I7332">
        <v>449</v>
      </c>
      <c r="J7332">
        <f>GS34/324.5</f>
        <v>0</v>
      </c>
      <c r="K7332" t="inlineStr">
        <is>
          <t>DIL2AM</t>
        </is>
      </c>
      <c r="M7332" t="inlineStr">
        <is>
          <t>-324K1</t>
        </is>
      </c>
    </row>
    <row r="7333">
      <c r="A7333">
        <v>7332</v>
      </c>
      <c r="B7333">
        <f>GS34</f>
        <v>0</v>
      </c>
      <c r="C7333" t="inlineStr">
        <is>
          <t>+LS7</t>
        </is>
      </c>
      <c r="D7333" t="inlineStr">
        <is>
          <t>-324K1</t>
        </is>
      </c>
      <c r="E7333" t="inlineStr">
        <is>
          <t>DIL_2AM</t>
        </is>
      </c>
      <c r="F7333" t="inlineStr">
        <is>
          <t>31 DIL M</t>
        </is>
      </c>
      <c r="G7333" t="inlineStr">
        <is>
          <t>LASTSCHUETZ</t>
        </is>
      </c>
      <c r="H7333" t="inlineStr">
        <is>
          <t>30 kW</t>
        </is>
      </c>
      <c r="I7333">
        <v>449</v>
      </c>
      <c r="J7333">
        <f>GS34/324.5</f>
        <v>0</v>
      </c>
      <c r="K7333" t="inlineStr">
        <is>
          <t>DIL2AM</t>
        </is>
      </c>
      <c r="M7333" t="inlineStr">
        <is>
          <t>-324K1</t>
        </is>
      </c>
    </row>
    <row r="7334">
      <c r="A7334">
        <v>7333</v>
      </c>
      <c r="B7334">
        <f>GS24</f>
        <v>0</v>
      </c>
      <c r="C7334" t="inlineStr">
        <is>
          <t>+LS6</t>
        </is>
      </c>
      <c r="D7334" t="inlineStr">
        <is>
          <t>-324K17.3</t>
        </is>
      </c>
      <c r="E7334" t="inlineStr">
        <is>
          <t>DIL_EM-10-G</t>
        </is>
      </c>
      <c r="F7334" t="inlineStr">
        <is>
          <t>#KALK!</t>
        </is>
      </c>
      <c r="G7334" t="inlineStr">
        <is>
          <t>LASTSCHUETZ</t>
        </is>
      </c>
      <c r="H7334" t="inlineStr">
        <is>
          <t>4kW 1S</t>
        </is>
      </c>
      <c r="I7334">
        <v>763</v>
      </c>
      <c r="J7334">
        <f>GS24/324.7</f>
        <v>0</v>
      </c>
      <c r="M7334" t="inlineStr">
        <is>
          <t>-324K17.3</t>
        </is>
      </c>
    </row>
    <row r="7335">
      <c r="A7335">
        <v>7334</v>
      </c>
      <c r="B7335">
        <f>GS25</f>
        <v>0</v>
      </c>
      <c r="C7335" t="inlineStr">
        <is>
          <t>+LS6</t>
        </is>
      </c>
      <c r="D7335" t="inlineStr">
        <is>
          <t>-324K20.1</t>
        </is>
      </c>
      <c r="E7335" t="inlineStr">
        <is>
          <t>DIL_EM-10-G</t>
        </is>
      </c>
      <c r="F7335" t="inlineStr">
        <is>
          <t>#KALK!</t>
        </is>
      </c>
      <c r="G7335" t="inlineStr">
        <is>
          <t>LASTSCHUETZ</t>
        </is>
      </c>
      <c r="H7335" t="inlineStr">
        <is>
          <t>4kW 1S</t>
        </is>
      </c>
      <c r="I7335">
        <v>448</v>
      </c>
      <c r="J7335">
        <f>GS25/324.6</f>
        <v>0</v>
      </c>
      <c r="M7335" t="inlineStr">
        <is>
          <t>-324K20.1</t>
        </is>
      </c>
    </row>
    <row r="7336">
      <c r="A7336">
        <v>7335</v>
      </c>
      <c r="B7336">
        <f>GS25</f>
        <v>0</v>
      </c>
      <c r="C7336" t="inlineStr">
        <is>
          <t>+LS6</t>
        </is>
      </c>
      <c r="D7336" t="inlineStr">
        <is>
          <t>-324K20.2</t>
        </is>
      </c>
      <c r="E7336" t="inlineStr">
        <is>
          <t>DIL_EM-10-G</t>
        </is>
      </c>
      <c r="F7336" t="inlineStr">
        <is>
          <t>#KALK!</t>
        </is>
      </c>
      <c r="G7336" t="inlineStr">
        <is>
          <t>LASTSCHUETZ</t>
        </is>
      </c>
      <c r="H7336" t="inlineStr">
        <is>
          <t>4kW 1S</t>
        </is>
      </c>
      <c r="I7336">
        <v>448</v>
      </c>
      <c r="J7336">
        <f>GS25/324.6</f>
        <v>0</v>
      </c>
      <c r="M7336" t="inlineStr">
        <is>
          <t>-324K20.2</t>
        </is>
      </c>
    </row>
    <row r="7337">
      <c r="A7337">
        <v>7336</v>
      </c>
      <c r="B7337">
        <f>GS31</f>
        <v>0</v>
      </c>
      <c r="C7337" t="inlineStr">
        <is>
          <t>+LS6</t>
        </is>
      </c>
      <c r="D7337" t="inlineStr">
        <is>
          <t>-324K3608.0</t>
        </is>
      </c>
      <c r="E7337" t="inlineStr">
        <is>
          <t>DIL_ER-22-G</t>
        </is>
      </c>
      <c r="F7337" t="inlineStr">
        <is>
          <t>#KALK!</t>
        </is>
      </c>
      <c r="G7337" t="inlineStr">
        <is>
          <t>HILFSSCHUETZ</t>
        </is>
      </c>
      <c r="H7337" t="inlineStr">
        <is>
          <t>2S 2OE</t>
        </is>
      </c>
      <c r="I7337">
        <v>615</v>
      </c>
      <c r="J7337">
        <f>GS31/324.5</f>
        <v>0</v>
      </c>
      <c r="M7337" t="inlineStr">
        <is>
          <t>-324K3608.0</t>
        </is>
      </c>
    </row>
    <row r="7338">
      <c r="A7338">
        <v>7337</v>
      </c>
      <c r="B7338">
        <f>GS31</f>
        <v>0</v>
      </c>
      <c r="C7338" t="inlineStr">
        <is>
          <t>+LS6</t>
        </is>
      </c>
      <c r="D7338" t="inlineStr">
        <is>
          <t>-324K3608.1</t>
        </is>
      </c>
      <c r="E7338" t="inlineStr">
        <is>
          <t>DIL_ER-22-G</t>
        </is>
      </c>
      <c r="F7338" t="inlineStr">
        <is>
          <t>#KALK!</t>
        </is>
      </c>
      <c r="G7338" t="inlineStr">
        <is>
          <t>HILFSSCHUETZ</t>
        </is>
      </c>
      <c r="H7338" t="inlineStr">
        <is>
          <t>2S 2OE</t>
        </is>
      </c>
      <c r="I7338">
        <v>615</v>
      </c>
      <c r="J7338">
        <f>GS31/324.6</f>
        <v>0</v>
      </c>
      <c r="M7338" t="inlineStr">
        <is>
          <t>-324K3608.1</t>
        </is>
      </c>
    </row>
    <row r="7339">
      <c r="A7339">
        <v>7338</v>
      </c>
      <c r="B7339">
        <f>GS31</f>
        <v>0</v>
      </c>
      <c r="C7339" t="inlineStr">
        <is>
          <t>+LS6</t>
        </is>
      </c>
      <c r="D7339" t="inlineStr">
        <is>
          <t>-324K3608.2</t>
        </is>
      </c>
      <c r="E7339" t="inlineStr">
        <is>
          <t>DIL_ER-22-G</t>
        </is>
      </c>
      <c r="F7339" t="inlineStr">
        <is>
          <t>#KALK!</t>
        </is>
      </c>
      <c r="G7339" t="inlineStr">
        <is>
          <t>HILFSSCHUETZ</t>
        </is>
      </c>
      <c r="H7339" t="inlineStr">
        <is>
          <t>2S 2OE</t>
        </is>
      </c>
      <c r="I7339">
        <v>615</v>
      </c>
      <c r="J7339">
        <f>GS31/324.7</f>
        <v>0</v>
      </c>
      <c r="M7339" t="inlineStr">
        <is>
          <t>-324K3608.2</t>
        </is>
      </c>
    </row>
    <row r="7340">
      <c r="A7340">
        <v>7339</v>
      </c>
      <c r="B7340">
        <f>GS31</f>
        <v>0</v>
      </c>
      <c r="C7340" t="inlineStr">
        <is>
          <t>+LS6</t>
        </is>
      </c>
      <c r="D7340" t="inlineStr">
        <is>
          <t>-324K3608.4</t>
        </is>
      </c>
      <c r="E7340" t="inlineStr">
        <is>
          <t>DIL_EM-10-G</t>
        </is>
      </c>
      <c r="F7340" t="inlineStr">
        <is>
          <t>#KALK!</t>
        </is>
      </c>
      <c r="G7340" t="inlineStr">
        <is>
          <t>LASTSCHUETZ</t>
        </is>
      </c>
      <c r="H7340" t="inlineStr">
        <is>
          <t>4kW 1S</t>
        </is>
      </c>
      <c r="I7340">
        <v>615</v>
      </c>
      <c r="J7340">
        <f>GS31/324.7</f>
        <v>0</v>
      </c>
      <c r="M7340" t="inlineStr">
        <is>
          <t>-324K3608.4</t>
        </is>
      </c>
    </row>
    <row r="7341">
      <c r="A7341">
        <v>7340</v>
      </c>
      <c r="B7341">
        <f>GS01</f>
        <v>0</v>
      </c>
      <c r="C7341" t="inlineStr">
        <is>
          <t>+LS7</t>
        </is>
      </c>
      <c r="D7341" t="inlineStr">
        <is>
          <t>-324K63.6</t>
        </is>
      </c>
      <c r="E7341" t="inlineStr">
        <is>
          <t>DIL_EM-10-G</t>
        </is>
      </c>
      <c r="F7341" t="inlineStr">
        <is>
          <t>#KALK!</t>
        </is>
      </c>
      <c r="G7341" t="inlineStr">
        <is>
          <t>LASTSCHUETZ</t>
        </is>
      </c>
      <c r="H7341" t="inlineStr">
        <is>
          <t>4kW 1S</t>
        </is>
      </c>
      <c r="I7341">
        <v>487</v>
      </c>
      <c r="J7341">
        <f>GS01/324.6</f>
        <v>0</v>
      </c>
      <c r="M7341" t="inlineStr">
        <is>
          <t>-324K63.6</t>
        </is>
      </c>
    </row>
    <row r="7342">
      <c r="A7342">
        <v>7341</v>
      </c>
      <c r="B7342">
        <f>GC03</f>
        <v>0</v>
      </c>
      <c r="C7342" t="inlineStr">
        <is>
          <t>+LS8</t>
        </is>
      </c>
      <c r="D7342" t="inlineStr">
        <is>
          <t>-324K90.4</t>
        </is>
      </c>
      <c r="E7342" t="inlineStr">
        <is>
          <t>DIL_EM-10-G</t>
        </is>
      </c>
      <c r="F7342" t="inlineStr">
        <is>
          <t>#KALK!</t>
        </is>
      </c>
      <c r="G7342" t="inlineStr">
        <is>
          <t>LASTSCHUETZ</t>
        </is>
      </c>
      <c r="H7342" t="inlineStr">
        <is>
          <t>4kW 1S</t>
        </is>
      </c>
      <c r="I7342">
        <v>3501</v>
      </c>
      <c r="J7342">
        <f>GC03/324.6</f>
        <v>0</v>
      </c>
      <c r="M7342" t="inlineStr">
        <is>
          <t>-324K90.4</t>
        </is>
      </c>
    </row>
    <row r="7343">
      <c r="A7343">
        <v>7342</v>
      </c>
      <c r="B7343">
        <f>GC03</f>
        <v>0</v>
      </c>
      <c r="C7343" t="inlineStr">
        <is>
          <t>+LS8</t>
        </is>
      </c>
      <c r="D7343" t="inlineStr">
        <is>
          <t>-324K90.5</t>
        </is>
      </c>
      <c r="E7343" t="inlineStr">
        <is>
          <t>DIL_EM-10-G</t>
        </is>
      </c>
      <c r="F7343" t="inlineStr">
        <is>
          <t>#KALK!</t>
        </is>
      </c>
      <c r="G7343" t="inlineStr">
        <is>
          <t>LASTSCHUETZ</t>
        </is>
      </c>
      <c r="H7343" t="inlineStr">
        <is>
          <t>4kW 1S</t>
        </is>
      </c>
      <c r="I7343">
        <v>3501</v>
      </c>
      <c r="J7343">
        <f>GC03/324.6</f>
        <v>0</v>
      </c>
      <c r="M7343" t="inlineStr">
        <is>
          <t>-324K90.5</t>
        </is>
      </c>
    </row>
    <row r="7344">
      <c r="A7344">
        <v>7343</v>
      </c>
      <c r="B7344">
        <f>GS33</f>
        <v>0</v>
      </c>
      <c r="C7344" t="inlineStr">
        <is>
          <t>+LS7</t>
        </is>
      </c>
      <c r="D7344" t="inlineStr">
        <is>
          <t>-325K1</t>
        </is>
      </c>
      <c r="E7344" t="inlineStr">
        <is>
          <t>DIL_EM-10-G</t>
        </is>
      </c>
      <c r="F7344" t="inlineStr">
        <is>
          <t>#KALK!</t>
        </is>
      </c>
      <c r="G7344" t="inlineStr">
        <is>
          <t>LASTSCHUETZ</t>
        </is>
      </c>
      <c r="H7344" t="inlineStr">
        <is>
          <t>4kW 1S</t>
        </is>
      </c>
      <c r="I7344">
        <v>774</v>
      </c>
      <c r="J7344">
        <f>GS33/325.5</f>
        <v>0</v>
      </c>
      <c r="M7344" t="inlineStr">
        <is>
          <t>-325K1</t>
        </is>
      </c>
    </row>
    <row r="7345">
      <c r="A7345">
        <v>7344</v>
      </c>
      <c r="B7345">
        <f>GS38</f>
        <v>0</v>
      </c>
      <c r="C7345" t="inlineStr">
        <is>
          <t>+LS07</t>
        </is>
      </c>
      <c r="D7345" t="inlineStr">
        <is>
          <t>-325K1</t>
        </is>
      </c>
      <c r="E7345" t="inlineStr">
        <is>
          <t>DILA-XHIC40</t>
        </is>
      </c>
      <c r="F7345" t="inlineStr">
        <is>
          <t>DILA-XHIC40</t>
        </is>
      </c>
      <c r="G7345" t="inlineStr">
        <is>
          <t>HILFSKONTAKTBLOCK</t>
        </is>
      </c>
      <c r="H7345" t="inlineStr">
        <is>
          <t>4S Last+Hilfssch. Cage</t>
        </is>
      </c>
      <c r="I7345">
        <v>490</v>
      </c>
      <c r="J7345">
        <f>GS38/325.5</f>
        <v>0</v>
      </c>
      <c r="M7345" t="inlineStr">
        <is>
          <t>-325K1</t>
        </is>
      </c>
    </row>
    <row r="7346">
      <c r="A7346">
        <v>7345</v>
      </c>
      <c r="B7346">
        <f>GS38</f>
        <v>0</v>
      </c>
      <c r="C7346" t="inlineStr">
        <is>
          <t>+LS07</t>
        </is>
      </c>
      <c r="D7346" t="inlineStr">
        <is>
          <t>-325K1</t>
        </is>
      </c>
      <c r="E7346" t="inlineStr">
        <is>
          <t>DILA-40</t>
        </is>
      </c>
      <c r="F7346" t="inlineStr">
        <is>
          <t>DILA-XHIC40</t>
        </is>
      </c>
      <c r="G7346" t="inlineStr">
        <is>
          <t>HILFSSCHUETZ</t>
        </is>
      </c>
      <c r="H7346" t="inlineStr">
        <is>
          <t>4S Federzugkl.</t>
        </is>
      </c>
      <c r="I7346">
        <v>490</v>
      </c>
      <c r="J7346">
        <f>GS38/325.5</f>
        <v>0</v>
      </c>
      <c r="M7346" t="inlineStr">
        <is>
          <t>-325K1</t>
        </is>
      </c>
    </row>
    <row r="7347">
      <c r="A7347">
        <v>7346</v>
      </c>
      <c r="B7347">
        <f>GS39</f>
        <v>0</v>
      </c>
      <c r="C7347" t="inlineStr">
        <is>
          <t>+LS07</t>
        </is>
      </c>
      <c r="D7347" t="inlineStr">
        <is>
          <t>-325K1</t>
        </is>
      </c>
      <c r="E7347" t="inlineStr">
        <is>
          <t>DILA-40</t>
        </is>
      </c>
      <c r="F7347" t="inlineStr">
        <is>
          <t>DILA-XHIC40</t>
        </is>
      </c>
      <c r="G7347" t="inlineStr">
        <is>
          <t>HILFSSCHUETZ</t>
        </is>
      </c>
      <c r="H7347" t="inlineStr">
        <is>
          <t>4S Federzugkl.</t>
        </is>
      </c>
      <c r="I7347">
        <v>491</v>
      </c>
      <c r="J7347">
        <f>GS39/325.5</f>
        <v>0</v>
      </c>
      <c r="M7347" t="inlineStr">
        <is>
          <t>-325K1</t>
        </is>
      </c>
    </row>
    <row r="7348">
      <c r="A7348">
        <v>7347</v>
      </c>
      <c r="B7348">
        <f>GS39</f>
        <v>0</v>
      </c>
      <c r="C7348" t="inlineStr">
        <is>
          <t>+LS07</t>
        </is>
      </c>
      <c r="D7348" t="inlineStr">
        <is>
          <t>-325K1</t>
        </is>
      </c>
      <c r="E7348" t="inlineStr">
        <is>
          <t>DILA-XHIC40</t>
        </is>
      </c>
      <c r="F7348" t="inlineStr">
        <is>
          <t>DILA-XHIC40</t>
        </is>
      </c>
      <c r="G7348" t="inlineStr">
        <is>
          <t>HILFSKONTAKTBLOCK</t>
        </is>
      </c>
      <c r="H7348" t="inlineStr">
        <is>
          <t>4S Last+Hilfssch. Cage</t>
        </is>
      </c>
      <c r="I7348">
        <v>491</v>
      </c>
      <c r="J7348">
        <f>GS39/325.5</f>
        <v>0</v>
      </c>
      <c r="M7348" t="inlineStr">
        <is>
          <t>-325K1</t>
        </is>
      </c>
    </row>
    <row r="7349">
      <c r="A7349">
        <v>7348</v>
      </c>
      <c r="B7349">
        <f>GS38</f>
        <v>0</v>
      </c>
      <c r="C7349" t="inlineStr">
        <is>
          <t>+LS07</t>
        </is>
      </c>
      <c r="D7349" t="inlineStr">
        <is>
          <t>-325K103.4</t>
        </is>
      </c>
      <c r="E7349" t="inlineStr">
        <is>
          <t>DILA-40</t>
        </is>
      </c>
      <c r="F7349" t="inlineStr">
        <is>
          <t>#KALK!</t>
        </is>
      </c>
      <c r="G7349" t="inlineStr">
        <is>
          <t>HILFSSCHUETZ</t>
        </is>
      </c>
      <c r="H7349" t="inlineStr">
        <is>
          <t>4S Federzugkl.</t>
        </is>
      </c>
      <c r="I7349">
        <v>490</v>
      </c>
      <c r="J7349">
        <f>GS38/325.7</f>
        <v>0</v>
      </c>
      <c r="M7349" t="inlineStr">
        <is>
          <t>-325K103.4</t>
        </is>
      </c>
    </row>
    <row r="7350">
      <c r="A7350">
        <v>7349</v>
      </c>
      <c r="B7350">
        <f>GS39</f>
        <v>0</v>
      </c>
      <c r="C7350" t="inlineStr">
        <is>
          <t>+LS07</t>
        </is>
      </c>
      <c r="D7350" t="inlineStr">
        <is>
          <t>-325K103.4</t>
        </is>
      </c>
      <c r="E7350" t="inlineStr">
        <is>
          <t>DILA-40</t>
        </is>
      </c>
      <c r="F7350" t="inlineStr">
        <is>
          <t>#KALK!</t>
        </is>
      </c>
      <c r="G7350" t="inlineStr">
        <is>
          <t>HILFSSCHUETZ</t>
        </is>
      </c>
      <c r="H7350" t="inlineStr">
        <is>
          <t>4S Federzugkl.</t>
        </is>
      </c>
      <c r="I7350">
        <v>491</v>
      </c>
      <c r="J7350">
        <f>GS39/325.7</f>
        <v>0</v>
      </c>
      <c r="M7350" t="inlineStr">
        <is>
          <t>-325K103.4</t>
        </is>
      </c>
    </row>
    <row r="7351">
      <c r="A7351">
        <v>7350</v>
      </c>
      <c r="B7351">
        <f>GS24</f>
        <v>0</v>
      </c>
      <c r="C7351" t="inlineStr">
        <is>
          <t>+LS6</t>
        </is>
      </c>
      <c r="D7351" t="inlineStr">
        <is>
          <t>-325K17.4</t>
        </is>
      </c>
      <c r="E7351" t="inlineStr">
        <is>
          <t>DIL_EM-10-G</t>
        </is>
      </c>
      <c r="F7351" t="inlineStr">
        <is>
          <t>#KALK!</t>
        </is>
      </c>
      <c r="G7351" t="inlineStr">
        <is>
          <t>LASTSCHUETZ</t>
        </is>
      </c>
      <c r="H7351" t="inlineStr">
        <is>
          <t>4kW 1S</t>
        </is>
      </c>
      <c r="I7351">
        <v>762</v>
      </c>
      <c r="J7351">
        <f>GS24/325.6</f>
        <v>0</v>
      </c>
      <c r="M7351" t="inlineStr">
        <is>
          <t>-325K17.4</t>
        </is>
      </c>
    </row>
    <row r="7352">
      <c r="A7352">
        <v>7351</v>
      </c>
      <c r="B7352">
        <f>GS24</f>
        <v>0</v>
      </c>
      <c r="C7352" t="inlineStr">
        <is>
          <t>+LS6</t>
        </is>
      </c>
      <c r="D7352" t="inlineStr">
        <is>
          <t>-325K17.5</t>
        </is>
      </c>
      <c r="E7352" t="inlineStr">
        <is>
          <t>DIL_EM-10-G</t>
        </is>
      </c>
      <c r="F7352" t="inlineStr">
        <is>
          <t>#KALK!</t>
        </is>
      </c>
      <c r="G7352" t="inlineStr">
        <is>
          <t>LASTSCHUETZ</t>
        </is>
      </c>
      <c r="H7352" t="inlineStr">
        <is>
          <t>4kW 1S</t>
        </is>
      </c>
      <c r="I7352">
        <v>762</v>
      </c>
      <c r="J7352">
        <f>GS24/325.6</f>
        <v>0</v>
      </c>
      <c r="M7352" t="inlineStr">
        <is>
          <t>-325K17.5</t>
        </is>
      </c>
    </row>
    <row r="7353">
      <c r="A7353">
        <v>7352</v>
      </c>
      <c r="B7353">
        <f>GS91</f>
        <v>0</v>
      </c>
      <c r="C7353" t="inlineStr">
        <is>
          <t>+LS05</t>
        </is>
      </c>
      <c r="D7353" t="inlineStr">
        <is>
          <t>-325K184.4</t>
        </is>
      </c>
      <c r="E7353" t="inlineStr">
        <is>
          <t>DILA-40</t>
        </is>
      </c>
      <c r="F7353" t="inlineStr">
        <is>
          <t>#KALK!</t>
        </is>
      </c>
      <c r="G7353" t="inlineStr">
        <is>
          <t>HILFSSCHUETZ</t>
        </is>
      </c>
      <c r="H7353" t="inlineStr">
        <is>
          <t>4S Federzugkl.</t>
        </is>
      </c>
      <c r="I7353">
        <v>473</v>
      </c>
      <c r="J7353">
        <f>GS91/325.7</f>
        <v>0</v>
      </c>
      <c r="M7353" t="inlineStr">
        <is>
          <t>-325K184.4</t>
        </is>
      </c>
    </row>
    <row r="7354">
      <c r="A7354">
        <v>7353</v>
      </c>
      <c r="B7354">
        <f>GS25</f>
        <v>0</v>
      </c>
      <c r="C7354" t="inlineStr">
        <is>
          <t>+LS6</t>
        </is>
      </c>
      <c r="D7354" t="inlineStr">
        <is>
          <t>-325K20.3</t>
        </is>
      </c>
      <c r="E7354" t="inlineStr">
        <is>
          <t>DIL_EM-10-G</t>
        </is>
      </c>
      <c r="F7354" t="inlineStr">
        <is>
          <t>#KALK!</t>
        </is>
      </c>
      <c r="G7354" t="inlineStr">
        <is>
          <t>LASTSCHUETZ</t>
        </is>
      </c>
      <c r="H7354" t="inlineStr">
        <is>
          <t>4kW 1S</t>
        </is>
      </c>
      <c r="I7354">
        <v>449</v>
      </c>
      <c r="J7354">
        <f>GS25/325.6</f>
        <v>0</v>
      </c>
      <c r="M7354" t="inlineStr">
        <is>
          <t>-325K20.3</t>
        </is>
      </c>
    </row>
    <row r="7355">
      <c r="A7355">
        <v>7354</v>
      </c>
      <c r="B7355">
        <f>GS25</f>
        <v>0</v>
      </c>
      <c r="C7355" t="inlineStr">
        <is>
          <t>+LS6</t>
        </is>
      </c>
      <c r="D7355" t="inlineStr">
        <is>
          <t>-325K20.4</t>
        </is>
      </c>
      <c r="E7355" t="inlineStr">
        <is>
          <t>DIL_EM-10-G</t>
        </is>
      </c>
      <c r="F7355" t="inlineStr">
        <is>
          <t>#KALK!</t>
        </is>
      </c>
      <c r="G7355" t="inlineStr">
        <is>
          <t>LASTSCHUETZ</t>
        </is>
      </c>
      <c r="H7355" t="inlineStr">
        <is>
          <t>4kW 1S</t>
        </is>
      </c>
      <c r="I7355">
        <v>449</v>
      </c>
      <c r="J7355">
        <f>GS25/325.6</f>
        <v>0</v>
      </c>
      <c r="M7355" t="inlineStr">
        <is>
          <t>-325K20.4</t>
        </is>
      </c>
    </row>
    <row r="7356">
      <c r="A7356">
        <v>7355</v>
      </c>
      <c r="B7356">
        <f>GS36</f>
        <v>0</v>
      </c>
      <c r="C7356" t="inlineStr">
        <is>
          <t>+LS07</t>
        </is>
      </c>
      <c r="D7356" t="inlineStr">
        <is>
          <t>-353K2</t>
        </is>
      </c>
      <c r="E7356" t="inlineStr">
        <is>
          <t>DILM-9-01</t>
        </is>
      </c>
      <c r="F7356" t="inlineStr">
        <is>
          <t>#KALK!</t>
        </is>
      </c>
      <c r="G7356" t="inlineStr">
        <is>
          <t>LASTSCHUETZ</t>
        </is>
      </c>
      <c r="H7356" t="inlineStr">
        <is>
          <t>4kW 1Oe Federzugkl.</t>
        </is>
      </c>
      <c r="I7356">
        <v>526</v>
      </c>
      <c r="J7356">
        <f>GS36/353.7</f>
        <v>0</v>
      </c>
      <c r="L7356" t="inlineStr">
        <is>
          <t>Lichtvorhang KF</t>
        </is>
      </c>
      <c r="M7356" t="inlineStr">
        <is>
          <t>Lichtvorhang KF
-353K2</t>
        </is>
      </c>
    </row>
    <row r="7357">
      <c r="A7357">
        <v>7356</v>
      </c>
      <c r="B7357">
        <f>GS35</f>
        <v>0</v>
      </c>
      <c r="C7357" t="inlineStr">
        <is>
          <t>+LS07</t>
        </is>
      </c>
      <c r="D7357" t="inlineStr">
        <is>
          <t>-325K446.4</t>
        </is>
      </c>
      <c r="E7357" t="inlineStr">
        <is>
          <t>DILA-40</t>
        </is>
      </c>
      <c r="F7357" t="inlineStr">
        <is>
          <t>#KALK!</t>
        </is>
      </c>
      <c r="G7357" t="inlineStr">
        <is>
          <t>HILFSSCHUETZ</t>
        </is>
      </c>
      <c r="H7357" t="inlineStr">
        <is>
          <t>4S Federzugkl.</t>
        </is>
      </c>
      <c r="I7357">
        <v>479</v>
      </c>
      <c r="J7357">
        <f>GS35/325.7</f>
        <v>0</v>
      </c>
      <c r="M7357" t="inlineStr">
        <is>
          <t>-325K446.4</t>
        </is>
      </c>
    </row>
    <row r="7358">
      <c r="A7358">
        <v>7357</v>
      </c>
      <c r="B7358">
        <f>GS46</f>
        <v>0</v>
      </c>
      <c r="C7358" t="inlineStr">
        <is>
          <t>+LS05</t>
        </is>
      </c>
      <c r="D7358" t="inlineStr">
        <is>
          <t>-325K448.0</t>
        </is>
      </c>
      <c r="E7358" t="inlineStr">
        <is>
          <t>DILA-40</t>
        </is>
      </c>
      <c r="F7358" t="inlineStr">
        <is>
          <t>#KALK!</t>
        </is>
      </c>
      <c r="G7358" t="inlineStr">
        <is>
          <t>HILFSSCHUETZ</t>
        </is>
      </c>
      <c r="H7358" t="inlineStr">
        <is>
          <t>4S Federzugkl.</t>
        </is>
      </c>
      <c r="I7358">
        <v>732</v>
      </c>
      <c r="J7358">
        <f>GS46/325.7</f>
        <v>0</v>
      </c>
      <c r="M7358" t="inlineStr">
        <is>
          <t>-325K448.0</t>
        </is>
      </c>
    </row>
    <row r="7359">
      <c r="A7359">
        <v>7358</v>
      </c>
      <c r="B7359">
        <f>GS47</f>
        <v>0</v>
      </c>
      <c r="C7359" t="inlineStr">
        <is>
          <t>+LS05</t>
        </is>
      </c>
      <c r="D7359" t="inlineStr">
        <is>
          <t>-325K448.0</t>
        </is>
      </c>
      <c r="E7359" t="inlineStr">
        <is>
          <t>DILA-40</t>
        </is>
      </c>
      <c r="F7359" t="inlineStr">
        <is>
          <t>#KALK!</t>
        </is>
      </c>
      <c r="G7359" t="inlineStr">
        <is>
          <t>HILFSSCHUETZ</t>
        </is>
      </c>
      <c r="H7359" t="inlineStr">
        <is>
          <t>4S Federzugkl.</t>
        </is>
      </c>
      <c r="I7359">
        <v>732</v>
      </c>
      <c r="J7359">
        <f>GS47/325.7</f>
        <v>0</v>
      </c>
      <c r="M7359" t="inlineStr">
        <is>
          <t>-325K448.0</t>
        </is>
      </c>
    </row>
    <row r="7360">
      <c r="A7360">
        <v>7359</v>
      </c>
      <c r="B7360">
        <f>GS48</f>
        <v>0</v>
      </c>
      <c r="C7360" t="inlineStr">
        <is>
          <t>+LS05</t>
        </is>
      </c>
      <c r="D7360" t="inlineStr">
        <is>
          <t>-325K448.0</t>
        </is>
      </c>
      <c r="E7360" t="inlineStr">
        <is>
          <t>DILA-40</t>
        </is>
      </c>
      <c r="F7360" t="inlineStr">
        <is>
          <t>#KALK!</t>
        </is>
      </c>
      <c r="G7360" t="inlineStr">
        <is>
          <t>HILFSSCHUETZ</t>
        </is>
      </c>
      <c r="H7360" t="inlineStr">
        <is>
          <t>4S Federzugkl.</t>
        </is>
      </c>
      <c r="I7360">
        <v>457</v>
      </c>
      <c r="J7360">
        <f>GS48/325.7</f>
        <v>0</v>
      </c>
      <c r="M7360" t="inlineStr">
        <is>
          <t>-325K448.0</t>
        </is>
      </c>
    </row>
    <row r="7361">
      <c r="A7361">
        <v>7360</v>
      </c>
      <c r="B7361">
        <f>GS49</f>
        <v>0</v>
      </c>
      <c r="C7361" t="inlineStr">
        <is>
          <t>+LS05</t>
        </is>
      </c>
      <c r="D7361" t="inlineStr">
        <is>
          <t>-325K448.0</t>
        </is>
      </c>
      <c r="E7361" t="inlineStr">
        <is>
          <t>DILA-40</t>
        </is>
      </c>
      <c r="F7361" t="inlineStr">
        <is>
          <t>#KALK!</t>
        </is>
      </c>
      <c r="G7361" t="inlineStr">
        <is>
          <t>HILFSSCHUETZ</t>
        </is>
      </c>
      <c r="H7361" t="inlineStr">
        <is>
          <t>4S Federzugkl.</t>
        </is>
      </c>
      <c r="I7361">
        <v>456</v>
      </c>
      <c r="J7361">
        <f>GS49/325.7</f>
        <v>0</v>
      </c>
      <c r="M7361" t="inlineStr">
        <is>
          <t>-325K448.0</t>
        </is>
      </c>
    </row>
    <row r="7362">
      <c r="A7362">
        <v>7361</v>
      </c>
      <c r="B7362">
        <f>GS93</f>
        <v>0</v>
      </c>
      <c r="C7362" t="inlineStr">
        <is>
          <t>+LS06</t>
        </is>
      </c>
      <c r="D7362" t="inlineStr">
        <is>
          <t>-325K450.4</t>
        </is>
      </c>
      <c r="E7362" t="inlineStr">
        <is>
          <t>DILA-40</t>
        </is>
      </c>
      <c r="F7362" t="inlineStr">
        <is>
          <t>#KALK!</t>
        </is>
      </c>
      <c r="G7362" t="inlineStr">
        <is>
          <t>HILFSSCHUETZ</t>
        </is>
      </c>
      <c r="H7362" t="inlineStr">
        <is>
          <t>4S Federzugkl.</t>
        </is>
      </c>
      <c r="I7362">
        <v>879</v>
      </c>
      <c r="J7362">
        <f>GS93/325.7</f>
        <v>0</v>
      </c>
      <c r="M7362" t="inlineStr">
        <is>
          <t>-325K450.4</t>
        </is>
      </c>
    </row>
    <row r="7363">
      <c r="A7363">
        <v>7362</v>
      </c>
      <c r="B7363">
        <f>GS92</f>
        <v>0</v>
      </c>
      <c r="C7363" t="inlineStr">
        <is>
          <t>+LS06</t>
        </is>
      </c>
      <c r="D7363" t="inlineStr">
        <is>
          <t>-325K451.0</t>
        </is>
      </c>
      <c r="E7363" t="inlineStr">
        <is>
          <t>DILA-40</t>
        </is>
      </c>
      <c r="F7363" t="inlineStr">
        <is>
          <t>#KALK!</t>
        </is>
      </c>
      <c r="G7363" t="inlineStr">
        <is>
          <t>HILFSSCHUETZ</t>
        </is>
      </c>
      <c r="H7363" t="inlineStr">
        <is>
          <t>4S Federzugkl.</t>
        </is>
      </c>
      <c r="I7363">
        <v>472</v>
      </c>
      <c r="J7363">
        <f>GS92/325.7</f>
        <v>0</v>
      </c>
      <c r="M7363" t="inlineStr">
        <is>
          <t>-325K451.0</t>
        </is>
      </c>
    </row>
    <row r="7364">
      <c r="A7364">
        <v>7363</v>
      </c>
      <c r="B7364">
        <f>GS94</f>
        <v>0</v>
      </c>
      <c r="C7364" t="inlineStr">
        <is>
          <t>+LS19</t>
        </is>
      </c>
      <c r="D7364" t="inlineStr">
        <is>
          <t>-325K497.7</t>
        </is>
      </c>
      <c r="E7364" t="inlineStr">
        <is>
          <t>DILA-40</t>
        </is>
      </c>
      <c r="F7364" t="inlineStr">
        <is>
          <t>#KALK!</t>
        </is>
      </c>
      <c r="G7364" t="inlineStr">
        <is>
          <t>HILFSSCHUETZ</t>
        </is>
      </c>
      <c r="H7364" t="inlineStr">
        <is>
          <t>4S Federzugkl.</t>
        </is>
      </c>
      <c r="I7364">
        <v>415</v>
      </c>
      <c r="J7364">
        <f>GS94/325.7</f>
        <v>0</v>
      </c>
      <c r="M7364" t="inlineStr">
        <is>
          <t>-325K497.7</t>
        </is>
      </c>
    </row>
    <row r="7365">
      <c r="A7365">
        <v>7364</v>
      </c>
      <c r="B7365">
        <f>GS95</f>
        <v>0</v>
      </c>
      <c r="C7365" t="inlineStr">
        <is>
          <t>+LS19</t>
        </is>
      </c>
      <c r="D7365" t="inlineStr">
        <is>
          <t>-325K497.7</t>
        </is>
      </c>
      <c r="E7365" t="inlineStr">
        <is>
          <t>DILA-40</t>
        </is>
      </c>
      <c r="F7365" t="inlineStr">
        <is>
          <t>#KALK!</t>
        </is>
      </c>
      <c r="G7365" t="inlineStr">
        <is>
          <t>HILFSSCHUETZ</t>
        </is>
      </c>
      <c r="H7365" t="inlineStr">
        <is>
          <t>4S Federzugkl.</t>
        </is>
      </c>
      <c r="I7365">
        <v>415</v>
      </c>
      <c r="J7365">
        <f>GS95/325.7</f>
        <v>0</v>
      </c>
      <c r="M7365" t="inlineStr">
        <is>
          <t>-325K497.7</t>
        </is>
      </c>
    </row>
    <row r="7366">
      <c r="A7366">
        <v>7365</v>
      </c>
      <c r="B7366">
        <f>GS96</f>
        <v>0</v>
      </c>
      <c r="C7366" t="inlineStr">
        <is>
          <t>+LS19</t>
        </is>
      </c>
      <c r="D7366" t="inlineStr">
        <is>
          <t>-325K497.7</t>
        </is>
      </c>
      <c r="E7366" t="inlineStr">
        <is>
          <t>DILA-40</t>
        </is>
      </c>
      <c r="F7366" t="inlineStr">
        <is>
          <t>#KALK!</t>
        </is>
      </c>
      <c r="G7366" t="inlineStr">
        <is>
          <t>HILFSSCHUETZ</t>
        </is>
      </c>
      <c r="H7366" t="inlineStr">
        <is>
          <t>4S Federzugkl.</t>
        </is>
      </c>
      <c r="I7366">
        <v>415</v>
      </c>
      <c r="J7366">
        <f>GS96/325.7</f>
        <v>0</v>
      </c>
      <c r="M7366" t="inlineStr">
        <is>
          <t>-325K497.7</t>
        </is>
      </c>
    </row>
    <row r="7367">
      <c r="A7367">
        <v>7366</v>
      </c>
      <c r="B7367">
        <f>GS97</f>
        <v>0</v>
      </c>
      <c r="C7367" t="inlineStr">
        <is>
          <t>+LS19</t>
        </is>
      </c>
      <c r="D7367" t="inlineStr">
        <is>
          <t>-325K497.7</t>
        </is>
      </c>
      <c r="E7367" t="inlineStr">
        <is>
          <t>DILA-40</t>
        </is>
      </c>
      <c r="F7367" t="inlineStr">
        <is>
          <t>#KALK!</t>
        </is>
      </c>
      <c r="G7367" t="inlineStr">
        <is>
          <t>HILFSSCHUETZ</t>
        </is>
      </c>
      <c r="H7367" t="inlineStr">
        <is>
          <t>4S Federzugkl.</t>
        </is>
      </c>
      <c r="I7367">
        <v>415</v>
      </c>
      <c r="J7367">
        <f>GS97/325.7</f>
        <v>0</v>
      </c>
      <c r="M7367" t="inlineStr">
        <is>
          <t>-325K497.7</t>
        </is>
      </c>
    </row>
    <row r="7368">
      <c r="A7368">
        <v>7367</v>
      </c>
      <c r="B7368">
        <f>GS01</f>
        <v>0</v>
      </c>
      <c r="C7368" t="inlineStr">
        <is>
          <t>+LS7</t>
        </is>
      </c>
      <c r="D7368" t="inlineStr">
        <is>
          <t>-325K63.7</t>
        </is>
      </c>
      <c r="E7368" t="inlineStr">
        <is>
          <t>DIL_EM-10-G</t>
        </is>
      </c>
      <c r="F7368" t="inlineStr">
        <is>
          <t>#KALK!</t>
        </is>
      </c>
      <c r="G7368" t="inlineStr">
        <is>
          <t>LASTSCHUETZ</t>
        </is>
      </c>
      <c r="H7368" t="inlineStr">
        <is>
          <t>4kW 1S</t>
        </is>
      </c>
      <c r="I7368">
        <v>488</v>
      </c>
      <c r="J7368">
        <f>GS01/325.6</f>
        <v>0</v>
      </c>
      <c r="M7368" t="inlineStr">
        <is>
          <t>-325K63.7</t>
        </is>
      </c>
    </row>
    <row r="7369">
      <c r="A7369">
        <v>7368</v>
      </c>
      <c r="B7369">
        <f>GS01</f>
        <v>0</v>
      </c>
      <c r="C7369" t="inlineStr">
        <is>
          <t>+LS7</t>
        </is>
      </c>
      <c r="D7369" t="inlineStr">
        <is>
          <t>-325K64.0</t>
        </is>
      </c>
      <c r="E7369" t="inlineStr">
        <is>
          <t>DIL_EM-10-G</t>
        </is>
      </c>
      <c r="F7369" t="inlineStr">
        <is>
          <t>#KALK!</t>
        </is>
      </c>
      <c r="G7369" t="inlineStr">
        <is>
          <t>LASTSCHUETZ</t>
        </is>
      </c>
      <c r="H7369" t="inlineStr">
        <is>
          <t>4kW 1S</t>
        </is>
      </c>
      <c r="I7369">
        <v>488</v>
      </c>
      <c r="J7369">
        <f>GS01/325.6</f>
        <v>0</v>
      </c>
      <c r="M7369" t="inlineStr">
        <is>
          <t>-325K64.0</t>
        </is>
      </c>
    </row>
    <row r="7370">
      <c r="A7370">
        <v>7369</v>
      </c>
      <c r="B7370">
        <f>GS30</f>
        <v>0</v>
      </c>
      <c r="C7370" t="inlineStr">
        <is>
          <t>+LS09</t>
        </is>
      </c>
      <c r="D7370" t="inlineStr">
        <is>
          <t>-325K706.4</t>
        </is>
      </c>
      <c r="E7370" t="inlineStr">
        <is>
          <t>DILA-40</t>
        </is>
      </c>
      <c r="F7370" t="inlineStr">
        <is>
          <t>#KALK!</t>
        </is>
      </c>
      <c r="G7370" t="inlineStr">
        <is>
          <t>HILFSSCHUETZ</t>
        </is>
      </c>
      <c r="H7370" t="inlineStr">
        <is>
          <t>4S Federzugkl.</t>
        </is>
      </c>
      <c r="I7370">
        <v>1989</v>
      </c>
      <c r="J7370">
        <f>GS30/325.7</f>
        <v>0</v>
      </c>
      <c r="M7370" t="inlineStr">
        <is>
          <t>-325K706.4</t>
        </is>
      </c>
    </row>
    <row r="7371">
      <c r="A7371">
        <v>7370</v>
      </c>
      <c r="B7371">
        <f>GC03</f>
        <v>0</v>
      </c>
      <c r="C7371" t="inlineStr">
        <is>
          <t>+LS8</t>
        </is>
      </c>
      <c r="D7371" t="inlineStr">
        <is>
          <t>-325K90.6</t>
        </is>
      </c>
      <c r="E7371" t="inlineStr">
        <is>
          <t>DIL_EM-10-G</t>
        </is>
      </c>
      <c r="F7371" t="inlineStr">
        <is>
          <t>#KALK!</t>
        </is>
      </c>
      <c r="G7371" t="inlineStr">
        <is>
          <t>LASTSCHUETZ</t>
        </is>
      </c>
      <c r="H7371" t="inlineStr">
        <is>
          <t>4kW 1S</t>
        </is>
      </c>
      <c r="I7371">
        <v>3502</v>
      </c>
      <c r="J7371">
        <f>GC03/325.6</f>
        <v>0</v>
      </c>
      <c r="M7371" t="inlineStr">
        <is>
          <t>-325K90.6</t>
        </is>
      </c>
    </row>
    <row r="7372">
      <c r="A7372">
        <v>7371</v>
      </c>
      <c r="B7372">
        <f>GC03</f>
        <v>0</v>
      </c>
      <c r="C7372" t="inlineStr">
        <is>
          <t>+LS8</t>
        </is>
      </c>
      <c r="D7372" t="inlineStr">
        <is>
          <t>-325K90.7</t>
        </is>
      </c>
      <c r="E7372" t="inlineStr">
        <is>
          <t>DIL_EM-10-G</t>
        </is>
      </c>
      <c r="F7372" t="inlineStr">
        <is>
          <t>#KALK!</t>
        </is>
      </c>
      <c r="G7372" t="inlineStr">
        <is>
          <t>LASTSCHUETZ</t>
        </is>
      </c>
      <c r="H7372" t="inlineStr">
        <is>
          <t>4kW 1S</t>
        </is>
      </c>
      <c r="I7372">
        <v>3502</v>
      </c>
      <c r="J7372">
        <f>GC03/325.6</f>
        <v>0</v>
      </c>
      <c r="M7372" t="inlineStr">
        <is>
          <t>-325K90.7</t>
        </is>
      </c>
    </row>
    <row r="7373">
      <c r="A7373">
        <v>7372</v>
      </c>
      <c r="B7373">
        <f>GS06</f>
        <v>0</v>
      </c>
      <c r="C7373" t="inlineStr">
        <is>
          <t>+LS05</t>
        </is>
      </c>
      <c r="D7373" t="inlineStr">
        <is>
          <t>-325Q1</t>
        </is>
      </c>
      <c r="E7373" t="inlineStr">
        <is>
          <t>DILA-XHI22</t>
        </is>
      </c>
      <c r="F7373" t="inlineStr">
        <is>
          <t>DILA-XHI22</t>
        </is>
      </c>
      <c r="G7373" t="inlineStr">
        <is>
          <t>HILFSKONTAKTBLOCK</t>
        </is>
      </c>
      <c r="H7373" t="inlineStr">
        <is>
          <t>2S 2OE Last+Hilfssch. Cage</t>
        </is>
      </c>
      <c r="I7373">
        <v>2173</v>
      </c>
      <c r="J7373">
        <f>GS06/325.6</f>
        <v>0</v>
      </c>
      <c r="K7373" t="inlineStr">
        <is>
          <t>DIL MC25</t>
        </is>
      </c>
      <c r="M7373" t="inlineStr">
        <is>
          <t>-325Q1</t>
        </is>
      </c>
    </row>
    <row r="7374">
      <c r="A7374">
        <v>7373</v>
      </c>
      <c r="B7374">
        <f>GS06</f>
        <v>0</v>
      </c>
      <c r="C7374" t="inlineStr">
        <is>
          <t>+LS05</t>
        </is>
      </c>
      <c r="D7374" t="inlineStr">
        <is>
          <t>-325Q1</t>
        </is>
      </c>
      <c r="E7374" t="inlineStr">
        <is>
          <t>DILMC25-10(RDC24)</t>
        </is>
      </c>
      <c r="F7374" t="inlineStr">
        <is>
          <t>DILA-XHI22</t>
        </is>
      </c>
      <c r="G7374" t="inlineStr">
        <is>
          <t>LASTSCHUETZ</t>
        </is>
      </c>
      <c r="H7374" t="inlineStr">
        <is>
          <t>11kW 1S Federzugkl.</t>
        </is>
      </c>
      <c r="I7374">
        <v>2173</v>
      </c>
      <c r="J7374">
        <f>GS06/325.6</f>
        <v>0</v>
      </c>
      <c r="K7374" t="inlineStr">
        <is>
          <t>DIL MC25</t>
        </is>
      </c>
      <c r="M7374" t="inlineStr">
        <is>
          <t>-325Q1</t>
        </is>
      </c>
    </row>
    <row r="7375">
      <c r="A7375">
        <v>7374</v>
      </c>
      <c r="B7375">
        <f>GS30</f>
        <v>0</v>
      </c>
      <c r="C7375" t="inlineStr">
        <is>
          <t>+LS09</t>
        </is>
      </c>
      <c r="D7375" t="inlineStr">
        <is>
          <t>-325Q1</t>
        </is>
      </c>
      <c r="E7375" t="inlineStr">
        <is>
          <t>DILA-XHI22</t>
        </is>
      </c>
      <c r="F7375" t="inlineStr">
        <is>
          <t>DILA-XHI22</t>
        </is>
      </c>
      <c r="G7375" t="inlineStr">
        <is>
          <t>HILFSKONTAKTBLOCK</t>
        </is>
      </c>
      <c r="H7375" t="inlineStr">
        <is>
          <t>2S 2OE Last+Hilfssch. Cage</t>
        </is>
      </c>
      <c r="I7375">
        <v>1989</v>
      </c>
      <c r="J7375">
        <f>GS30/325.4</f>
        <v>0</v>
      </c>
      <c r="K7375" t="inlineStr">
        <is>
          <t>DIL MC25</t>
        </is>
      </c>
      <c r="M7375" t="inlineStr">
        <is>
          <t>-325Q1</t>
        </is>
      </c>
    </row>
    <row r="7376">
      <c r="A7376">
        <v>7375</v>
      </c>
      <c r="B7376">
        <f>GS30</f>
        <v>0</v>
      </c>
      <c r="C7376" t="inlineStr">
        <is>
          <t>+LS09</t>
        </is>
      </c>
      <c r="D7376" t="inlineStr">
        <is>
          <t>-325Q1</t>
        </is>
      </c>
      <c r="E7376" t="inlineStr">
        <is>
          <t>DILMC25-10(RDC24)</t>
        </is>
      </c>
      <c r="F7376" t="inlineStr">
        <is>
          <t>DILA-XHI22</t>
        </is>
      </c>
      <c r="G7376" t="inlineStr">
        <is>
          <t>LASTSCHUETZ</t>
        </is>
      </c>
      <c r="H7376" t="inlineStr">
        <is>
          <t>11kW 1S Federzugkl.</t>
        </is>
      </c>
      <c r="I7376">
        <v>1989</v>
      </c>
      <c r="J7376">
        <f>GS30/325.4</f>
        <v>0</v>
      </c>
      <c r="K7376" t="inlineStr">
        <is>
          <t>DIL MC25</t>
        </is>
      </c>
      <c r="M7376" t="inlineStr">
        <is>
          <t>-325Q1</t>
        </is>
      </c>
    </row>
    <row r="7377">
      <c r="A7377">
        <v>7376</v>
      </c>
      <c r="B7377">
        <f>GS35</f>
        <v>0</v>
      </c>
      <c r="C7377" t="inlineStr">
        <is>
          <t>+LS07</t>
        </is>
      </c>
      <c r="D7377" t="inlineStr">
        <is>
          <t>-325Q1</t>
        </is>
      </c>
      <c r="E7377" t="inlineStr">
        <is>
          <t>DILA-XHI22</t>
        </is>
      </c>
      <c r="F7377" t="inlineStr">
        <is>
          <t>DILA-XHI22</t>
        </is>
      </c>
      <c r="G7377" t="inlineStr">
        <is>
          <t>HILFSKONTAKTBLOCK</t>
        </is>
      </c>
      <c r="H7377" t="inlineStr">
        <is>
          <t>2S 2OE Last+Hilfssch. Cage</t>
        </is>
      </c>
      <c r="I7377">
        <v>479</v>
      </c>
      <c r="J7377">
        <f>GS35/325.4</f>
        <v>0</v>
      </c>
      <c r="K7377" t="inlineStr">
        <is>
          <t>DIL MC25</t>
        </is>
      </c>
      <c r="M7377" t="inlineStr">
        <is>
          <t>-325Q1</t>
        </is>
      </c>
    </row>
    <row r="7378">
      <c r="A7378">
        <v>7377</v>
      </c>
      <c r="B7378">
        <f>GS35</f>
        <v>0</v>
      </c>
      <c r="C7378" t="inlineStr">
        <is>
          <t>+LS07</t>
        </is>
      </c>
      <c r="D7378" t="inlineStr">
        <is>
          <t>-325Q1</t>
        </is>
      </c>
      <c r="E7378" t="inlineStr">
        <is>
          <t>DILM-25-10</t>
        </is>
      </c>
      <c r="F7378" t="inlineStr">
        <is>
          <t>DILA-XHI22</t>
        </is>
      </c>
      <c r="G7378" t="inlineStr">
        <is>
          <t>LASTSCHUETZ</t>
        </is>
      </c>
      <c r="H7378" t="inlineStr">
        <is>
          <t>11kW 1S Federzugkl.</t>
        </is>
      </c>
      <c r="I7378">
        <v>479</v>
      </c>
      <c r="J7378">
        <f>GS35/325.4</f>
        <v>0</v>
      </c>
      <c r="K7378" t="inlineStr">
        <is>
          <t>DIL MC25</t>
        </is>
      </c>
      <c r="M7378" t="inlineStr">
        <is>
          <t>-325Q1</t>
        </is>
      </c>
    </row>
    <row r="7379">
      <c r="A7379">
        <v>7378</v>
      </c>
      <c r="B7379">
        <f>GS36</f>
        <v>0</v>
      </c>
      <c r="C7379" t="inlineStr">
        <is>
          <t>+LS07</t>
        </is>
      </c>
      <c r="D7379" t="inlineStr">
        <is>
          <t>-325Q1</t>
        </is>
      </c>
      <c r="E7379" t="inlineStr">
        <is>
          <t>DILMC25-10(RDC24)</t>
        </is>
      </c>
      <c r="F7379" t="inlineStr">
        <is>
          <t>DILA-XHI22</t>
        </is>
      </c>
      <c r="G7379" t="inlineStr">
        <is>
          <t>LASTSCHUETZ</t>
        </is>
      </c>
      <c r="H7379" t="inlineStr">
        <is>
          <t>11kW 1S Federzugkl.</t>
        </is>
      </c>
      <c r="I7379">
        <v>498</v>
      </c>
      <c r="J7379">
        <f>GS36/325.4</f>
        <v>0</v>
      </c>
      <c r="K7379" t="inlineStr">
        <is>
          <t>DIL MC25</t>
        </is>
      </c>
      <c r="L7379" t="inlineStr">
        <is>
          <t>HVO 12</t>
        </is>
      </c>
      <c r="M7379" t="inlineStr">
        <is>
          <t>HVO 12
-325Q1</t>
        </is>
      </c>
      <c r="N7379" t="inlineStr">
        <is>
          <t>P</t>
        </is>
      </c>
    </row>
    <row r="7380">
      <c r="A7380">
        <v>7379</v>
      </c>
      <c r="B7380">
        <f>GS36</f>
        <v>0</v>
      </c>
      <c r="C7380" t="inlineStr">
        <is>
          <t>+LS07</t>
        </is>
      </c>
      <c r="D7380" t="inlineStr">
        <is>
          <t>-325Q1</t>
        </is>
      </c>
      <c r="E7380" t="inlineStr">
        <is>
          <t>DILA-XHI22</t>
        </is>
      </c>
      <c r="F7380" t="inlineStr">
        <is>
          <t>DILA-XHI22</t>
        </is>
      </c>
      <c r="G7380" t="inlineStr">
        <is>
          <t>HILFSKONTAKTBLOCK</t>
        </is>
      </c>
      <c r="H7380" t="inlineStr">
        <is>
          <t>2S 2OE Last+Hilfssch. Cage</t>
        </is>
      </c>
      <c r="I7380">
        <v>498</v>
      </c>
      <c r="J7380">
        <f>GS36/325.4</f>
        <v>0</v>
      </c>
      <c r="K7380" t="inlineStr">
        <is>
          <t>DIL MC25</t>
        </is>
      </c>
      <c r="L7380" t="inlineStr">
        <is>
          <t>HVO 12</t>
        </is>
      </c>
      <c r="M7380" t="inlineStr">
        <is>
          <t>HVO 12
-325Q1</t>
        </is>
      </c>
      <c r="N7380" t="inlineStr">
        <is>
          <t>P</t>
        </is>
      </c>
    </row>
    <row r="7381">
      <c r="A7381">
        <v>7380</v>
      </c>
      <c r="B7381">
        <f>GS38</f>
        <v>0</v>
      </c>
      <c r="C7381" t="inlineStr">
        <is>
          <t>+LS07</t>
        </is>
      </c>
      <c r="D7381" t="inlineStr">
        <is>
          <t>-325Q1</t>
        </is>
      </c>
      <c r="E7381" t="inlineStr">
        <is>
          <t>DILMC25-10(RDC24)</t>
        </is>
      </c>
      <c r="F7381" t="inlineStr">
        <is>
          <t>DILA-XHI22</t>
        </is>
      </c>
      <c r="G7381" t="inlineStr">
        <is>
          <t>LASTSCHUETZ</t>
        </is>
      </c>
      <c r="H7381" t="inlineStr">
        <is>
          <t>11kW 1S Federzugkl.</t>
        </is>
      </c>
      <c r="I7381">
        <v>490</v>
      </c>
      <c r="J7381">
        <f>GS38/325.3</f>
        <v>0</v>
      </c>
      <c r="K7381" t="inlineStr">
        <is>
          <t>DIL MC25</t>
        </is>
      </c>
      <c r="M7381" t="inlineStr">
        <is>
          <t>-325Q1</t>
        </is>
      </c>
    </row>
    <row r="7382">
      <c r="A7382">
        <v>7381</v>
      </c>
      <c r="B7382">
        <f>GS38</f>
        <v>0</v>
      </c>
      <c r="C7382" t="inlineStr">
        <is>
          <t>+LS07</t>
        </is>
      </c>
      <c r="D7382" t="inlineStr">
        <is>
          <t>-325Q1</t>
        </is>
      </c>
      <c r="E7382" t="inlineStr">
        <is>
          <t>DILA-XHI22</t>
        </is>
      </c>
      <c r="F7382" t="inlineStr">
        <is>
          <t>DILA-XHI22</t>
        </is>
      </c>
      <c r="G7382" t="inlineStr">
        <is>
          <t>HILFSKONTAKTBLOCK</t>
        </is>
      </c>
      <c r="H7382" t="inlineStr">
        <is>
          <t>2S 2OE Last+Hilfssch. Cage</t>
        </is>
      </c>
      <c r="I7382">
        <v>490</v>
      </c>
      <c r="J7382">
        <f>GS38/325.3</f>
        <v>0</v>
      </c>
      <c r="K7382" t="inlineStr">
        <is>
          <t>DIL MC25</t>
        </is>
      </c>
      <c r="M7382" t="inlineStr">
        <is>
          <t>-325Q1</t>
        </is>
      </c>
    </row>
    <row r="7383">
      <c r="A7383">
        <v>7382</v>
      </c>
      <c r="B7383">
        <f>GS39</f>
        <v>0</v>
      </c>
      <c r="C7383" t="inlineStr">
        <is>
          <t>+LS07</t>
        </is>
      </c>
      <c r="D7383" t="inlineStr">
        <is>
          <t>-325Q1</t>
        </is>
      </c>
      <c r="E7383" t="inlineStr">
        <is>
          <t>DILA-XHI22</t>
        </is>
      </c>
      <c r="F7383" t="inlineStr">
        <is>
          <t>DILA-XHI22</t>
        </is>
      </c>
      <c r="G7383" t="inlineStr">
        <is>
          <t>HILFSKONTAKTBLOCK</t>
        </is>
      </c>
      <c r="H7383" t="inlineStr">
        <is>
          <t>2S 2OE Last+Hilfssch. Cage</t>
        </is>
      </c>
      <c r="I7383">
        <v>491</v>
      </c>
      <c r="J7383">
        <f>GS39/325.3</f>
        <v>0</v>
      </c>
      <c r="K7383" t="inlineStr">
        <is>
          <t>DIL MC25</t>
        </is>
      </c>
      <c r="M7383" t="inlineStr">
        <is>
          <t>-325Q1</t>
        </is>
      </c>
    </row>
    <row r="7384">
      <c r="A7384">
        <v>7383</v>
      </c>
      <c r="B7384">
        <f>GS39</f>
        <v>0</v>
      </c>
      <c r="C7384" t="inlineStr">
        <is>
          <t>+LS07</t>
        </is>
      </c>
      <c r="D7384" t="inlineStr">
        <is>
          <t>-325Q1</t>
        </is>
      </c>
      <c r="E7384" t="inlineStr">
        <is>
          <t>DILMC25-10(RDC24)</t>
        </is>
      </c>
      <c r="F7384" t="inlineStr">
        <is>
          <t>DILA-XHI22</t>
        </is>
      </c>
      <c r="G7384" t="inlineStr">
        <is>
          <t>LASTSCHUETZ</t>
        </is>
      </c>
      <c r="H7384" t="inlineStr">
        <is>
          <t>11kW 1S Federzugkl.</t>
        </is>
      </c>
      <c r="I7384">
        <v>491</v>
      </c>
      <c r="J7384">
        <f>GS39/325.3</f>
        <v>0</v>
      </c>
      <c r="K7384" t="inlineStr">
        <is>
          <t>DIL MC25</t>
        </is>
      </c>
      <c r="M7384" t="inlineStr">
        <is>
          <t>-325Q1</t>
        </is>
      </c>
    </row>
    <row r="7385">
      <c r="A7385">
        <v>7384</v>
      </c>
      <c r="B7385">
        <f>GS46</f>
        <v>0</v>
      </c>
      <c r="C7385" t="inlineStr">
        <is>
          <t>+LS05</t>
        </is>
      </c>
      <c r="D7385" t="inlineStr">
        <is>
          <t>-325Q1</t>
        </is>
      </c>
      <c r="E7385" t="inlineStr">
        <is>
          <t>DILA-XHI22</t>
        </is>
      </c>
      <c r="F7385" t="inlineStr">
        <is>
          <t>DILA-XHI22</t>
        </is>
      </c>
      <c r="G7385" t="inlineStr">
        <is>
          <t>HILFSKONTAKTBLOCK</t>
        </is>
      </c>
      <c r="H7385" t="inlineStr">
        <is>
          <t>2S 2OE Last+Hilfssch. Cage</t>
        </is>
      </c>
      <c r="I7385">
        <v>732</v>
      </c>
      <c r="J7385">
        <f>GS46/325.4</f>
        <v>0</v>
      </c>
      <c r="K7385" t="inlineStr">
        <is>
          <t>DIL MC25</t>
        </is>
      </c>
      <c r="M7385" t="inlineStr">
        <is>
          <t>-325Q1</t>
        </is>
      </c>
    </row>
    <row r="7386">
      <c r="A7386">
        <v>7385</v>
      </c>
      <c r="B7386">
        <f>GS46</f>
        <v>0</v>
      </c>
      <c r="C7386" t="inlineStr">
        <is>
          <t>+LS05</t>
        </is>
      </c>
      <c r="D7386" t="inlineStr">
        <is>
          <t>-325Q1</t>
        </is>
      </c>
      <c r="E7386" t="inlineStr">
        <is>
          <t>DILMC25-10(RDC24)</t>
        </is>
      </c>
      <c r="F7386" t="inlineStr">
        <is>
          <t>DILA-XHI22</t>
        </is>
      </c>
      <c r="G7386" t="inlineStr">
        <is>
          <t>LASTSCHUETZ</t>
        </is>
      </c>
      <c r="H7386" t="inlineStr">
        <is>
          <t>11kW 1S Federzugkl.</t>
        </is>
      </c>
      <c r="I7386">
        <v>732</v>
      </c>
      <c r="J7386">
        <f>GS46/325.4</f>
        <v>0</v>
      </c>
      <c r="K7386" t="inlineStr">
        <is>
          <t>DIL MC25</t>
        </is>
      </c>
      <c r="M7386" t="inlineStr">
        <is>
          <t>-325Q1</t>
        </is>
      </c>
    </row>
    <row r="7387">
      <c r="A7387">
        <v>7386</v>
      </c>
      <c r="B7387">
        <f>GS47</f>
        <v>0</v>
      </c>
      <c r="C7387" t="inlineStr">
        <is>
          <t>+LS05</t>
        </is>
      </c>
      <c r="D7387" t="inlineStr">
        <is>
          <t>-325Q1</t>
        </is>
      </c>
      <c r="E7387" t="inlineStr">
        <is>
          <t>DILA-XHI22</t>
        </is>
      </c>
      <c r="F7387" t="inlineStr">
        <is>
          <t>DILA-XHI22</t>
        </is>
      </c>
      <c r="G7387" t="inlineStr">
        <is>
          <t>HILFSKONTAKTBLOCK</t>
        </is>
      </c>
      <c r="H7387" t="inlineStr">
        <is>
          <t>2S 2OE Last+Hilfssch. Cage</t>
        </is>
      </c>
      <c r="I7387">
        <v>732</v>
      </c>
      <c r="J7387">
        <f>GS47/325.4</f>
        <v>0</v>
      </c>
      <c r="K7387" t="inlineStr">
        <is>
          <t>DIL MC25</t>
        </is>
      </c>
      <c r="M7387" t="inlineStr">
        <is>
          <t>-325Q1</t>
        </is>
      </c>
    </row>
    <row r="7388">
      <c r="A7388">
        <v>7387</v>
      </c>
      <c r="B7388">
        <f>GS47</f>
        <v>0</v>
      </c>
      <c r="C7388" t="inlineStr">
        <is>
          <t>+LS05</t>
        </is>
      </c>
      <c r="D7388" t="inlineStr">
        <is>
          <t>-325Q1</t>
        </is>
      </c>
      <c r="E7388" t="inlineStr">
        <is>
          <t>DILMC25-10(RDC24)</t>
        </is>
      </c>
      <c r="F7388" t="inlineStr">
        <is>
          <t>DILA-XHI22</t>
        </is>
      </c>
      <c r="G7388" t="inlineStr">
        <is>
          <t>LASTSCHUETZ</t>
        </is>
      </c>
      <c r="H7388" t="inlineStr">
        <is>
          <t>11kW 1S Federzugkl.</t>
        </is>
      </c>
      <c r="I7388">
        <v>732</v>
      </c>
      <c r="J7388">
        <f>GS47/325.4</f>
        <v>0</v>
      </c>
      <c r="K7388" t="inlineStr">
        <is>
          <t>DIL MC25</t>
        </is>
      </c>
      <c r="M7388" t="inlineStr">
        <is>
          <t>-325Q1</t>
        </is>
      </c>
    </row>
    <row r="7389">
      <c r="A7389">
        <v>7388</v>
      </c>
      <c r="B7389">
        <f>GS48</f>
        <v>0</v>
      </c>
      <c r="C7389" t="inlineStr">
        <is>
          <t>+LS05</t>
        </is>
      </c>
      <c r="D7389" t="inlineStr">
        <is>
          <t>-325Q1</t>
        </is>
      </c>
      <c r="E7389" t="inlineStr">
        <is>
          <t>DILA-XHI22</t>
        </is>
      </c>
      <c r="F7389" t="inlineStr">
        <is>
          <t>DILA-XHI22</t>
        </is>
      </c>
      <c r="G7389" t="inlineStr">
        <is>
          <t>HILFSKONTAKTBLOCK</t>
        </is>
      </c>
      <c r="H7389" t="inlineStr">
        <is>
          <t>2S 2OE Last+Hilfssch. Cage</t>
        </is>
      </c>
      <c r="I7389">
        <v>457</v>
      </c>
      <c r="J7389">
        <f>GS48/325.4</f>
        <v>0</v>
      </c>
      <c r="K7389" t="inlineStr">
        <is>
          <t>DIL MC25</t>
        </is>
      </c>
      <c r="M7389" t="inlineStr">
        <is>
          <t>-325Q1</t>
        </is>
      </c>
    </row>
    <row r="7390">
      <c r="A7390">
        <v>7389</v>
      </c>
      <c r="B7390">
        <f>GS48</f>
        <v>0</v>
      </c>
      <c r="C7390" t="inlineStr">
        <is>
          <t>+LS05</t>
        </is>
      </c>
      <c r="D7390" t="inlineStr">
        <is>
          <t>-325Q1</t>
        </is>
      </c>
      <c r="E7390" t="inlineStr">
        <is>
          <t>DILMC25-10(RDC24)</t>
        </is>
      </c>
      <c r="F7390" t="inlineStr">
        <is>
          <t>DILA-XHI22</t>
        </is>
      </c>
      <c r="G7390" t="inlineStr">
        <is>
          <t>LASTSCHUETZ</t>
        </is>
      </c>
      <c r="H7390" t="inlineStr">
        <is>
          <t>11kW 1S Federzugkl.</t>
        </is>
      </c>
      <c r="I7390">
        <v>457</v>
      </c>
      <c r="J7390">
        <f>GS48/325.4</f>
        <v>0</v>
      </c>
      <c r="K7390" t="inlineStr">
        <is>
          <t>DIL MC25</t>
        </is>
      </c>
      <c r="M7390" t="inlineStr">
        <is>
          <t>-325Q1</t>
        </is>
      </c>
    </row>
    <row r="7391">
      <c r="A7391">
        <v>7390</v>
      </c>
      <c r="B7391">
        <f>GS49</f>
        <v>0</v>
      </c>
      <c r="C7391" t="inlineStr">
        <is>
          <t>+LS05</t>
        </is>
      </c>
      <c r="D7391" t="inlineStr">
        <is>
          <t>-325Q1</t>
        </is>
      </c>
      <c r="E7391" t="inlineStr">
        <is>
          <t>DILMC25-10(RDC24)</t>
        </is>
      </c>
      <c r="F7391" t="inlineStr">
        <is>
          <t>DILA-XHI22</t>
        </is>
      </c>
      <c r="G7391" t="inlineStr">
        <is>
          <t>LASTSCHUETZ</t>
        </is>
      </c>
      <c r="H7391" t="inlineStr">
        <is>
          <t>11kW 1S Federzugkl.</t>
        </is>
      </c>
      <c r="I7391">
        <v>456</v>
      </c>
      <c r="J7391">
        <f>GS49/325.4</f>
        <v>0</v>
      </c>
      <c r="K7391" t="inlineStr">
        <is>
          <t>DIL MC25</t>
        </is>
      </c>
      <c r="M7391" t="inlineStr">
        <is>
          <t>-325Q1</t>
        </is>
      </c>
    </row>
    <row r="7392">
      <c r="A7392">
        <v>7391</v>
      </c>
      <c r="B7392">
        <f>GS49</f>
        <v>0</v>
      </c>
      <c r="C7392" t="inlineStr">
        <is>
          <t>+LS05</t>
        </is>
      </c>
      <c r="D7392" t="inlineStr">
        <is>
          <t>-325Q1</t>
        </is>
      </c>
      <c r="E7392" t="inlineStr">
        <is>
          <t>DILA-XHI22</t>
        </is>
      </c>
      <c r="F7392" t="inlineStr">
        <is>
          <t>DILA-XHI22</t>
        </is>
      </c>
      <c r="G7392" t="inlineStr">
        <is>
          <t>HILFSKONTAKTBLOCK</t>
        </is>
      </c>
      <c r="H7392" t="inlineStr">
        <is>
          <t>2S 2OE Last+Hilfssch. Cage</t>
        </is>
      </c>
      <c r="I7392">
        <v>456</v>
      </c>
      <c r="J7392">
        <f>GS49/325.4</f>
        <v>0</v>
      </c>
      <c r="K7392" t="inlineStr">
        <is>
          <t>DIL MC25</t>
        </is>
      </c>
      <c r="M7392" t="inlineStr">
        <is>
          <t>-325Q1</t>
        </is>
      </c>
    </row>
    <row r="7393">
      <c r="A7393">
        <v>7392</v>
      </c>
      <c r="B7393">
        <f>GS51</f>
        <v>0</v>
      </c>
      <c r="C7393" t="inlineStr">
        <is>
          <t>+LS04</t>
        </is>
      </c>
      <c r="D7393" t="inlineStr">
        <is>
          <t>-325Q1</t>
        </is>
      </c>
      <c r="E7393" t="inlineStr">
        <is>
          <t>DILA-XHI22</t>
        </is>
      </c>
      <c r="F7393" t="inlineStr">
        <is>
          <t>DILA-XHI22</t>
        </is>
      </c>
      <c r="G7393" t="inlineStr">
        <is>
          <t>HILFSKONTAKTBLOCK</t>
        </is>
      </c>
      <c r="H7393" t="inlineStr">
        <is>
          <t>2S 2OE Last+Hilfssch. Cage</t>
        </is>
      </c>
      <c r="I7393">
        <v>507</v>
      </c>
      <c r="J7393">
        <f>GS51/325.6</f>
        <v>0</v>
      </c>
      <c r="K7393" t="inlineStr">
        <is>
          <t>DIL MC25</t>
        </is>
      </c>
      <c r="M7393" t="inlineStr">
        <is>
          <t>-325Q1</t>
        </is>
      </c>
    </row>
    <row r="7394">
      <c r="A7394">
        <v>7393</v>
      </c>
      <c r="B7394">
        <f>GS51</f>
        <v>0</v>
      </c>
      <c r="C7394" t="inlineStr">
        <is>
          <t>+LS04</t>
        </is>
      </c>
      <c r="D7394" t="inlineStr">
        <is>
          <t>-325Q1</t>
        </is>
      </c>
      <c r="E7394" t="inlineStr">
        <is>
          <t>DILMC25-10(RDC24)</t>
        </is>
      </c>
      <c r="F7394" t="inlineStr">
        <is>
          <t>DILA-XHI22</t>
        </is>
      </c>
      <c r="G7394" t="inlineStr">
        <is>
          <t>LASTSCHUETZ</t>
        </is>
      </c>
      <c r="H7394" t="inlineStr">
        <is>
          <t>11kW 1S Federzugkl.</t>
        </is>
      </c>
      <c r="I7394">
        <v>507</v>
      </c>
      <c r="J7394">
        <f>GS51/325.6</f>
        <v>0</v>
      </c>
      <c r="K7394" t="inlineStr">
        <is>
          <t>DIL MC25</t>
        </is>
      </c>
      <c r="M7394" t="inlineStr">
        <is>
          <t>-325Q1</t>
        </is>
      </c>
    </row>
    <row r="7395">
      <c r="A7395">
        <v>7394</v>
      </c>
      <c r="B7395">
        <f>GS53</f>
        <v>0</v>
      </c>
      <c r="C7395" t="inlineStr">
        <is>
          <t>+LS12</t>
        </is>
      </c>
      <c r="D7395" t="inlineStr">
        <is>
          <t>-325Q1</t>
        </is>
      </c>
      <c r="E7395" t="inlineStr">
        <is>
          <t>DILMC25-10(RDC24)</t>
        </is>
      </c>
      <c r="F7395" t="inlineStr">
        <is>
          <t>DILA-XHI22</t>
        </is>
      </c>
      <c r="G7395" t="inlineStr">
        <is>
          <t>LASTSCHUETZ</t>
        </is>
      </c>
      <c r="H7395" t="inlineStr">
        <is>
          <t>11kW 1S Federzugkl.</t>
        </is>
      </c>
      <c r="I7395">
        <v>431</v>
      </c>
      <c r="J7395">
        <f>GS53/325.6</f>
        <v>0</v>
      </c>
      <c r="K7395" t="inlineStr">
        <is>
          <t>DIL MC25</t>
        </is>
      </c>
      <c r="M7395" t="inlineStr">
        <is>
          <t>-325Q1</t>
        </is>
      </c>
    </row>
    <row r="7396">
      <c r="A7396">
        <v>7395</v>
      </c>
      <c r="B7396">
        <f>GS53</f>
        <v>0</v>
      </c>
      <c r="C7396" t="inlineStr">
        <is>
          <t>+LS12</t>
        </is>
      </c>
      <c r="D7396" t="inlineStr">
        <is>
          <t>-325Q1</t>
        </is>
      </c>
      <c r="E7396" t="inlineStr">
        <is>
          <t>DILA-XHI22</t>
        </is>
      </c>
      <c r="F7396" t="inlineStr">
        <is>
          <t>DILA-XHI22</t>
        </is>
      </c>
      <c r="G7396" t="inlineStr">
        <is>
          <t>HILFSKONTAKTBLOCK</t>
        </is>
      </c>
      <c r="H7396" t="inlineStr">
        <is>
          <t>2S 2OE Last+Hilfssch. Cage</t>
        </is>
      </c>
      <c r="I7396">
        <v>431</v>
      </c>
      <c r="J7396">
        <f>GS53/325.6</f>
        <v>0</v>
      </c>
      <c r="K7396" t="inlineStr">
        <is>
          <t>DIL MC25</t>
        </is>
      </c>
      <c r="M7396" t="inlineStr">
        <is>
          <t>-325Q1</t>
        </is>
      </c>
    </row>
    <row r="7397">
      <c r="A7397">
        <v>7396</v>
      </c>
      <c r="B7397">
        <f>GS91</f>
        <v>0</v>
      </c>
      <c r="C7397" t="inlineStr">
        <is>
          <t>+LS05</t>
        </is>
      </c>
      <c r="D7397" t="inlineStr">
        <is>
          <t>-325Q1</t>
        </is>
      </c>
      <c r="E7397" t="inlineStr">
        <is>
          <t>DILA-XHI22</t>
        </is>
      </c>
      <c r="F7397" t="inlineStr">
        <is>
          <t>DILA-XHI22</t>
        </is>
      </c>
      <c r="G7397" t="inlineStr">
        <is>
          <t>HILFSKONTAKTBLOCK</t>
        </is>
      </c>
      <c r="H7397" t="inlineStr">
        <is>
          <t>2S 2OE Last+Hilfssch. Cage</t>
        </is>
      </c>
      <c r="I7397">
        <v>473</v>
      </c>
      <c r="J7397">
        <f>GS91/325.4</f>
        <v>0</v>
      </c>
      <c r="K7397" t="inlineStr">
        <is>
          <t>DIL MC25</t>
        </is>
      </c>
      <c r="M7397" t="inlineStr">
        <is>
          <t>-325Q1</t>
        </is>
      </c>
    </row>
    <row r="7398">
      <c r="A7398">
        <v>7397</v>
      </c>
      <c r="B7398">
        <f>GS91</f>
        <v>0</v>
      </c>
      <c r="C7398" t="inlineStr">
        <is>
          <t>+LS05</t>
        </is>
      </c>
      <c r="D7398" t="inlineStr">
        <is>
          <t>-325Q1</t>
        </is>
      </c>
      <c r="E7398" t="inlineStr">
        <is>
          <t>DILMC25-10(RDC24)</t>
        </is>
      </c>
      <c r="F7398" t="inlineStr">
        <is>
          <t>DILA-XHI22</t>
        </is>
      </c>
      <c r="G7398" t="inlineStr">
        <is>
          <t>LASTSCHUETZ</t>
        </is>
      </c>
      <c r="H7398" t="inlineStr">
        <is>
          <t>11kW 1S Federzugkl.</t>
        </is>
      </c>
      <c r="I7398">
        <v>473</v>
      </c>
      <c r="J7398">
        <f>GS91/325.4</f>
        <v>0</v>
      </c>
      <c r="K7398" t="inlineStr">
        <is>
          <t>DIL MC25</t>
        </is>
      </c>
      <c r="M7398" t="inlineStr">
        <is>
          <t>-325Q1</t>
        </is>
      </c>
    </row>
    <row r="7399">
      <c r="A7399">
        <v>7398</v>
      </c>
      <c r="B7399">
        <f>GS92</f>
        <v>0</v>
      </c>
      <c r="C7399" t="inlineStr">
        <is>
          <t>+LS06</t>
        </is>
      </c>
      <c r="D7399" t="inlineStr">
        <is>
          <t>-325Q1</t>
        </is>
      </c>
      <c r="E7399" t="inlineStr">
        <is>
          <t>DILMC25-10(RDC24)</t>
        </is>
      </c>
      <c r="F7399" t="inlineStr">
        <is>
          <t>DILA-XHI22</t>
        </is>
      </c>
      <c r="G7399" t="inlineStr">
        <is>
          <t>LASTSCHUETZ</t>
        </is>
      </c>
      <c r="H7399" t="inlineStr">
        <is>
          <t>11kW 1S Federzugkl.</t>
        </is>
      </c>
      <c r="I7399">
        <v>472</v>
      </c>
      <c r="J7399">
        <f>GS92/325.4</f>
        <v>0</v>
      </c>
      <c r="K7399" t="inlineStr">
        <is>
          <t>DIL MC25</t>
        </is>
      </c>
      <c r="M7399" t="inlineStr">
        <is>
          <t>-325Q1</t>
        </is>
      </c>
    </row>
    <row r="7400">
      <c r="A7400">
        <v>7399</v>
      </c>
      <c r="B7400">
        <f>GS92</f>
        <v>0</v>
      </c>
      <c r="C7400" t="inlineStr">
        <is>
          <t>+LS06</t>
        </is>
      </c>
      <c r="D7400" t="inlineStr">
        <is>
          <t>-325Q1</t>
        </is>
      </c>
      <c r="E7400" t="inlineStr">
        <is>
          <t>DILA-XHI22</t>
        </is>
      </c>
      <c r="F7400" t="inlineStr">
        <is>
          <t>DILA-XHI22</t>
        </is>
      </c>
      <c r="G7400" t="inlineStr">
        <is>
          <t>HILFSKONTAKTBLOCK</t>
        </is>
      </c>
      <c r="H7400" t="inlineStr">
        <is>
          <t>2S 2OE Last+Hilfssch. Cage</t>
        </is>
      </c>
      <c r="I7400">
        <v>472</v>
      </c>
      <c r="J7400">
        <f>GS92/325.4</f>
        <v>0</v>
      </c>
      <c r="K7400" t="inlineStr">
        <is>
          <t>DIL MC25</t>
        </is>
      </c>
      <c r="M7400" t="inlineStr">
        <is>
          <t>-325Q1</t>
        </is>
      </c>
    </row>
    <row r="7401">
      <c r="A7401">
        <v>7400</v>
      </c>
      <c r="B7401">
        <f>GS93</f>
        <v>0</v>
      </c>
      <c r="C7401" t="inlineStr">
        <is>
          <t>+LS06</t>
        </is>
      </c>
      <c r="D7401" t="inlineStr">
        <is>
          <t>-325Q1</t>
        </is>
      </c>
      <c r="E7401" t="inlineStr">
        <is>
          <t>DILMC25-10(RDC24)</t>
        </is>
      </c>
      <c r="F7401" t="inlineStr">
        <is>
          <t>DILA-XHI22</t>
        </is>
      </c>
      <c r="G7401" t="inlineStr">
        <is>
          <t>LASTSCHUETZ</t>
        </is>
      </c>
      <c r="H7401" t="inlineStr">
        <is>
          <t>11kW 1S Federzugkl.</t>
        </is>
      </c>
      <c r="I7401">
        <v>879</v>
      </c>
      <c r="J7401">
        <f>GS93/325.4</f>
        <v>0</v>
      </c>
      <c r="K7401" t="inlineStr">
        <is>
          <t>DIL MC25</t>
        </is>
      </c>
      <c r="M7401" t="inlineStr">
        <is>
          <t>-325Q1</t>
        </is>
      </c>
    </row>
    <row r="7402">
      <c r="A7402">
        <v>7401</v>
      </c>
      <c r="B7402">
        <f>GS93</f>
        <v>0</v>
      </c>
      <c r="C7402" t="inlineStr">
        <is>
          <t>+LS06</t>
        </is>
      </c>
      <c r="D7402" t="inlineStr">
        <is>
          <t>-325Q1</t>
        </is>
      </c>
      <c r="E7402" t="inlineStr">
        <is>
          <t>DILA-XHI22</t>
        </is>
      </c>
      <c r="F7402" t="inlineStr">
        <is>
          <t>DILA-XHI22</t>
        </is>
      </c>
      <c r="G7402" t="inlineStr">
        <is>
          <t>HILFSKONTAKTBLOCK</t>
        </is>
      </c>
      <c r="H7402" t="inlineStr">
        <is>
          <t>2S 2OE Last+Hilfssch. Cage</t>
        </is>
      </c>
      <c r="I7402">
        <v>879</v>
      </c>
      <c r="J7402">
        <f>GS93/325.4</f>
        <v>0</v>
      </c>
      <c r="K7402" t="inlineStr">
        <is>
          <t>DIL MC25</t>
        </is>
      </c>
      <c r="M7402" t="inlineStr">
        <is>
          <t>-325Q1</t>
        </is>
      </c>
    </row>
    <row r="7403">
      <c r="A7403">
        <v>7402</v>
      </c>
      <c r="B7403">
        <f>GS94</f>
        <v>0</v>
      </c>
      <c r="C7403" t="inlineStr">
        <is>
          <t>+LS19</t>
        </is>
      </c>
      <c r="D7403" t="inlineStr">
        <is>
          <t>-325Q1</t>
        </is>
      </c>
      <c r="E7403" t="inlineStr">
        <is>
          <t>DILMC25-10(RDC24)</t>
        </is>
      </c>
      <c r="F7403" t="inlineStr">
        <is>
          <t>DILA-XHI22</t>
        </is>
      </c>
      <c r="G7403" t="inlineStr">
        <is>
          <t>LASTSCHUETZ</t>
        </is>
      </c>
      <c r="H7403" t="inlineStr">
        <is>
          <t>11kW 1S Federzugkl.</t>
        </is>
      </c>
      <c r="I7403">
        <v>415</v>
      </c>
      <c r="J7403">
        <f>GS94/325.4</f>
        <v>0</v>
      </c>
      <c r="K7403" t="inlineStr">
        <is>
          <t>DIL MC25</t>
        </is>
      </c>
      <c r="M7403" t="inlineStr">
        <is>
          <t>-325Q1</t>
        </is>
      </c>
    </row>
    <row r="7404">
      <c r="A7404">
        <v>7403</v>
      </c>
      <c r="B7404">
        <f>GS94</f>
        <v>0</v>
      </c>
      <c r="C7404" t="inlineStr">
        <is>
          <t>+LS19</t>
        </is>
      </c>
      <c r="D7404" t="inlineStr">
        <is>
          <t>-325Q1</t>
        </is>
      </c>
      <c r="E7404" t="inlineStr">
        <is>
          <t>DILA-XHI22</t>
        </is>
      </c>
      <c r="F7404" t="inlineStr">
        <is>
          <t>DILA-XHI22</t>
        </is>
      </c>
      <c r="G7404" t="inlineStr">
        <is>
          <t>HILFSKONTAKTBLOCK</t>
        </is>
      </c>
      <c r="H7404" t="inlineStr">
        <is>
          <t>2S 2OE Last+Hilfssch. Cage</t>
        </is>
      </c>
      <c r="I7404">
        <v>415</v>
      </c>
      <c r="J7404">
        <f>GS94/325.4</f>
        <v>0</v>
      </c>
      <c r="K7404" t="inlineStr">
        <is>
          <t>DIL MC25</t>
        </is>
      </c>
      <c r="M7404" t="inlineStr">
        <is>
          <t>-325Q1</t>
        </is>
      </c>
    </row>
    <row r="7405">
      <c r="A7405">
        <v>7404</v>
      </c>
      <c r="B7405">
        <f>GS95</f>
        <v>0</v>
      </c>
      <c r="C7405" t="inlineStr">
        <is>
          <t>+LS19</t>
        </is>
      </c>
      <c r="D7405" t="inlineStr">
        <is>
          <t>-325Q1</t>
        </is>
      </c>
      <c r="E7405" t="inlineStr">
        <is>
          <t>DILA-XHI22</t>
        </is>
      </c>
      <c r="F7405" t="inlineStr">
        <is>
          <t>DILA-XHI22</t>
        </is>
      </c>
      <c r="G7405" t="inlineStr">
        <is>
          <t>HILFSKONTAKTBLOCK</t>
        </is>
      </c>
      <c r="H7405" t="inlineStr">
        <is>
          <t>2S 2OE Last+Hilfssch. Cage</t>
        </is>
      </c>
      <c r="I7405">
        <v>415</v>
      </c>
      <c r="J7405">
        <f>GS95/325.4</f>
        <v>0</v>
      </c>
      <c r="K7405" t="inlineStr">
        <is>
          <t>DIL MC25</t>
        </is>
      </c>
      <c r="M7405" t="inlineStr">
        <is>
          <t>-325Q1</t>
        </is>
      </c>
    </row>
    <row r="7406">
      <c r="A7406">
        <v>7405</v>
      </c>
      <c r="B7406">
        <f>GS95</f>
        <v>0</v>
      </c>
      <c r="C7406" t="inlineStr">
        <is>
          <t>+LS19</t>
        </is>
      </c>
      <c r="D7406" t="inlineStr">
        <is>
          <t>-325Q1</t>
        </is>
      </c>
      <c r="E7406" t="inlineStr">
        <is>
          <t>DILMC25-10(RDC24)</t>
        </is>
      </c>
      <c r="F7406" t="inlineStr">
        <is>
          <t>DILA-XHI22</t>
        </is>
      </c>
      <c r="G7406" t="inlineStr">
        <is>
          <t>LASTSCHUETZ</t>
        </is>
      </c>
      <c r="H7406" t="inlineStr">
        <is>
          <t>11kW 1S Federzugkl.</t>
        </is>
      </c>
      <c r="I7406">
        <v>415</v>
      </c>
      <c r="J7406">
        <f>GS95/325.4</f>
        <v>0</v>
      </c>
      <c r="K7406" t="inlineStr">
        <is>
          <t>DIL MC25</t>
        </is>
      </c>
      <c r="M7406" t="inlineStr">
        <is>
          <t>-325Q1</t>
        </is>
      </c>
    </row>
    <row r="7407">
      <c r="A7407">
        <v>7406</v>
      </c>
      <c r="B7407">
        <f>GS96</f>
        <v>0</v>
      </c>
      <c r="C7407" t="inlineStr">
        <is>
          <t>+LS19</t>
        </is>
      </c>
      <c r="D7407" t="inlineStr">
        <is>
          <t>-325Q1</t>
        </is>
      </c>
      <c r="E7407" t="inlineStr">
        <is>
          <t>DILA-XHI22</t>
        </is>
      </c>
      <c r="F7407" t="inlineStr">
        <is>
          <t>DILA-XHI22</t>
        </is>
      </c>
      <c r="G7407" t="inlineStr">
        <is>
          <t>HILFSKONTAKTBLOCK</t>
        </is>
      </c>
      <c r="H7407" t="inlineStr">
        <is>
          <t>2S 2OE Last+Hilfssch. Cage</t>
        </is>
      </c>
      <c r="I7407">
        <v>415</v>
      </c>
      <c r="J7407">
        <f>GS96/325.4</f>
        <v>0</v>
      </c>
      <c r="K7407" t="inlineStr">
        <is>
          <t>DIL MC25</t>
        </is>
      </c>
      <c r="M7407" t="inlineStr">
        <is>
          <t>-325Q1</t>
        </is>
      </c>
    </row>
    <row r="7408">
      <c r="A7408">
        <v>7407</v>
      </c>
      <c r="B7408">
        <f>GS96</f>
        <v>0</v>
      </c>
      <c r="C7408" t="inlineStr">
        <is>
          <t>+LS19</t>
        </is>
      </c>
      <c r="D7408" t="inlineStr">
        <is>
          <t>-325Q1</t>
        </is>
      </c>
      <c r="E7408" t="inlineStr">
        <is>
          <t>DILMC25-10(RDC24)</t>
        </is>
      </c>
      <c r="F7408" t="inlineStr">
        <is>
          <t>DILA-XHI22</t>
        </is>
      </c>
      <c r="G7408" t="inlineStr">
        <is>
          <t>LASTSCHUETZ</t>
        </is>
      </c>
      <c r="H7408" t="inlineStr">
        <is>
          <t>11kW 1S Federzugkl.</t>
        </is>
      </c>
      <c r="I7408">
        <v>415</v>
      </c>
      <c r="J7408">
        <f>GS96/325.4</f>
        <v>0</v>
      </c>
      <c r="K7408" t="inlineStr">
        <is>
          <t>DIL MC25</t>
        </is>
      </c>
      <c r="M7408" t="inlineStr">
        <is>
          <t>-325Q1</t>
        </is>
      </c>
    </row>
    <row r="7409">
      <c r="A7409">
        <v>7408</v>
      </c>
      <c r="B7409">
        <f>GS97</f>
        <v>0</v>
      </c>
      <c r="C7409" t="inlineStr">
        <is>
          <t>+LS19</t>
        </is>
      </c>
      <c r="D7409" t="inlineStr">
        <is>
          <t>-325Q1</t>
        </is>
      </c>
      <c r="E7409" t="inlineStr">
        <is>
          <t>DILMC25-10(RDC24)</t>
        </is>
      </c>
      <c r="F7409" t="inlineStr">
        <is>
          <t>DILA-XHI22</t>
        </is>
      </c>
      <c r="G7409" t="inlineStr">
        <is>
          <t>LASTSCHUETZ</t>
        </is>
      </c>
      <c r="H7409" t="inlineStr">
        <is>
          <t>11kW 1S Federzugkl.</t>
        </is>
      </c>
      <c r="I7409">
        <v>415</v>
      </c>
      <c r="J7409">
        <f>GS97/325.4</f>
        <v>0</v>
      </c>
      <c r="K7409" t="inlineStr">
        <is>
          <t>DIL MC25</t>
        </is>
      </c>
      <c r="M7409" t="inlineStr">
        <is>
          <t>-325Q1</t>
        </is>
      </c>
    </row>
    <row r="7410">
      <c r="A7410">
        <v>7409</v>
      </c>
      <c r="B7410">
        <f>GS97</f>
        <v>0</v>
      </c>
      <c r="C7410" t="inlineStr">
        <is>
          <t>+LS19</t>
        </is>
      </c>
      <c r="D7410" t="inlineStr">
        <is>
          <t>-325Q1</t>
        </is>
      </c>
      <c r="E7410" t="inlineStr">
        <is>
          <t>DILA-XHI22</t>
        </is>
      </c>
      <c r="F7410" t="inlineStr">
        <is>
          <t>DILA-XHI22</t>
        </is>
      </c>
      <c r="G7410" t="inlineStr">
        <is>
          <t>HILFSKONTAKTBLOCK</t>
        </is>
      </c>
      <c r="H7410" t="inlineStr">
        <is>
          <t>2S 2OE Last+Hilfssch. Cage</t>
        </is>
      </c>
      <c r="I7410">
        <v>415</v>
      </c>
      <c r="J7410">
        <f>GS97/325.4</f>
        <v>0</v>
      </c>
      <c r="K7410" t="inlineStr">
        <is>
          <t>DIL MC25</t>
        </is>
      </c>
      <c r="M7410" t="inlineStr">
        <is>
          <t>-325Q1</t>
        </is>
      </c>
    </row>
    <row r="7411">
      <c r="A7411">
        <v>7410</v>
      </c>
      <c r="B7411">
        <f>GS02</f>
        <v>0</v>
      </c>
      <c r="C7411" t="inlineStr">
        <is>
          <t>+LS7</t>
        </is>
      </c>
      <c r="D7411" t="inlineStr">
        <is>
          <t>-326K1</t>
        </is>
      </c>
      <c r="E7411" t="inlineStr">
        <is>
          <t>22_DIL-M</t>
        </is>
      </c>
      <c r="F7411" t="inlineStr">
        <is>
          <t>22_DIL-M</t>
        </is>
      </c>
      <c r="G7411" t="inlineStr">
        <is>
          <t>HILFSKONTAKTBLOCK</t>
        </is>
      </c>
      <c r="H7411" t="inlineStr">
        <is>
          <t>2S 2OE Lastschuetz DIL M</t>
        </is>
      </c>
      <c r="I7411">
        <v>732</v>
      </c>
      <c r="J7411">
        <f>GS02/326.2</f>
        <v>0</v>
      </c>
      <c r="K7411" t="inlineStr">
        <is>
          <t>DIL0AM</t>
        </is>
      </c>
      <c r="M7411" t="inlineStr">
        <is>
          <t>-326K1</t>
        </is>
      </c>
    </row>
    <row r="7412">
      <c r="A7412">
        <v>7411</v>
      </c>
      <c r="B7412">
        <f>GS02</f>
        <v>0</v>
      </c>
      <c r="C7412" t="inlineStr">
        <is>
          <t>+LS7</t>
        </is>
      </c>
      <c r="D7412" t="inlineStr">
        <is>
          <t>-326K1</t>
        </is>
      </c>
      <c r="E7412" t="inlineStr">
        <is>
          <t>DIL_0AM</t>
        </is>
      </c>
      <c r="F7412" t="inlineStr">
        <is>
          <t>22_DIL-M</t>
        </is>
      </c>
      <c r="G7412" t="inlineStr">
        <is>
          <t>LASTSCHUETZ</t>
        </is>
      </c>
      <c r="H7412" t="inlineStr">
        <is>
          <t>11 kW</t>
        </is>
      </c>
      <c r="I7412">
        <v>732</v>
      </c>
      <c r="J7412">
        <f>GS02/326.2</f>
        <v>0</v>
      </c>
      <c r="K7412" t="inlineStr">
        <is>
          <t>DIL0AM</t>
        </is>
      </c>
      <c r="M7412" t="inlineStr">
        <is>
          <t>-326K1</t>
        </is>
      </c>
    </row>
    <row r="7413">
      <c r="A7413">
        <v>7412</v>
      </c>
      <c r="B7413">
        <f>GS04</f>
        <v>0</v>
      </c>
      <c r="C7413" t="inlineStr">
        <is>
          <t>+LS8</t>
        </is>
      </c>
      <c r="D7413" t="inlineStr">
        <is>
          <t>-326K1</t>
        </is>
      </c>
      <c r="E7413" t="inlineStr">
        <is>
          <t>DIL_0AM</t>
        </is>
      </c>
      <c r="F7413" t="inlineStr">
        <is>
          <t>22_DIL-M</t>
        </is>
      </c>
      <c r="G7413" t="inlineStr">
        <is>
          <t>LASTSCHUETZ</t>
        </is>
      </c>
      <c r="H7413" t="inlineStr">
        <is>
          <t>11 kW</t>
        </is>
      </c>
      <c r="I7413">
        <v>577</v>
      </c>
      <c r="J7413">
        <f>GS04/326.2</f>
        <v>0</v>
      </c>
      <c r="K7413" t="inlineStr">
        <is>
          <t>DIL0AM</t>
        </is>
      </c>
      <c r="M7413" t="inlineStr">
        <is>
          <t>-326K1</t>
        </is>
      </c>
    </row>
    <row r="7414">
      <c r="A7414">
        <v>7413</v>
      </c>
      <c r="B7414">
        <f>GS04</f>
        <v>0</v>
      </c>
      <c r="C7414" t="inlineStr">
        <is>
          <t>+LS8</t>
        </is>
      </c>
      <c r="D7414" t="inlineStr">
        <is>
          <t>-326K1</t>
        </is>
      </c>
      <c r="E7414" t="inlineStr">
        <is>
          <t>22_DIL-M</t>
        </is>
      </c>
      <c r="F7414" t="inlineStr">
        <is>
          <t>22_DIL-M</t>
        </is>
      </c>
      <c r="G7414" t="inlineStr">
        <is>
          <t>HILFSKONTAKTBLOCK</t>
        </is>
      </c>
      <c r="H7414" t="inlineStr">
        <is>
          <t>2S 2OE Lastschuetz DIL M</t>
        </is>
      </c>
      <c r="I7414">
        <v>577</v>
      </c>
      <c r="J7414">
        <f>GS04/326.2</f>
        <v>0</v>
      </c>
      <c r="K7414" t="inlineStr">
        <is>
          <t>DIL0AM</t>
        </is>
      </c>
      <c r="M7414" t="inlineStr">
        <is>
          <t>-326K1</t>
        </is>
      </c>
    </row>
    <row r="7415">
      <c r="A7415">
        <v>7414</v>
      </c>
      <c r="B7415">
        <f>GS15</f>
        <v>0</v>
      </c>
      <c r="C7415" t="inlineStr">
        <is>
          <t>+LS6</t>
        </is>
      </c>
      <c r="D7415" t="inlineStr">
        <is>
          <t>-326K1</t>
        </is>
      </c>
      <c r="E7415" t="inlineStr">
        <is>
          <t>22_DIL-M</t>
        </is>
      </c>
      <c r="F7415" t="inlineStr">
        <is>
          <t>22_DIL-M</t>
        </is>
      </c>
      <c r="G7415" t="inlineStr">
        <is>
          <t>HILFSKONTAKTBLOCK</t>
        </is>
      </c>
      <c r="H7415" t="inlineStr">
        <is>
          <t>2S 2OE Lastschuetz DIL M</t>
        </is>
      </c>
      <c r="I7415">
        <v>824</v>
      </c>
      <c r="J7415">
        <f>GS15/326.2</f>
        <v>0</v>
      </c>
      <c r="K7415" t="inlineStr">
        <is>
          <t>DIL0AM</t>
        </is>
      </c>
      <c r="M7415" t="inlineStr">
        <is>
          <t>-326K1</t>
        </is>
      </c>
    </row>
    <row r="7416">
      <c r="A7416">
        <v>7415</v>
      </c>
      <c r="B7416">
        <f>GS15</f>
        <v>0</v>
      </c>
      <c r="C7416" t="inlineStr">
        <is>
          <t>+LS6</t>
        </is>
      </c>
      <c r="D7416" t="inlineStr">
        <is>
          <t>-326K1</t>
        </is>
      </c>
      <c r="E7416" t="inlineStr">
        <is>
          <t>DIL_0AM</t>
        </is>
      </c>
      <c r="F7416" t="inlineStr">
        <is>
          <t>22_DIL-M</t>
        </is>
      </c>
      <c r="G7416" t="inlineStr">
        <is>
          <t>LASTSCHUETZ</t>
        </is>
      </c>
      <c r="H7416" t="inlineStr">
        <is>
          <t>11 kW</t>
        </is>
      </c>
      <c r="I7416">
        <v>824</v>
      </c>
      <c r="J7416">
        <f>GS15/326.2</f>
        <v>0</v>
      </c>
      <c r="K7416" t="inlineStr">
        <is>
          <t>DIL0AM</t>
        </is>
      </c>
      <c r="M7416" t="inlineStr">
        <is>
          <t>-326K1</t>
        </is>
      </c>
    </row>
    <row r="7417">
      <c r="A7417">
        <v>7416</v>
      </c>
      <c r="B7417">
        <f>GS24</f>
        <v>0</v>
      </c>
      <c r="C7417" t="inlineStr">
        <is>
          <t>+LS6</t>
        </is>
      </c>
      <c r="D7417" t="inlineStr">
        <is>
          <t>-326K17.6</t>
        </is>
      </c>
      <c r="E7417" t="inlineStr">
        <is>
          <t>DIL_EM-10-G</t>
        </is>
      </c>
      <c r="F7417" t="inlineStr">
        <is>
          <t>#KALK!</t>
        </is>
      </c>
      <c r="G7417" t="inlineStr">
        <is>
          <t>LASTSCHUETZ</t>
        </is>
      </c>
      <c r="H7417" t="inlineStr">
        <is>
          <t>4kW 1S</t>
        </is>
      </c>
      <c r="I7417">
        <v>761</v>
      </c>
      <c r="J7417">
        <f>GS24/326.6</f>
        <v>0</v>
      </c>
      <c r="M7417" t="inlineStr">
        <is>
          <t>-326K17.6</t>
        </is>
      </c>
    </row>
    <row r="7418">
      <c r="A7418">
        <v>7417</v>
      </c>
      <c r="B7418">
        <f>GS24</f>
        <v>0</v>
      </c>
      <c r="C7418" t="inlineStr">
        <is>
          <t>+LS6</t>
        </is>
      </c>
      <c r="D7418" t="inlineStr">
        <is>
          <t>-326K17.7</t>
        </is>
      </c>
      <c r="E7418" t="inlineStr">
        <is>
          <t>DIL_EM-10-G</t>
        </is>
      </c>
      <c r="F7418" t="inlineStr">
        <is>
          <t>#KALK!</t>
        </is>
      </c>
      <c r="G7418" t="inlineStr">
        <is>
          <t>LASTSCHUETZ</t>
        </is>
      </c>
      <c r="H7418" t="inlineStr">
        <is>
          <t>4kW 1S</t>
        </is>
      </c>
      <c r="I7418">
        <v>761</v>
      </c>
      <c r="J7418">
        <f>GS24/326.6</f>
        <v>0</v>
      </c>
      <c r="M7418" t="inlineStr">
        <is>
          <t>-326K17.7</t>
        </is>
      </c>
    </row>
    <row r="7419">
      <c r="A7419">
        <v>7418</v>
      </c>
      <c r="B7419">
        <f>GS25</f>
        <v>0</v>
      </c>
      <c r="C7419" t="inlineStr">
        <is>
          <t>+LS6</t>
        </is>
      </c>
      <c r="D7419" t="inlineStr">
        <is>
          <t>-326K20.7</t>
        </is>
      </c>
      <c r="E7419" t="inlineStr">
        <is>
          <t>DIL_EM-10-G</t>
        </is>
      </c>
      <c r="F7419" t="inlineStr">
        <is>
          <t>#KALK!</t>
        </is>
      </c>
      <c r="G7419" t="inlineStr">
        <is>
          <t>LASTSCHUETZ</t>
        </is>
      </c>
      <c r="H7419" t="inlineStr">
        <is>
          <t>4kW 1S</t>
        </is>
      </c>
      <c r="I7419">
        <v>450</v>
      </c>
      <c r="J7419">
        <f>GS25/326.6</f>
        <v>0</v>
      </c>
      <c r="M7419" t="inlineStr">
        <is>
          <t>-326K20.7</t>
        </is>
      </c>
    </row>
    <row r="7420">
      <c r="A7420">
        <v>7419</v>
      </c>
      <c r="B7420">
        <f>GS01</f>
        <v>0</v>
      </c>
      <c r="C7420" t="inlineStr">
        <is>
          <t>+LS7</t>
        </is>
      </c>
      <c r="D7420" t="inlineStr">
        <is>
          <t>-326K64.1</t>
        </is>
      </c>
      <c r="E7420" t="inlineStr">
        <is>
          <t>DIL_EM-10-G</t>
        </is>
      </c>
      <c r="F7420" t="inlineStr">
        <is>
          <t>#KALK!</t>
        </is>
      </c>
      <c r="G7420" t="inlineStr">
        <is>
          <t>LASTSCHUETZ</t>
        </is>
      </c>
      <c r="H7420" t="inlineStr">
        <is>
          <t>4kW 1S</t>
        </is>
      </c>
      <c r="I7420">
        <v>489</v>
      </c>
      <c r="J7420">
        <f>GS01/326.6</f>
        <v>0</v>
      </c>
      <c r="M7420" t="inlineStr">
        <is>
          <t>-326K64.1</t>
        </is>
      </c>
    </row>
    <row r="7421">
      <c r="A7421">
        <v>7420</v>
      </c>
      <c r="B7421">
        <f>GS01</f>
        <v>0</v>
      </c>
      <c r="C7421" t="inlineStr">
        <is>
          <t>+LS7</t>
        </is>
      </c>
      <c r="D7421" t="inlineStr">
        <is>
          <t>-326K64.2</t>
        </is>
      </c>
      <c r="E7421" t="inlineStr">
        <is>
          <t>DIL_EM-10-G</t>
        </is>
      </c>
      <c r="F7421" t="inlineStr">
        <is>
          <t>#KALK!</t>
        </is>
      </c>
      <c r="G7421" t="inlineStr">
        <is>
          <t>LASTSCHUETZ</t>
        </is>
      </c>
      <c r="H7421" t="inlineStr">
        <is>
          <t>4kW 1S</t>
        </is>
      </c>
      <c r="I7421">
        <v>489</v>
      </c>
      <c r="J7421">
        <f>GS01/326.6</f>
        <v>0</v>
      </c>
      <c r="M7421" t="inlineStr">
        <is>
          <t>-326K64.2</t>
        </is>
      </c>
    </row>
    <row r="7422">
      <c r="A7422">
        <v>7421</v>
      </c>
      <c r="B7422">
        <f>GS93</f>
        <v>0</v>
      </c>
      <c r="C7422" t="inlineStr">
        <is>
          <t>+LS06</t>
        </is>
      </c>
      <c r="D7422" t="inlineStr">
        <is>
          <t>-326Q450.5</t>
        </is>
      </c>
      <c r="E7422" t="inlineStr">
        <is>
          <t>DILM-9-10</t>
        </is>
      </c>
      <c r="F7422" t="inlineStr">
        <is>
          <t>#KALK!</t>
        </is>
      </c>
      <c r="G7422" t="inlineStr">
        <is>
          <t>LASTSCHUETZ</t>
        </is>
      </c>
      <c r="H7422" t="inlineStr">
        <is>
          <t>4kW 1S Federzugkl.</t>
        </is>
      </c>
      <c r="I7422">
        <v>880</v>
      </c>
      <c r="J7422">
        <f>GS93/326.5</f>
        <v>0</v>
      </c>
      <c r="M7422" t="inlineStr">
        <is>
          <t>-326Q450.5</t>
        </is>
      </c>
    </row>
    <row r="7423">
      <c r="A7423">
        <v>7422</v>
      </c>
      <c r="B7423">
        <f>GS92</f>
        <v>0</v>
      </c>
      <c r="C7423" t="inlineStr">
        <is>
          <t>+LS06</t>
        </is>
      </c>
      <c r="D7423" t="inlineStr">
        <is>
          <t>-326Q451.1</t>
        </is>
      </c>
      <c r="E7423" t="inlineStr">
        <is>
          <t>DILA-XHI22</t>
        </is>
      </c>
      <c r="F7423" t="inlineStr">
        <is>
          <t>DILA-XHI22</t>
        </is>
      </c>
      <c r="G7423" t="inlineStr">
        <is>
          <t>HILFSKONTAKTBLOCK</t>
        </is>
      </c>
      <c r="H7423" t="inlineStr">
        <is>
          <t>2S 2OE Last+Hilfssch. Cage</t>
        </is>
      </c>
      <c r="I7423">
        <v>473</v>
      </c>
      <c r="J7423">
        <f>GS92/326.5</f>
        <v>0</v>
      </c>
      <c r="M7423" t="inlineStr">
        <is>
          <t>-326Q451.1</t>
        </is>
      </c>
    </row>
    <row r="7424">
      <c r="A7424">
        <v>7423</v>
      </c>
      <c r="B7424">
        <f>GS92</f>
        <v>0</v>
      </c>
      <c r="C7424" t="inlineStr">
        <is>
          <t>+LS06</t>
        </is>
      </c>
      <c r="D7424" t="inlineStr">
        <is>
          <t>-326Q451.1</t>
        </is>
      </c>
      <c r="E7424" t="inlineStr">
        <is>
          <t>DILM-9-10</t>
        </is>
      </c>
      <c r="F7424" t="inlineStr">
        <is>
          <t>DILA-XHI22</t>
        </is>
      </c>
      <c r="G7424" t="inlineStr">
        <is>
          <t>LASTSCHUETZ</t>
        </is>
      </c>
      <c r="H7424" t="inlineStr">
        <is>
          <t>4kW 1S Federzugkl.</t>
        </is>
      </c>
      <c r="I7424">
        <v>473</v>
      </c>
      <c r="J7424">
        <f>GS92/326.5</f>
        <v>0</v>
      </c>
      <c r="M7424" t="inlineStr">
        <is>
          <t>-326Q451.1</t>
        </is>
      </c>
    </row>
    <row r="7425">
      <c r="A7425">
        <v>7424</v>
      </c>
      <c r="B7425">
        <f>GS92</f>
        <v>0</v>
      </c>
      <c r="C7425" t="inlineStr">
        <is>
          <t>+LS06</t>
        </is>
      </c>
      <c r="D7425" t="inlineStr">
        <is>
          <t>-326Q451.2</t>
        </is>
      </c>
      <c r="E7425" t="inlineStr">
        <is>
          <t>DILA-XHI22</t>
        </is>
      </c>
      <c r="F7425" t="inlineStr">
        <is>
          <t>DILA-XHI22</t>
        </is>
      </c>
      <c r="G7425" t="inlineStr">
        <is>
          <t>HILFSKONTAKTBLOCK</t>
        </is>
      </c>
      <c r="H7425" t="inlineStr">
        <is>
          <t>2S 2OE Last+Hilfssch. Cage</t>
        </is>
      </c>
      <c r="I7425">
        <v>473</v>
      </c>
      <c r="J7425">
        <f>GS92/326.6</f>
        <v>0</v>
      </c>
      <c r="M7425" t="inlineStr">
        <is>
          <t>-326Q451.2</t>
        </is>
      </c>
    </row>
    <row r="7426">
      <c r="A7426">
        <v>7425</v>
      </c>
      <c r="B7426">
        <f>GS92</f>
        <v>0</v>
      </c>
      <c r="C7426" t="inlineStr">
        <is>
          <t>+LS06</t>
        </is>
      </c>
      <c r="D7426" t="inlineStr">
        <is>
          <t>-326Q451.2</t>
        </is>
      </c>
      <c r="E7426" t="inlineStr">
        <is>
          <t>DILM-9-10</t>
        </is>
      </c>
      <c r="F7426" t="inlineStr">
        <is>
          <t>DILA-XHI22</t>
        </is>
      </c>
      <c r="G7426" t="inlineStr">
        <is>
          <t>LASTSCHUETZ</t>
        </is>
      </c>
      <c r="H7426" t="inlineStr">
        <is>
          <t>4kW 1S Federzugkl.</t>
        </is>
      </c>
      <c r="I7426">
        <v>473</v>
      </c>
      <c r="J7426">
        <f>GS92/326.6</f>
        <v>0</v>
      </c>
      <c r="M7426" t="inlineStr">
        <is>
          <t>-326Q451.2</t>
        </is>
      </c>
    </row>
    <row r="7427">
      <c r="A7427">
        <v>7426</v>
      </c>
      <c r="B7427">
        <f>GS25</f>
        <v>0</v>
      </c>
      <c r="C7427" t="inlineStr">
        <is>
          <t>+LS6</t>
        </is>
      </c>
      <c r="D7427" t="inlineStr">
        <is>
          <t>-327K21.3</t>
        </is>
      </c>
      <c r="E7427" t="inlineStr">
        <is>
          <t>DIL_EM-10-G</t>
        </is>
      </c>
      <c r="F7427" t="inlineStr">
        <is>
          <t>#KALK!</t>
        </is>
      </c>
      <c r="G7427" t="inlineStr">
        <is>
          <t>LASTSCHUETZ</t>
        </is>
      </c>
      <c r="H7427" t="inlineStr">
        <is>
          <t>4kW 1S</t>
        </is>
      </c>
      <c r="I7427">
        <v>451</v>
      </c>
      <c r="J7427">
        <f>GS25/327.7</f>
        <v>0</v>
      </c>
      <c r="M7427" t="inlineStr">
        <is>
          <t>-327K21.3</t>
        </is>
      </c>
    </row>
    <row r="7428">
      <c r="A7428">
        <v>7427</v>
      </c>
      <c r="B7428">
        <f>GS01</f>
        <v>0</v>
      </c>
      <c r="C7428" t="inlineStr">
        <is>
          <t>+LS7</t>
        </is>
      </c>
      <c r="D7428" t="inlineStr">
        <is>
          <t>-327K64.3</t>
        </is>
      </c>
      <c r="E7428" t="inlineStr">
        <is>
          <t>DIL_EM-10-G</t>
        </is>
      </c>
      <c r="F7428" t="inlineStr">
        <is>
          <t>#KALK!</t>
        </is>
      </c>
      <c r="G7428" t="inlineStr">
        <is>
          <t>LASTSCHUETZ</t>
        </is>
      </c>
      <c r="H7428" t="inlineStr">
        <is>
          <t>4kW 1S</t>
        </is>
      </c>
      <c r="I7428">
        <v>490</v>
      </c>
      <c r="J7428">
        <f>GS01/327.6</f>
        <v>0</v>
      </c>
      <c r="M7428" t="inlineStr">
        <is>
          <t>-327K64.3</t>
        </is>
      </c>
    </row>
    <row r="7429">
      <c r="A7429">
        <v>7428</v>
      </c>
      <c r="B7429">
        <f>GS01</f>
        <v>0</v>
      </c>
      <c r="C7429" t="inlineStr">
        <is>
          <t>+LS7</t>
        </is>
      </c>
      <c r="D7429" t="inlineStr">
        <is>
          <t>-327K64.4</t>
        </is>
      </c>
      <c r="E7429" t="inlineStr">
        <is>
          <t>DIL_EM-10-G</t>
        </is>
      </c>
      <c r="F7429" t="inlineStr">
        <is>
          <t>#KALK!</t>
        </is>
      </c>
      <c r="G7429" t="inlineStr">
        <is>
          <t>LASTSCHUETZ</t>
        </is>
      </c>
      <c r="H7429" t="inlineStr">
        <is>
          <t>4kW 1S</t>
        </is>
      </c>
      <c r="I7429">
        <v>490</v>
      </c>
      <c r="J7429">
        <f>GS01/327.6</f>
        <v>0</v>
      </c>
      <c r="M7429" t="inlineStr">
        <is>
          <t>-327K64.4</t>
        </is>
      </c>
    </row>
    <row r="7430">
      <c r="A7430">
        <v>7429</v>
      </c>
      <c r="B7430">
        <f>GS92</f>
        <v>0</v>
      </c>
      <c r="C7430" t="inlineStr">
        <is>
          <t>+LS06</t>
        </is>
      </c>
      <c r="D7430" t="inlineStr">
        <is>
          <t>-327Q451.3</t>
        </is>
      </c>
      <c r="E7430" t="inlineStr">
        <is>
          <t>DILM-9-10</t>
        </is>
      </c>
      <c r="F7430" t="inlineStr">
        <is>
          <t>#KALK!</t>
        </is>
      </c>
      <c r="G7430" t="inlineStr">
        <is>
          <t>LASTSCHUETZ</t>
        </is>
      </c>
      <c r="H7430" t="inlineStr">
        <is>
          <t>4kW 1S Federzugkl.</t>
        </is>
      </c>
      <c r="I7430">
        <v>474</v>
      </c>
      <c r="J7430">
        <f>GS92/327.5</f>
        <v>0</v>
      </c>
      <c r="M7430" t="inlineStr">
        <is>
          <t>-327Q451.3</t>
        </is>
      </c>
    </row>
    <row r="7431">
      <c r="A7431">
        <v>7430</v>
      </c>
      <c r="B7431">
        <f>GS15</f>
        <v>0</v>
      </c>
      <c r="C7431" t="inlineStr">
        <is>
          <t>+LS6</t>
        </is>
      </c>
      <c r="D7431" t="inlineStr">
        <is>
          <t>-328K18.0</t>
        </is>
      </c>
      <c r="E7431" t="inlineStr">
        <is>
          <t>DIL_EM-10-G</t>
        </is>
      </c>
      <c r="F7431" t="inlineStr">
        <is>
          <t>#KALK!</t>
        </is>
      </c>
      <c r="G7431" t="inlineStr">
        <is>
          <t>LASTSCHUETZ</t>
        </is>
      </c>
      <c r="H7431" t="inlineStr">
        <is>
          <t>4kW 1S</t>
        </is>
      </c>
      <c r="I7431">
        <v>826</v>
      </c>
      <c r="J7431">
        <f>GS15/328.6</f>
        <v>0</v>
      </c>
      <c r="M7431" t="inlineStr">
        <is>
          <t>-328K18.0</t>
        </is>
      </c>
    </row>
    <row r="7432">
      <c r="A7432">
        <v>7431</v>
      </c>
      <c r="B7432">
        <f>GS15</f>
        <v>0</v>
      </c>
      <c r="C7432" t="inlineStr">
        <is>
          <t>+LS6</t>
        </is>
      </c>
      <c r="D7432" t="inlineStr">
        <is>
          <t>-328K18.1</t>
        </is>
      </c>
      <c r="E7432" t="inlineStr">
        <is>
          <t>DIL_EM-10-G</t>
        </is>
      </c>
      <c r="F7432" t="inlineStr">
        <is>
          <t>#KALK!</t>
        </is>
      </c>
      <c r="G7432" t="inlineStr">
        <is>
          <t>LASTSCHUETZ</t>
        </is>
      </c>
      <c r="H7432" t="inlineStr">
        <is>
          <t>4kW 1S</t>
        </is>
      </c>
      <c r="I7432">
        <v>826</v>
      </c>
      <c r="J7432">
        <f>GS15/328.6</f>
        <v>0</v>
      </c>
      <c r="M7432" t="inlineStr">
        <is>
          <t>-328K18.1</t>
        </is>
      </c>
    </row>
    <row r="7433">
      <c r="A7433">
        <v>7432</v>
      </c>
      <c r="B7433">
        <f>GS25</f>
        <v>0</v>
      </c>
      <c r="C7433" t="inlineStr">
        <is>
          <t>+LS6</t>
        </is>
      </c>
      <c r="D7433" t="inlineStr">
        <is>
          <t>-328K21.4</t>
        </is>
      </c>
      <c r="E7433" t="inlineStr">
        <is>
          <t>DIL_EM-10-G</t>
        </is>
      </c>
      <c r="F7433" t="inlineStr">
        <is>
          <t>#KALK!</t>
        </is>
      </c>
      <c r="G7433" t="inlineStr">
        <is>
          <t>LASTSCHUETZ</t>
        </is>
      </c>
      <c r="H7433" t="inlineStr">
        <is>
          <t>4kW 1S</t>
        </is>
      </c>
      <c r="I7433">
        <v>452</v>
      </c>
      <c r="J7433">
        <f>GS25/328.6</f>
        <v>0</v>
      </c>
      <c r="M7433" t="inlineStr">
        <is>
          <t>-328K21.4</t>
        </is>
      </c>
    </row>
    <row r="7434">
      <c r="A7434">
        <v>7433</v>
      </c>
      <c r="B7434">
        <f>GS25</f>
        <v>0</v>
      </c>
      <c r="C7434" t="inlineStr">
        <is>
          <t>+LS6</t>
        </is>
      </c>
      <c r="D7434" t="inlineStr">
        <is>
          <t>-328K21.5</t>
        </is>
      </c>
      <c r="E7434" t="inlineStr">
        <is>
          <t>DIL_EM-10-G</t>
        </is>
      </c>
      <c r="F7434" t="inlineStr">
        <is>
          <t>#KALK!</t>
        </is>
      </c>
      <c r="G7434" t="inlineStr">
        <is>
          <t>LASTSCHUETZ</t>
        </is>
      </c>
      <c r="H7434" t="inlineStr">
        <is>
          <t>4kW 1S</t>
        </is>
      </c>
      <c r="I7434">
        <v>452</v>
      </c>
      <c r="J7434">
        <f>GS25/328.6</f>
        <v>0</v>
      </c>
      <c r="M7434" t="inlineStr">
        <is>
          <t>-328K21.5</t>
        </is>
      </c>
    </row>
    <row r="7435">
      <c r="A7435">
        <v>7434</v>
      </c>
      <c r="B7435">
        <f>GS02</f>
        <v>0</v>
      </c>
      <c r="C7435" t="inlineStr">
        <is>
          <t>+LS7</t>
        </is>
      </c>
      <c r="D7435" t="inlineStr">
        <is>
          <t>-328K54.2</t>
        </is>
      </c>
      <c r="E7435" t="inlineStr">
        <is>
          <t>DIL_EM-10-G</t>
        </is>
      </c>
      <c r="F7435" t="inlineStr">
        <is>
          <t>#KALK!</t>
        </is>
      </c>
      <c r="G7435" t="inlineStr">
        <is>
          <t>LASTSCHUETZ</t>
        </is>
      </c>
      <c r="H7435" t="inlineStr">
        <is>
          <t>4kW 1S</t>
        </is>
      </c>
      <c r="I7435">
        <v>734</v>
      </c>
      <c r="J7435">
        <f>GS02/328.6</f>
        <v>0</v>
      </c>
      <c r="M7435" t="inlineStr">
        <is>
          <t>-328K54.2</t>
        </is>
      </c>
    </row>
    <row r="7436">
      <c r="A7436">
        <v>7435</v>
      </c>
      <c r="B7436">
        <f>GS02</f>
        <v>0</v>
      </c>
      <c r="C7436" t="inlineStr">
        <is>
          <t>+LS7</t>
        </is>
      </c>
      <c r="D7436" t="inlineStr">
        <is>
          <t>-328K54.3</t>
        </is>
      </c>
      <c r="E7436" t="inlineStr">
        <is>
          <t>DIL_EM-10-G</t>
        </is>
      </c>
      <c r="F7436" t="inlineStr">
        <is>
          <t>#KALK!</t>
        </is>
      </c>
      <c r="G7436" t="inlineStr">
        <is>
          <t>LASTSCHUETZ</t>
        </is>
      </c>
      <c r="H7436" t="inlineStr">
        <is>
          <t>4kW 1S</t>
        </is>
      </c>
      <c r="I7436">
        <v>734</v>
      </c>
      <c r="J7436">
        <f>GS02/328.6</f>
        <v>0</v>
      </c>
      <c r="M7436" t="inlineStr">
        <is>
          <t>-328K54.3</t>
        </is>
      </c>
    </row>
    <row r="7437">
      <c r="A7437">
        <v>7436</v>
      </c>
      <c r="B7437">
        <f>GS04</f>
        <v>0</v>
      </c>
      <c r="C7437" t="inlineStr">
        <is>
          <t>+LS8</t>
        </is>
      </c>
      <c r="D7437" t="inlineStr">
        <is>
          <t>-328K72.5</t>
        </is>
      </c>
      <c r="E7437" t="inlineStr">
        <is>
          <t>DIL_EM-10-G</t>
        </is>
      </c>
      <c r="F7437" t="inlineStr">
        <is>
          <t>#KALK!</t>
        </is>
      </c>
      <c r="G7437" t="inlineStr">
        <is>
          <t>LASTSCHUETZ</t>
        </is>
      </c>
      <c r="H7437" t="inlineStr">
        <is>
          <t>4kW 1S</t>
        </is>
      </c>
      <c r="I7437">
        <v>579</v>
      </c>
      <c r="J7437">
        <f>GS04/328.7</f>
        <v>0</v>
      </c>
      <c r="M7437" t="inlineStr">
        <is>
          <t>-328K72.5</t>
        </is>
      </c>
    </row>
    <row r="7438">
      <c r="A7438">
        <v>7437</v>
      </c>
      <c r="B7438">
        <f>GS38</f>
        <v>0</v>
      </c>
      <c r="C7438" t="inlineStr">
        <is>
          <t>+LS07</t>
        </is>
      </c>
      <c r="D7438" t="inlineStr">
        <is>
          <t>-328Q103.7</t>
        </is>
      </c>
      <c r="E7438" t="inlineStr">
        <is>
          <t>DILMC12-10(24VDC)</t>
        </is>
      </c>
      <c r="F7438" t="inlineStr">
        <is>
          <t>#KALK!</t>
        </is>
      </c>
      <c r="G7438" t="inlineStr">
        <is>
          <t>LASTSCHUETZ</t>
        </is>
      </c>
      <c r="H7438" t="inlineStr">
        <is>
          <t>5,5kW 1S Federzugkl.</t>
        </is>
      </c>
      <c r="I7438">
        <v>493</v>
      </c>
      <c r="J7438">
        <f>GS38/328.5</f>
        <v>0</v>
      </c>
      <c r="K7438" t="inlineStr">
        <is>
          <t>DIL MC12</t>
        </is>
      </c>
      <c r="M7438" t="inlineStr">
        <is>
          <t>-328Q103.7</t>
        </is>
      </c>
    </row>
    <row r="7439">
      <c r="A7439">
        <v>7438</v>
      </c>
      <c r="B7439">
        <f>GS39</f>
        <v>0</v>
      </c>
      <c r="C7439" t="inlineStr">
        <is>
          <t>+LS07</t>
        </is>
      </c>
      <c r="D7439" t="inlineStr">
        <is>
          <t>-328Q103.7</t>
        </is>
      </c>
      <c r="E7439" t="inlineStr">
        <is>
          <t>DILMC12-10(24VDC)</t>
        </is>
      </c>
      <c r="F7439" t="inlineStr">
        <is>
          <t>#KALK!</t>
        </is>
      </c>
      <c r="G7439" t="inlineStr">
        <is>
          <t>LASTSCHUETZ</t>
        </is>
      </c>
      <c r="H7439" t="inlineStr">
        <is>
          <t>5,5kW 1S Federzugkl.</t>
        </is>
      </c>
      <c r="I7439">
        <v>494</v>
      </c>
      <c r="J7439">
        <f>GS39/328.5</f>
        <v>0</v>
      </c>
      <c r="K7439" t="inlineStr">
        <is>
          <t>DIL MC12</t>
        </is>
      </c>
      <c r="M7439" t="inlineStr">
        <is>
          <t>-328Q103.7</t>
        </is>
      </c>
    </row>
    <row r="7440">
      <c r="A7440">
        <v>7439</v>
      </c>
      <c r="B7440">
        <f>GS33</f>
        <v>0</v>
      </c>
      <c r="C7440" t="inlineStr">
        <is>
          <t>+LS7</t>
        </is>
      </c>
      <c r="D7440" t="inlineStr">
        <is>
          <t>-329K1</t>
        </is>
      </c>
      <c r="E7440" t="inlineStr">
        <is>
          <t>DIL_2AM</t>
        </is>
      </c>
      <c r="F7440" t="inlineStr">
        <is>
          <t>31 DIL M</t>
        </is>
      </c>
      <c r="G7440" t="inlineStr">
        <is>
          <t>LASTSCHUETZ</t>
        </is>
      </c>
      <c r="H7440" t="inlineStr">
        <is>
          <t>30 kW</t>
        </is>
      </c>
      <c r="I7440">
        <v>778</v>
      </c>
      <c r="J7440">
        <f>GS33/329.5</f>
        <v>0</v>
      </c>
      <c r="K7440" t="inlineStr">
        <is>
          <t>DIL2AM</t>
        </is>
      </c>
      <c r="M7440" t="inlineStr">
        <is>
          <t>-329K1</t>
        </is>
      </c>
    </row>
    <row r="7441">
      <c r="A7441">
        <v>7440</v>
      </c>
      <c r="B7441">
        <f>GS33</f>
        <v>0</v>
      </c>
      <c r="C7441" t="inlineStr">
        <is>
          <t>+LS7</t>
        </is>
      </c>
      <c r="D7441" t="inlineStr">
        <is>
          <t>-329K1</t>
        </is>
      </c>
      <c r="E7441" t="inlineStr">
        <is>
          <t>31 DIL M</t>
        </is>
      </c>
      <c r="F7441" t="inlineStr">
        <is>
          <t>31 DIL M</t>
        </is>
      </c>
      <c r="G7441" t="inlineStr">
        <is>
          <t>HILFSKONTAKTBLOCK</t>
        </is>
      </c>
      <c r="H7441" t="inlineStr">
        <is>
          <t>3S 1OE Lastschuetz DIL M</t>
        </is>
      </c>
      <c r="I7441">
        <v>778</v>
      </c>
      <c r="J7441">
        <f>GS33/329.5</f>
        <v>0</v>
      </c>
      <c r="K7441" t="inlineStr">
        <is>
          <t>DIL2AM</t>
        </is>
      </c>
      <c r="M7441" t="inlineStr">
        <is>
          <t>-329K1</t>
        </is>
      </c>
    </row>
    <row r="7442">
      <c r="A7442">
        <v>7441</v>
      </c>
      <c r="B7442">
        <f>GS15</f>
        <v>0</v>
      </c>
      <c r="C7442" t="inlineStr">
        <is>
          <t>+LS6</t>
        </is>
      </c>
      <c r="D7442" t="inlineStr">
        <is>
          <t>-329K18.2</t>
        </is>
      </c>
      <c r="E7442" t="inlineStr">
        <is>
          <t>DIL_EM-10-G</t>
        </is>
      </c>
      <c r="F7442" t="inlineStr">
        <is>
          <t>#KALK!</t>
        </is>
      </c>
      <c r="G7442" t="inlineStr">
        <is>
          <t>LASTSCHUETZ</t>
        </is>
      </c>
      <c r="H7442" t="inlineStr">
        <is>
          <t>4kW 1S</t>
        </is>
      </c>
      <c r="I7442">
        <v>827</v>
      </c>
      <c r="J7442">
        <f>GS15/329.6</f>
        <v>0</v>
      </c>
      <c r="M7442" t="inlineStr">
        <is>
          <t>-329K18.2</t>
        </is>
      </c>
    </row>
    <row r="7443">
      <c r="A7443">
        <v>7442</v>
      </c>
      <c r="B7443">
        <f>GS15</f>
        <v>0</v>
      </c>
      <c r="C7443" t="inlineStr">
        <is>
          <t>+LS6</t>
        </is>
      </c>
      <c r="D7443" t="inlineStr">
        <is>
          <t>-329K18.3</t>
        </is>
      </c>
      <c r="E7443" t="inlineStr">
        <is>
          <t>DIL_EM-10-G</t>
        </is>
      </c>
      <c r="F7443" t="inlineStr">
        <is>
          <t>#KALK!</t>
        </is>
      </c>
      <c r="G7443" t="inlineStr">
        <is>
          <t>LASTSCHUETZ</t>
        </is>
      </c>
      <c r="H7443" t="inlineStr">
        <is>
          <t>4kW 1S</t>
        </is>
      </c>
      <c r="I7443">
        <v>827</v>
      </c>
      <c r="J7443">
        <f>GS15/329.6</f>
        <v>0</v>
      </c>
      <c r="M7443" t="inlineStr">
        <is>
          <t>-329K18.3</t>
        </is>
      </c>
    </row>
    <row r="7444">
      <c r="A7444">
        <v>7443</v>
      </c>
      <c r="B7444">
        <f>GS02</f>
        <v>0</v>
      </c>
      <c r="C7444" t="inlineStr">
        <is>
          <t>+LS7</t>
        </is>
      </c>
      <c r="D7444" t="inlineStr">
        <is>
          <t>-329K54.4</t>
        </is>
      </c>
      <c r="E7444" t="inlineStr">
        <is>
          <t>DIL_EM-10-G</t>
        </is>
      </c>
      <c r="F7444" t="inlineStr">
        <is>
          <t>#KALK!</t>
        </is>
      </c>
      <c r="G7444" t="inlineStr">
        <is>
          <t>LASTSCHUETZ</t>
        </is>
      </c>
      <c r="H7444" t="inlineStr">
        <is>
          <t>4kW 1S</t>
        </is>
      </c>
      <c r="I7444">
        <v>735</v>
      </c>
      <c r="J7444">
        <f>GS02/329.6</f>
        <v>0</v>
      </c>
      <c r="M7444" t="inlineStr">
        <is>
          <t>-329K54.4</t>
        </is>
      </c>
    </row>
    <row r="7445">
      <c r="A7445">
        <v>7444</v>
      </c>
      <c r="B7445">
        <f>GS02</f>
        <v>0</v>
      </c>
      <c r="C7445" t="inlineStr">
        <is>
          <t>+LS7</t>
        </is>
      </c>
      <c r="D7445" t="inlineStr">
        <is>
          <t>-329K54.5</t>
        </is>
      </c>
      <c r="E7445" t="inlineStr">
        <is>
          <t>DIL_EM-10-G</t>
        </is>
      </c>
      <c r="F7445" t="inlineStr">
        <is>
          <t>#KALK!</t>
        </is>
      </c>
      <c r="G7445" t="inlineStr">
        <is>
          <t>LASTSCHUETZ</t>
        </is>
      </c>
      <c r="H7445" t="inlineStr">
        <is>
          <t>4kW 1S</t>
        </is>
      </c>
      <c r="I7445">
        <v>735</v>
      </c>
      <c r="J7445">
        <f>GS02/329.6</f>
        <v>0</v>
      </c>
      <c r="M7445" t="inlineStr">
        <is>
          <t>-329K54.5</t>
        </is>
      </c>
    </row>
    <row r="7446">
      <c r="A7446">
        <v>7445</v>
      </c>
      <c r="B7446">
        <f>GS04</f>
        <v>0</v>
      </c>
      <c r="C7446" t="inlineStr">
        <is>
          <t>+LS8</t>
        </is>
      </c>
      <c r="D7446" t="inlineStr">
        <is>
          <t>-329K73.5</t>
        </is>
      </c>
      <c r="E7446" t="inlineStr">
        <is>
          <t>DIL_EM-10-G</t>
        </is>
      </c>
      <c r="F7446" t="inlineStr">
        <is>
          <t>#KALK!</t>
        </is>
      </c>
      <c r="G7446" t="inlineStr">
        <is>
          <t>LASTSCHUETZ</t>
        </is>
      </c>
      <c r="H7446" t="inlineStr">
        <is>
          <t>4kW 1S</t>
        </is>
      </c>
      <c r="I7446">
        <v>580</v>
      </c>
      <c r="J7446">
        <f>GS04/329.7</f>
        <v>0</v>
      </c>
      <c r="M7446" t="inlineStr">
        <is>
          <t>-329K73.5</t>
        </is>
      </c>
    </row>
    <row r="7447">
      <c r="A7447">
        <v>7446</v>
      </c>
      <c r="B7447">
        <f>GS38</f>
        <v>0</v>
      </c>
      <c r="C7447" t="inlineStr">
        <is>
          <t>+LS07</t>
        </is>
      </c>
      <c r="D7447" t="inlineStr">
        <is>
          <t>-329Q104.1</t>
        </is>
      </c>
      <c r="E7447" t="inlineStr">
        <is>
          <t>DILM-9-10</t>
        </is>
      </c>
      <c r="F7447" t="inlineStr">
        <is>
          <t>#KALK!</t>
        </is>
      </c>
      <c r="G7447" t="inlineStr">
        <is>
          <t>LASTSCHUETZ</t>
        </is>
      </c>
      <c r="H7447" t="inlineStr">
        <is>
          <t>4kW 1S Federzugkl.</t>
        </is>
      </c>
      <c r="I7447">
        <v>494</v>
      </c>
      <c r="J7447">
        <f>GS38/329.6</f>
        <v>0</v>
      </c>
      <c r="M7447" t="inlineStr">
        <is>
          <t>-329Q104.1</t>
        </is>
      </c>
    </row>
    <row r="7448">
      <c r="A7448">
        <v>7447</v>
      </c>
      <c r="B7448">
        <f>GS39</f>
        <v>0</v>
      </c>
      <c r="C7448" t="inlineStr">
        <is>
          <t>+LS07</t>
        </is>
      </c>
      <c r="D7448" t="inlineStr">
        <is>
          <t>-329Q104.1</t>
        </is>
      </c>
      <c r="E7448" t="inlineStr">
        <is>
          <t>DILM-9-10</t>
        </is>
      </c>
      <c r="F7448" t="inlineStr">
        <is>
          <t>#KALK!</t>
        </is>
      </c>
      <c r="G7448" t="inlineStr">
        <is>
          <t>LASTSCHUETZ</t>
        </is>
      </c>
      <c r="H7448" t="inlineStr">
        <is>
          <t>4kW 1S Federzugkl.</t>
        </is>
      </c>
      <c r="I7448">
        <v>495</v>
      </c>
      <c r="J7448">
        <f>GS39/329.6</f>
        <v>0</v>
      </c>
      <c r="M7448" t="inlineStr">
        <is>
          <t>-329Q104.1</t>
        </is>
      </c>
    </row>
    <row r="7449">
      <c r="A7449">
        <v>7448</v>
      </c>
      <c r="B7449">
        <f>GS92</f>
        <v>0</v>
      </c>
      <c r="C7449" t="inlineStr">
        <is>
          <t>+LS06</t>
        </is>
      </c>
      <c r="D7449" t="inlineStr">
        <is>
          <t>-329Q451.4</t>
        </is>
      </c>
      <c r="E7449" t="inlineStr">
        <is>
          <t>DILM-9-10</t>
        </is>
      </c>
      <c r="F7449" t="inlineStr">
        <is>
          <t>#KALK!</t>
        </is>
      </c>
      <c r="G7449" t="inlineStr">
        <is>
          <t>LASTSCHUETZ</t>
        </is>
      </c>
      <c r="H7449" t="inlineStr">
        <is>
          <t>4kW 1S Federzugkl.</t>
        </is>
      </c>
      <c r="I7449">
        <v>476</v>
      </c>
      <c r="J7449">
        <f>GS92/329.5</f>
        <v>0</v>
      </c>
      <c r="M7449" t="inlineStr">
        <is>
          <t>-329Q451.4</t>
        </is>
      </c>
    </row>
    <row r="7450">
      <c r="A7450">
        <v>7449</v>
      </c>
      <c r="B7450">
        <f>GS94</f>
        <v>0</v>
      </c>
      <c r="C7450" t="inlineStr">
        <is>
          <t>+LS19</t>
        </is>
      </c>
      <c r="D7450" t="inlineStr">
        <is>
          <t>-329Q497.5</t>
        </is>
      </c>
      <c r="E7450" t="inlineStr">
        <is>
          <t>DILM-9-10</t>
        </is>
      </c>
      <c r="F7450" t="inlineStr">
        <is>
          <t>#KALK!</t>
        </is>
      </c>
      <c r="G7450" t="inlineStr">
        <is>
          <t>LASTSCHUETZ</t>
        </is>
      </c>
      <c r="H7450" t="inlineStr">
        <is>
          <t>4kW 1S Federzugkl.</t>
        </is>
      </c>
      <c r="I7450">
        <v>419</v>
      </c>
      <c r="J7450">
        <f>GS94/329.5</f>
        <v>0</v>
      </c>
      <c r="M7450" t="inlineStr">
        <is>
          <t>-329Q497.5</t>
        </is>
      </c>
    </row>
    <row r="7451">
      <c r="A7451">
        <v>7450</v>
      </c>
      <c r="B7451">
        <f>GS95</f>
        <v>0</v>
      </c>
      <c r="C7451" t="inlineStr">
        <is>
          <t>+LS19</t>
        </is>
      </c>
      <c r="D7451" t="inlineStr">
        <is>
          <t>-329Q497.5</t>
        </is>
      </c>
      <c r="E7451" t="inlineStr">
        <is>
          <t>DILM-9-10</t>
        </is>
      </c>
      <c r="F7451" t="inlineStr">
        <is>
          <t>#KALK!</t>
        </is>
      </c>
      <c r="G7451" t="inlineStr">
        <is>
          <t>LASTSCHUETZ</t>
        </is>
      </c>
      <c r="H7451" t="inlineStr">
        <is>
          <t>4kW 1S Federzugkl.</t>
        </is>
      </c>
      <c r="I7451">
        <v>419</v>
      </c>
      <c r="J7451">
        <f>GS95/329.5</f>
        <v>0</v>
      </c>
      <c r="M7451" t="inlineStr">
        <is>
          <t>-329Q497.5</t>
        </is>
      </c>
    </row>
    <row r="7452">
      <c r="A7452">
        <v>7451</v>
      </c>
      <c r="B7452">
        <f>GS96</f>
        <v>0</v>
      </c>
      <c r="C7452" t="inlineStr">
        <is>
          <t>+LS19</t>
        </is>
      </c>
      <c r="D7452" t="inlineStr">
        <is>
          <t>-329Q497.5</t>
        </is>
      </c>
      <c r="E7452" t="inlineStr">
        <is>
          <t>DILM-9-10</t>
        </is>
      </c>
      <c r="F7452" t="inlineStr">
        <is>
          <t>#KALK!</t>
        </is>
      </c>
      <c r="G7452" t="inlineStr">
        <is>
          <t>LASTSCHUETZ</t>
        </is>
      </c>
      <c r="H7452" t="inlineStr">
        <is>
          <t>4kW 1S Federzugkl.</t>
        </is>
      </c>
      <c r="I7452">
        <v>419</v>
      </c>
      <c r="J7452">
        <f>GS96/329.5</f>
        <v>0</v>
      </c>
      <c r="M7452" t="inlineStr">
        <is>
          <t>-329Q497.5</t>
        </is>
      </c>
    </row>
    <row r="7453">
      <c r="A7453">
        <v>7452</v>
      </c>
      <c r="B7453">
        <f>GS97</f>
        <v>0</v>
      </c>
      <c r="C7453" t="inlineStr">
        <is>
          <t>+LS19</t>
        </is>
      </c>
      <c r="D7453" t="inlineStr">
        <is>
          <t>-329Q497.5</t>
        </is>
      </c>
      <c r="E7453" t="inlineStr">
        <is>
          <t>DILM-9-10</t>
        </is>
      </c>
      <c r="F7453" t="inlineStr">
        <is>
          <t>#KALK!</t>
        </is>
      </c>
      <c r="G7453" t="inlineStr">
        <is>
          <t>LASTSCHUETZ</t>
        </is>
      </c>
      <c r="H7453" t="inlineStr">
        <is>
          <t>4kW 1S Federzugkl.</t>
        </is>
      </c>
      <c r="I7453">
        <v>419</v>
      </c>
      <c r="J7453">
        <f>GS97/329.5</f>
        <v>0</v>
      </c>
      <c r="M7453" t="inlineStr">
        <is>
          <t>-329Q497.5</t>
        </is>
      </c>
    </row>
    <row r="7454">
      <c r="A7454">
        <v>7453</v>
      </c>
      <c r="B7454">
        <f>GS69</f>
        <v>0</v>
      </c>
      <c r="C7454" t="inlineStr">
        <is>
          <t>+LS[I1]</t>
        </is>
      </c>
      <c r="D7454" t="inlineStr">
        <is>
          <t>-32Q[a+11].5</t>
        </is>
      </c>
      <c r="E7454" t="inlineStr">
        <is>
          <t>DILM-9-10</t>
        </is>
      </c>
      <c r="F7454" t="inlineStr">
        <is>
          <t>#KALK!</t>
        </is>
      </c>
      <c r="G7454" t="inlineStr">
        <is>
          <t>LASTSCHUETZ</t>
        </is>
      </c>
      <c r="H7454" t="inlineStr">
        <is>
          <t>4kW 1S Federzugkl.</t>
        </is>
      </c>
      <c r="I7454">
        <v>463</v>
      </c>
      <c r="J7454">
        <f>GS69/32.6</f>
        <v>0</v>
      </c>
      <c r="M7454" t="inlineStr">
        <is>
          <t>-32Q[a+11].5</t>
        </is>
      </c>
    </row>
    <row r="7455">
      <c r="A7455">
        <v>7454</v>
      </c>
      <c r="B7455">
        <f>GS08</f>
        <v>0</v>
      </c>
      <c r="C7455" t="inlineStr">
        <is>
          <t>+LS[p1]</t>
        </is>
      </c>
      <c r="D7455" t="inlineStr">
        <is>
          <t>-32Q[a+2].1</t>
        </is>
      </c>
      <c r="E7455" t="inlineStr">
        <is>
          <t>DILMC12-10(24VDC)</t>
        </is>
      </c>
      <c r="F7455" t="inlineStr">
        <is>
          <t>#KALK!</t>
        </is>
      </c>
      <c r="G7455" t="inlineStr">
        <is>
          <t>LASTSCHUETZ</t>
        </is>
      </c>
      <c r="H7455" t="inlineStr">
        <is>
          <t>5,5kW 1S Federzugkl.</t>
        </is>
      </c>
      <c r="I7455">
        <v>201</v>
      </c>
      <c r="J7455">
        <f>GS08/32.3</f>
        <v>0</v>
      </c>
      <c r="K7455" t="inlineStr">
        <is>
          <t>DIL MC12</t>
        </is>
      </c>
      <c r="M7455" t="inlineStr">
        <is>
          <t>-32Q[a+2].1</t>
        </is>
      </c>
    </row>
    <row r="7456">
      <c r="A7456">
        <v>7455</v>
      </c>
      <c r="B7456">
        <f>GS8x</f>
        <v>0</v>
      </c>
      <c r="C7456" t="inlineStr">
        <is>
          <t>+LS</t>
        </is>
      </c>
      <c r="D7456" t="inlineStr">
        <is>
          <t>-32Q2</t>
        </is>
      </c>
      <c r="E7456" t="inlineStr">
        <is>
          <t>DILM-9-10</t>
        </is>
      </c>
      <c r="F7456" t="inlineStr">
        <is>
          <t>#KALK!</t>
        </is>
      </c>
      <c r="G7456" t="inlineStr">
        <is>
          <t>LASTSCHUETZ</t>
        </is>
      </c>
      <c r="H7456" t="inlineStr">
        <is>
          <t>4kW 1S Federzugkl.</t>
        </is>
      </c>
      <c r="I7456">
        <v>301</v>
      </c>
      <c r="J7456">
        <f>GS8x/32.5</f>
        <v>0</v>
      </c>
      <c r="M7456" t="inlineStr">
        <is>
          <t>-32Q2</t>
        </is>
      </c>
    </row>
    <row r="7457">
      <c r="A7457">
        <v>7456</v>
      </c>
      <c r="B7457">
        <f>GS20</f>
        <v>0</v>
      </c>
      <c r="C7457" t="inlineStr">
        <is>
          <t>+ES02</t>
        </is>
      </c>
      <c r="D7457" t="inlineStr">
        <is>
          <t>-33.1K1</t>
        </is>
      </c>
      <c r="E7457" t="inlineStr">
        <is>
          <t>DILA-XHI22</t>
        </is>
      </c>
      <c r="F7457" t="inlineStr">
        <is>
          <t>DILA-XHI22</t>
        </is>
      </c>
      <c r="G7457" t="inlineStr">
        <is>
          <t>HILFSKONTAKTBLOCK</t>
        </is>
      </c>
      <c r="H7457" t="inlineStr">
        <is>
          <t>2S 2OE Last+Hilfssch. Cage</t>
        </is>
      </c>
      <c r="I7457">
        <v>3007</v>
      </c>
      <c r="J7457">
        <f>GS20/33.1.3</f>
        <v>0</v>
      </c>
      <c r="M7457" t="inlineStr">
        <is>
          <t>-33.1K1</t>
        </is>
      </c>
    </row>
    <row r="7458">
      <c r="A7458">
        <v>7457</v>
      </c>
      <c r="B7458">
        <f>GS20</f>
        <v>0</v>
      </c>
      <c r="C7458" t="inlineStr">
        <is>
          <t>+ES02</t>
        </is>
      </c>
      <c r="D7458" t="inlineStr">
        <is>
          <t>-33.1K1</t>
        </is>
      </c>
      <c r="E7458" t="inlineStr">
        <is>
          <t>DILA-40</t>
        </is>
      </c>
      <c r="F7458" t="inlineStr">
        <is>
          <t>DILA-XHI22</t>
        </is>
      </c>
      <c r="G7458" t="inlineStr">
        <is>
          <t>HILFSSCHUETZ</t>
        </is>
      </c>
      <c r="H7458" t="inlineStr">
        <is>
          <t>4S Federzugkl.</t>
        </is>
      </c>
      <c r="I7458">
        <v>3007</v>
      </c>
      <c r="J7458">
        <f>GS20/33.1.3</f>
        <v>0</v>
      </c>
      <c r="M7458" t="inlineStr">
        <is>
          <t>-33.1K1</t>
        </is>
      </c>
    </row>
    <row r="7459">
      <c r="A7459">
        <v>7458</v>
      </c>
      <c r="B7459">
        <f>GS20</f>
        <v>0</v>
      </c>
      <c r="C7459" t="inlineStr">
        <is>
          <t>+ES02</t>
        </is>
      </c>
      <c r="D7459" t="inlineStr">
        <is>
          <t>-33.1K2</t>
        </is>
      </c>
      <c r="E7459" t="inlineStr">
        <is>
          <t>DILA-XHI22</t>
        </is>
      </c>
      <c r="F7459" t="inlineStr">
        <is>
          <t>DILA-XHI22</t>
        </is>
      </c>
      <c r="G7459" t="inlineStr">
        <is>
          <t>HILFSKONTAKTBLOCK</t>
        </is>
      </c>
      <c r="H7459" t="inlineStr">
        <is>
          <t>2S 2OE Last+Hilfssch. Cage</t>
        </is>
      </c>
      <c r="I7459">
        <v>3007</v>
      </c>
      <c r="J7459">
        <f>GS20/33.1.3</f>
        <v>0</v>
      </c>
      <c r="M7459" t="inlineStr">
        <is>
          <t>-33.1K2</t>
        </is>
      </c>
    </row>
    <row r="7460">
      <c r="A7460">
        <v>7459</v>
      </c>
      <c r="B7460">
        <f>GS20</f>
        <v>0</v>
      </c>
      <c r="C7460" t="inlineStr">
        <is>
          <t>+ES02</t>
        </is>
      </c>
      <c r="D7460" t="inlineStr">
        <is>
          <t>-33.1K2</t>
        </is>
      </c>
      <c r="E7460" t="inlineStr">
        <is>
          <t>DILA-40</t>
        </is>
      </c>
      <c r="F7460" t="inlineStr">
        <is>
          <t>DILA-XHI22</t>
        </is>
      </c>
      <c r="G7460" t="inlineStr">
        <is>
          <t>HILFSSCHUETZ</t>
        </is>
      </c>
      <c r="H7460" t="inlineStr">
        <is>
          <t>4S Federzugkl.</t>
        </is>
      </c>
      <c r="I7460">
        <v>3007</v>
      </c>
      <c r="J7460">
        <f>GS20/33.1.3</f>
        <v>0</v>
      </c>
      <c r="M7460" t="inlineStr">
        <is>
          <t>-33.1K2</t>
        </is>
      </c>
    </row>
    <row r="7461">
      <c r="A7461">
        <v>7460</v>
      </c>
      <c r="B7461">
        <f>GS32</f>
        <v>0</v>
      </c>
      <c r="C7461" t="inlineStr">
        <is>
          <t>+LS8</t>
        </is>
      </c>
      <c r="D7461" t="inlineStr">
        <is>
          <t>-330K1</t>
        </is>
      </c>
      <c r="E7461" t="inlineStr">
        <is>
          <t>DIL_2AM</t>
        </is>
      </c>
      <c r="F7461" t="inlineStr">
        <is>
          <t>22_DIL-M</t>
        </is>
      </c>
      <c r="G7461" t="inlineStr">
        <is>
          <t>LASTSCHUETZ</t>
        </is>
      </c>
      <c r="H7461" t="inlineStr">
        <is>
          <t>30 kW</t>
        </is>
      </c>
      <c r="I7461">
        <v>1248</v>
      </c>
      <c r="J7461">
        <f>GS32/330.2</f>
        <v>0</v>
      </c>
      <c r="K7461" t="inlineStr">
        <is>
          <t>DIL2AM</t>
        </is>
      </c>
      <c r="M7461" t="inlineStr">
        <is>
          <t>-330K1</t>
        </is>
      </c>
    </row>
    <row r="7462">
      <c r="A7462">
        <v>7461</v>
      </c>
      <c r="B7462">
        <f>GS32</f>
        <v>0</v>
      </c>
      <c r="C7462" t="inlineStr">
        <is>
          <t>+LS8</t>
        </is>
      </c>
      <c r="D7462" t="inlineStr">
        <is>
          <t>-330K1</t>
        </is>
      </c>
      <c r="E7462" t="inlineStr">
        <is>
          <t>22_DIL-M</t>
        </is>
      </c>
      <c r="F7462" t="inlineStr">
        <is>
          <t>22_DIL-M</t>
        </is>
      </c>
      <c r="G7462" t="inlineStr">
        <is>
          <t>HILFSKONTAKTBLOCK</t>
        </is>
      </c>
      <c r="H7462" t="inlineStr">
        <is>
          <t>2S 2OE Lastschuetz DIL M</t>
        </is>
      </c>
      <c r="I7462">
        <v>1248</v>
      </c>
      <c r="J7462">
        <f>GS32/330.2</f>
        <v>0</v>
      </c>
      <c r="K7462" t="inlineStr">
        <is>
          <t>DIL2AM</t>
        </is>
      </c>
      <c r="M7462" t="inlineStr">
        <is>
          <t>-330K1</t>
        </is>
      </c>
    </row>
    <row r="7463">
      <c r="A7463">
        <v>7462</v>
      </c>
      <c r="B7463">
        <f>GS37</f>
        <v>0</v>
      </c>
      <c r="C7463" t="inlineStr">
        <is>
          <t>+LS06</t>
        </is>
      </c>
      <c r="D7463" t="inlineStr">
        <is>
          <t>-330K119.0</t>
        </is>
      </c>
      <c r="E7463" t="inlineStr">
        <is>
          <t>DILA-40</t>
        </is>
      </c>
      <c r="F7463" t="inlineStr">
        <is>
          <t>#KALK!</t>
        </is>
      </c>
      <c r="G7463" t="inlineStr">
        <is>
          <t>HILFSSCHUETZ</t>
        </is>
      </c>
      <c r="H7463" t="inlineStr">
        <is>
          <t>4S Federzugkl.</t>
        </is>
      </c>
      <c r="I7463">
        <v>462</v>
      </c>
      <c r="J7463">
        <f>GS37/330.7</f>
        <v>0</v>
      </c>
      <c r="M7463" t="inlineStr">
        <is>
          <t>-330K119.0</t>
        </is>
      </c>
    </row>
    <row r="7464">
      <c r="A7464">
        <v>7463</v>
      </c>
      <c r="B7464">
        <f>GS91</f>
        <v>0</v>
      </c>
      <c r="C7464" t="inlineStr">
        <is>
          <t>+LS05</t>
        </is>
      </c>
      <c r="D7464" t="inlineStr">
        <is>
          <t>-330K185.4</t>
        </is>
      </c>
      <c r="E7464" t="inlineStr">
        <is>
          <t>DILA-40</t>
        </is>
      </c>
      <c r="F7464" t="inlineStr">
        <is>
          <t>#KALK!</t>
        </is>
      </c>
      <c r="G7464" t="inlineStr">
        <is>
          <t>HILFSSCHUETZ</t>
        </is>
      </c>
      <c r="H7464" t="inlineStr">
        <is>
          <t>4S Federzugkl.</t>
        </is>
      </c>
      <c r="I7464">
        <v>478</v>
      </c>
      <c r="J7464">
        <f>GS91/330.7</f>
        <v>0</v>
      </c>
      <c r="M7464" t="inlineStr">
        <is>
          <t>-330K185.4</t>
        </is>
      </c>
    </row>
    <row r="7465">
      <c r="A7465">
        <v>7464</v>
      </c>
      <c r="B7465">
        <f>GS15</f>
        <v>0</v>
      </c>
      <c r="C7465" t="inlineStr">
        <is>
          <t>+LS6</t>
        </is>
      </c>
      <c r="D7465" t="inlineStr">
        <is>
          <t>-330K19.3</t>
        </is>
      </c>
      <c r="E7465" t="inlineStr">
        <is>
          <t>DIL_EM-10-G</t>
        </is>
      </c>
      <c r="F7465" t="inlineStr">
        <is>
          <t>#KALK!</t>
        </is>
      </c>
      <c r="G7465" t="inlineStr">
        <is>
          <t>LASTSCHUETZ</t>
        </is>
      </c>
      <c r="H7465" t="inlineStr">
        <is>
          <t>4kW 1S</t>
        </is>
      </c>
      <c r="I7465">
        <v>828</v>
      </c>
      <c r="J7465">
        <f>GS15/330.7</f>
        <v>0</v>
      </c>
      <c r="M7465" t="inlineStr">
        <is>
          <t>-330K19.3</t>
        </is>
      </c>
    </row>
    <row r="7466">
      <c r="A7466">
        <v>7465</v>
      </c>
      <c r="B7466">
        <f>GS90</f>
        <v>0</v>
      </c>
      <c r="C7466" t="inlineStr">
        <is>
          <t>+LS05</t>
        </is>
      </c>
      <c r="D7466" t="inlineStr">
        <is>
          <t>-330K191.4</t>
        </is>
      </c>
      <c r="E7466" t="inlineStr">
        <is>
          <t>DILA-40</t>
        </is>
      </c>
      <c r="F7466" t="inlineStr">
        <is>
          <t>#KALK!</t>
        </is>
      </c>
      <c r="G7466" t="inlineStr">
        <is>
          <t>HILFSSCHUETZ</t>
        </is>
      </c>
      <c r="H7466" t="inlineStr">
        <is>
          <t>4S Federzugkl.</t>
        </is>
      </c>
      <c r="I7466">
        <v>894</v>
      </c>
      <c r="J7466">
        <f>GS90/330.7</f>
        <v>0</v>
      </c>
      <c r="M7466" t="inlineStr">
        <is>
          <t>-330K191.4</t>
        </is>
      </c>
    </row>
    <row r="7467">
      <c r="A7467">
        <v>7466</v>
      </c>
      <c r="B7467">
        <f>GS32</f>
        <v>0</v>
      </c>
      <c r="C7467" t="inlineStr">
        <is>
          <t>+LS8</t>
        </is>
      </c>
      <c r="D7467" t="inlineStr">
        <is>
          <t>-330K2</t>
        </is>
      </c>
      <c r="E7467" t="inlineStr">
        <is>
          <t>DIL_0AM</t>
        </is>
      </c>
      <c r="F7467" t="inlineStr">
        <is>
          <t>22_DIL-M</t>
        </is>
      </c>
      <c r="G7467" t="inlineStr">
        <is>
          <t>LASTSCHUETZ</t>
        </is>
      </c>
      <c r="H7467" t="inlineStr">
        <is>
          <t>11 kW</t>
        </is>
      </c>
      <c r="I7467">
        <v>1248</v>
      </c>
      <c r="J7467">
        <f>GS32/330.3</f>
        <v>0</v>
      </c>
      <c r="K7467" t="inlineStr">
        <is>
          <t>DIL0AM</t>
        </is>
      </c>
      <c r="M7467" t="inlineStr">
        <is>
          <t>-330K2</t>
        </is>
      </c>
    </row>
    <row r="7468">
      <c r="A7468">
        <v>7467</v>
      </c>
      <c r="B7468">
        <f>GS32</f>
        <v>0</v>
      </c>
      <c r="C7468" t="inlineStr">
        <is>
          <t>+LS8</t>
        </is>
      </c>
      <c r="D7468" t="inlineStr">
        <is>
          <t>-330K2</t>
        </is>
      </c>
      <c r="E7468" t="inlineStr">
        <is>
          <t>22_DIL-M</t>
        </is>
      </c>
      <c r="F7468" t="inlineStr">
        <is>
          <t>22_DIL-M</t>
        </is>
      </c>
      <c r="G7468" t="inlineStr">
        <is>
          <t>HILFSKONTAKTBLOCK</t>
        </is>
      </c>
      <c r="H7468" t="inlineStr">
        <is>
          <t>2S 2OE Lastschuetz DIL M</t>
        </is>
      </c>
      <c r="I7468">
        <v>1248</v>
      </c>
      <c r="J7468">
        <f>GS32/330.3</f>
        <v>0</v>
      </c>
      <c r="K7468" t="inlineStr">
        <is>
          <t>DIL0AM</t>
        </is>
      </c>
      <c r="M7468" t="inlineStr">
        <is>
          <t>-330K2</t>
        </is>
      </c>
    </row>
    <row r="7469">
      <c r="A7469">
        <v>7468</v>
      </c>
      <c r="B7469">
        <f>GS31</f>
        <v>0</v>
      </c>
      <c r="C7469" t="inlineStr">
        <is>
          <t>+LS6</t>
        </is>
      </c>
      <c r="D7469" t="inlineStr">
        <is>
          <t>-330K3608.5</t>
        </is>
      </c>
      <c r="E7469" t="inlineStr">
        <is>
          <t>22_DIL-E</t>
        </is>
      </c>
      <c r="F7469" t="inlineStr">
        <is>
          <t>22_DIL-E</t>
        </is>
      </c>
      <c r="G7469" t="inlineStr">
        <is>
          <t>HILFSKONTAKTBLOCK</t>
        </is>
      </c>
      <c r="H7469" t="inlineStr">
        <is>
          <t>2S 2OE Last+Hilfsschuetz</t>
        </is>
      </c>
      <c r="I7469">
        <v>621</v>
      </c>
      <c r="J7469">
        <f>GS31/330.2</f>
        <v>0</v>
      </c>
      <c r="M7469" t="inlineStr">
        <is>
          <t>-330K3608.5</t>
        </is>
      </c>
    </row>
    <row r="7470">
      <c r="A7470">
        <v>7469</v>
      </c>
      <c r="B7470">
        <f>GS31</f>
        <v>0</v>
      </c>
      <c r="C7470" t="inlineStr">
        <is>
          <t>+LS6</t>
        </is>
      </c>
      <c r="D7470" t="inlineStr">
        <is>
          <t>-330K3608.5</t>
        </is>
      </c>
      <c r="E7470" t="inlineStr">
        <is>
          <t>DIL_EM-10-G</t>
        </is>
      </c>
      <c r="F7470" t="inlineStr">
        <is>
          <t>22_DIL-E</t>
        </is>
      </c>
      <c r="G7470" t="inlineStr">
        <is>
          <t>LASTSCHUETZ</t>
        </is>
      </c>
      <c r="H7470" t="inlineStr">
        <is>
          <t>4kW 1S</t>
        </is>
      </c>
      <c r="I7470">
        <v>621</v>
      </c>
      <c r="J7470">
        <f>GS31/330.2</f>
        <v>0</v>
      </c>
      <c r="M7470" t="inlineStr">
        <is>
          <t>-330K3608.5</t>
        </is>
      </c>
    </row>
    <row r="7471">
      <c r="A7471">
        <v>7470</v>
      </c>
      <c r="B7471">
        <f>GS31</f>
        <v>0</v>
      </c>
      <c r="C7471" t="inlineStr">
        <is>
          <t>+LS6</t>
        </is>
      </c>
      <c r="D7471" t="inlineStr">
        <is>
          <t>-330K3608.6</t>
        </is>
      </c>
      <c r="E7471" t="inlineStr">
        <is>
          <t>22_DIL-E</t>
        </is>
      </c>
      <c r="F7471" t="inlineStr">
        <is>
          <t>22_DIL-E</t>
        </is>
      </c>
      <c r="G7471" t="inlineStr">
        <is>
          <t>HILFSKONTAKTBLOCK</t>
        </is>
      </c>
      <c r="H7471" t="inlineStr">
        <is>
          <t>2S 2OE Last+Hilfsschuetz</t>
        </is>
      </c>
      <c r="I7471">
        <v>621</v>
      </c>
      <c r="J7471">
        <f>GS31/330.3</f>
        <v>0</v>
      </c>
      <c r="M7471" t="inlineStr">
        <is>
          <t>-330K3608.6</t>
        </is>
      </c>
    </row>
    <row r="7472">
      <c r="A7472">
        <v>7471</v>
      </c>
      <c r="B7472">
        <f>GS31</f>
        <v>0</v>
      </c>
      <c r="C7472" t="inlineStr">
        <is>
          <t>+LS6</t>
        </is>
      </c>
      <c r="D7472" t="inlineStr">
        <is>
          <t>-330K3608.6</t>
        </is>
      </c>
      <c r="E7472" t="inlineStr">
        <is>
          <t>DIL_EM-10-G</t>
        </is>
      </c>
      <c r="F7472" t="inlineStr">
        <is>
          <t>22_DIL-E</t>
        </is>
      </c>
      <c r="G7472" t="inlineStr">
        <is>
          <t>LASTSCHUETZ</t>
        </is>
      </c>
      <c r="H7472" t="inlineStr">
        <is>
          <t>4kW 1S</t>
        </is>
      </c>
      <c r="I7472">
        <v>621</v>
      </c>
      <c r="J7472">
        <f>GS31/330.3</f>
        <v>0</v>
      </c>
      <c r="M7472" t="inlineStr">
        <is>
          <t>-330K3608.6</t>
        </is>
      </c>
    </row>
    <row r="7473">
      <c r="A7473">
        <v>7472</v>
      </c>
      <c r="B7473">
        <f>GS02</f>
        <v>0</v>
      </c>
      <c r="C7473" t="inlineStr">
        <is>
          <t>+LS7</t>
        </is>
      </c>
      <c r="D7473" t="inlineStr">
        <is>
          <t>-330K54.6</t>
        </is>
      </c>
      <c r="E7473" t="inlineStr">
        <is>
          <t>DIL_EM-10-G</t>
        </is>
      </c>
      <c r="F7473" t="inlineStr">
        <is>
          <t>#KALK!</t>
        </is>
      </c>
      <c r="G7473" t="inlineStr">
        <is>
          <t>LASTSCHUETZ</t>
        </is>
      </c>
      <c r="H7473" t="inlineStr">
        <is>
          <t>4kW 1S</t>
        </is>
      </c>
      <c r="I7473">
        <v>736</v>
      </c>
      <c r="J7473">
        <f>GS02/330.6</f>
        <v>0</v>
      </c>
      <c r="M7473" t="inlineStr">
        <is>
          <t>-330K54.6</t>
        </is>
      </c>
    </row>
    <row r="7474">
      <c r="A7474">
        <v>7473</v>
      </c>
      <c r="B7474">
        <f>GS02</f>
        <v>0</v>
      </c>
      <c r="C7474" t="inlineStr">
        <is>
          <t>+LS7</t>
        </is>
      </c>
      <c r="D7474" t="inlineStr">
        <is>
          <t>-330K54.7</t>
        </is>
      </c>
      <c r="E7474" t="inlineStr">
        <is>
          <t>DIL_EM-10-G</t>
        </is>
      </c>
      <c r="F7474" t="inlineStr">
        <is>
          <t>#KALK!</t>
        </is>
      </c>
      <c r="G7474" t="inlineStr">
        <is>
          <t>LASTSCHUETZ</t>
        </is>
      </c>
      <c r="H7474" t="inlineStr">
        <is>
          <t>4kW 1S</t>
        </is>
      </c>
      <c r="I7474">
        <v>736</v>
      </c>
      <c r="J7474">
        <f>GS02/330.6</f>
        <v>0</v>
      </c>
      <c r="M7474" t="inlineStr">
        <is>
          <t>-330K54.7</t>
        </is>
      </c>
    </row>
    <row r="7475">
      <c r="A7475">
        <v>7474</v>
      </c>
      <c r="B7475">
        <f>GS04</f>
        <v>0</v>
      </c>
      <c r="C7475" t="inlineStr">
        <is>
          <t>+LS8</t>
        </is>
      </c>
      <c r="D7475" t="inlineStr">
        <is>
          <t>-330K73.6</t>
        </is>
      </c>
      <c r="E7475" t="inlineStr">
        <is>
          <t>DIL_EM-10-G</t>
        </is>
      </c>
      <c r="F7475" t="inlineStr">
        <is>
          <t>#KALK!</t>
        </is>
      </c>
      <c r="G7475" t="inlineStr">
        <is>
          <t>LASTSCHUETZ</t>
        </is>
      </c>
      <c r="H7475" t="inlineStr">
        <is>
          <t>4kW 1S</t>
        </is>
      </c>
      <c r="I7475">
        <v>581</v>
      </c>
      <c r="J7475">
        <f>GS04/330.6</f>
        <v>0</v>
      </c>
      <c r="M7475" t="inlineStr">
        <is>
          <t>-330K73.6</t>
        </is>
      </c>
    </row>
    <row r="7476">
      <c r="A7476">
        <v>7475</v>
      </c>
      <c r="B7476">
        <f>GS04</f>
        <v>0</v>
      </c>
      <c r="C7476" t="inlineStr">
        <is>
          <t>+LS8</t>
        </is>
      </c>
      <c r="D7476" t="inlineStr">
        <is>
          <t>-330K73.7</t>
        </is>
      </c>
      <c r="E7476" t="inlineStr">
        <is>
          <t>DIL_EM-10-G</t>
        </is>
      </c>
      <c r="F7476" t="inlineStr">
        <is>
          <t>#KALK!</t>
        </is>
      </c>
      <c r="G7476" t="inlineStr">
        <is>
          <t>LASTSCHUETZ</t>
        </is>
      </c>
      <c r="H7476" t="inlineStr">
        <is>
          <t>4kW 1S</t>
        </is>
      </c>
      <c r="I7476">
        <v>581</v>
      </c>
      <c r="J7476">
        <f>GS04/330.6</f>
        <v>0</v>
      </c>
      <c r="M7476" t="inlineStr">
        <is>
          <t>-330K73.7</t>
        </is>
      </c>
    </row>
    <row r="7477">
      <c r="A7477">
        <v>7476</v>
      </c>
      <c r="B7477">
        <f>GS31</f>
        <v>0</v>
      </c>
      <c r="C7477" t="inlineStr">
        <is>
          <t>+LS6</t>
        </is>
      </c>
      <c r="D7477" t="inlineStr">
        <is>
          <t>-330KA1</t>
        </is>
      </c>
      <c r="E7477" t="inlineStr">
        <is>
          <t>31_DIL-E</t>
        </is>
      </c>
      <c r="F7477" t="inlineStr">
        <is>
          <t>31_DIL-E</t>
        </is>
      </c>
      <c r="G7477" t="inlineStr">
        <is>
          <t>HILFSKONTAKTBLOCK</t>
        </is>
      </c>
      <c r="H7477" t="inlineStr">
        <is>
          <t>3S 1OE Last+Hilsschuetz</t>
        </is>
      </c>
      <c r="I7477">
        <v>621</v>
      </c>
      <c r="J7477">
        <f>GS31/330.4</f>
        <v>0</v>
      </c>
      <c r="M7477" t="inlineStr">
        <is>
          <t>-330KA1</t>
        </is>
      </c>
    </row>
    <row r="7478">
      <c r="A7478">
        <v>7477</v>
      </c>
      <c r="B7478">
        <f>GS31</f>
        <v>0</v>
      </c>
      <c r="C7478" t="inlineStr">
        <is>
          <t>+LS6</t>
        </is>
      </c>
      <c r="D7478" t="inlineStr">
        <is>
          <t>-330KA1</t>
        </is>
      </c>
      <c r="E7478" t="inlineStr">
        <is>
          <t>DIL_ER-31-G</t>
        </is>
      </c>
      <c r="F7478" t="inlineStr">
        <is>
          <t>31_DIL-E</t>
        </is>
      </c>
      <c r="G7478" t="inlineStr">
        <is>
          <t>HILFSSCHUETZ</t>
        </is>
      </c>
      <c r="H7478" t="inlineStr">
        <is>
          <t>3S 1OE</t>
        </is>
      </c>
      <c r="I7478">
        <v>621</v>
      </c>
      <c r="J7478">
        <f>GS31/330.4</f>
        <v>0</v>
      </c>
      <c r="M7478" t="inlineStr">
        <is>
          <t>-330KA1</t>
        </is>
      </c>
    </row>
    <row r="7479">
      <c r="A7479">
        <v>7478</v>
      </c>
      <c r="B7479">
        <f>GS31</f>
        <v>0</v>
      </c>
      <c r="C7479" t="inlineStr">
        <is>
          <t>+LS6</t>
        </is>
      </c>
      <c r="D7479" t="inlineStr">
        <is>
          <t>-330KA2</t>
        </is>
      </c>
      <c r="E7479" t="inlineStr">
        <is>
          <t>DIL_ER-22-G</t>
        </is>
      </c>
      <c r="F7479" t="inlineStr">
        <is>
          <t>#KALK!</t>
        </is>
      </c>
      <c r="G7479" t="inlineStr">
        <is>
          <t>HILFSSCHUETZ</t>
        </is>
      </c>
      <c r="H7479" t="inlineStr">
        <is>
          <t>2S 2OE</t>
        </is>
      </c>
      <c r="I7479">
        <v>621</v>
      </c>
      <c r="J7479">
        <f>GS31/330.5</f>
        <v>0</v>
      </c>
      <c r="M7479" t="inlineStr">
        <is>
          <t>-330KA2</t>
        </is>
      </c>
    </row>
    <row r="7480">
      <c r="A7480">
        <v>7479</v>
      </c>
      <c r="B7480">
        <f>GS31</f>
        <v>0</v>
      </c>
      <c r="C7480" t="inlineStr">
        <is>
          <t>+LS6</t>
        </is>
      </c>
      <c r="D7480" t="inlineStr">
        <is>
          <t>-330KA3</t>
        </is>
      </c>
      <c r="E7480" t="inlineStr">
        <is>
          <t>DIL_ER-40-G</t>
        </is>
      </c>
      <c r="F7480" t="inlineStr">
        <is>
          <t>#KALK!</t>
        </is>
      </c>
      <c r="G7480" t="inlineStr">
        <is>
          <t>HILFSSCHUETZ</t>
        </is>
      </c>
      <c r="H7480" t="inlineStr">
        <is>
          <t>4S</t>
        </is>
      </c>
      <c r="I7480">
        <v>621</v>
      </c>
      <c r="J7480">
        <f>GS31/330.6</f>
        <v>0</v>
      </c>
      <c r="M7480" t="inlineStr">
        <is>
          <t>-330KA3</t>
        </is>
      </c>
    </row>
    <row r="7481">
      <c r="A7481">
        <v>7480</v>
      </c>
      <c r="B7481">
        <f>GS08</f>
        <v>0</v>
      </c>
      <c r="C7481" t="inlineStr">
        <is>
          <t>+LS05</t>
        </is>
      </c>
      <c r="D7481" t="inlineStr">
        <is>
          <t>-330Q1</t>
        </is>
      </c>
      <c r="E7481" t="inlineStr">
        <is>
          <t>DILA-XHI22</t>
        </is>
      </c>
      <c r="F7481" t="inlineStr">
        <is>
          <t>DILA-XHI22</t>
        </is>
      </c>
      <c r="G7481" t="inlineStr">
        <is>
          <t>HILFSKONTAKTBLOCK</t>
        </is>
      </c>
      <c r="H7481" t="inlineStr">
        <is>
          <t>2S 2OE Last+Hilfssch. Cage</t>
        </is>
      </c>
      <c r="I7481">
        <v>1568</v>
      </c>
      <c r="J7481">
        <f>GS08/330.6</f>
        <v>0</v>
      </c>
      <c r="K7481" t="inlineStr">
        <is>
          <t>DIL MC25</t>
        </is>
      </c>
      <c r="M7481" t="inlineStr">
        <is>
          <t>-330Q1</t>
        </is>
      </c>
    </row>
    <row r="7482">
      <c r="A7482">
        <v>7481</v>
      </c>
      <c r="B7482">
        <f>GS08</f>
        <v>0</v>
      </c>
      <c r="C7482" t="inlineStr">
        <is>
          <t>+LS05</t>
        </is>
      </c>
      <c r="D7482" t="inlineStr">
        <is>
          <t>-330Q1</t>
        </is>
      </c>
      <c r="E7482" t="inlineStr">
        <is>
          <t>DILMC25-10(RDC24)</t>
        </is>
      </c>
      <c r="F7482" t="inlineStr">
        <is>
          <t>DILA-XHI22</t>
        </is>
      </c>
      <c r="G7482" t="inlineStr">
        <is>
          <t>LASTSCHUETZ</t>
        </is>
      </c>
      <c r="H7482" t="inlineStr">
        <is>
          <t>11kW 1S Federzugkl.</t>
        </is>
      </c>
      <c r="I7482">
        <v>1568</v>
      </c>
      <c r="J7482">
        <f>GS08/330.6</f>
        <v>0</v>
      </c>
      <c r="K7482" t="inlineStr">
        <is>
          <t>DIL MC25</t>
        </is>
      </c>
      <c r="M7482" t="inlineStr">
        <is>
          <t>-330Q1</t>
        </is>
      </c>
    </row>
    <row r="7483">
      <c r="A7483">
        <v>7482</v>
      </c>
      <c r="B7483">
        <f>GS37</f>
        <v>0</v>
      </c>
      <c r="C7483" t="inlineStr">
        <is>
          <t>+LS06</t>
        </is>
      </c>
      <c r="D7483" t="inlineStr">
        <is>
          <t>-330Q1</t>
        </is>
      </c>
      <c r="E7483" t="inlineStr">
        <is>
          <t>DILMC25-10(RDC24)</t>
        </is>
      </c>
      <c r="F7483" t="inlineStr">
        <is>
          <t>DILA-XHI22</t>
        </is>
      </c>
      <c r="G7483" t="inlineStr">
        <is>
          <t>LASTSCHUETZ</t>
        </is>
      </c>
      <c r="H7483" t="inlineStr">
        <is>
          <t>11kW 1S Federzugkl.</t>
        </is>
      </c>
      <c r="I7483">
        <v>462</v>
      </c>
      <c r="J7483">
        <f>GS37/330.4</f>
        <v>0</v>
      </c>
      <c r="K7483" t="inlineStr">
        <is>
          <t>DIL MC25</t>
        </is>
      </c>
      <c r="M7483" t="inlineStr">
        <is>
          <t>-330Q1</t>
        </is>
      </c>
    </row>
    <row r="7484">
      <c r="A7484">
        <v>7483</v>
      </c>
      <c r="B7484">
        <f>GS37</f>
        <v>0</v>
      </c>
      <c r="C7484" t="inlineStr">
        <is>
          <t>+LS06</t>
        </is>
      </c>
      <c r="D7484" t="inlineStr">
        <is>
          <t>-330Q1</t>
        </is>
      </c>
      <c r="E7484" t="inlineStr">
        <is>
          <t>DILA-XHI22</t>
        </is>
      </c>
      <c r="F7484" t="inlineStr">
        <is>
          <t>DILA-XHI22</t>
        </is>
      </c>
      <c r="G7484" t="inlineStr">
        <is>
          <t>HILFSKONTAKTBLOCK</t>
        </is>
      </c>
      <c r="H7484" t="inlineStr">
        <is>
          <t>2S 2OE Last+Hilfssch. Cage</t>
        </is>
      </c>
      <c r="I7484">
        <v>462</v>
      </c>
      <c r="J7484">
        <f>GS37/330.4</f>
        <v>0</v>
      </c>
      <c r="K7484" t="inlineStr">
        <is>
          <t>DIL MC25</t>
        </is>
      </c>
      <c r="M7484" t="inlineStr">
        <is>
          <t>-330Q1</t>
        </is>
      </c>
    </row>
    <row r="7485">
      <c r="A7485">
        <v>7484</v>
      </c>
      <c r="B7485">
        <f>GS90</f>
        <v>0</v>
      </c>
      <c r="C7485" t="inlineStr">
        <is>
          <t>+LS05</t>
        </is>
      </c>
      <c r="D7485" t="inlineStr">
        <is>
          <t>-330Q1</t>
        </is>
      </c>
      <c r="E7485" t="inlineStr">
        <is>
          <t>DILMC25-10(RDC24)</t>
        </is>
      </c>
      <c r="F7485" t="inlineStr">
        <is>
          <t>DILA-XHI22</t>
        </is>
      </c>
      <c r="G7485" t="inlineStr">
        <is>
          <t>LASTSCHUETZ</t>
        </is>
      </c>
      <c r="H7485" t="inlineStr">
        <is>
          <t>11kW 1S Federzugkl.</t>
        </is>
      </c>
      <c r="I7485">
        <v>894</v>
      </c>
      <c r="J7485">
        <f>GS90/330.4</f>
        <v>0</v>
      </c>
      <c r="K7485" t="inlineStr">
        <is>
          <t>DIL MC25</t>
        </is>
      </c>
      <c r="M7485" t="inlineStr">
        <is>
          <t>-330Q1</t>
        </is>
      </c>
    </row>
    <row r="7486">
      <c r="A7486">
        <v>7485</v>
      </c>
      <c r="B7486">
        <f>GS90</f>
        <v>0</v>
      </c>
      <c r="C7486" t="inlineStr">
        <is>
          <t>+LS05</t>
        </is>
      </c>
      <c r="D7486" t="inlineStr">
        <is>
          <t>-330Q1</t>
        </is>
      </c>
      <c r="E7486" t="inlineStr">
        <is>
          <t>DILA-XHI22</t>
        </is>
      </c>
      <c r="F7486" t="inlineStr">
        <is>
          <t>DILA-XHI22</t>
        </is>
      </c>
      <c r="G7486" t="inlineStr">
        <is>
          <t>HILFSKONTAKTBLOCK</t>
        </is>
      </c>
      <c r="H7486" t="inlineStr">
        <is>
          <t>2S 2OE Last+Hilfssch. Cage</t>
        </is>
      </c>
      <c r="I7486">
        <v>894</v>
      </c>
      <c r="J7486">
        <f>GS90/330.4</f>
        <v>0</v>
      </c>
      <c r="K7486" t="inlineStr">
        <is>
          <t>DIL MC25</t>
        </is>
      </c>
      <c r="M7486" t="inlineStr">
        <is>
          <t>-330Q1</t>
        </is>
      </c>
    </row>
    <row r="7487">
      <c r="A7487">
        <v>7486</v>
      </c>
      <c r="B7487">
        <f>GS91</f>
        <v>0</v>
      </c>
      <c r="C7487" t="inlineStr">
        <is>
          <t>+LS05</t>
        </is>
      </c>
      <c r="D7487" t="inlineStr">
        <is>
          <t>-330Q1</t>
        </is>
      </c>
      <c r="E7487" t="inlineStr">
        <is>
          <t>DILA-XHI22</t>
        </is>
      </c>
      <c r="F7487" t="inlineStr">
        <is>
          <t>DILA-XHI22</t>
        </is>
      </c>
      <c r="G7487" t="inlineStr">
        <is>
          <t>HILFSKONTAKTBLOCK</t>
        </is>
      </c>
      <c r="H7487" t="inlineStr">
        <is>
          <t>2S 2OE Last+Hilfssch. Cage</t>
        </is>
      </c>
      <c r="I7487">
        <v>478</v>
      </c>
      <c r="J7487">
        <f>GS91/330.4</f>
        <v>0</v>
      </c>
      <c r="K7487" t="inlineStr">
        <is>
          <t>DIL MC25</t>
        </is>
      </c>
      <c r="M7487" t="inlineStr">
        <is>
          <t>-330Q1</t>
        </is>
      </c>
    </row>
    <row r="7488">
      <c r="A7488">
        <v>7487</v>
      </c>
      <c r="B7488">
        <f>GS91</f>
        <v>0</v>
      </c>
      <c r="C7488" t="inlineStr">
        <is>
          <t>+LS05</t>
        </is>
      </c>
      <c r="D7488" t="inlineStr">
        <is>
          <t>-330Q1</t>
        </is>
      </c>
      <c r="E7488" t="inlineStr">
        <is>
          <t>DILMC25-10(RDC24)</t>
        </is>
      </c>
      <c r="F7488" t="inlineStr">
        <is>
          <t>DILA-XHI22</t>
        </is>
      </c>
      <c r="G7488" t="inlineStr">
        <is>
          <t>LASTSCHUETZ</t>
        </is>
      </c>
      <c r="H7488" t="inlineStr">
        <is>
          <t>11kW 1S Federzugkl.</t>
        </is>
      </c>
      <c r="I7488">
        <v>478</v>
      </c>
      <c r="J7488">
        <f>GS91/330.4</f>
        <v>0</v>
      </c>
      <c r="K7488" t="inlineStr">
        <is>
          <t>DIL MC25</t>
        </is>
      </c>
      <c r="M7488" t="inlineStr">
        <is>
          <t>-330Q1</t>
        </is>
      </c>
    </row>
    <row r="7489">
      <c r="A7489">
        <v>7488</v>
      </c>
      <c r="B7489">
        <f>GS38</f>
        <v>0</v>
      </c>
      <c r="C7489" t="inlineStr">
        <is>
          <t>+LS07</t>
        </is>
      </c>
      <c r="D7489" t="inlineStr">
        <is>
          <t>-330Q104.3</t>
        </is>
      </c>
      <c r="E7489" t="inlineStr">
        <is>
          <t>DILM-9-10</t>
        </is>
      </c>
      <c r="F7489" t="inlineStr">
        <is>
          <t>#KALK!</t>
        </is>
      </c>
      <c r="G7489" t="inlineStr">
        <is>
          <t>LASTSCHUETZ</t>
        </is>
      </c>
      <c r="H7489" t="inlineStr">
        <is>
          <t>4kW 1S Federzugkl.</t>
        </is>
      </c>
      <c r="I7489">
        <v>495</v>
      </c>
      <c r="J7489">
        <f>GS38/330.6</f>
        <v>0</v>
      </c>
      <c r="M7489" t="inlineStr">
        <is>
          <t>-330Q104.3</t>
        </is>
      </c>
    </row>
    <row r="7490">
      <c r="A7490">
        <v>7489</v>
      </c>
      <c r="B7490">
        <f>GS39</f>
        <v>0</v>
      </c>
      <c r="C7490" t="inlineStr">
        <is>
          <t>+LS07</t>
        </is>
      </c>
      <c r="D7490" t="inlineStr">
        <is>
          <t>-330Q104.3</t>
        </is>
      </c>
      <c r="E7490" t="inlineStr">
        <is>
          <t>DILM-9-10</t>
        </is>
      </c>
      <c r="F7490" t="inlineStr">
        <is>
          <t>#KALK!</t>
        </is>
      </c>
      <c r="G7490" t="inlineStr">
        <is>
          <t>LASTSCHUETZ</t>
        </is>
      </c>
      <c r="H7490" t="inlineStr">
        <is>
          <t>4kW 1S Federzugkl.</t>
        </is>
      </c>
      <c r="I7490">
        <v>496</v>
      </c>
      <c r="J7490">
        <f>GS39/330.6</f>
        <v>0</v>
      </c>
      <c r="M7490" t="inlineStr">
        <is>
          <t>-330Q104.3</t>
        </is>
      </c>
    </row>
    <row r="7491">
      <c r="A7491">
        <v>7490</v>
      </c>
      <c r="B7491">
        <f>GS06</f>
        <v>0</v>
      </c>
      <c r="C7491" t="inlineStr">
        <is>
          <t>+LS05</t>
        </is>
      </c>
      <c r="D7491" t="inlineStr">
        <is>
          <t>-330Q131.3</t>
        </is>
      </c>
      <c r="E7491" t="inlineStr">
        <is>
          <t>DILMC17-10(RDC24)</t>
        </is>
      </c>
      <c r="F7491" t="inlineStr">
        <is>
          <t>#KALK!</t>
        </is>
      </c>
      <c r="G7491" t="inlineStr">
        <is>
          <t>LASTSCHUETZ</t>
        </is>
      </c>
      <c r="H7491" t="inlineStr">
        <is>
          <t>7,5kW 1S Federzugkl.</t>
        </is>
      </c>
      <c r="I7491">
        <v>2174</v>
      </c>
      <c r="J7491">
        <f>GS06/330.5</f>
        <v>0</v>
      </c>
      <c r="K7491" t="inlineStr">
        <is>
          <t>DIL MC17</t>
        </is>
      </c>
      <c r="M7491" t="inlineStr">
        <is>
          <t>-330Q131.3</t>
        </is>
      </c>
    </row>
    <row r="7492">
      <c r="A7492">
        <v>7491</v>
      </c>
      <c r="B7492">
        <f>GS92</f>
        <v>0</v>
      </c>
      <c r="C7492" t="inlineStr">
        <is>
          <t>+LS06</t>
        </is>
      </c>
      <c r="D7492" t="inlineStr">
        <is>
          <t>-330Q451.5</t>
        </is>
      </c>
      <c r="E7492" t="inlineStr">
        <is>
          <t>DILM-9-10</t>
        </is>
      </c>
      <c r="F7492" t="inlineStr">
        <is>
          <t>#KALK!</t>
        </is>
      </c>
      <c r="G7492" t="inlineStr">
        <is>
          <t>LASTSCHUETZ</t>
        </is>
      </c>
      <c r="H7492" t="inlineStr">
        <is>
          <t>4kW 1S Federzugkl.</t>
        </is>
      </c>
      <c r="I7492">
        <v>477</v>
      </c>
      <c r="J7492">
        <f>GS92/330.5</f>
        <v>0</v>
      </c>
      <c r="M7492" t="inlineStr">
        <is>
          <t>-330Q451.5</t>
        </is>
      </c>
    </row>
    <row r="7493">
      <c r="A7493">
        <v>7492</v>
      </c>
      <c r="B7493">
        <f>GS25</f>
        <v>0</v>
      </c>
      <c r="C7493" t="inlineStr">
        <is>
          <t>+LS6</t>
        </is>
      </c>
      <c r="D7493" t="inlineStr">
        <is>
          <t>-331.6K47.5</t>
        </is>
      </c>
      <c r="E7493" t="inlineStr">
        <is>
          <t>DILM-9-10</t>
        </is>
      </c>
      <c r="F7493" t="inlineStr">
        <is>
          <t>#KALK!</t>
        </is>
      </c>
      <c r="G7493" t="inlineStr">
        <is>
          <t>LASTSCHUETZ</t>
        </is>
      </c>
      <c r="H7493" t="inlineStr">
        <is>
          <t>4kW 1S Federzugkl.</t>
        </is>
      </c>
      <c r="I7493">
        <v>1038</v>
      </c>
      <c r="J7493">
        <f>GS25/331.6.6</f>
        <v>0</v>
      </c>
      <c r="K7493" t="inlineStr">
        <is>
          <t>DIL MC9</t>
        </is>
      </c>
      <c r="M7493" t="inlineStr">
        <is>
          <t>-331.6K47.5</t>
        </is>
      </c>
    </row>
    <row r="7494">
      <c r="A7494">
        <v>7493</v>
      </c>
      <c r="B7494">
        <f>GS11</f>
        <v>0</v>
      </c>
      <c r="C7494" t="inlineStr">
        <is>
          <t>+LS8</t>
        </is>
      </c>
      <c r="D7494" t="inlineStr">
        <is>
          <t>-331K1</t>
        </is>
      </c>
      <c r="E7494" t="inlineStr">
        <is>
          <t>22_DIL-M</t>
        </is>
      </c>
      <c r="F7494" t="inlineStr">
        <is>
          <t>22_DIL-M</t>
        </is>
      </c>
      <c r="G7494" t="inlineStr">
        <is>
          <t>HILFSKONTAKTBLOCK</t>
        </is>
      </c>
      <c r="H7494" t="inlineStr">
        <is>
          <t>2S 2OE Lastschuetz DIL M</t>
        </is>
      </c>
      <c r="I7494">
        <v>437</v>
      </c>
      <c r="J7494">
        <f>GS11/331.2</f>
        <v>0</v>
      </c>
      <c r="K7494" t="inlineStr">
        <is>
          <t>DIL0AM</t>
        </is>
      </c>
      <c r="M7494" t="inlineStr">
        <is>
          <t>-331K1</t>
        </is>
      </c>
    </row>
    <row r="7495">
      <c r="A7495">
        <v>7494</v>
      </c>
      <c r="B7495">
        <f>GS11</f>
        <v>0</v>
      </c>
      <c r="C7495" t="inlineStr">
        <is>
          <t>+LS8</t>
        </is>
      </c>
      <c r="D7495" t="inlineStr">
        <is>
          <t>-331K1</t>
        </is>
      </c>
      <c r="E7495" t="inlineStr">
        <is>
          <t>DIL_0AM</t>
        </is>
      </c>
      <c r="F7495" t="inlineStr">
        <is>
          <t>22_DIL-M</t>
        </is>
      </c>
      <c r="G7495" t="inlineStr">
        <is>
          <t>LASTSCHUETZ</t>
        </is>
      </c>
      <c r="H7495" t="inlineStr">
        <is>
          <t>11 kW</t>
        </is>
      </c>
      <c r="I7495">
        <v>437</v>
      </c>
      <c r="J7495">
        <f>GS11/331.2</f>
        <v>0</v>
      </c>
      <c r="K7495" t="inlineStr">
        <is>
          <t>DIL0AM</t>
        </is>
      </c>
      <c r="M7495" t="inlineStr">
        <is>
          <t>-331K1</t>
        </is>
      </c>
    </row>
    <row r="7496">
      <c r="A7496">
        <v>7495</v>
      </c>
      <c r="B7496">
        <f>GS13</f>
        <v>0</v>
      </c>
      <c r="C7496" t="inlineStr">
        <is>
          <t>+LS7</t>
        </is>
      </c>
      <c r="D7496" t="inlineStr">
        <is>
          <t>-331K1</t>
        </is>
      </c>
      <c r="E7496" t="inlineStr">
        <is>
          <t>DIL_0AM</t>
        </is>
      </c>
      <c r="F7496" t="inlineStr">
        <is>
          <t>22_DIL-M</t>
        </is>
      </c>
      <c r="G7496" t="inlineStr">
        <is>
          <t>LASTSCHUETZ</t>
        </is>
      </c>
      <c r="H7496" t="inlineStr">
        <is>
          <t>11 kW</t>
        </is>
      </c>
      <c r="I7496">
        <v>574</v>
      </c>
      <c r="J7496">
        <f>GS13/331.3</f>
        <v>0</v>
      </c>
      <c r="K7496" t="inlineStr">
        <is>
          <t>DIL0AM</t>
        </is>
      </c>
      <c r="M7496" t="inlineStr">
        <is>
          <t>-331K1</t>
        </is>
      </c>
    </row>
    <row r="7497">
      <c r="A7497">
        <v>7496</v>
      </c>
      <c r="B7497">
        <f>GS13</f>
        <v>0</v>
      </c>
      <c r="C7497" t="inlineStr">
        <is>
          <t>+LS7</t>
        </is>
      </c>
      <c r="D7497" t="inlineStr">
        <is>
          <t>-331K1</t>
        </is>
      </c>
      <c r="E7497" t="inlineStr">
        <is>
          <t>22_DIL-M</t>
        </is>
      </c>
      <c r="F7497" t="inlineStr">
        <is>
          <t>22_DIL-M</t>
        </is>
      </c>
      <c r="G7497" t="inlineStr">
        <is>
          <t>HILFSKONTAKTBLOCK</t>
        </is>
      </c>
      <c r="H7497" t="inlineStr">
        <is>
          <t>2S 2OE Lastschuetz DIL M</t>
        </is>
      </c>
      <c r="I7497">
        <v>574</v>
      </c>
      <c r="J7497">
        <f>GS13/331.3</f>
        <v>0</v>
      </c>
      <c r="K7497" t="inlineStr">
        <is>
          <t>DIL0AM</t>
        </is>
      </c>
      <c r="M7497" t="inlineStr">
        <is>
          <t>-331K1</t>
        </is>
      </c>
    </row>
    <row r="7498">
      <c r="A7498">
        <v>7497</v>
      </c>
      <c r="B7498">
        <f>GS21</f>
        <v>0</v>
      </c>
      <c r="C7498" t="inlineStr">
        <is>
          <t>+LS8</t>
        </is>
      </c>
      <c r="D7498" t="inlineStr">
        <is>
          <t>-331K1</t>
        </is>
      </c>
      <c r="E7498" t="inlineStr">
        <is>
          <t>DIL_0AM</t>
        </is>
      </c>
      <c r="F7498" t="inlineStr">
        <is>
          <t>22_DIL-M</t>
        </is>
      </c>
      <c r="G7498" t="inlineStr">
        <is>
          <t>LASTSCHUETZ</t>
        </is>
      </c>
      <c r="H7498" t="inlineStr">
        <is>
          <t>11 kW</t>
        </is>
      </c>
      <c r="I7498">
        <v>419</v>
      </c>
      <c r="J7498">
        <f>GS21/331.2</f>
        <v>0</v>
      </c>
      <c r="K7498" t="inlineStr">
        <is>
          <t>DIL0AM</t>
        </is>
      </c>
      <c r="M7498" t="inlineStr">
        <is>
          <t>-331K1</t>
        </is>
      </c>
    </row>
    <row r="7499">
      <c r="A7499">
        <v>7498</v>
      </c>
      <c r="B7499">
        <f>GS21</f>
        <v>0</v>
      </c>
      <c r="C7499" t="inlineStr">
        <is>
          <t>+LS8</t>
        </is>
      </c>
      <c r="D7499" t="inlineStr">
        <is>
          <t>-331K1</t>
        </is>
      </c>
      <c r="E7499" t="inlineStr">
        <is>
          <t>22_DIL-M</t>
        </is>
      </c>
      <c r="F7499" t="inlineStr">
        <is>
          <t>22_DIL-M</t>
        </is>
      </c>
      <c r="G7499" t="inlineStr">
        <is>
          <t>HILFSKONTAKTBLOCK</t>
        </is>
      </c>
      <c r="H7499" t="inlineStr">
        <is>
          <t>2S 2OE Lastschuetz DIL M</t>
        </is>
      </c>
      <c r="I7499">
        <v>419</v>
      </c>
      <c r="J7499">
        <f>GS21/331.2</f>
        <v>0</v>
      </c>
      <c r="K7499" t="inlineStr">
        <is>
          <t>DIL0AM</t>
        </is>
      </c>
      <c r="M7499" t="inlineStr">
        <is>
          <t>-331K1</t>
        </is>
      </c>
    </row>
    <row r="7500">
      <c r="A7500">
        <v>7499</v>
      </c>
      <c r="B7500">
        <f>GS23</f>
        <v>0</v>
      </c>
      <c r="C7500" t="inlineStr">
        <is>
          <t>+LS7</t>
        </is>
      </c>
      <c r="D7500" t="inlineStr">
        <is>
          <t>-331K1</t>
        </is>
      </c>
      <c r="E7500" t="inlineStr">
        <is>
          <t>22_DIL-M</t>
        </is>
      </c>
      <c r="F7500" t="inlineStr">
        <is>
          <t>22_DIL-M</t>
        </is>
      </c>
      <c r="G7500" t="inlineStr">
        <is>
          <t>HILFSKONTAKTBLOCK</t>
        </is>
      </c>
      <c r="H7500" t="inlineStr">
        <is>
          <t>2S 2OE Lastschuetz DIL M</t>
        </is>
      </c>
      <c r="I7500">
        <v>632</v>
      </c>
      <c r="J7500">
        <f>GS23/331.3</f>
        <v>0</v>
      </c>
      <c r="K7500" t="inlineStr">
        <is>
          <t>DIL0AM</t>
        </is>
      </c>
      <c r="M7500" t="inlineStr">
        <is>
          <t>-331K1</t>
        </is>
      </c>
    </row>
    <row r="7501">
      <c r="A7501">
        <v>7500</v>
      </c>
      <c r="B7501">
        <f>GS23</f>
        <v>0</v>
      </c>
      <c r="C7501" t="inlineStr">
        <is>
          <t>+LS7</t>
        </is>
      </c>
      <c r="D7501" t="inlineStr">
        <is>
          <t>-331K1</t>
        </is>
      </c>
      <c r="E7501" t="inlineStr">
        <is>
          <t>DIL_0AM</t>
        </is>
      </c>
      <c r="F7501" t="inlineStr">
        <is>
          <t>22_DIL-M</t>
        </is>
      </c>
      <c r="G7501" t="inlineStr">
        <is>
          <t>LASTSCHUETZ</t>
        </is>
      </c>
      <c r="H7501" t="inlineStr">
        <is>
          <t>11 kW</t>
        </is>
      </c>
      <c r="I7501">
        <v>632</v>
      </c>
      <c r="J7501">
        <f>GS23/331.3</f>
        <v>0</v>
      </c>
      <c r="K7501" t="inlineStr">
        <is>
          <t>DIL0AM</t>
        </is>
      </c>
      <c r="M7501" t="inlineStr">
        <is>
          <t>-331K1</t>
        </is>
      </c>
    </row>
    <row r="7502">
      <c r="A7502">
        <v>7501</v>
      </c>
      <c r="B7502">
        <f>GS15</f>
        <v>0</v>
      </c>
      <c r="C7502" t="inlineStr">
        <is>
          <t>+LS6</t>
        </is>
      </c>
      <c r="D7502" t="inlineStr">
        <is>
          <t>-331K19.4</t>
        </is>
      </c>
      <c r="E7502" t="inlineStr">
        <is>
          <t>DIL_EM-10-G</t>
        </is>
      </c>
      <c r="F7502" t="inlineStr">
        <is>
          <t>#KALK!</t>
        </is>
      </c>
      <c r="G7502" t="inlineStr">
        <is>
          <t>LASTSCHUETZ</t>
        </is>
      </c>
      <c r="H7502" t="inlineStr">
        <is>
          <t>4kW 1S</t>
        </is>
      </c>
      <c r="I7502">
        <v>829</v>
      </c>
      <c r="J7502">
        <f>GS15/331.6</f>
        <v>0</v>
      </c>
      <c r="M7502" t="inlineStr">
        <is>
          <t>-331K19.4</t>
        </is>
      </c>
    </row>
    <row r="7503">
      <c r="A7503">
        <v>7502</v>
      </c>
      <c r="B7503">
        <f>GS25</f>
        <v>0</v>
      </c>
      <c r="C7503" t="inlineStr">
        <is>
          <t>+LS6</t>
        </is>
      </c>
      <c r="D7503" t="inlineStr">
        <is>
          <t>-331K47.5</t>
        </is>
      </c>
      <c r="E7503" t="inlineStr">
        <is>
          <t>DILM-9-10</t>
        </is>
      </c>
      <c r="F7503" t="inlineStr">
        <is>
          <t>#KALK!</t>
        </is>
      </c>
      <c r="G7503" t="inlineStr">
        <is>
          <t>LASTSCHUETZ</t>
        </is>
      </c>
      <c r="H7503" t="inlineStr">
        <is>
          <t>4kW 1S Federzugkl.</t>
        </is>
      </c>
      <c r="I7503">
        <v>455</v>
      </c>
      <c r="J7503">
        <f>GS25/331.6</f>
        <v>0</v>
      </c>
      <c r="K7503" t="inlineStr">
        <is>
          <t>DIL MC9</t>
        </is>
      </c>
      <c r="M7503" t="inlineStr">
        <is>
          <t>-331K47.5</t>
        </is>
      </c>
    </row>
    <row r="7504">
      <c r="A7504">
        <v>7503</v>
      </c>
      <c r="B7504">
        <f>GS02</f>
        <v>0</v>
      </c>
      <c r="C7504" t="inlineStr">
        <is>
          <t>+LS7</t>
        </is>
      </c>
      <c r="D7504" t="inlineStr">
        <is>
          <t>-331K55.0</t>
        </is>
      </c>
      <c r="E7504" t="inlineStr">
        <is>
          <t>DIL_EM-10-G</t>
        </is>
      </c>
      <c r="F7504" t="inlineStr">
        <is>
          <t>#KALK!</t>
        </is>
      </c>
      <c r="G7504" t="inlineStr">
        <is>
          <t>LASTSCHUETZ</t>
        </is>
      </c>
      <c r="H7504" t="inlineStr">
        <is>
          <t>4kW 1S</t>
        </is>
      </c>
      <c r="I7504">
        <v>737</v>
      </c>
      <c r="J7504">
        <f>GS02/331.6</f>
        <v>0</v>
      </c>
      <c r="M7504" t="inlineStr">
        <is>
          <t>-331K55.0</t>
        </is>
      </c>
    </row>
    <row r="7505">
      <c r="A7505">
        <v>7504</v>
      </c>
      <c r="B7505">
        <f>GS02</f>
        <v>0</v>
      </c>
      <c r="C7505" t="inlineStr">
        <is>
          <t>+LS7</t>
        </is>
      </c>
      <c r="D7505" t="inlineStr">
        <is>
          <t>-331K55.1</t>
        </is>
      </c>
      <c r="E7505" t="inlineStr">
        <is>
          <t>DIL_EM-10-G</t>
        </is>
      </c>
      <c r="F7505" t="inlineStr">
        <is>
          <t>#KALK!</t>
        </is>
      </c>
      <c r="G7505" t="inlineStr">
        <is>
          <t>LASTSCHUETZ</t>
        </is>
      </c>
      <c r="H7505" t="inlineStr">
        <is>
          <t>4kW 1S</t>
        </is>
      </c>
      <c r="I7505">
        <v>737</v>
      </c>
      <c r="J7505">
        <f>GS02/331.6</f>
        <v>0</v>
      </c>
      <c r="M7505" t="inlineStr">
        <is>
          <t>-331K55.1</t>
        </is>
      </c>
    </row>
    <row r="7506">
      <c r="A7506">
        <v>7505</v>
      </c>
      <c r="B7506">
        <f>GS04</f>
        <v>0</v>
      </c>
      <c r="C7506" t="inlineStr">
        <is>
          <t>+LS8</t>
        </is>
      </c>
      <c r="D7506" t="inlineStr">
        <is>
          <t>-331K74.0</t>
        </is>
      </c>
      <c r="E7506" t="inlineStr">
        <is>
          <t>DIL_EM-10-G</t>
        </is>
      </c>
      <c r="F7506" t="inlineStr">
        <is>
          <t>#KALK!</t>
        </is>
      </c>
      <c r="G7506" t="inlineStr">
        <is>
          <t>LASTSCHUETZ</t>
        </is>
      </c>
      <c r="H7506" t="inlineStr">
        <is>
          <t>4kW 1S</t>
        </is>
      </c>
      <c r="I7506">
        <v>582</v>
      </c>
      <c r="J7506">
        <f>GS04/331.6</f>
        <v>0</v>
      </c>
      <c r="M7506" t="inlineStr">
        <is>
          <t>-331K74.0</t>
        </is>
      </c>
    </row>
    <row r="7507">
      <c r="A7507">
        <v>7506</v>
      </c>
      <c r="B7507">
        <f>GS04</f>
        <v>0</v>
      </c>
      <c r="C7507" t="inlineStr">
        <is>
          <t>+LS8</t>
        </is>
      </c>
      <c r="D7507" t="inlineStr">
        <is>
          <t>-331K74.1</t>
        </is>
      </c>
      <c r="E7507" t="inlineStr">
        <is>
          <t>DIL_EM-10-G</t>
        </is>
      </c>
      <c r="F7507" t="inlineStr">
        <is>
          <t>#KALK!</t>
        </is>
      </c>
      <c r="G7507" t="inlineStr">
        <is>
          <t>LASTSCHUETZ</t>
        </is>
      </c>
      <c r="H7507" t="inlineStr">
        <is>
          <t>4kW 1S</t>
        </is>
      </c>
      <c r="I7507">
        <v>582</v>
      </c>
      <c r="J7507">
        <f>GS04/331.6</f>
        <v>0</v>
      </c>
      <c r="M7507" t="inlineStr">
        <is>
          <t>-331K74.1</t>
        </is>
      </c>
    </row>
    <row r="7508">
      <c r="A7508">
        <v>7507</v>
      </c>
      <c r="B7508">
        <f>GS37</f>
        <v>0</v>
      </c>
      <c r="C7508" t="inlineStr">
        <is>
          <t>+LS06</t>
        </is>
      </c>
      <c r="D7508" t="inlineStr">
        <is>
          <t>-331Q119.2</t>
        </is>
      </c>
      <c r="E7508" t="inlineStr">
        <is>
          <t>DILM-9-10</t>
        </is>
      </c>
      <c r="F7508" t="inlineStr">
        <is>
          <t>#KALK!</t>
        </is>
      </c>
      <c r="G7508" t="inlineStr">
        <is>
          <t>LASTSCHUETZ</t>
        </is>
      </c>
      <c r="H7508" t="inlineStr">
        <is>
          <t>4kW 1S Federzugkl.</t>
        </is>
      </c>
      <c r="I7508">
        <v>460</v>
      </c>
      <c r="J7508">
        <f>GS37/331.6</f>
        <v>0</v>
      </c>
      <c r="M7508" t="inlineStr">
        <is>
          <t>-331Q119.2</t>
        </is>
      </c>
    </row>
    <row r="7509">
      <c r="A7509">
        <v>7508</v>
      </c>
      <c r="B7509">
        <f>GS51</f>
        <v>0</v>
      </c>
      <c r="C7509" t="inlineStr">
        <is>
          <t>+LS04</t>
        </is>
      </c>
      <c r="D7509" t="inlineStr">
        <is>
          <t>-331Q142.2</t>
        </is>
      </c>
      <c r="E7509" t="inlineStr">
        <is>
          <t>DILM-9-10</t>
        </is>
      </c>
      <c r="F7509" t="inlineStr">
        <is>
          <t>#KALK!</t>
        </is>
      </c>
      <c r="G7509" t="inlineStr">
        <is>
          <t>LASTSCHUETZ</t>
        </is>
      </c>
      <c r="H7509" t="inlineStr">
        <is>
          <t>4kW 1S Federzugkl.</t>
        </is>
      </c>
      <c r="I7509">
        <v>514</v>
      </c>
      <c r="J7509">
        <f>GS51/331.6</f>
        <v>0</v>
      </c>
      <c r="K7509" t="inlineStr">
        <is>
          <t>DIL MC9</t>
        </is>
      </c>
      <c r="M7509" t="inlineStr">
        <is>
          <t>-331Q142.2</t>
        </is>
      </c>
    </row>
    <row r="7510">
      <c r="A7510">
        <v>7509</v>
      </c>
      <c r="B7510">
        <f>GC03</f>
        <v>0</v>
      </c>
      <c r="C7510" t="inlineStr">
        <is>
          <t>+LS8</t>
        </is>
      </c>
      <c r="D7510" t="inlineStr">
        <is>
          <t>-332K1</t>
        </is>
      </c>
      <c r="E7510" t="inlineStr">
        <is>
          <t>22_DIL-M</t>
        </is>
      </c>
      <c r="F7510" t="inlineStr">
        <is>
          <t>22_DIL-M</t>
        </is>
      </c>
      <c r="G7510" t="inlineStr">
        <is>
          <t>HILFSKONTAKTBLOCK</t>
        </is>
      </c>
      <c r="H7510" t="inlineStr">
        <is>
          <t>2S 2OE Lastschuetz DIL M</t>
        </is>
      </c>
      <c r="I7510">
        <v>3537</v>
      </c>
      <c r="J7510">
        <f>GC03/332.2</f>
        <v>0</v>
      </c>
      <c r="K7510" t="inlineStr">
        <is>
          <t>DIL0AM</t>
        </is>
      </c>
      <c r="M7510" t="inlineStr">
        <is>
          <t>-332K1</t>
        </is>
      </c>
    </row>
    <row r="7511">
      <c r="A7511">
        <v>7510</v>
      </c>
      <c r="B7511">
        <f>GC03</f>
        <v>0</v>
      </c>
      <c r="C7511" t="inlineStr">
        <is>
          <t>+LS8</t>
        </is>
      </c>
      <c r="D7511" t="inlineStr">
        <is>
          <t>-332K1</t>
        </is>
      </c>
      <c r="E7511" t="inlineStr">
        <is>
          <t>DIL_0AM</t>
        </is>
      </c>
      <c r="F7511" t="inlineStr">
        <is>
          <t>22_DIL-M</t>
        </is>
      </c>
      <c r="G7511" t="inlineStr">
        <is>
          <t>LASTSCHUETZ</t>
        </is>
      </c>
      <c r="H7511" t="inlineStr">
        <is>
          <t>11 kW</t>
        </is>
      </c>
      <c r="I7511">
        <v>3537</v>
      </c>
      <c r="J7511">
        <f>GC03/332.2</f>
        <v>0</v>
      </c>
      <c r="K7511" t="inlineStr">
        <is>
          <t>DIL0AM</t>
        </is>
      </c>
      <c r="M7511" t="inlineStr">
        <is>
          <t>-332K1</t>
        </is>
      </c>
    </row>
    <row r="7512">
      <c r="A7512">
        <v>7511</v>
      </c>
      <c r="B7512">
        <f>GS15</f>
        <v>0</v>
      </c>
      <c r="C7512" t="inlineStr">
        <is>
          <t>+LS6</t>
        </is>
      </c>
      <c r="D7512" t="inlineStr">
        <is>
          <t>-332K20.0</t>
        </is>
      </c>
      <c r="E7512" t="inlineStr">
        <is>
          <t>DIL_EM-10-G</t>
        </is>
      </c>
      <c r="F7512" t="inlineStr">
        <is>
          <t>#KALK!</t>
        </is>
      </c>
      <c r="G7512" t="inlineStr">
        <is>
          <t>LASTSCHUETZ</t>
        </is>
      </c>
      <c r="H7512" t="inlineStr">
        <is>
          <t>4kW 1S</t>
        </is>
      </c>
      <c r="I7512">
        <v>830</v>
      </c>
      <c r="J7512">
        <f>GS15/332.7</f>
        <v>0</v>
      </c>
      <c r="M7512" t="inlineStr">
        <is>
          <t>-332K20.0</t>
        </is>
      </c>
    </row>
    <row r="7513">
      <c r="A7513">
        <v>7512</v>
      </c>
      <c r="B7513">
        <f>GS31</f>
        <v>0</v>
      </c>
      <c r="C7513" t="inlineStr">
        <is>
          <t>+LS6</t>
        </is>
      </c>
      <c r="D7513" t="inlineStr">
        <is>
          <t>-332K3609.5</t>
        </is>
      </c>
      <c r="E7513" t="inlineStr">
        <is>
          <t>DIL_EM-10-G</t>
        </is>
      </c>
      <c r="F7513" t="inlineStr">
        <is>
          <t>#KALK!</t>
        </is>
      </c>
      <c r="G7513" t="inlineStr">
        <is>
          <t>LASTSCHUETZ</t>
        </is>
      </c>
      <c r="H7513" t="inlineStr">
        <is>
          <t>4kW 1S</t>
        </is>
      </c>
      <c r="I7513">
        <v>623</v>
      </c>
      <c r="J7513">
        <f>GS31/332.7</f>
        <v>0</v>
      </c>
      <c r="M7513" t="inlineStr">
        <is>
          <t>-332K3609.5</t>
        </is>
      </c>
    </row>
    <row r="7514">
      <c r="A7514">
        <v>7513</v>
      </c>
      <c r="B7514">
        <f>GS02</f>
        <v>0</v>
      </c>
      <c r="C7514" t="inlineStr">
        <is>
          <t>+LS7</t>
        </is>
      </c>
      <c r="D7514" t="inlineStr">
        <is>
          <t>-332K55.6</t>
        </is>
      </c>
      <c r="E7514" t="inlineStr">
        <is>
          <t>DIL_EM-10-G</t>
        </is>
      </c>
      <c r="F7514" t="inlineStr">
        <is>
          <t>#KALK!</t>
        </is>
      </c>
      <c r="G7514" t="inlineStr">
        <is>
          <t>LASTSCHUETZ</t>
        </is>
      </c>
      <c r="H7514" t="inlineStr">
        <is>
          <t>4kW 1S</t>
        </is>
      </c>
      <c r="I7514">
        <v>738</v>
      </c>
      <c r="J7514">
        <f>GS02/332.6</f>
        <v>0</v>
      </c>
      <c r="M7514" t="inlineStr">
        <is>
          <t>-332K55.6</t>
        </is>
      </c>
    </row>
    <row r="7515">
      <c r="A7515">
        <v>7514</v>
      </c>
      <c r="B7515">
        <f>GS04</f>
        <v>0</v>
      </c>
      <c r="C7515" t="inlineStr">
        <is>
          <t>+LS8</t>
        </is>
      </c>
      <c r="D7515" t="inlineStr">
        <is>
          <t>-332K75.1</t>
        </is>
      </c>
      <c r="E7515" t="inlineStr">
        <is>
          <t>DIL_EM-10-G</t>
        </is>
      </c>
      <c r="F7515" t="inlineStr">
        <is>
          <t>#KALK!</t>
        </is>
      </c>
      <c r="G7515" t="inlineStr">
        <is>
          <t>LASTSCHUETZ</t>
        </is>
      </c>
      <c r="H7515" t="inlineStr">
        <is>
          <t>4kW 1S</t>
        </is>
      </c>
      <c r="I7515">
        <v>583</v>
      </c>
      <c r="J7515">
        <f>GS04/332.7</f>
        <v>0</v>
      </c>
      <c r="M7515" t="inlineStr">
        <is>
          <t>-332K75.1</t>
        </is>
      </c>
    </row>
    <row r="7516">
      <c r="A7516">
        <v>7515</v>
      </c>
      <c r="B7516">
        <f>GS51</f>
        <v>0</v>
      </c>
      <c r="C7516" t="inlineStr">
        <is>
          <t>+LS04</t>
        </is>
      </c>
      <c r="D7516" t="inlineStr">
        <is>
          <t>-332Q142.3</t>
        </is>
      </c>
      <c r="E7516" t="inlineStr">
        <is>
          <t>DILM-9-10</t>
        </is>
      </c>
      <c r="F7516" t="inlineStr">
        <is>
          <t>#KALK!</t>
        </is>
      </c>
      <c r="G7516" t="inlineStr">
        <is>
          <t>LASTSCHUETZ</t>
        </is>
      </c>
      <c r="H7516" t="inlineStr">
        <is>
          <t>4kW 1S Federzugkl.</t>
        </is>
      </c>
      <c r="I7516">
        <v>517</v>
      </c>
      <c r="J7516">
        <f>GS51/332.6</f>
        <v>0</v>
      </c>
      <c r="K7516" t="inlineStr">
        <is>
          <t>DIL MC9</t>
        </is>
      </c>
      <c r="M7516" t="inlineStr">
        <is>
          <t>-332Q142.3</t>
        </is>
      </c>
    </row>
    <row r="7517">
      <c r="A7517">
        <v>7516</v>
      </c>
      <c r="B7517">
        <f>GS53</f>
        <v>0</v>
      </c>
      <c r="C7517" t="inlineStr">
        <is>
          <t>+LS12</t>
        </is>
      </c>
      <c r="D7517" t="inlineStr">
        <is>
          <t>-332Q412.4</t>
        </is>
      </c>
      <c r="E7517" t="inlineStr">
        <is>
          <t>DILM-9-10</t>
        </is>
      </c>
      <c r="F7517" t="inlineStr">
        <is>
          <t>#KALK!</t>
        </is>
      </c>
      <c r="G7517" t="inlineStr">
        <is>
          <t>LASTSCHUETZ</t>
        </is>
      </c>
      <c r="H7517" t="inlineStr">
        <is>
          <t>4kW 1S Federzugkl.</t>
        </is>
      </c>
      <c r="I7517">
        <v>438</v>
      </c>
      <c r="J7517">
        <f>GS53/332.6</f>
        <v>0</v>
      </c>
      <c r="K7517" t="inlineStr">
        <is>
          <t>DIL MC9</t>
        </is>
      </c>
      <c r="M7517" t="inlineStr">
        <is>
          <t>-332Q412.4</t>
        </is>
      </c>
    </row>
    <row r="7518">
      <c r="A7518">
        <v>7517</v>
      </c>
      <c r="B7518">
        <f>GS13</f>
        <v>0</v>
      </c>
      <c r="C7518" t="inlineStr">
        <is>
          <t>+LS7</t>
        </is>
      </c>
      <c r="D7518" t="inlineStr">
        <is>
          <t>-33387.5</t>
        </is>
      </c>
      <c r="E7518" t="inlineStr">
        <is>
          <t>DIL_EM-10-G</t>
        </is>
      </c>
      <c r="F7518" t="inlineStr">
        <is>
          <t>#KALK!</t>
        </is>
      </c>
      <c r="G7518" t="inlineStr">
        <is>
          <t>LASTSCHUETZ</t>
        </is>
      </c>
      <c r="H7518" t="inlineStr">
        <is>
          <t>4kW 1S</t>
        </is>
      </c>
      <c r="I7518">
        <v>576</v>
      </c>
      <c r="J7518">
        <f>GS13/333.7</f>
        <v>0</v>
      </c>
      <c r="M7518" t="inlineStr">
        <is>
          <t>-33387.5</t>
        </is>
      </c>
    </row>
    <row r="7519">
      <c r="A7519">
        <v>7518</v>
      </c>
      <c r="B7519">
        <f>GS01</f>
        <v>0</v>
      </c>
      <c r="C7519" t="inlineStr">
        <is>
          <t>+LS7</t>
        </is>
      </c>
      <c r="D7519" t="inlineStr">
        <is>
          <t>-333K1</t>
        </is>
      </c>
      <c r="E7519" t="inlineStr">
        <is>
          <t>DIL_2AM</t>
        </is>
      </c>
      <c r="F7519" t="inlineStr">
        <is>
          <t>22_DIL-M</t>
        </is>
      </c>
      <c r="G7519" t="inlineStr">
        <is>
          <t>LASTSCHUETZ</t>
        </is>
      </c>
      <c r="H7519" t="inlineStr">
        <is>
          <t>30 kW</t>
        </is>
      </c>
      <c r="I7519">
        <v>496</v>
      </c>
      <c r="J7519">
        <f>GS01/333.2</f>
        <v>0</v>
      </c>
      <c r="K7519" t="inlineStr">
        <is>
          <t>DIL2AM</t>
        </is>
      </c>
      <c r="M7519" t="inlineStr">
        <is>
          <t>-333K1</t>
        </is>
      </c>
    </row>
    <row r="7520">
      <c r="A7520">
        <v>7519</v>
      </c>
      <c r="B7520">
        <f>GS01</f>
        <v>0</v>
      </c>
      <c r="C7520" t="inlineStr">
        <is>
          <t>+LS7</t>
        </is>
      </c>
      <c r="D7520" t="inlineStr">
        <is>
          <t>-333K1</t>
        </is>
      </c>
      <c r="E7520" t="inlineStr">
        <is>
          <t>22_DIL-M</t>
        </is>
      </c>
      <c r="F7520" t="inlineStr">
        <is>
          <t>22_DIL-M</t>
        </is>
      </c>
      <c r="G7520" t="inlineStr">
        <is>
          <t>HILFSKONTAKTBLOCK</t>
        </is>
      </c>
      <c r="H7520" t="inlineStr">
        <is>
          <t>2S 2OE Lastschuetz DIL M</t>
        </is>
      </c>
      <c r="I7520">
        <v>496</v>
      </c>
      <c r="J7520">
        <f>GS01/333.2</f>
        <v>0</v>
      </c>
      <c r="K7520" t="inlineStr">
        <is>
          <t>DIL2AM</t>
        </is>
      </c>
      <c r="M7520" t="inlineStr">
        <is>
          <t>-333K1</t>
        </is>
      </c>
    </row>
    <row r="7521">
      <c r="A7521">
        <v>7520</v>
      </c>
      <c r="B7521">
        <f>GS36</f>
        <v>0</v>
      </c>
      <c r="C7521" t="inlineStr">
        <is>
          <t>+LS07</t>
        </is>
      </c>
      <c r="D7521" t="inlineStr">
        <is>
          <t>-355K419.0</t>
        </is>
      </c>
      <c r="E7521" t="inlineStr">
        <is>
          <t>DILA-40</t>
        </is>
      </c>
      <c r="F7521" t="inlineStr">
        <is>
          <t>#KALK!</t>
        </is>
      </c>
      <c r="G7521" t="inlineStr">
        <is>
          <t>HILFSSCHUETZ</t>
        </is>
      </c>
      <c r="H7521" t="inlineStr">
        <is>
          <t>4S Federzugkl.</t>
        </is>
      </c>
      <c r="I7521">
        <v>528</v>
      </c>
      <c r="J7521">
        <f>GS36/355.7</f>
        <v>0</v>
      </c>
      <c r="M7521" t="inlineStr">
        <is>
          <t>-355K419.0</t>
        </is>
      </c>
    </row>
    <row r="7522">
      <c r="A7522">
        <v>7521</v>
      </c>
      <c r="B7522">
        <f>GS36</f>
        <v>0</v>
      </c>
      <c r="C7522" t="inlineStr">
        <is>
          <t>+LS07</t>
        </is>
      </c>
      <c r="D7522" t="inlineStr">
        <is>
          <t>-356Q419.1</t>
        </is>
      </c>
      <c r="E7522" t="inlineStr">
        <is>
          <t>DILM-9-10</t>
        </is>
      </c>
      <c r="F7522" t="inlineStr">
        <is>
          <t>#KALK!</t>
        </is>
      </c>
      <c r="G7522" t="inlineStr">
        <is>
          <t>LASTSCHUETZ</t>
        </is>
      </c>
      <c r="H7522" t="inlineStr">
        <is>
          <t>4kW 1S Federzugkl.</t>
        </is>
      </c>
      <c r="I7522">
        <v>529</v>
      </c>
      <c r="J7522">
        <f>GS36/356.5</f>
        <v>0</v>
      </c>
      <c r="L7522" t="inlineStr">
        <is>
          <t>GF_5101</t>
        </is>
      </c>
      <c r="M7522" t="inlineStr">
        <is>
          <t>GF_5101
-356Q419.1</t>
        </is>
      </c>
      <c r="N7522" t="inlineStr">
        <is>
          <t>P</t>
        </is>
      </c>
    </row>
    <row r="7523">
      <c r="A7523">
        <v>7522</v>
      </c>
      <c r="B7523">
        <f>GS15</f>
        <v>0</v>
      </c>
      <c r="C7523" t="inlineStr">
        <is>
          <t>+LS6</t>
        </is>
      </c>
      <c r="D7523" t="inlineStr">
        <is>
          <t>-333K20.1</t>
        </is>
      </c>
      <c r="E7523" t="inlineStr">
        <is>
          <t>DIL_EM-10-G</t>
        </is>
      </c>
      <c r="F7523" t="inlineStr">
        <is>
          <t>#KALK!</t>
        </is>
      </c>
      <c r="G7523" t="inlineStr">
        <is>
          <t>LASTSCHUETZ</t>
        </is>
      </c>
      <c r="H7523" t="inlineStr">
        <is>
          <t>4kW 1S</t>
        </is>
      </c>
      <c r="I7523">
        <v>831</v>
      </c>
      <c r="J7523">
        <f>GS15/333.6</f>
        <v>0</v>
      </c>
      <c r="M7523" t="inlineStr">
        <is>
          <t>-333K20.1</t>
        </is>
      </c>
    </row>
    <row r="7524">
      <c r="A7524">
        <v>7523</v>
      </c>
      <c r="B7524">
        <f>GS15</f>
        <v>0</v>
      </c>
      <c r="C7524" t="inlineStr">
        <is>
          <t>+LS6</t>
        </is>
      </c>
      <c r="D7524" t="inlineStr">
        <is>
          <t>-333K20.2</t>
        </is>
      </c>
      <c r="E7524" t="inlineStr">
        <is>
          <t>DIL_EM-10-G</t>
        </is>
      </c>
      <c r="F7524" t="inlineStr">
        <is>
          <t>#KALK!</t>
        </is>
      </c>
      <c r="G7524" t="inlineStr">
        <is>
          <t>LASTSCHUETZ</t>
        </is>
      </c>
      <c r="H7524" t="inlineStr">
        <is>
          <t>4kW 1S</t>
        </is>
      </c>
      <c r="I7524">
        <v>831</v>
      </c>
      <c r="J7524">
        <f>GS15/333.6</f>
        <v>0</v>
      </c>
      <c r="M7524" t="inlineStr">
        <is>
          <t>-333K20.2</t>
        </is>
      </c>
    </row>
    <row r="7525">
      <c r="A7525">
        <v>7524</v>
      </c>
      <c r="B7525">
        <f>GS31</f>
        <v>0</v>
      </c>
      <c r="C7525" t="inlineStr">
        <is>
          <t>+LS6</t>
        </is>
      </c>
      <c r="D7525" t="inlineStr">
        <is>
          <t>-333K3610.3</t>
        </is>
      </c>
      <c r="E7525" t="inlineStr">
        <is>
          <t>DIL_EM-10-G</t>
        </is>
      </c>
      <c r="F7525" t="inlineStr">
        <is>
          <t>#KALK!</t>
        </is>
      </c>
      <c r="G7525" t="inlineStr">
        <is>
          <t>LASTSCHUETZ</t>
        </is>
      </c>
      <c r="H7525" t="inlineStr">
        <is>
          <t>4kW 1S</t>
        </is>
      </c>
      <c r="I7525">
        <v>624</v>
      </c>
      <c r="J7525">
        <f>GS31/333.7</f>
        <v>0</v>
      </c>
      <c r="M7525" t="inlineStr">
        <is>
          <t>-333K3610.3</t>
        </is>
      </c>
    </row>
    <row r="7526">
      <c r="A7526">
        <v>7525</v>
      </c>
      <c r="B7526">
        <f>GS11</f>
        <v>0</v>
      </c>
      <c r="C7526" t="inlineStr">
        <is>
          <t>+LS8</t>
        </is>
      </c>
      <c r="D7526" t="inlineStr">
        <is>
          <t>-333K54.0</t>
        </is>
      </c>
      <c r="E7526" t="inlineStr">
        <is>
          <t>DIL_EM-10-G</t>
        </is>
      </c>
      <c r="F7526" t="inlineStr">
        <is>
          <t>#KALK!</t>
        </is>
      </c>
      <c r="G7526" t="inlineStr">
        <is>
          <t>LASTSCHUETZ</t>
        </is>
      </c>
      <c r="H7526" t="inlineStr">
        <is>
          <t>4kW 1S</t>
        </is>
      </c>
      <c r="I7526">
        <v>439</v>
      </c>
      <c r="J7526">
        <f>GS11/333.6</f>
        <v>0</v>
      </c>
      <c r="M7526" t="inlineStr">
        <is>
          <t>-333K54.0</t>
        </is>
      </c>
    </row>
    <row r="7527">
      <c r="A7527">
        <v>7526</v>
      </c>
      <c r="B7527">
        <f>GS21</f>
        <v>0</v>
      </c>
      <c r="C7527" t="inlineStr">
        <is>
          <t>+LS8</t>
        </is>
      </c>
      <c r="D7527" t="inlineStr">
        <is>
          <t>-333K54.0</t>
        </is>
      </c>
      <c r="E7527" t="inlineStr">
        <is>
          <t>DIL_EM-10-G</t>
        </is>
      </c>
      <c r="F7527" t="inlineStr">
        <is>
          <t>#KALK!</t>
        </is>
      </c>
      <c r="G7527" t="inlineStr">
        <is>
          <t>LASTSCHUETZ</t>
        </is>
      </c>
      <c r="H7527" t="inlineStr">
        <is>
          <t>4kW 1S</t>
        </is>
      </c>
      <c r="I7527">
        <v>421</v>
      </c>
      <c r="J7527">
        <f>GS21/333.6</f>
        <v>0</v>
      </c>
      <c r="M7527" t="inlineStr">
        <is>
          <t>-333K54.0</t>
        </is>
      </c>
    </row>
    <row r="7528">
      <c r="A7528">
        <v>7527</v>
      </c>
      <c r="B7528">
        <f>GS11</f>
        <v>0</v>
      </c>
      <c r="C7528" t="inlineStr">
        <is>
          <t>+LS8</t>
        </is>
      </c>
      <c r="D7528" t="inlineStr">
        <is>
          <t>-333K54.1</t>
        </is>
      </c>
      <c r="E7528" t="inlineStr">
        <is>
          <t>DIL_EM-10-G</t>
        </is>
      </c>
      <c r="F7528" t="inlineStr">
        <is>
          <t>#KALK!</t>
        </is>
      </c>
      <c r="G7528" t="inlineStr">
        <is>
          <t>LASTSCHUETZ</t>
        </is>
      </c>
      <c r="H7528" t="inlineStr">
        <is>
          <t>4kW 1S</t>
        </is>
      </c>
      <c r="I7528">
        <v>439</v>
      </c>
      <c r="J7528">
        <f>GS11/333.6</f>
        <v>0</v>
      </c>
      <c r="M7528" t="inlineStr">
        <is>
          <t>-333K54.1</t>
        </is>
      </c>
    </row>
    <row r="7529">
      <c r="A7529">
        <v>7528</v>
      </c>
      <c r="B7529">
        <f>GS21</f>
        <v>0</v>
      </c>
      <c r="C7529" t="inlineStr">
        <is>
          <t>+LS8</t>
        </is>
      </c>
      <c r="D7529" t="inlineStr">
        <is>
          <t>-333K54.1</t>
        </is>
      </c>
      <c r="E7529" t="inlineStr">
        <is>
          <t>DIL_EM-10-G</t>
        </is>
      </c>
      <c r="F7529" t="inlineStr">
        <is>
          <t>#KALK!</t>
        </is>
      </c>
      <c r="G7529" t="inlineStr">
        <is>
          <t>LASTSCHUETZ</t>
        </is>
      </c>
      <c r="H7529" t="inlineStr">
        <is>
          <t>4kW 1S</t>
        </is>
      </c>
      <c r="I7529">
        <v>421</v>
      </c>
      <c r="J7529">
        <f>GS21/333.6</f>
        <v>0</v>
      </c>
      <c r="M7529" t="inlineStr">
        <is>
          <t>-333K54.1</t>
        </is>
      </c>
    </row>
    <row r="7530">
      <c r="A7530">
        <v>7529</v>
      </c>
      <c r="B7530">
        <f>GS02</f>
        <v>0</v>
      </c>
      <c r="C7530" t="inlineStr">
        <is>
          <t>+LS7</t>
        </is>
      </c>
      <c r="D7530" t="inlineStr">
        <is>
          <t>-333K55.5</t>
        </is>
      </c>
      <c r="E7530" t="inlineStr">
        <is>
          <t>DIL_EM-10-G</t>
        </is>
      </c>
      <c r="F7530" t="inlineStr">
        <is>
          <t>#KALK!</t>
        </is>
      </c>
      <c r="G7530" t="inlineStr">
        <is>
          <t>LASTSCHUETZ</t>
        </is>
      </c>
      <c r="H7530" t="inlineStr">
        <is>
          <t>4kW 1S</t>
        </is>
      </c>
      <c r="I7530">
        <v>739</v>
      </c>
      <c r="J7530">
        <f>GS02/333.7</f>
        <v>0</v>
      </c>
      <c r="M7530" t="inlineStr">
        <is>
          <t>-333K55.5</t>
        </is>
      </c>
    </row>
    <row r="7531">
      <c r="A7531">
        <v>7530</v>
      </c>
      <c r="B7531">
        <f>GS04</f>
        <v>0</v>
      </c>
      <c r="C7531" t="inlineStr">
        <is>
          <t>+LS8</t>
        </is>
      </c>
      <c r="D7531" t="inlineStr">
        <is>
          <t>-333K75.2</t>
        </is>
      </c>
      <c r="E7531" t="inlineStr">
        <is>
          <t>DIL_EM-10-G</t>
        </is>
      </c>
      <c r="F7531" t="inlineStr">
        <is>
          <t>#KALK!</t>
        </is>
      </c>
      <c r="G7531" t="inlineStr">
        <is>
          <t>LASTSCHUETZ</t>
        </is>
      </c>
      <c r="H7531" t="inlineStr">
        <is>
          <t>4kW 1S</t>
        </is>
      </c>
      <c r="I7531">
        <v>584</v>
      </c>
      <c r="J7531">
        <f>GS04/333.6</f>
        <v>0</v>
      </c>
      <c r="M7531" t="inlineStr">
        <is>
          <t>-333K75.2</t>
        </is>
      </c>
    </row>
    <row r="7532">
      <c r="A7532">
        <v>7531</v>
      </c>
      <c r="B7532">
        <f>GS23</f>
        <v>0</v>
      </c>
      <c r="C7532" t="inlineStr">
        <is>
          <t>+LS7</t>
        </is>
      </c>
      <c r="D7532" t="inlineStr">
        <is>
          <t>-333K87.5</t>
        </is>
      </c>
      <c r="E7532" t="inlineStr">
        <is>
          <t>DIL_EM-10-G</t>
        </is>
      </c>
      <c r="F7532" t="inlineStr">
        <is>
          <t>#KALK!</t>
        </is>
      </c>
      <c r="G7532" t="inlineStr">
        <is>
          <t>LASTSCHUETZ</t>
        </is>
      </c>
      <c r="H7532" t="inlineStr">
        <is>
          <t>4kW 1S</t>
        </is>
      </c>
      <c r="I7532">
        <v>634</v>
      </c>
      <c r="J7532">
        <f>GS23/333.7</f>
        <v>0</v>
      </c>
      <c r="M7532" t="inlineStr">
        <is>
          <t>-333K87.5</t>
        </is>
      </c>
    </row>
    <row r="7533">
      <c r="A7533">
        <v>7532</v>
      </c>
      <c r="B7533">
        <f>GS13</f>
        <v>0</v>
      </c>
      <c r="C7533" t="inlineStr">
        <is>
          <t>+LS7</t>
        </is>
      </c>
      <c r="D7533" t="inlineStr">
        <is>
          <t>-33488.3</t>
        </is>
      </c>
      <c r="E7533" t="inlineStr">
        <is>
          <t>DIL_EM-10-G</t>
        </is>
      </c>
      <c r="F7533" t="inlineStr">
        <is>
          <t>#KALK!</t>
        </is>
      </c>
      <c r="G7533" t="inlineStr">
        <is>
          <t>LASTSCHUETZ</t>
        </is>
      </c>
      <c r="H7533" t="inlineStr">
        <is>
          <t>4kW 1S</t>
        </is>
      </c>
      <c r="I7533">
        <v>577</v>
      </c>
      <c r="J7533">
        <f>GS13/334.7</f>
        <v>0</v>
      </c>
      <c r="M7533" t="inlineStr">
        <is>
          <t>-33488.3</t>
        </is>
      </c>
    </row>
    <row r="7534">
      <c r="A7534">
        <v>7533</v>
      </c>
      <c r="B7534">
        <f>GS16</f>
        <v>0</v>
      </c>
      <c r="C7534" t="inlineStr">
        <is>
          <t>+ES2</t>
        </is>
      </c>
      <c r="D7534" t="inlineStr">
        <is>
          <t>-334K104.0</t>
        </is>
      </c>
      <c r="E7534" t="inlineStr">
        <is>
          <t>DIL_ER-40-G</t>
        </is>
      </c>
      <c r="F7534" t="inlineStr">
        <is>
          <t>40_DIL-E</t>
        </is>
      </c>
      <c r="G7534" t="inlineStr">
        <is>
          <t>HILFSSCHUETZ</t>
        </is>
      </c>
      <c r="H7534" t="inlineStr">
        <is>
          <t>4S</t>
        </is>
      </c>
      <c r="I7534">
        <v>567</v>
      </c>
      <c r="J7534">
        <f>GS16/334.6</f>
        <v>0</v>
      </c>
      <c r="M7534" t="inlineStr">
        <is>
          <t>-334K104.0</t>
        </is>
      </c>
    </row>
    <row r="7535">
      <c r="A7535">
        <v>7534</v>
      </c>
      <c r="B7535">
        <f>GS16</f>
        <v>0</v>
      </c>
      <c r="C7535" t="inlineStr">
        <is>
          <t>+ES2</t>
        </is>
      </c>
      <c r="D7535" t="inlineStr">
        <is>
          <t>-334K104.0</t>
        </is>
      </c>
      <c r="E7535" t="inlineStr">
        <is>
          <t>40_DIL-E</t>
        </is>
      </c>
      <c r="F7535" t="inlineStr">
        <is>
          <t>40_DIL-E</t>
        </is>
      </c>
      <c r="G7535" t="inlineStr">
        <is>
          <t>HILFSKONTAKTBLOCK</t>
        </is>
      </c>
      <c r="H7535" t="inlineStr">
        <is>
          <t>4S Last+Hilfsschuetz</t>
        </is>
      </c>
      <c r="I7535">
        <v>567</v>
      </c>
      <c r="J7535">
        <f>GS16/334.6</f>
        <v>0</v>
      </c>
      <c r="M7535" t="inlineStr">
        <is>
          <t>-334K104.0</t>
        </is>
      </c>
    </row>
    <row r="7536">
      <c r="A7536">
        <v>7535</v>
      </c>
      <c r="B7536">
        <f>GS16</f>
        <v>0</v>
      </c>
      <c r="C7536" t="inlineStr">
        <is>
          <t>+ES2</t>
        </is>
      </c>
      <c r="D7536" t="inlineStr">
        <is>
          <t>-334K104.0.1</t>
        </is>
      </c>
      <c r="E7536" t="inlineStr">
        <is>
          <t>DIL_ER-40-G</t>
        </is>
      </c>
      <c r="F7536" t="inlineStr">
        <is>
          <t>40_DIL-E</t>
        </is>
      </c>
      <c r="G7536" t="inlineStr">
        <is>
          <t>HILFSSCHUETZ</t>
        </is>
      </c>
      <c r="H7536" t="inlineStr">
        <is>
          <t>4S</t>
        </is>
      </c>
      <c r="I7536">
        <v>567</v>
      </c>
      <c r="J7536">
        <f>GS16/334.7</f>
        <v>0</v>
      </c>
      <c r="M7536" t="inlineStr">
        <is>
          <t>-334K104.0.1</t>
        </is>
      </c>
    </row>
    <row r="7537">
      <c r="A7537">
        <v>7536</v>
      </c>
      <c r="B7537">
        <f>GS16</f>
        <v>0</v>
      </c>
      <c r="C7537" t="inlineStr">
        <is>
          <t>+ES2</t>
        </is>
      </c>
      <c r="D7537" t="inlineStr">
        <is>
          <t>-334K104.0.1</t>
        </is>
      </c>
      <c r="E7537" t="inlineStr">
        <is>
          <t>40_DIL-E</t>
        </is>
      </c>
      <c r="F7537" t="inlineStr">
        <is>
          <t>40_DIL-E</t>
        </is>
      </c>
      <c r="G7537" t="inlineStr">
        <is>
          <t>HILFSKONTAKTBLOCK</t>
        </is>
      </c>
      <c r="H7537" t="inlineStr">
        <is>
          <t>4S Last+Hilfsschuetz</t>
        </is>
      </c>
      <c r="I7537">
        <v>567</v>
      </c>
      <c r="J7537">
        <f>GS16/334.7</f>
        <v>0</v>
      </c>
      <c r="M7537" t="inlineStr">
        <is>
          <t>-334K104.0.1</t>
        </is>
      </c>
    </row>
    <row r="7538">
      <c r="A7538">
        <v>7537</v>
      </c>
      <c r="B7538">
        <f>GS16</f>
        <v>0</v>
      </c>
      <c r="C7538" t="inlineStr">
        <is>
          <t>+ES2</t>
        </is>
      </c>
      <c r="D7538" t="inlineStr">
        <is>
          <t>-334K104.1</t>
        </is>
      </c>
      <c r="E7538" t="inlineStr">
        <is>
          <t>DIL_ER-40-G</t>
        </is>
      </c>
      <c r="F7538" t="inlineStr">
        <is>
          <t>40_DIL-E</t>
        </is>
      </c>
      <c r="G7538" t="inlineStr">
        <is>
          <t>HILFSSCHUETZ</t>
        </is>
      </c>
      <c r="H7538" t="inlineStr">
        <is>
          <t>4S</t>
        </is>
      </c>
      <c r="I7538">
        <v>567</v>
      </c>
      <c r="J7538">
        <f>GS16/334.7</f>
        <v>0</v>
      </c>
      <c r="M7538" t="inlineStr">
        <is>
          <t>-334K104.1</t>
        </is>
      </c>
    </row>
    <row r="7539">
      <c r="A7539">
        <v>7538</v>
      </c>
      <c r="B7539">
        <f>GS16</f>
        <v>0</v>
      </c>
      <c r="C7539" t="inlineStr">
        <is>
          <t>+ES2</t>
        </is>
      </c>
      <c r="D7539" t="inlineStr">
        <is>
          <t>-334K104.1</t>
        </is>
      </c>
      <c r="E7539" t="inlineStr">
        <is>
          <t>40_DIL-E</t>
        </is>
      </c>
      <c r="F7539" t="inlineStr">
        <is>
          <t>40_DIL-E</t>
        </is>
      </c>
      <c r="G7539" t="inlineStr">
        <is>
          <t>HILFSKONTAKTBLOCK</t>
        </is>
      </c>
      <c r="H7539" t="inlineStr">
        <is>
          <t>4S Last+Hilfsschuetz</t>
        </is>
      </c>
      <c r="I7539">
        <v>567</v>
      </c>
      <c r="J7539">
        <f>GS16/334.7</f>
        <v>0</v>
      </c>
      <c r="M7539" t="inlineStr">
        <is>
          <t>-334K104.1</t>
        </is>
      </c>
    </row>
    <row r="7540">
      <c r="A7540">
        <v>7539</v>
      </c>
      <c r="B7540">
        <f>GS16</f>
        <v>0</v>
      </c>
      <c r="C7540" t="inlineStr">
        <is>
          <t>+ES2</t>
        </is>
      </c>
      <c r="D7540" t="inlineStr">
        <is>
          <t>-334K104.1.1</t>
        </is>
      </c>
      <c r="E7540" t="inlineStr">
        <is>
          <t>DIL_ER-40-G</t>
        </is>
      </c>
      <c r="F7540" t="inlineStr">
        <is>
          <t>40_DIL-E</t>
        </is>
      </c>
      <c r="G7540" t="inlineStr">
        <is>
          <t>HILFSSCHUETZ</t>
        </is>
      </c>
      <c r="H7540" t="inlineStr">
        <is>
          <t>4S</t>
        </is>
      </c>
      <c r="I7540">
        <v>567</v>
      </c>
      <c r="J7540">
        <f>GS16/334.8</f>
        <v>0</v>
      </c>
      <c r="M7540" t="inlineStr">
        <is>
          <t>-334K104.1.1</t>
        </is>
      </c>
    </row>
    <row r="7541">
      <c r="A7541">
        <v>7540</v>
      </c>
      <c r="B7541">
        <f>GS16</f>
        <v>0</v>
      </c>
      <c r="C7541" t="inlineStr">
        <is>
          <t>+ES2</t>
        </is>
      </c>
      <c r="D7541" t="inlineStr">
        <is>
          <t>-334K104.1.1</t>
        </is>
      </c>
      <c r="E7541" t="inlineStr">
        <is>
          <t>40_DIL-E</t>
        </is>
      </c>
      <c r="F7541" t="inlineStr">
        <is>
          <t>40_DIL-E</t>
        </is>
      </c>
      <c r="G7541" t="inlineStr">
        <is>
          <t>HILFSKONTAKTBLOCK</t>
        </is>
      </c>
      <c r="H7541" t="inlineStr">
        <is>
          <t>4S Last+Hilfsschuetz</t>
        </is>
      </c>
      <c r="I7541">
        <v>567</v>
      </c>
      <c r="J7541">
        <f>GS16/334.8</f>
        <v>0</v>
      </c>
      <c r="M7541" t="inlineStr">
        <is>
          <t>-334K104.1.1</t>
        </is>
      </c>
    </row>
    <row r="7542">
      <c r="A7542">
        <v>7541</v>
      </c>
      <c r="B7542">
        <f>GS15</f>
        <v>0</v>
      </c>
      <c r="C7542" t="inlineStr">
        <is>
          <t>+LS6</t>
        </is>
      </c>
      <c r="D7542" t="inlineStr">
        <is>
          <t>-334K20.3</t>
        </is>
      </c>
      <c r="E7542" t="inlineStr">
        <is>
          <t>DIL_EM-10-G</t>
        </is>
      </c>
      <c r="F7542" t="inlineStr">
        <is>
          <t>#KALK!</t>
        </is>
      </c>
      <c r="G7542" t="inlineStr">
        <is>
          <t>LASTSCHUETZ</t>
        </is>
      </c>
      <c r="H7542" t="inlineStr">
        <is>
          <t>4kW 1S</t>
        </is>
      </c>
      <c r="I7542">
        <v>832</v>
      </c>
      <c r="J7542">
        <f>GS15/334.6</f>
        <v>0</v>
      </c>
      <c r="M7542" t="inlineStr">
        <is>
          <t>-334K20.3</t>
        </is>
      </c>
    </row>
    <row r="7543">
      <c r="A7543">
        <v>7542</v>
      </c>
      <c r="B7543">
        <f>GS15</f>
        <v>0</v>
      </c>
      <c r="C7543" t="inlineStr">
        <is>
          <t>+LS6</t>
        </is>
      </c>
      <c r="D7543" t="inlineStr">
        <is>
          <t>-334K20.6</t>
        </is>
      </c>
      <c r="E7543" t="inlineStr">
        <is>
          <t>DIL_EM-10-G</t>
        </is>
      </c>
      <c r="F7543" t="inlineStr">
        <is>
          <t>#KALK!</t>
        </is>
      </c>
      <c r="G7543" t="inlineStr">
        <is>
          <t>LASTSCHUETZ</t>
        </is>
      </c>
      <c r="H7543" t="inlineStr">
        <is>
          <t>4kW 1S</t>
        </is>
      </c>
      <c r="I7543">
        <v>832</v>
      </c>
      <c r="J7543">
        <f>GS15/334.6</f>
        <v>0</v>
      </c>
      <c r="M7543" t="inlineStr">
        <is>
          <t>-334K20.6</t>
        </is>
      </c>
    </row>
    <row r="7544">
      <c r="A7544">
        <v>7543</v>
      </c>
      <c r="B7544">
        <f>GS31</f>
        <v>0</v>
      </c>
      <c r="C7544" t="inlineStr">
        <is>
          <t>+LS6</t>
        </is>
      </c>
      <c r="D7544" t="inlineStr">
        <is>
          <t>-334K3615.3</t>
        </is>
      </c>
      <c r="E7544" t="inlineStr">
        <is>
          <t>DIL_EM-10-G</t>
        </is>
      </c>
      <c r="F7544" t="inlineStr">
        <is>
          <t>#KALK!</t>
        </is>
      </c>
      <c r="G7544" t="inlineStr">
        <is>
          <t>LASTSCHUETZ</t>
        </is>
      </c>
      <c r="H7544" t="inlineStr">
        <is>
          <t>4kW 1S</t>
        </is>
      </c>
      <c r="I7544">
        <v>625</v>
      </c>
      <c r="J7544">
        <f>GS31/334.7</f>
        <v>0</v>
      </c>
      <c r="M7544" t="inlineStr">
        <is>
          <t>-334K3615.3</t>
        </is>
      </c>
    </row>
    <row r="7545">
      <c r="A7545">
        <v>7544</v>
      </c>
      <c r="B7545">
        <f>GS11</f>
        <v>0</v>
      </c>
      <c r="C7545" t="inlineStr">
        <is>
          <t>+LS8</t>
        </is>
      </c>
      <c r="D7545" t="inlineStr">
        <is>
          <t>-334K54.2</t>
        </is>
      </c>
      <c r="E7545" t="inlineStr">
        <is>
          <t>DIL_EM-10-G</t>
        </is>
      </c>
      <c r="F7545" t="inlineStr">
        <is>
          <t>#KALK!</t>
        </is>
      </c>
      <c r="G7545" t="inlineStr">
        <is>
          <t>LASTSCHUETZ</t>
        </is>
      </c>
      <c r="H7545" t="inlineStr">
        <is>
          <t>4kW 1S</t>
        </is>
      </c>
      <c r="I7545">
        <v>440</v>
      </c>
      <c r="J7545">
        <f>GS11/334.6</f>
        <v>0</v>
      </c>
      <c r="M7545" t="inlineStr">
        <is>
          <t>-334K54.2</t>
        </is>
      </c>
    </row>
    <row r="7546">
      <c r="A7546">
        <v>7545</v>
      </c>
      <c r="B7546">
        <f>GS21</f>
        <v>0</v>
      </c>
      <c r="C7546" t="inlineStr">
        <is>
          <t>+LS8</t>
        </is>
      </c>
      <c r="D7546" t="inlineStr">
        <is>
          <t>-334K54.2</t>
        </is>
      </c>
      <c r="E7546" t="inlineStr">
        <is>
          <t>DIL_EM-10-G</t>
        </is>
      </c>
      <c r="F7546" t="inlineStr">
        <is>
          <t>#KALK!</t>
        </is>
      </c>
      <c r="G7546" t="inlineStr">
        <is>
          <t>LASTSCHUETZ</t>
        </is>
      </c>
      <c r="H7546" t="inlineStr">
        <is>
          <t>4kW 1S</t>
        </is>
      </c>
      <c r="I7546">
        <v>422</v>
      </c>
      <c r="J7546">
        <f>GS21/334.6</f>
        <v>0</v>
      </c>
      <c r="M7546" t="inlineStr">
        <is>
          <t>-334K54.2</t>
        </is>
      </c>
    </row>
    <row r="7547">
      <c r="A7547">
        <v>7546</v>
      </c>
      <c r="B7547">
        <f>GS11</f>
        <v>0</v>
      </c>
      <c r="C7547" t="inlineStr">
        <is>
          <t>+LS8</t>
        </is>
      </c>
      <c r="D7547" t="inlineStr">
        <is>
          <t>-334K54.3</t>
        </is>
      </c>
      <c r="E7547" t="inlineStr">
        <is>
          <t>DIL_EM-10-G</t>
        </is>
      </c>
      <c r="F7547" t="inlineStr">
        <is>
          <t>#KALK!</t>
        </is>
      </c>
      <c r="G7547" t="inlineStr">
        <is>
          <t>LASTSCHUETZ</t>
        </is>
      </c>
      <c r="H7547" t="inlineStr">
        <is>
          <t>4kW 1S</t>
        </is>
      </c>
      <c r="I7547">
        <v>440</v>
      </c>
      <c r="J7547">
        <f>GS11/334.6</f>
        <v>0</v>
      </c>
      <c r="M7547" t="inlineStr">
        <is>
          <t>-334K54.3</t>
        </is>
      </c>
    </row>
    <row r="7548">
      <c r="A7548">
        <v>7547</v>
      </c>
      <c r="B7548">
        <f>GS21</f>
        <v>0</v>
      </c>
      <c r="C7548" t="inlineStr">
        <is>
          <t>+LS8</t>
        </is>
      </c>
      <c r="D7548" t="inlineStr">
        <is>
          <t>-334K54.3</t>
        </is>
      </c>
      <c r="E7548" t="inlineStr">
        <is>
          <t>DIL_EM-10-G</t>
        </is>
      </c>
      <c r="F7548" t="inlineStr">
        <is>
          <t>#KALK!</t>
        </is>
      </c>
      <c r="G7548" t="inlineStr">
        <is>
          <t>LASTSCHUETZ</t>
        </is>
      </c>
      <c r="H7548" t="inlineStr">
        <is>
          <t>4kW 1S</t>
        </is>
      </c>
      <c r="I7548">
        <v>422</v>
      </c>
      <c r="J7548">
        <f>GS21/334.6</f>
        <v>0</v>
      </c>
      <c r="M7548" t="inlineStr">
        <is>
          <t>-334K54.3</t>
        </is>
      </c>
    </row>
    <row r="7549">
      <c r="A7549">
        <v>7548</v>
      </c>
      <c r="B7549">
        <f>GS02</f>
        <v>0</v>
      </c>
      <c r="C7549" t="inlineStr">
        <is>
          <t>+LS7</t>
        </is>
      </c>
      <c r="D7549" t="inlineStr">
        <is>
          <t>-334K56.3</t>
        </is>
      </c>
      <c r="E7549" t="inlineStr">
        <is>
          <t>DIL_EM-10-G</t>
        </is>
      </c>
      <c r="F7549" t="inlineStr">
        <is>
          <t>#KALK!</t>
        </is>
      </c>
      <c r="G7549" t="inlineStr">
        <is>
          <t>LASTSCHUETZ</t>
        </is>
      </c>
      <c r="H7549" t="inlineStr">
        <is>
          <t>4kW 1S</t>
        </is>
      </c>
      <c r="I7549">
        <v>740</v>
      </c>
      <c r="J7549">
        <f>GS02/334.7</f>
        <v>0</v>
      </c>
      <c r="M7549" t="inlineStr">
        <is>
          <t>-334K56.3</t>
        </is>
      </c>
    </row>
    <row r="7550">
      <c r="A7550">
        <v>7549</v>
      </c>
      <c r="B7550">
        <f>GS32</f>
        <v>0</v>
      </c>
      <c r="C7550" t="inlineStr">
        <is>
          <t>+LS8</t>
        </is>
      </c>
      <c r="D7550" t="inlineStr">
        <is>
          <t>-334K68.0</t>
        </is>
      </c>
      <c r="E7550" t="inlineStr">
        <is>
          <t>DIL_ER-22-G</t>
        </is>
      </c>
      <c r="F7550" t="inlineStr">
        <is>
          <t>#KALK!</t>
        </is>
      </c>
      <c r="G7550" t="inlineStr">
        <is>
          <t>HILFSSCHUETZ</t>
        </is>
      </c>
      <c r="H7550" t="inlineStr">
        <is>
          <t>2S 2OE</t>
        </is>
      </c>
      <c r="I7550">
        <v>1243</v>
      </c>
      <c r="J7550">
        <f>GS32/334.5</f>
        <v>0</v>
      </c>
      <c r="M7550" t="inlineStr">
        <is>
          <t>-334K68.0</t>
        </is>
      </c>
    </row>
    <row r="7551">
      <c r="A7551">
        <v>7550</v>
      </c>
      <c r="B7551">
        <f>GS32</f>
        <v>0</v>
      </c>
      <c r="C7551" t="inlineStr">
        <is>
          <t>+LS8</t>
        </is>
      </c>
      <c r="D7551" t="inlineStr">
        <is>
          <t>-334K68.1</t>
        </is>
      </c>
      <c r="E7551" t="inlineStr">
        <is>
          <t>DIL_ER-22-G</t>
        </is>
      </c>
      <c r="F7551" t="inlineStr">
        <is>
          <t>#KALK!</t>
        </is>
      </c>
      <c r="G7551" t="inlineStr">
        <is>
          <t>HILFSSCHUETZ</t>
        </is>
      </c>
      <c r="H7551" t="inlineStr">
        <is>
          <t>2S 2OE</t>
        </is>
      </c>
      <c r="I7551">
        <v>1243</v>
      </c>
      <c r="J7551">
        <f>GS32/334.6</f>
        <v>0</v>
      </c>
      <c r="M7551" t="inlineStr">
        <is>
          <t>-334K68.1</t>
        </is>
      </c>
    </row>
    <row r="7552">
      <c r="A7552">
        <v>7551</v>
      </c>
      <c r="B7552">
        <f>GS32</f>
        <v>0</v>
      </c>
      <c r="C7552" t="inlineStr">
        <is>
          <t>+LS8</t>
        </is>
      </c>
      <c r="D7552" t="inlineStr">
        <is>
          <t>-334K68.2</t>
        </is>
      </c>
      <c r="E7552" t="inlineStr">
        <is>
          <t>DIL_ER-22-G</t>
        </is>
      </c>
      <c r="F7552" t="inlineStr">
        <is>
          <t>#KALK!</t>
        </is>
      </c>
      <c r="G7552" t="inlineStr">
        <is>
          <t>HILFSSCHUETZ</t>
        </is>
      </c>
      <c r="H7552" t="inlineStr">
        <is>
          <t>2S 2OE</t>
        </is>
      </c>
      <c r="I7552">
        <v>1243</v>
      </c>
      <c r="J7552">
        <f>GS32/334.7</f>
        <v>0</v>
      </c>
      <c r="M7552" t="inlineStr">
        <is>
          <t>-334K68.2</t>
        </is>
      </c>
    </row>
    <row r="7553">
      <c r="A7553">
        <v>7552</v>
      </c>
      <c r="B7553">
        <f>GS32</f>
        <v>0</v>
      </c>
      <c r="C7553" t="inlineStr">
        <is>
          <t>+LS8</t>
        </is>
      </c>
      <c r="D7553" t="inlineStr">
        <is>
          <t>-334K68.4</t>
        </is>
      </c>
      <c r="E7553" t="inlineStr">
        <is>
          <t>DIL_EM-10-G</t>
        </is>
      </c>
      <c r="F7553" t="inlineStr">
        <is>
          <t>#KALK!</t>
        </is>
      </c>
      <c r="G7553" t="inlineStr">
        <is>
          <t>LASTSCHUETZ</t>
        </is>
      </c>
      <c r="H7553" t="inlineStr">
        <is>
          <t>4kW 1S</t>
        </is>
      </c>
      <c r="I7553">
        <v>1243</v>
      </c>
      <c r="J7553">
        <f>GS32/334.7</f>
        <v>0</v>
      </c>
      <c r="M7553" t="inlineStr">
        <is>
          <t>-334K68.4</t>
        </is>
      </c>
    </row>
    <row r="7554">
      <c r="A7554">
        <v>7553</v>
      </c>
      <c r="B7554">
        <f>GS04</f>
        <v>0</v>
      </c>
      <c r="C7554" t="inlineStr">
        <is>
          <t>+LS8</t>
        </is>
      </c>
      <c r="D7554" t="inlineStr">
        <is>
          <t>-334K75.3</t>
        </is>
      </c>
      <c r="E7554" t="inlineStr">
        <is>
          <t>DIL_EM-10-G</t>
        </is>
      </c>
      <c r="F7554" t="inlineStr">
        <is>
          <t>#KALK!</t>
        </is>
      </c>
      <c r="G7554" t="inlineStr">
        <is>
          <t>LASTSCHUETZ</t>
        </is>
      </c>
      <c r="H7554" t="inlineStr">
        <is>
          <t>4kW 1S</t>
        </is>
      </c>
      <c r="I7554">
        <v>585</v>
      </c>
      <c r="J7554">
        <f>GS04/334.6</f>
        <v>0</v>
      </c>
      <c r="M7554" t="inlineStr">
        <is>
          <t>-334K75.3</t>
        </is>
      </c>
    </row>
    <row r="7555">
      <c r="A7555">
        <v>7554</v>
      </c>
      <c r="B7555">
        <f>GS04</f>
        <v>0</v>
      </c>
      <c r="C7555" t="inlineStr">
        <is>
          <t>+LS8</t>
        </is>
      </c>
      <c r="D7555" t="inlineStr">
        <is>
          <t>-334K75.4</t>
        </is>
      </c>
      <c r="E7555" t="inlineStr">
        <is>
          <t>DIL_EM-10-G</t>
        </is>
      </c>
      <c r="F7555" t="inlineStr">
        <is>
          <t>#KALK!</t>
        </is>
      </c>
      <c r="G7555" t="inlineStr">
        <is>
          <t>LASTSCHUETZ</t>
        </is>
      </c>
      <c r="H7555" t="inlineStr">
        <is>
          <t>4kW 1S</t>
        </is>
      </c>
      <c r="I7555">
        <v>585</v>
      </c>
      <c r="J7555">
        <f>GS04/334.6</f>
        <v>0</v>
      </c>
      <c r="M7555" t="inlineStr">
        <is>
          <t>-334K75.4</t>
        </is>
      </c>
    </row>
    <row r="7556">
      <c r="A7556">
        <v>7555</v>
      </c>
      <c r="B7556">
        <f>GS23</f>
        <v>0</v>
      </c>
      <c r="C7556" t="inlineStr">
        <is>
          <t>+LS7</t>
        </is>
      </c>
      <c r="D7556" t="inlineStr">
        <is>
          <t>-334K88.3</t>
        </is>
      </c>
      <c r="E7556" t="inlineStr">
        <is>
          <t>DIL_EM-10-G</t>
        </is>
      </c>
      <c r="F7556" t="inlineStr">
        <is>
          <t>#KALK!</t>
        </is>
      </c>
      <c r="G7556" t="inlineStr">
        <is>
          <t>LASTSCHUETZ</t>
        </is>
      </c>
      <c r="H7556" t="inlineStr">
        <is>
          <t>4kW 1S</t>
        </is>
      </c>
      <c r="I7556">
        <v>635</v>
      </c>
      <c r="J7556">
        <f>GS23/334.7</f>
        <v>0</v>
      </c>
      <c r="M7556" t="inlineStr">
        <is>
          <t>-334K88.3</t>
        </is>
      </c>
    </row>
    <row r="7557">
      <c r="A7557">
        <v>7556</v>
      </c>
      <c r="B7557">
        <f>GC03</f>
        <v>0</v>
      </c>
      <c r="C7557" t="inlineStr">
        <is>
          <t>+LS8</t>
        </is>
      </c>
      <c r="D7557" t="inlineStr">
        <is>
          <t>-334K94.0</t>
        </is>
      </c>
      <c r="E7557" t="inlineStr">
        <is>
          <t>DIL_EM-10-G</t>
        </is>
      </c>
      <c r="F7557" t="inlineStr">
        <is>
          <t>#KALK!</t>
        </is>
      </c>
      <c r="G7557" t="inlineStr">
        <is>
          <t>LASTSCHUETZ</t>
        </is>
      </c>
      <c r="H7557" t="inlineStr">
        <is>
          <t>4kW 1S</t>
        </is>
      </c>
      <c r="I7557">
        <v>3541</v>
      </c>
      <c r="J7557">
        <f>GC03/334.6</f>
        <v>0</v>
      </c>
      <c r="M7557" t="inlineStr">
        <is>
          <t>-334K94.0</t>
        </is>
      </c>
    </row>
    <row r="7558">
      <c r="A7558">
        <v>7557</v>
      </c>
      <c r="B7558">
        <f>GC03</f>
        <v>0</v>
      </c>
      <c r="C7558" t="inlineStr">
        <is>
          <t>+LS8</t>
        </is>
      </c>
      <c r="D7558" t="inlineStr">
        <is>
          <t>-334K94.1</t>
        </is>
      </c>
      <c r="E7558" t="inlineStr">
        <is>
          <t>DIL_EM-10-G</t>
        </is>
      </c>
      <c r="F7558" t="inlineStr">
        <is>
          <t>#KALK!</t>
        </is>
      </c>
      <c r="G7558" t="inlineStr">
        <is>
          <t>LASTSCHUETZ</t>
        </is>
      </c>
      <c r="H7558" t="inlineStr">
        <is>
          <t>4kW 1S</t>
        </is>
      </c>
      <c r="I7558">
        <v>3541</v>
      </c>
      <c r="J7558">
        <f>GC03/334.6</f>
        <v>0</v>
      </c>
      <c r="M7558" t="inlineStr">
        <is>
          <t>-334K94.1</t>
        </is>
      </c>
    </row>
    <row r="7559">
      <c r="A7559">
        <v>7558</v>
      </c>
      <c r="B7559">
        <f>GS38</f>
        <v>0</v>
      </c>
      <c r="C7559" t="inlineStr">
        <is>
          <t>+LS07</t>
        </is>
      </c>
      <c r="D7559" t="inlineStr">
        <is>
          <t>-334Q105.0</t>
        </is>
      </c>
      <c r="E7559" t="inlineStr">
        <is>
          <t>DILMC12-10(24VDC)</t>
        </is>
      </c>
      <c r="F7559" t="inlineStr">
        <is>
          <t>#KALK!</t>
        </is>
      </c>
      <c r="G7559" t="inlineStr">
        <is>
          <t>LASTSCHUETZ</t>
        </is>
      </c>
      <c r="H7559" t="inlineStr">
        <is>
          <t>5,5kW 1S Federzugkl.</t>
        </is>
      </c>
      <c r="I7559">
        <v>499</v>
      </c>
      <c r="J7559">
        <f>GS38/334.5</f>
        <v>0</v>
      </c>
      <c r="K7559" t="inlineStr">
        <is>
          <t>DIL MC12</t>
        </is>
      </c>
      <c r="M7559" t="inlineStr">
        <is>
          <t>-334Q105.0</t>
        </is>
      </c>
    </row>
    <row r="7560">
      <c r="A7560">
        <v>7559</v>
      </c>
      <c r="B7560">
        <f>GS39</f>
        <v>0</v>
      </c>
      <c r="C7560" t="inlineStr">
        <is>
          <t>+LS07</t>
        </is>
      </c>
      <c r="D7560" t="inlineStr">
        <is>
          <t>-334Q105.0</t>
        </is>
      </c>
      <c r="E7560" t="inlineStr">
        <is>
          <t>DILMC12-10(24VDC)</t>
        </is>
      </c>
      <c r="F7560" t="inlineStr">
        <is>
          <t>#KALK!</t>
        </is>
      </c>
      <c r="G7560" t="inlineStr">
        <is>
          <t>LASTSCHUETZ</t>
        </is>
      </c>
      <c r="H7560" t="inlineStr">
        <is>
          <t>5,5kW 1S Federzugkl.</t>
        </is>
      </c>
      <c r="I7560">
        <v>500</v>
      </c>
      <c r="J7560">
        <f>GS39/334.5</f>
        <v>0</v>
      </c>
      <c r="K7560" t="inlineStr">
        <is>
          <t>DIL MC12</t>
        </is>
      </c>
      <c r="M7560" t="inlineStr">
        <is>
          <t>-334Q105.0</t>
        </is>
      </c>
    </row>
    <row r="7561">
      <c r="A7561">
        <v>7560</v>
      </c>
      <c r="B7561">
        <f>GS06</f>
        <v>0</v>
      </c>
      <c r="C7561" t="inlineStr">
        <is>
          <t>+LS05</t>
        </is>
      </c>
      <c r="D7561" t="inlineStr">
        <is>
          <t>-334Q131.5</t>
        </is>
      </c>
      <c r="E7561" t="inlineStr">
        <is>
          <t>DILMC17-10(RDC24)</t>
        </is>
      </c>
      <c r="F7561" t="inlineStr">
        <is>
          <t>#KALK!</t>
        </is>
      </c>
      <c r="G7561" t="inlineStr">
        <is>
          <t>LASTSCHUETZ</t>
        </is>
      </c>
      <c r="H7561" t="inlineStr">
        <is>
          <t>7,5kW 1S Federzugkl.</t>
        </is>
      </c>
      <c r="I7561">
        <v>2178</v>
      </c>
      <c r="J7561">
        <f>GS06/334.5</f>
        <v>0</v>
      </c>
      <c r="K7561" t="inlineStr">
        <is>
          <t>DIL MC17</t>
        </is>
      </c>
      <c r="M7561" t="inlineStr">
        <is>
          <t>-334Q131.5</t>
        </is>
      </c>
    </row>
    <row r="7562">
      <c r="A7562">
        <v>7561</v>
      </c>
      <c r="B7562">
        <f>GS13</f>
        <v>0</v>
      </c>
      <c r="C7562" t="inlineStr">
        <is>
          <t>+LS7</t>
        </is>
      </c>
      <c r="D7562" t="inlineStr">
        <is>
          <t>-33589.5</t>
        </is>
      </c>
      <c r="E7562" t="inlineStr">
        <is>
          <t>DIL_EM-10-G</t>
        </is>
      </c>
      <c r="F7562" t="inlineStr">
        <is>
          <t>#KALK!</t>
        </is>
      </c>
      <c r="G7562" t="inlineStr">
        <is>
          <t>LASTSCHUETZ</t>
        </is>
      </c>
      <c r="H7562" t="inlineStr">
        <is>
          <t>4kW 1S</t>
        </is>
      </c>
      <c r="I7562">
        <v>578</v>
      </c>
      <c r="J7562">
        <f>GS13/335.7</f>
        <v>0</v>
      </c>
      <c r="M7562" t="inlineStr">
        <is>
          <t>-33589.5</t>
        </is>
      </c>
    </row>
    <row r="7563">
      <c r="A7563">
        <v>7562</v>
      </c>
      <c r="B7563">
        <f>GS14</f>
        <v>0</v>
      </c>
      <c r="C7563" t="inlineStr">
        <is>
          <t>+LS7</t>
        </is>
      </c>
      <c r="D7563" t="inlineStr">
        <is>
          <t>-335K1</t>
        </is>
      </c>
      <c r="E7563" t="inlineStr">
        <is>
          <t>DIL_0AM</t>
        </is>
      </c>
      <c r="F7563" t="inlineStr">
        <is>
          <t>22_DIL-M</t>
        </is>
      </c>
      <c r="G7563" t="inlineStr">
        <is>
          <t>LASTSCHUETZ</t>
        </is>
      </c>
      <c r="H7563" t="inlineStr">
        <is>
          <t>11 kW</t>
        </is>
      </c>
      <c r="I7563">
        <v>464</v>
      </c>
      <c r="J7563">
        <f>GS14/335.2</f>
        <v>0</v>
      </c>
      <c r="K7563" t="inlineStr">
        <is>
          <t>DIL0AM</t>
        </is>
      </c>
      <c r="M7563" t="inlineStr">
        <is>
          <t>-335K1</t>
        </is>
      </c>
    </row>
    <row r="7564">
      <c r="A7564">
        <v>7563</v>
      </c>
      <c r="B7564">
        <f>GS14</f>
        <v>0</v>
      </c>
      <c r="C7564" t="inlineStr">
        <is>
          <t>+LS7</t>
        </is>
      </c>
      <c r="D7564" t="inlineStr">
        <is>
          <t>-335K1</t>
        </is>
      </c>
      <c r="E7564" t="inlineStr">
        <is>
          <t>22_DIL-M</t>
        </is>
      </c>
      <c r="F7564" t="inlineStr">
        <is>
          <t>22_DIL-M</t>
        </is>
      </c>
      <c r="G7564" t="inlineStr">
        <is>
          <t>HILFSKONTAKTBLOCK</t>
        </is>
      </c>
      <c r="H7564" t="inlineStr">
        <is>
          <t>2S 2OE Lastschuetz DIL M</t>
        </is>
      </c>
      <c r="I7564">
        <v>464</v>
      </c>
      <c r="J7564">
        <f>GS14/335.2</f>
        <v>0</v>
      </c>
      <c r="K7564" t="inlineStr">
        <is>
          <t>DIL0AM</t>
        </is>
      </c>
      <c r="M7564" t="inlineStr">
        <is>
          <t>-335K1</t>
        </is>
      </c>
    </row>
    <row r="7565">
      <c r="A7565">
        <v>7564</v>
      </c>
      <c r="B7565">
        <f>GS36</f>
        <v>0</v>
      </c>
      <c r="C7565" t="inlineStr">
        <is>
          <t>+LS07</t>
        </is>
      </c>
      <c r="D7565" t="inlineStr">
        <is>
          <t>-357Q419.2</t>
        </is>
      </c>
      <c r="E7565" t="inlineStr">
        <is>
          <t>DILM-9-10</t>
        </is>
      </c>
      <c r="F7565" t="inlineStr">
        <is>
          <t>#KALK!</t>
        </is>
      </c>
      <c r="G7565" t="inlineStr">
        <is>
          <t>LASTSCHUETZ</t>
        </is>
      </c>
      <c r="H7565" t="inlineStr">
        <is>
          <t>4kW 1S Federzugkl.</t>
        </is>
      </c>
      <c r="I7565">
        <v>530</v>
      </c>
      <c r="J7565">
        <f>GS36/357.5</f>
        <v>0</v>
      </c>
      <c r="L7565" t="inlineStr">
        <is>
          <t>GF_5102</t>
        </is>
      </c>
      <c r="M7565" t="inlineStr">
        <is>
          <t>GF_5102
-357Q419.2</t>
        </is>
      </c>
      <c r="N7565" t="inlineStr">
        <is>
          <t>P</t>
        </is>
      </c>
    </row>
    <row r="7566">
      <c r="A7566">
        <v>7565</v>
      </c>
      <c r="B7566">
        <f>GS16</f>
        <v>0</v>
      </c>
      <c r="C7566" t="inlineStr">
        <is>
          <t>+ES2</t>
        </is>
      </c>
      <c r="D7566" t="inlineStr">
        <is>
          <t>-335K104.3</t>
        </is>
      </c>
      <c r="E7566" t="inlineStr">
        <is>
          <t>DIL_ER-22-G</t>
        </is>
      </c>
      <c r="F7566" t="inlineStr">
        <is>
          <t>31_DIL-E</t>
        </is>
      </c>
      <c r="G7566" t="inlineStr">
        <is>
          <t>HILFSSCHUETZ</t>
        </is>
      </c>
      <c r="H7566" t="inlineStr">
        <is>
          <t>2S 2OE</t>
        </is>
      </c>
      <c r="I7566">
        <v>568</v>
      </c>
      <c r="J7566">
        <f>GS16/335.6</f>
        <v>0</v>
      </c>
      <c r="M7566" t="inlineStr">
        <is>
          <t>-335K104.3</t>
        </is>
      </c>
    </row>
    <row r="7567">
      <c r="A7567">
        <v>7566</v>
      </c>
      <c r="B7567">
        <f>GS16</f>
        <v>0</v>
      </c>
      <c r="C7567" t="inlineStr">
        <is>
          <t>+ES2</t>
        </is>
      </c>
      <c r="D7567" t="inlineStr">
        <is>
          <t>-335K104.3</t>
        </is>
      </c>
      <c r="E7567" t="inlineStr">
        <is>
          <t>31_DIL-E</t>
        </is>
      </c>
      <c r="F7567" t="inlineStr">
        <is>
          <t>31_DIL-E</t>
        </is>
      </c>
      <c r="G7567" t="inlineStr">
        <is>
          <t>HILFSKONTAKTBLOCK</t>
        </is>
      </c>
      <c r="H7567" t="inlineStr">
        <is>
          <t>3S 1OE Last+Hilsschuetz</t>
        </is>
      </c>
      <c r="I7567">
        <v>568</v>
      </c>
      <c r="J7567">
        <f>GS16/335.6</f>
        <v>0</v>
      </c>
      <c r="M7567" t="inlineStr">
        <is>
          <t>-335K104.3</t>
        </is>
      </c>
    </row>
    <row r="7568">
      <c r="A7568">
        <v>7567</v>
      </c>
      <c r="B7568">
        <f>GS91</f>
        <v>0</v>
      </c>
      <c r="C7568" t="inlineStr">
        <is>
          <t>+LS05</t>
        </is>
      </c>
      <c r="D7568" t="inlineStr">
        <is>
          <t>-335K186.4</t>
        </is>
      </c>
      <c r="E7568" t="inlineStr">
        <is>
          <t>DILA-40</t>
        </is>
      </c>
      <c r="F7568" t="inlineStr">
        <is>
          <t>#KALK!</t>
        </is>
      </c>
      <c r="G7568" t="inlineStr">
        <is>
          <t>HILFSSCHUETZ</t>
        </is>
      </c>
      <c r="H7568" t="inlineStr">
        <is>
          <t>4S Federzugkl.</t>
        </is>
      </c>
      <c r="I7568">
        <v>483</v>
      </c>
      <c r="J7568">
        <f>GS91/335.7</f>
        <v>0</v>
      </c>
      <c r="M7568" t="inlineStr">
        <is>
          <t>-335K186.4</t>
        </is>
      </c>
    </row>
    <row r="7569">
      <c r="A7569">
        <v>7568</v>
      </c>
      <c r="B7569">
        <f>GS15</f>
        <v>0</v>
      </c>
      <c r="C7569" t="inlineStr">
        <is>
          <t>+LS6</t>
        </is>
      </c>
      <c r="D7569" t="inlineStr">
        <is>
          <t>-335K20.7</t>
        </is>
      </c>
      <c r="E7569" t="inlineStr">
        <is>
          <t>DIL_EM-10-G</t>
        </is>
      </c>
      <c r="F7569" t="inlineStr">
        <is>
          <t>#KALK!</t>
        </is>
      </c>
      <c r="G7569" t="inlineStr">
        <is>
          <t>LASTSCHUETZ</t>
        </is>
      </c>
      <c r="H7569" t="inlineStr">
        <is>
          <t>4kW 1S</t>
        </is>
      </c>
      <c r="I7569">
        <v>833</v>
      </c>
      <c r="J7569">
        <f>GS15/335.6</f>
        <v>0</v>
      </c>
      <c r="M7569" t="inlineStr">
        <is>
          <t>-335K20.7</t>
        </is>
      </c>
    </row>
    <row r="7570">
      <c r="A7570">
        <v>7569</v>
      </c>
      <c r="B7570">
        <f>GS31</f>
        <v>0</v>
      </c>
      <c r="C7570" t="inlineStr">
        <is>
          <t>+LS6</t>
        </is>
      </c>
      <c r="D7570" t="inlineStr">
        <is>
          <t>-335K3614.3</t>
        </is>
      </c>
      <c r="E7570" t="inlineStr">
        <is>
          <t>DIL_EM-10-G</t>
        </is>
      </c>
      <c r="F7570" t="inlineStr">
        <is>
          <t>#KALK!</t>
        </is>
      </c>
      <c r="G7570" t="inlineStr">
        <is>
          <t>LASTSCHUETZ</t>
        </is>
      </c>
      <c r="H7570" t="inlineStr">
        <is>
          <t>4kW 1S</t>
        </is>
      </c>
      <c r="I7570">
        <v>626</v>
      </c>
      <c r="J7570">
        <f>GS31/335.7</f>
        <v>0</v>
      </c>
      <c r="M7570" t="inlineStr">
        <is>
          <t>-335K3614.3</t>
        </is>
      </c>
    </row>
    <row r="7571">
      <c r="A7571">
        <v>7570</v>
      </c>
      <c r="B7571">
        <f>GS36</f>
        <v>0</v>
      </c>
      <c r="C7571" t="inlineStr">
        <is>
          <t>+LS07</t>
        </is>
      </c>
      <c r="D7571" t="inlineStr">
        <is>
          <t>-358Q419.3</t>
        </is>
      </c>
      <c r="E7571" t="inlineStr">
        <is>
          <t>DILM-9-10</t>
        </is>
      </c>
      <c r="F7571" t="inlineStr">
        <is>
          <t>#KALK!</t>
        </is>
      </c>
      <c r="G7571" t="inlineStr">
        <is>
          <t>LASTSCHUETZ</t>
        </is>
      </c>
      <c r="H7571" t="inlineStr">
        <is>
          <t>4kW 1S Federzugkl.</t>
        </is>
      </c>
      <c r="I7571">
        <v>531</v>
      </c>
      <c r="J7571">
        <f>GS36/358.5</f>
        <v>0</v>
      </c>
      <c r="L7571" t="inlineStr">
        <is>
          <t>GF_5103</t>
        </is>
      </c>
      <c r="M7571" t="inlineStr">
        <is>
          <t>GF_5103
-358Q419.3</t>
        </is>
      </c>
      <c r="N7571" t="inlineStr">
        <is>
          <t>P</t>
        </is>
      </c>
    </row>
    <row r="7572">
      <c r="A7572">
        <v>7571</v>
      </c>
      <c r="B7572">
        <f>GS93</f>
        <v>0</v>
      </c>
      <c r="C7572" t="inlineStr">
        <is>
          <t>+LS06</t>
        </is>
      </c>
      <c r="D7572" t="inlineStr">
        <is>
          <t>-335K453.0</t>
        </is>
      </c>
      <c r="E7572" t="inlineStr">
        <is>
          <t>DILA-40</t>
        </is>
      </c>
      <c r="F7572" t="inlineStr">
        <is>
          <t>#KALK!</t>
        </is>
      </c>
      <c r="G7572" t="inlineStr">
        <is>
          <t>HILFSSCHUETZ</t>
        </is>
      </c>
      <c r="H7572" t="inlineStr">
        <is>
          <t>4S Federzugkl.</t>
        </is>
      </c>
      <c r="I7572">
        <v>889</v>
      </c>
      <c r="J7572">
        <f>GS93/335.7</f>
        <v>0</v>
      </c>
      <c r="M7572" t="inlineStr">
        <is>
          <t>-335K453.0</t>
        </is>
      </c>
    </row>
    <row r="7573">
      <c r="A7573">
        <v>7572</v>
      </c>
      <c r="B7573">
        <f>GS11</f>
        <v>0</v>
      </c>
      <c r="C7573" t="inlineStr">
        <is>
          <t>+LS8</t>
        </is>
      </c>
      <c r="D7573" t="inlineStr">
        <is>
          <t>-335K55.0</t>
        </is>
      </c>
      <c r="E7573" t="inlineStr">
        <is>
          <t>DIL_EM-10-G</t>
        </is>
      </c>
      <c r="F7573" t="inlineStr">
        <is>
          <t>#KALK!</t>
        </is>
      </c>
      <c r="G7573" t="inlineStr">
        <is>
          <t>LASTSCHUETZ</t>
        </is>
      </c>
      <c r="H7573" t="inlineStr">
        <is>
          <t>4kW 1S</t>
        </is>
      </c>
      <c r="I7573">
        <v>441</v>
      </c>
      <c r="J7573">
        <f>GS11/335.7</f>
        <v>0</v>
      </c>
      <c r="M7573" t="inlineStr">
        <is>
          <t>-335K55.0</t>
        </is>
      </c>
    </row>
    <row r="7574">
      <c r="A7574">
        <v>7573</v>
      </c>
      <c r="B7574">
        <f>GS21</f>
        <v>0</v>
      </c>
      <c r="C7574" t="inlineStr">
        <is>
          <t>+LS8</t>
        </is>
      </c>
      <c r="D7574" t="inlineStr">
        <is>
          <t>-335K55.0</t>
        </is>
      </c>
      <c r="E7574" t="inlineStr">
        <is>
          <t>DIL_EM-10-G</t>
        </is>
      </c>
      <c r="F7574" t="inlineStr">
        <is>
          <t>#KALK!</t>
        </is>
      </c>
      <c r="G7574" t="inlineStr">
        <is>
          <t>LASTSCHUETZ</t>
        </is>
      </c>
      <c r="H7574" t="inlineStr">
        <is>
          <t>4kW 1S</t>
        </is>
      </c>
      <c r="I7574">
        <v>423</v>
      </c>
      <c r="J7574">
        <f>GS21/335.7</f>
        <v>0</v>
      </c>
      <c r="M7574" t="inlineStr">
        <is>
          <t>-335K55.0</t>
        </is>
      </c>
    </row>
    <row r="7575">
      <c r="A7575">
        <v>7574</v>
      </c>
      <c r="B7575">
        <f>GS02</f>
        <v>0</v>
      </c>
      <c r="C7575" t="inlineStr">
        <is>
          <t>+LS7</t>
        </is>
      </c>
      <c r="D7575" t="inlineStr">
        <is>
          <t>-335K57.0</t>
        </is>
      </c>
      <c r="E7575" t="inlineStr">
        <is>
          <t>DIL_EM-10-G</t>
        </is>
      </c>
      <c r="F7575" t="inlineStr">
        <is>
          <t>#KALK!</t>
        </is>
      </c>
      <c r="G7575" t="inlineStr">
        <is>
          <t>LASTSCHUETZ</t>
        </is>
      </c>
      <c r="H7575" t="inlineStr">
        <is>
          <t>4kW 1S</t>
        </is>
      </c>
      <c r="I7575">
        <v>741</v>
      </c>
      <c r="J7575">
        <f>GS02/335.6</f>
        <v>0</v>
      </c>
      <c r="M7575" t="inlineStr">
        <is>
          <t>-335K57.0</t>
        </is>
      </c>
    </row>
    <row r="7576">
      <c r="A7576">
        <v>7575</v>
      </c>
      <c r="B7576">
        <f>GS01</f>
        <v>0</v>
      </c>
      <c r="C7576" t="inlineStr">
        <is>
          <t>+LS7</t>
        </is>
      </c>
      <c r="D7576" t="inlineStr">
        <is>
          <t>-335K66.5</t>
        </is>
      </c>
      <c r="E7576" t="inlineStr">
        <is>
          <t>DIL_EM-10-G</t>
        </is>
      </c>
      <c r="F7576" t="inlineStr">
        <is>
          <t>#KALK!</t>
        </is>
      </c>
      <c r="G7576" t="inlineStr">
        <is>
          <t>LASTSCHUETZ</t>
        </is>
      </c>
      <c r="H7576" t="inlineStr">
        <is>
          <t>4kW 1S</t>
        </is>
      </c>
      <c r="I7576">
        <v>498</v>
      </c>
      <c r="J7576">
        <f>GS01/335.7</f>
        <v>0</v>
      </c>
      <c r="M7576" t="inlineStr">
        <is>
          <t>-335K66.5</t>
        </is>
      </c>
    </row>
    <row r="7577">
      <c r="A7577">
        <v>7576</v>
      </c>
      <c r="B7577">
        <f>GS04</f>
        <v>0</v>
      </c>
      <c r="C7577" t="inlineStr">
        <is>
          <t>+LS8</t>
        </is>
      </c>
      <c r="D7577" t="inlineStr">
        <is>
          <t>-335K76.0</t>
        </is>
      </c>
      <c r="E7577" t="inlineStr">
        <is>
          <t>DIL_EM-10-G</t>
        </is>
      </c>
      <c r="F7577" t="inlineStr">
        <is>
          <t>#KALK!</t>
        </is>
      </c>
      <c r="G7577" t="inlineStr">
        <is>
          <t>LASTSCHUETZ</t>
        </is>
      </c>
      <c r="H7577" t="inlineStr">
        <is>
          <t>4kW 1S</t>
        </is>
      </c>
      <c r="I7577">
        <v>586</v>
      </c>
      <c r="J7577">
        <f>GS04/335.6</f>
        <v>0</v>
      </c>
      <c r="M7577" t="inlineStr">
        <is>
          <t>-335K76.0</t>
        </is>
      </c>
    </row>
    <row r="7578">
      <c r="A7578">
        <v>7577</v>
      </c>
      <c r="B7578">
        <f>GS04</f>
        <v>0</v>
      </c>
      <c r="C7578" t="inlineStr">
        <is>
          <t>+LS8</t>
        </is>
      </c>
      <c r="D7578" t="inlineStr">
        <is>
          <t>-335K76.1</t>
        </is>
      </c>
      <c r="E7578" t="inlineStr">
        <is>
          <t>DIL_EM-10-G</t>
        </is>
      </c>
      <c r="F7578" t="inlineStr">
        <is>
          <t>#KALK!</t>
        </is>
      </c>
      <c r="G7578" t="inlineStr">
        <is>
          <t>LASTSCHUETZ</t>
        </is>
      </c>
      <c r="H7578" t="inlineStr">
        <is>
          <t>4kW 1S</t>
        </is>
      </c>
      <c r="I7578">
        <v>586</v>
      </c>
      <c r="J7578">
        <f>GS04/335.6</f>
        <v>0</v>
      </c>
      <c r="M7578" t="inlineStr">
        <is>
          <t>-335K76.1</t>
        </is>
      </c>
    </row>
    <row r="7579">
      <c r="A7579">
        <v>7578</v>
      </c>
      <c r="B7579">
        <f>GS23</f>
        <v>0</v>
      </c>
      <c r="C7579" t="inlineStr">
        <is>
          <t>+LS7</t>
        </is>
      </c>
      <c r="D7579" t="inlineStr">
        <is>
          <t>-335K89.5</t>
        </is>
      </c>
      <c r="E7579" t="inlineStr">
        <is>
          <t>DIL_EM-10-G</t>
        </is>
      </c>
      <c r="F7579" t="inlineStr">
        <is>
          <t>#KALK!</t>
        </is>
      </c>
      <c r="G7579" t="inlineStr">
        <is>
          <t>LASTSCHUETZ</t>
        </is>
      </c>
      <c r="H7579" t="inlineStr">
        <is>
          <t>4kW 1S</t>
        </is>
      </c>
      <c r="I7579">
        <v>636</v>
      </c>
      <c r="J7579">
        <f>GS23/335.7</f>
        <v>0</v>
      </c>
      <c r="M7579" t="inlineStr">
        <is>
          <t>-335K89.5</t>
        </is>
      </c>
    </row>
    <row r="7580">
      <c r="A7580">
        <v>7579</v>
      </c>
      <c r="B7580">
        <f>GC03</f>
        <v>0</v>
      </c>
      <c r="C7580" t="inlineStr">
        <is>
          <t>+LS8</t>
        </is>
      </c>
      <c r="D7580" t="inlineStr">
        <is>
          <t>-335K94.2</t>
        </is>
      </c>
      <c r="E7580" t="inlineStr">
        <is>
          <t>DIL_EM-10-G</t>
        </is>
      </c>
      <c r="F7580" t="inlineStr">
        <is>
          <t>#KALK!</t>
        </is>
      </c>
      <c r="G7580" t="inlineStr">
        <is>
          <t>LASTSCHUETZ</t>
        </is>
      </c>
      <c r="H7580" t="inlineStr">
        <is>
          <t>4kW 1S</t>
        </is>
      </c>
      <c r="I7580">
        <v>3542</v>
      </c>
      <c r="J7580">
        <f>GC03/335.6</f>
        <v>0</v>
      </c>
      <c r="M7580" t="inlineStr">
        <is>
          <t>-335K94.2</t>
        </is>
      </c>
    </row>
    <row r="7581">
      <c r="A7581">
        <v>7580</v>
      </c>
      <c r="B7581">
        <f>GC03</f>
        <v>0</v>
      </c>
      <c r="C7581" t="inlineStr">
        <is>
          <t>+LS8</t>
        </is>
      </c>
      <c r="D7581" t="inlineStr">
        <is>
          <t>-335K94.3</t>
        </is>
      </c>
      <c r="E7581" t="inlineStr">
        <is>
          <t>DIL_EM-10-G</t>
        </is>
      </c>
      <c r="F7581" t="inlineStr">
        <is>
          <t>#KALK!</t>
        </is>
      </c>
      <c r="G7581" t="inlineStr">
        <is>
          <t>LASTSCHUETZ</t>
        </is>
      </c>
      <c r="H7581" t="inlineStr">
        <is>
          <t>4kW 1S</t>
        </is>
      </c>
      <c r="I7581">
        <v>3542</v>
      </c>
      <c r="J7581">
        <f>GC03/335.6</f>
        <v>0</v>
      </c>
      <c r="M7581" t="inlineStr">
        <is>
          <t>-335K94.3</t>
        </is>
      </c>
    </row>
    <row r="7582">
      <c r="A7582">
        <v>7581</v>
      </c>
      <c r="B7582">
        <f>GS05</f>
        <v>0</v>
      </c>
      <c r="C7582" t="inlineStr">
        <is>
          <t>+LS05</t>
        </is>
      </c>
      <c r="D7582" t="inlineStr">
        <is>
          <t>-335Q1</t>
        </is>
      </c>
      <c r="E7582" t="inlineStr">
        <is>
          <t>DILA-XHI22</t>
        </is>
      </c>
      <c r="F7582" t="inlineStr">
        <is>
          <t>DILA-XHI22</t>
        </is>
      </c>
      <c r="G7582" t="inlineStr">
        <is>
          <t>HILFSKONTAKTBLOCK</t>
        </is>
      </c>
      <c r="H7582" t="inlineStr">
        <is>
          <t>2S 2OE Last+Hilfssch. Cage</t>
        </is>
      </c>
      <c r="I7582">
        <v>2019</v>
      </c>
      <c r="J7582">
        <f>GS05/335.6</f>
        <v>0</v>
      </c>
      <c r="K7582" t="inlineStr">
        <is>
          <t>DIL MC25</t>
        </is>
      </c>
      <c r="M7582" t="inlineStr">
        <is>
          <t>-335Q1</t>
        </is>
      </c>
    </row>
    <row r="7583">
      <c r="A7583">
        <v>7582</v>
      </c>
      <c r="B7583">
        <f>GS05</f>
        <v>0</v>
      </c>
      <c r="C7583" t="inlineStr">
        <is>
          <t>+LS05</t>
        </is>
      </c>
      <c r="D7583" t="inlineStr">
        <is>
          <t>-335Q1</t>
        </is>
      </c>
      <c r="E7583" t="inlineStr">
        <is>
          <t>DILMC25-10(RDC24)</t>
        </is>
      </c>
      <c r="F7583" t="inlineStr">
        <is>
          <t>DILA-XHI22</t>
        </is>
      </c>
      <c r="G7583" t="inlineStr">
        <is>
          <t>LASTSCHUETZ</t>
        </is>
      </c>
      <c r="H7583" t="inlineStr">
        <is>
          <t>11kW 1S Federzugkl.</t>
        </is>
      </c>
      <c r="I7583">
        <v>2019</v>
      </c>
      <c r="J7583">
        <f>GS05/335.6</f>
        <v>0</v>
      </c>
      <c r="K7583" t="inlineStr">
        <is>
          <t>DIL MC25</t>
        </is>
      </c>
      <c r="M7583" t="inlineStr">
        <is>
          <t>-335Q1</t>
        </is>
      </c>
    </row>
    <row r="7584">
      <c r="A7584">
        <v>7583</v>
      </c>
      <c r="B7584">
        <f>GS36</f>
        <v>0</v>
      </c>
      <c r="C7584" t="inlineStr">
        <is>
          <t>+LS07</t>
        </is>
      </c>
      <c r="D7584" t="inlineStr">
        <is>
          <t>-335Q1</t>
        </is>
      </c>
      <c r="E7584" t="inlineStr">
        <is>
          <t>DILMC25-10(RDC24)</t>
        </is>
      </c>
      <c r="F7584" t="inlineStr">
        <is>
          <t>DILA-XHI22</t>
        </is>
      </c>
      <c r="G7584" t="inlineStr">
        <is>
          <t>LASTSCHUETZ</t>
        </is>
      </c>
      <c r="H7584" t="inlineStr">
        <is>
          <t>11kW 1S Federzugkl.</t>
        </is>
      </c>
      <c r="I7584">
        <v>508</v>
      </c>
      <c r="J7584">
        <f>GS36/335.4</f>
        <v>0</v>
      </c>
      <c r="K7584" t="inlineStr">
        <is>
          <t>DIL MC25</t>
        </is>
      </c>
      <c r="L7584" t="inlineStr">
        <is>
          <t>HVO 13</t>
        </is>
      </c>
      <c r="M7584" t="inlineStr">
        <is>
          <t>HVO 13
-335Q1</t>
        </is>
      </c>
      <c r="N7584" t="inlineStr">
        <is>
          <t>P</t>
        </is>
      </c>
    </row>
    <row r="7585">
      <c r="A7585">
        <v>7584</v>
      </c>
      <c r="B7585">
        <f>GS36</f>
        <v>0</v>
      </c>
      <c r="C7585" t="inlineStr">
        <is>
          <t>+LS07</t>
        </is>
      </c>
      <c r="D7585" t="inlineStr">
        <is>
          <t>-335Q1</t>
        </is>
      </c>
      <c r="E7585" t="inlineStr">
        <is>
          <t>DILA-XHI22</t>
        </is>
      </c>
      <c r="F7585" t="inlineStr">
        <is>
          <t>DILA-XHI22</t>
        </is>
      </c>
      <c r="G7585" t="inlineStr">
        <is>
          <t>HILFSKONTAKTBLOCK</t>
        </is>
      </c>
      <c r="H7585" t="inlineStr">
        <is>
          <t>2S 2OE Last+Hilfssch. Cage</t>
        </is>
      </c>
      <c r="I7585">
        <v>508</v>
      </c>
      <c r="J7585">
        <f>GS36/335.4</f>
        <v>0</v>
      </c>
      <c r="K7585" t="inlineStr">
        <is>
          <t>DIL MC25</t>
        </is>
      </c>
      <c r="L7585" t="inlineStr">
        <is>
          <t>HVO 13</t>
        </is>
      </c>
      <c r="M7585" t="inlineStr">
        <is>
          <t>HVO 13
-335Q1</t>
        </is>
      </c>
      <c r="N7585" t="inlineStr">
        <is>
          <t>P</t>
        </is>
      </c>
    </row>
    <row r="7586">
      <c r="A7586">
        <v>7585</v>
      </c>
      <c r="B7586">
        <f>GS91</f>
        <v>0</v>
      </c>
      <c r="C7586" t="inlineStr">
        <is>
          <t>+LS05</t>
        </is>
      </c>
      <c r="D7586" t="inlineStr">
        <is>
          <t>-335Q1</t>
        </is>
      </c>
      <c r="E7586" t="inlineStr">
        <is>
          <t>DILA-XHI22</t>
        </is>
      </c>
      <c r="F7586" t="inlineStr">
        <is>
          <t>DILA-XHI22</t>
        </is>
      </c>
      <c r="G7586" t="inlineStr">
        <is>
          <t>HILFSKONTAKTBLOCK</t>
        </is>
      </c>
      <c r="H7586" t="inlineStr">
        <is>
          <t>2S 2OE Last+Hilfssch. Cage</t>
        </is>
      </c>
      <c r="I7586">
        <v>483</v>
      </c>
      <c r="J7586">
        <f>GS91/335.4</f>
        <v>0</v>
      </c>
      <c r="K7586" t="inlineStr">
        <is>
          <t>DIL MC25</t>
        </is>
      </c>
      <c r="M7586" t="inlineStr">
        <is>
          <t>-335Q1</t>
        </is>
      </c>
    </row>
    <row r="7587">
      <c r="A7587">
        <v>7586</v>
      </c>
      <c r="B7587">
        <f>GS91</f>
        <v>0</v>
      </c>
      <c r="C7587" t="inlineStr">
        <is>
          <t>+LS05</t>
        </is>
      </c>
      <c r="D7587" t="inlineStr">
        <is>
          <t>-335Q1</t>
        </is>
      </c>
      <c r="E7587" t="inlineStr">
        <is>
          <t>DILMC25-10(RDC24)</t>
        </is>
      </c>
      <c r="F7587" t="inlineStr">
        <is>
          <t>DILA-XHI22</t>
        </is>
      </c>
      <c r="G7587" t="inlineStr">
        <is>
          <t>LASTSCHUETZ</t>
        </is>
      </c>
      <c r="H7587" t="inlineStr">
        <is>
          <t>11kW 1S Federzugkl.</t>
        </is>
      </c>
      <c r="I7587">
        <v>483</v>
      </c>
      <c r="J7587">
        <f>GS91/335.4</f>
        <v>0</v>
      </c>
      <c r="K7587" t="inlineStr">
        <is>
          <t>DIL MC25</t>
        </is>
      </c>
      <c r="M7587" t="inlineStr">
        <is>
          <t>-335Q1</t>
        </is>
      </c>
    </row>
    <row r="7588">
      <c r="A7588">
        <v>7587</v>
      </c>
      <c r="B7588">
        <f>GS93</f>
        <v>0</v>
      </c>
      <c r="C7588" t="inlineStr">
        <is>
          <t>+LS06</t>
        </is>
      </c>
      <c r="D7588" t="inlineStr">
        <is>
          <t>-335Q1</t>
        </is>
      </c>
      <c r="E7588" t="inlineStr">
        <is>
          <t>DILMC25-10(RDC24)</t>
        </is>
      </c>
      <c r="F7588" t="inlineStr">
        <is>
          <t>DILA-XHI22</t>
        </is>
      </c>
      <c r="G7588" t="inlineStr">
        <is>
          <t>LASTSCHUETZ</t>
        </is>
      </c>
      <c r="H7588" t="inlineStr">
        <is>
          <t>11kW 1S Federzugkl.</t>
        </is>
      </c>
      <c r="I7588">
        <v>889</v>
      </c>
      <c r="J7588">
        <f>GS93/335.4</f>
        <v>0</v>
      </c>
      <c r="K7588" t="inlineStr">
        <is>
          <t>DIL MC25</t>
        </is>
      </c>
      <c r="M7588" t="inlineStr">
        <is>
          <t>-335Q1</t>
        </is>
      </c>
    </row>
    <row r="7589">
      <c r="A7589">
        <v>7588</v>
      </c>
      <c r="B7589">
        <f>GS93</f>
        <v>0</v>
      </c>
      <c r="C7589" t="inlineStr">
        <is>
          <t>+LS06</t>
        </is>
      </c>
      <c r="D7589" t="inlineStr">
        <is>
          <t>-335Q1</t>
        </is>
      </c>
      <c r="E7589" t="inlineStr">
        <is>
          <t>DILA-XHI22</t>
        </is>
      </c>
      <c r="F7589" t="inlineStr">
        <is>
          <t>DILA-XHI22</t>
        </is>
      </c>
      <c r="G7589" t="inlineStr">
        <is>
          <t>HILFSKONTAKTBLOCK</t>
        </is>
      </c>
      <c r="H7589" t="inlineStr">
        <is>
          <t>2S 2OE Last+Hilfssch. Cage</t>
        </is>
      </c>
      <c r="I7589">
        <v>889</v>
      </c>
      <c r="J7589">
        <f>GS93/335.4</f>
        <v>0</v>
      </c>
      <c r="K7589" t="inlineStr">
        <is>
          <t>DIL MC25</t>
        </is>
      </c>
      <c r="M7589" t="inlineStr">
        <is>
          <t>-335Q1</t>
        </is>
      </c>
    </row>
    <row r="7590">
      <c r="A7590">
        <v>7589</v>
      </c>
      <c r="B7590">
        <f>GS13</f>
        <v>0</v>
      </c>
      <c r="C7590" t="inlineStr">
        <is>
          <t>+LS7</t>
        </is>
      </c>
      <c r="D7590" t="inlineStr">
        <is>
          <t>-33690.1</t>
        </is>
      </c>
      <c r="E7590" t="inlineStr">
        <is>
          <t>DIL_EM-10-G</t>
        </is>
      </c>
      <c r="F7590" t="inlineStr">
        <is>
          <t>#KALK!</t>
        </is>
      </c>
      <c r="G7590" t="inlineStr">
        <is>
          <t>LASTSCHUETZ</t>
        </is>
      </c>
      <c r="H7590" t="inlineStr">
        <is>
          <t>4kW 1S</t>
        </is>
      </c>
      <c r="I7590">
        <v>579</v>
      </c>
      <c r="J7590">
        <f>GS13/336.7</f>
        <v>0</v>
      </c>
      <c r="M7590" t="inlineStr">
        <is>
          <t>-33690.1</t>
        </is>
      </c>
    </row>
    <row r="7591">
      <c r="A7591">
        <v>7590</v>
      </c>
      <c r="B7591">
        <f>GS55</f>
        <v>0</v>
      </c>
      <c r="C7591" t="inlineStr">
        <is>
          <t>+LS04</t>
        </is>
      </c>
      <c r="D7591" t="inlineStr">
        <is>
          <t>-336K1</t>
        </is>
      </c>
      <c r="E7591" t="inlineStr">
        <is>
          <t>DILM-9-01</t>
        </is>
      </c>
      <c r="F7591" t="inlineStr">
        <is>
          <t>#KALK!</t>
        </is>
      </c>
      <c r="G7591" t="inlineStr">
        <is>
          <t>LASTSCHUETZ</t>
        </is>
      </c>
      <c r="H7591" t="inlineStr">
        <is>
          <t>4kW 1Oe Federzugkl.</t>
        </is>
      </c>
      <c r="I7591">
        <v>611</v>
      </c>
      <c r="J7591">
        <f>GS55/336.6</f>
        <v>0</v>
      </c>
      <c r="M7591" t="inlineStr">
        <is>
          <t>-336K1</t>
        </is>
      </c>
    </row>
    <row r="7592">
      <c r="A7592">
        <v>7591</v>
      </c>
      <c r="B7592">
        <f>GS55</f>
        <v>0</v>
      </c>
      <c r="C7592" t="inlineStr">
        <is>
          <t>+LS04</t>
        </is>
      </c>
      <c r="D7592" t="inlineStr">
        <is>
          <t>-336K2</t>
        </is>
      </c>
      <c r="E7592" t="inlineStr">
        <is>
          <t>DILM-9-01</t>
        </is>
      </c>
      <c r="F7592" t="inlineStr">
        <is>
          <t>#KALK!</t>
        </is>
      </c>
      <c r="G7592" t="inlineStr">
        <is>
          <t>LASTSCHUETZ</t>
        </is>
      </c>
      <c r="H7592" t="inlineStr">
        <is>
          <t>4kW 1Oe Federzugkl.</t>
        </is>
      </c>
      <c r="I7592">
        <v>611</v>
      </c>
      <c r="J7592">
        <f>GS55/336.7</f>
        <v>0</v>
      </c>
      <c r="M7592" t="inlineStr">
        <is>
          <t>-336K2</t>
        </is>
      </c>
    </row>
    <row r="7593">
      <c r="A7593">
        <v>7592</v>
      </c>
      <c r="B7593">
        <f>GS15</f>
        <v>0</v>
      </c>
      <c r="C7593" t="inlineStr">
        <is>
          <t>+LS6</t>
        </is>
      </c>
      <c r="D7593" t="inlineStr">
        <is>
          <t>-336K21.3</t>
        </is>
      </c>
      <c r="E7593" t="inlineStr">
        <is>
          <t>DIL_EM-10-G</t>
        </is>
      </c>
      <c r="F7593" t="inlineStr">
        <is>
          <t>#KALK!</t>
        </is>
      </c>
      <c r="G7593" t="inlineStr">
        <is>
          <t>LASTSCHUETZ</t>
        </is>
      </c>
      <c r="H7593" t="inlineStr">
        <is>
          <t>4kW 1S</t>
        </is>
      </c>
      <c r="I7593">
        <v>834</v>
      </c>
      <c r="J7593">
        <f>GS15/336.7</f>
        <v>0</v>
      </c>
      <c r="M7593" t="inlineStr">
        <is>
          <t>-336K21.3</t>
        </is>
      </c>
    </row>
    <row r="7594">
      <c r="A7594">
        <v>7593</v>
      </c>
      <c r="B7594">
        <f>GS31</f>
        <v>0</v>
      </c>
      <c r="C7594" t="inlineStr">
        <is>
          <t>+LS6</t>
        </is>
      </c>
      <c r="D7594" t="inlineStr">
        <is>
          <t>-336K3612.3</t>
        </is>
      </c>
      <c r="E7594" t="inlineStr">
        <is>
          <t>DIL_EM-10-G</t>
        </is>
      </c>
      <c r="F7594" t="inlineStr">
        <is>
          <t>#KALK!</t>
        </is>
      </c>
      <c r="G7594" t="inlineStr">
        <is>
          <t>LASTSCHUETZ</t>
        </is>
      </c>
      <c r="H7594" t="inlineStr">
        <is>
          <t>4kW 1S</t>
        </is>
      </c>
      <c r="I7594">
        <v>627</v>
      </c>
      <c r="J7594">
        <f>GS31/336.7</f>
        <v>0</v>
      </c>
      <c r="M7594" t="inlineStr">
        <is>
          <t>-336K3612.3</t>
        </is>
      </c>
    </row>
    <row r="7595">
      <c r="A7595">
        <v>7594</v>
      </c>
      <c r="B7595">
        <f>GS11</f>
        <v>0</v>
      </c>
      <c r="C7595" t="inlineStr">
        <is>
          <t>+LS8</t>
        </is>
      </c>
      <c r="D7595" t="inlineStr">
        <is>
          <t>-336K55.1</t>
        </is>
      </c>
      <c r="E7595" t="inlineStr">
        <is>
          <t>DIL_EM-10-G</t>
        </is>
      </c>
      <c r="F7595" t="inlineStr">
        <is>
          <t>#KALK!</t>
        </is>
      </c>
      <c r="G7595" t="inlineStr">
        <is>
          <t>LASTSCHUETZ</t>
        </is>
      </c>
      <c r="H7595" t="inlineStr">
        <is>
          <t>4kW 1S</t>
        </is>
      </c>
      <c r="I7595">
        <v>442</v>
      </c>
      <c r="J7595">
        <f>GS11/336.6</f>
        <v>0</v>
      </c>
      <c r="M7595" t="inlineStr">
        <is>
          <t>-336K55.1</t>
        </is>
      </c>
    </row>
    <row r="7596">
      <c r="A7596">
        <v>7595</v>
      </c>
      <c r="B7596">
        <f>GS21</f>
        <v>0</v>
      </c>
      <c r="C7596" t="inlineStr">
        <is>
          <t>+LS8</t>
        </is>
      </c>
      <c r="D7596" t="inlineStr">
        <is>
          <t>-336K55.1</t>
        </is>
      </c>
      <c r="E7596" t="inlineStr">
        <is>
          <t>DIL_EM-10-G</t>
        </is>
      </c>
      <c r="F7596" t="inlineStr">
        <is>
          <t>#KALK!</t>
        </is>
      </c>
      <c r="G7596" t="inlineStr">
        <is>
          <t>LASTSCHUETZ</t>
        </is>
      </c>
      <c r="H7596" t="inlineStr">
        <is>
          <t>4kW 1S</t>
        </is>
      </c>
      <c r="I7596">
        <v>424</v>
      </c>
      <c r="J7596">
        <f>GS21/336.6</f>
        <v>0</v>
      </c>
      <c r="M7596" t="inlineStr">
        <is>
          <t>-336K55.1</t>
        </is>
      </c>
    </row>
    <row r="7597">
      <c r="A7597">
        <v>7596</v>
      </c>
      <c r="B7597">
        <f>GS02</f>
        <v>0</v>
      </c>
      <c r="C7597" t="inlineStr">
        <is>
          <t>+LS7</t>
        </is>
      </c>
      <c r="D7597" t="inlineStr">
        <is>
          <t>-336K56.7</t>
        </is>
      </c>
      <c r="E7597" t="inlineStr">
        <is>
          <t>DIL_EM-10-G</t>
        </is>
      </c>
      <c r="F7597" t="inlineStr">
        <is>
          <t>#KALK!</t>
        </is>
      </c>
      <c r="G7597" t="inlineStr">
        <is>
          <t>LASTSCHUETZ</t>
        </is>
      </c>
      <c r="H7597" t="inlineStr">
        <is>
          <t>4kW 1S</t>
        </is>
      </c>
      <c r="I7597">
        <v>742</v>
      </c>
      <c r="J7597">
        <f>GS02/336.7</f>
        <v>0</v>
      </c>
      <c r="M7597" t="inlineStr">
        <is>
          <t>-336K56.7</t>
        </is>
      </c>
    </row>
    <row r="7598">
      <c r="A7598">
        <v>7597</v>
      </c>
      <c r="B7598">
        <f>GS01</f>
        <v>0</v>
      </c>
      <c r="C7598" t="inlineStr">
        <is>
          <t>+LS7</t>
        </is>
      </c>
      <c r="D7598" t="inlineStr">
        <is>
          <t>-336K67.5</t>
        </is>
      </c>
      <c r="E7598" t="inlineStr">
        <is>
          <t>DIL_EM-10-G</t>
        </is>
      </c>
      <c r="F7598" t="inlineStr">
        <is>
          <t>#KALK!</t>
        </is>
      </c>
      <c r="G7598" t="inlineStr">
        <is>
          <t>LASTSCHUETZ</t>
        </is>
      </c>
      <c r="H7598" t="inlineStr">
        <is>
          <t>4kW 1S</t>
        </is>
      </c>
      <c r="I7598">
        <v>499</v>
      </c>
      <c r="J7598">
        <f>GS01/336.7</f>
        <v>0</v>
      </c>
      <c r="M7598" t="inlineStr">
        <is>
          <t>-336K67.5</t>
        </is>
      </c>
    </row>
    <row r="7599">
      <c r="A7599">
        <v>7598</v>
      </c>
      <c r="B7599">
        <f>GS23</f>
        <v>0</v>
      </c>
      <c r="C7599" t="inlineStr">
        <is>
          <t>+LS7</t>
        </is>
      </c>
      <c r="D7599" t="inlineStr">
        <is>
          <t>-336K90.1</t>
        </is>
      </c>
      <c r="E7599" t="inlineStr">
        <is>
          <t>DIL_EM-10-G</t>
        </is>
      </c>
      <c r="F7599" t="inlineStr">
        <is>
          <t>#KALK!</t>
        </is>
      </c>
      <c r="G7599" t="inlineStr">
        <is>
          <t>LASTSCHUETZ</t>
        </is>
      </c>
      <c r="H7599" t="inlineStr">
        <is>
          <t>4kW 1S</t>
        </is>
      </c>
      <c r="I7599">
        <v>637</v>
      </c>
      <c r="J7599">
        <f>GS23/336.7</f>
        <v>0</v>
      </c>
      <c r="M7599" t="inlineStr">
        <is>
          <t>-336K90.1</t>
        </is>
      </c>
    </row>
    <row r="7600">
      <c r="A7600">
        <v>7599</v>
      </c>
      <c r="B7600">
        <f>GC03</f>
        <v>0</v>
      </c>
      <c r="C7600" t="inlineStr">
        <is>
          <t>+LS8</t>
        </is>
      </c>
      <c r="D7600" t="inlineStr">
        <is>
          <t>-336K94.4</t>
        </is>
      </c>
      <c r="E7600" t="inlineStr">
        <is>
          <t>DIL_EM-10-G</t>
        </is>
      </c>
      <c r="F7600" t="inlineStr">
        <is>
          <t>#KALK!</t>
        </is>
      </c>
      <c r="G7600" t="inlineStr">
        <is>
          <t>LASTSCHUETZ</t>
        </is>
      </c>
      <c r="H7600" t="inlineStr">
        <is>
          <t>4kW 1S</t>
        </is>
      </c>
      <c r="I7600">
        <v>3543</v>
      </c>
      <c r="J7600">
        <f>GC03/336.6</f>
        <v>0</v>
      </c>
      <c r="M7600" t="inlineStr">
        <is>
          <t>-336K94.4</t>
        </is>
      </c>
    </row>
    <row r="7601">
      <c r="A7601">
        <v>7600</v>
      </c>
      <c r="B7601">
        <f>GC03</f>
        <v>0</v>
      </c>
      <c r="C7601" t="inlineStr">
        <is>
          <t>+LS8</t>
        </is>
      </c>
      <c r="D7601" t="inlineStr">
        <is>
          <t>-336K94.5</t>
        </is>
      </c>
      <c r="E7601" t="inlineStr">
        <is>
          <t>DIL_EM-10-G</t>
        </is>
      </c>
      <c r="F7601" t="inlineStr">
        <is>
          <t>#KALK!</t>
        </is>
      </c>
      <c r="G7601" t="inlineStr">
        <is>
          <t>LASTSCHUETZ</t>
        </is>
      </c>
      <c r="H7601" t="inlineStr">
        <is>
          <t>4kW 1S</t>
        </is>
      </c>
      <c r="I7601">
        <v>3543</v>
      </c>
      <c r="J7601">
        <f>GC03/336.6</f>
        <v>0</v>
      </c>
      <c r="M7601" t="inlineStr">
        <is>
          <t>-336K94.5</t>
        </is>
      </c>
    </row>
    <row r="7602">
      <c r="A7602">
        <v>7601</v>
      </c>
      <c r="B7602">
        <f>GS93</f>
        <v>0</v>
      </c>
      <c r="C7602" t="inlineStr">
        <is>
          <t>+LS06</t>
        </is>
      </c>
      <c r="D7602" t="inlineStr">
        <is>
          <t>-336Q453.1</t>
        </is>
      </c>
      <c r="E7602" t="inlineStr">
        <is>
          <t>DILM-9-10</t>
        </is>
      </c>
      <c r="F7602" t="inlineStr">
        <is>
          <t>DILA-XHI22</t>
        </is>
      </c>
      <c r="G7602" t="inlineStr">
        <is>
          <t>LASTSCHUETZ</t>
        </is>
      </c>
      <c r="H7602" t="inlineStr">
        <is>
          <t>4kW 1S Federzugkl.</t>
        </is>
      </c>
      <c r="I7602">
        <v>890</v>
      </c>
      <c r="J7602">
        <f>GS93/336.5</f>
        <v>0</v>
      </c>
      <c r="M7602" t="inlineStr">
        <is>
          <t>-336Q453.1</t>
        </is>
      </c>
    </row>
    <row r="7603">
      <c r="A7603">
        <v>7602</v>
      </c>
      <c r="B7603">
        <f>GS93</f>
        <v>0</v>
      </c>
      <c r="C7603" t="inlineStr">
        <is>
          <t>+LS06</t>
        </is>
      </c>
      <c r="D7603" t="inlineStr">
        <is>
          <t>-336Q453.1</t>
        </is>
      </c>
      <c r="E7603" t="inlineStr">
        <is>
          <t>DILA-XHI22</t>
        </is>
      </c>
      <c r="F7603" t="inlineStr">
        <is>
          <t>DILA-XHI22</t>
        </is>
      </c>
      <c r="G7603" t="inlineStr">
        <is>
          <t>HILFSKONTAKTBLOCK</t>
        </is>
      </c>
      <c r="H7603" t="inlineStr">
        <is>
          <t>2S 2OE Last+Hilfssch. Cage</t>
        </is>
      </c>
      <c r="I7603">
        <v>890</v>
      </c>
      <c r="J7603">
        <f>GS93/336.5</f>
        <v>0</v>
      </c>
      <c r="M7603" t="inlineStr">
        <is>
          <t>-336Q453.1</t>
        </is>
      </c>
    </row>
    <row r="7604">
      <c r="A7604">
        <v>7603</v>
      </c>
      <c r="B7604">
        <f>GS93</f>
        <v>0</v>
      </c>
      <c r="C7604" t="inlineStr">
        <is>
          <t>+LS06</t>
        </is>
      </c>
      <c r="D7604" t="inlineStr">
        <is>
          <t>-336Q453.2</t>
        </is>
      </c>
      <c r="E7604" t="inlineStr">
        <is>
          <t>DILM-9-10</t>
        </is>
      </c>
      <c r="F7604" t="inlineStr">
        <is>
          <t>DILA-XHI22</t>
        </is>
      </c>
      <c r="G7604" t="inlineStr">
        <is>
          <t>LASTSCHUETZ</t>
        </is>
      </c>
      <c r="H7604" t="inlineStr">
        <is>
          <t>4kW 1S Federzugkl.</t>
        </is>
      </c>
      <c r="I7604">
        <v>890</v>
      </c>
      <c r="J7604">
        <f>GS93/336.6</f>
        <v>0</v>
      </c>
      <c r="M7604" t="inlineStr">
        <is>
          <t>-336Q453.2</t>
        </is>
      </c>
    </row>
    <row r="7605">
      <c r="A7605">
        <v>7604</v>
      </c>
      <c r="B7605">
        <f>GS93</f>
        <v>0</v>
      </c>
      <c r="C7605" t="inlineStr">
        <is>
          <t>+LS06</t>
        </is>
      </c>
      <c r="D7605" t="inlineStr">
        <is>
          <t>-336Q453.2</t>
        </is>
      </c>
      <c r="E7605" t="inlineStr">
        <is>
          <t>DILA-XHI22</t>
        </is>
      </c>
      <c r="F7605" t="inlineStr">
        <is>
          <t>DILA-XHI22</t>
        </is>
      </c>
      <c r="G7605" t="inlineStr">
        <is>
          <t>HILFSKONTAKTBLOCK</t>
        </is>
      </c>
      <c r="H7605" t="inlineStr">
        <is>
          <t>2S 2OE Last+Hilfssch. Cage</t>
        </is>
      </c>
      <c r="I7605">
        <v>890</v>
      </c>
      <c r="J7605">
        <f>GS93/336.6</f>
        <v>0</v>
      </c>
      <c r="M7605" t="inlineStr">
        <is>
          <t>-336Q453.2</t>
        </is>
      </c>
    </row>
    <row r="7606">
      <c r="A7606">
        <v>7605</v>
      </c>
      <c r="B7606">
        <f>GS13</f>
        <v>0</v>
      </c>
      <c r="C7606" t="inlineStr">
        <is>
          <t>+LS7</t>
        </is>
      </c>
      <c r="D7606" t="inlineStr">
        <is>
          <t>-33790.7</t>
        </is>
      </c>
      <c r="E7606" t="inlineStr">
        <is>
          <t>DIL_EM-10-G</t>
        </is>
      </c>
      <c r="F7606" t="inlineStr">
        <is>
          <t>#KALK!</t>
        </is>
      </c>
      <c r="G7606" t="inlineStr">
        <is>
          <t>LASTSCHUETZ</t>
        </is>
      </c>
      <c r="H7606" t="inlineStr">
        <is>
          <t>4kW 1S</t>
        </is>
      </c>
      <c r="I7606">
        <v>580</v>
      </c>
      <c r="J7606">
        <f>GS13/337.7</f>
        <v>0</v>
      </c>
      <c r="M7606" t="inlineStr">
        <is>
          <t>-33790.7</t>
        </is>
      </c>
    </row>
    <row r="7607">
      <c r="A7607">
        <v>7606</v>
      </c>
      <c r="B7607">
        <f>GS07</f>
        <v>0</v>
      </c>
      <c r="C7607" t="inlineStr">
        <is>
          <t>+LS04</t>
        </is>
      </c>
      <c r="D7607" t="inlineStr">
        <is>
          <t>-337K1</t>
        </is>
      </c>
      <c r="E7607" t="inlineStr">
        <is>
          <t>DILM-9-01</t>
        </is>
      </c>
      <c r="F7607" t="inlineStr">
        <is>
          <t>31_DIL-E</t>
        </is>
      </c>
      <c r="G7607" t="inlineStr">
        <is>
          <t>LASTSCHUETZ</t>
        </is>
      </c>
      <c r="H7607" t="inlineStr">
        <is>
          <t>4kW 1Oe Federzugkl.</t>
        </is>
      </c>
      <c r="I7607">
        <v>458</v>
      </c>
      <c r="J7607">
        <f>GS07/337.6</f>
        <v>0</v>
      </c>
      <c r="M7607" t="inlineStr">
        <is>
          <t>-337K1</t>
        </is>
      </c>
    </row>
    <row r="7608">
      <c r="A7608">
        <v>7607</v>
      </c>
      <c r="B7608">
        <f>GS07</f>
        <v>0</v>
      </c>
      <c r="C7608" t="inlineStr">
        <is>
          <t>+LS04</t>
        </is>
      </c>
      <c r="D7608" t="inlineStr">
        <is>
          <t>-337K1</t>
        </is>
      </c>
      <c r="E7608" t="inlineStr">
        <is>
          <t>31_DIL-E</t>
        </is>
      </c>
      <c r="F7608" t="inlineStr">
        <is>
          <t>31_DIL-E</t>
        </is>
      </c>
      <c r="G7608" t="inlineStr">
        <is>
          <t>HILFSKONTAKTBLOCK</t>
        </is>
      </c>
      <c r="H7608" t="inlineStr">
        <is>
          <t>3S 1OE Last+Hilsschuetz</t>
        </is>
      </c>
      <c r="I7608">
        <v>458</v>
      </c>
      <c r="J7608">
        <f>GS07/337.6</f>
        <v>0</v>
      </c>
      <c r="M7608" t="inlineStr">
        <is>
          <t>-337K1</t>
        </is>
      </c>
    </row>
    <row r="7609">
      <c r="A7609">
        <v>7608</v>
      </c>
      <c r="B7609">
        <f>GS07</f>
        <v>0</v>
      </c>
      <c r="C7609" t="inlineStr">
        <is>
          <t>+LS04</t>
        </is>
      </c>
      <c r="D7609" t="inlineStr">
        <is>
          <t>-337K2</t>
        </is>
      </c>
      <c r="E7609" t="inlineStr">
        <is>
          <t>DILM-9-01</t>
        </is>
      </c>
      <c r="F7609" t="inlineStr">
        <is>
          <t>31_DIL-E</t>
        </is>
      </c>
      <c r="G7609" t="inlineStr">
        <is>
          <t>LASTSCHUETZ</t>
        </is>
      </c>
      <c r="H7609" t="inlineStr">
        <is>
          <t>4kW 1Oe Federzugkl.</t>
        </is>
      </c>
      <c r="I7609">
        <v>458</v>
      </c>
      <c r="J7609">
        <f>GS07/337.7</f>
        <v>0</v>
      </c>
      <c r="M7609" t="inlineStr">
        <is>
          <t>-337K2</t>
        </is>
      </c>
    </row>
    <row r="7610">
      <c r="A7610">
        <v>7609</v>
      </c>
      <c r="B7610">
        <f>GS07</f>
        <v>0</v>
      </c>
      <c r="C7610" t="inlineStr">
        <is>
          <t>+LS04</t>
        </is>
      </c>
      <c r="D7610" t="inlineStr">
        <is>
          <t>-337K2</t>
        </is>
      </c>
      <c r="E7610" t="inlineStr">
        <is>
          <t>31_DIL-E</t>
        </is>
      </c>
      <c r="F7610" t="inlineStr">
        <is>
          <t>31_DIL-E</t>
        </is>
      </c>
      <c r="G7610" t="inlineStr">
        <is>
          <t>HILFSKONTAKTBLOCK</t>
        </is>
      </c>
      <c r="H7610" t="inlineStr">
        <is>
          <t>3S 1OE Last+Hilsschuetz</t>
        </is>
      </c>
      <c r="I7610">
        <v>458</v>
      </c>
      <c r="J7610">
        <f>GS07/337.7</f>
        <v>0</v>
      </c>
      <c r="M7610" t="inlineStr">
        <is>
          <t>-337K2</t>
        </is>
      </c>
    </row>
    <row r="7611">
      <c r="A7611">
        <v>7610</v>
      </c>
      <c r="B7611">
        <f>GS15</f>
        <v>0</v>
      </c>
      <c r="C7611" t="inlineStr">
        <is>
          <t>+LS6</t>
        </is>
      </c>
      <c r="D7611" t="inlineStr">
        <is>
          <t>-337K21.4</t>
        </is>
      </c>
      <c r="E7611" t="inlineStr">
        <is>
          <t>DIL_EM-10-G</t>
        </is>
      </c>
      <c r="F7611" t="inlineStr">
        <is>
          <t>#KALK!</t>
        </is>
      </c>
      <c r="G7611" t="inlineStr">
        <is>
          <t>LASTSCHUETZ</t>
        </is>
      </c>
      <c r="H7611" t="inlineStr">
        <is>
          <t>4kW 1S</t>
        </is>
      </c>
      <c r="I7611">
        <v>835</v>
      </c>
      <c r="J7611">
        <f>GS15/337.6</f>
        <v>0</v>
      </c>
      <c r="M7611" t="inlineStr">
        <is>
          <t>-337K21.4</t>
        </is>
      </c>
    </row>
    <row r="7612">
      <c r="A7612">
        <v>7611</v>
      </c>
      <c r="B7612">
        <f>GS15</f>
        <v>0</v>
      </c>
      <c r="C7612" t="inlineStr">
        <is>
          <t>+LS6</t>
        </is>
      </c>
      <c r="D7612" t="inlineStr">
        <is>
          <t>-337K21.5</t>
        </is>
      </c>
      <c r="E7612" t="inlineStr">
        <is>
          <t>DIL_EM-10-G</t>
        </is>
      </c>
      <c r="F7612" t="inlineStr">
        <is>
          <t>#KALK!</t>
        </is>
      </c>
      <c r="G7612" t="inlineStr">
        <is>
          <t>LASTSCHUETZ</t>
        </is>
      </c>
      <c r="H7612" t="inlineStr">
        <is>
          <t>4kW 1S</t>
        </is>
      </c>
      <c r="I7612">
        <v>835</v>
      </c>
      <c r="J7612">
        <f>GS15/337.6</f>
        <v>0</v>
      </c>
      <c r="M7612" t="inlineStr">
        <is>
          <t>-337K21.5</t>
        </is>
      </c>
    </row>
    <row r="7613">
      <c r="A7613">
        <v>7612</v>
      </c>
      <c r="B7613">
        <f>GS14</f>
        <v>0</v>
      </c>
      <c r="C7613" t="inlineStr">
        <is>
          <t>+LS7</t>
        </is>
      </c>
      <c r="D7613" t="inlineStr">
        <is>
          <t>-337K26.0</t>
        </is>
      </c>
      <c r="E7613" t="inlineStr">
        <is>
          <t>DIL_EM-10-G</t>
        </is>
      </c>
      <c r="F7613" t="inlineStr">
        <is>
          <t>#KALK!</t>
        </is>
      </c>
      <c r="G7613" t="inlineStr">
        <is>
          <t>LASTSCHUETZ</t>
        </is>
      </c>
      <c r="H7613" t="inlineStr">
        <is>
          <t>4kW 1S</t>
        </is>
      </c>
      <c r="I7613">
        <v>466</v>
      </c>
      <c r="J7613">
        <f>GS14/337.6</f>
        <v>0</v>
      </c>
      <c r="M7613" t="inlineStr">
        <is>
          <t>-337K26.0</t>
        </is>
      </c>
    </row>
    <row r="7614">
      <c r="A7614">
        <v>7613</v>
      </c>
      <c r="B7614">
        <f>GS14</f>
        <v>0</v>
      </c>
      <c r="C7614" t="inlineStr">
        <is>
          <t>+LS7</t>
        </is>
      </c>
      <c r="D7614" t="inlineStr">
        <is>
          <t>-337K26.1</t>
        </is>
      </c>
      <c r="E7614" t="inlineStr">
        <is>
          <t>DIL_EM-10-G</t>
        </is>
      </c>
      <c r="F7614" t="inlineStr">
        <is>
          <t>#KALK!</t>
        </is>
      </c>
      <c r="G7614" t="inlineStr">
        <is>
          <t>LASTSCHUETZ</t>
        </is>
      </c>
      <c r="H7614" t="inlineStr">
        <is>
          <t>4kW 1S</t>
        </is>
      </c>
      <c r="I7614">
        <v>466</v>
      </c>
      <c r="J7614">
        <f>GS14/337.6</f>
        <v>0</v>
      </c>
      <c r="M7614" t="inlineStr">
        <is>
          <t>-337K26.1</t>
        </is>
      </c>
    </row>
    <row r="7615">
      <c r="A7615">
        <v>7614</v>
      </c>
      <c r="B7615">
        <f>GS31</f>
        <v>0</v>
      </c>
      <c r="C7615" t="inlineStr">
        <is>
          <t>+LS6</t>
        </is>
      </c>
      <c r="D7615" t="inlineStr">
        <is>
          <t>-337K3612.7</t>
        </is>
      </c>
      <c r="E7615" t="inlineStr">
        <is>
          <t>DIL_EM-10-G</t>
        </is>
      </c>
      <c r="F7615" t="inlineStr">
        <is>
          <t>#KALK!</t>
        </is>
      </c>
      <c r="G7615" t="inlineStr">
        <is>
          <t>LASTSCHUETZ</t>
        </is>
      </c>
      <c r="H7615" t="inlineStr">
        <is>
          <t>4kW 1S</t>
        </is>
      </c>
      <c r="I7615">
        <v>628</v>
      </c>
      <c r="J7615">
        <f>GS31/337.7</f>
        <v>0</v>
      </c>
      <c r="M7615" t="inlineStr">
        <is>
          <t>-337K3612.7</t>
        </is>
      </c>
    </row>
    <row r="7616">
      <c r="A7616">
        <v>7615</v>
      </c>
      <c r="B7616">
        <f>GS11</f>
        <v>0</v>
      </c>
      <c r="C7616" t="inlineStr">
        <is>
          <t>+LS8</t>
        </is>
      </c>
      <c r="D7616" t="inlineStr">
        <is>
          <t>-337K55.6</t>
        </is>
      </c>
      <c r="E7616" t="inlineStr">
        <is>
          <t>DIL_EM-10-G</t>
        </is>
      </c>
      <c r="F7616" t="inlineStr">
        <is>
          <t>#KALK!</t>
        </is>
      </c>
      <c r="G7616" t="inlineStr">
        <is>
          <t>LASTSCHUETZ</t>
        </is>
      </c>
      <c r="H7616" t="inlineStr">
        <is>
          <t>4kW 1S</t>
        </is>
      </c>
      <c r="I7616">
        <v>443</v>
      </c>
      <c r="J7616">
        <f>GS11/337.7</f>
        <v>0</v>
      </c>
      <c r="M7616" t="inlineStr">
        <is>
          <t>-337K55.6</t>
        </is>
      </c>
    </row>
    <row r="7617">
      <c r="A7617">
        <v>7616</v>
      </c>
      <c r="B7617">
        <f>GS21</f>
        <v>0</v>
      </c>
      <c r="C7617" t="inlineStr">
        <is>
          <t>+LS8</t>
        </is>
      </c>
      <c r="D7617" t="inlineStr">
        <is>
          <t>-337K55.6</t>
        </is>
      </c>
      <c r="E7617" t="inlineStr">
        <is>
          <t>DIL_EM-10-G</t>
        </is>
      </c>
      <c r="F7617" t="inlineStr">
        <is>
          <t>#KALK!</t>
        </is>
      </c>
      <c r="G7617" t="inlineStr">
        <is>
          <t>LASTSCHUETZ</t>
        </is>
      </c>
      <c r="H7617" t="inlineStr">
        <is>
          <t>4kW 1S</t>
        </is>
      </c>
      <c r="I7617">
        <v>425</v>
      </c>
      <c r="J7617">
        <f>GS21/337.7</f>
        <v>0</v>
      </c>
      <c r="M7617" t="inlineStr">
        <is>
          <t>-337K55.6</t>
        </is>
      </c>
    </row>
    <row r="7618">
      <c r="A7618">
        <v>7617</v>
      </c>
      <c r="B7618">
        <f>GS02</f>
        <v>0</v>
      </c>
      <c r="C7618" t="inlineStr">
        <is>
          <t>+LS7</t>
        </is>
      </c>
      <c r="D7618" t="inlineStr">
        <is>
          <t>-337K57.1</t>
        </is>
      </c>
      <c r="E7618" t="inlineStr">
        <is>
          <t>DIL_EM-10-G</t>
        </is>
      </c>
      <c r="F7618" t="inlineStr">
        <is>
          <t>#KALK!</t>
        </is>
      </c>
      <c r="G7618" t="inlineStr">
        <is>
          <t>LASTSCHUETZ</t>
        </is>
      </c>
      <c r="H7618" t="inlineStr">
        <is>
          <t>4kW 1S</t>
        </is>
      </c>
      <c r="I7618">
        <v>743</v>
      </c>
      <c r="J7618">
        <f>GS02/337.6</f>
        <v>0</v>
      </c>
      <c r="M7618" t="inlineStr">
        <is>
          <t>-337K57.1</t>
        </is>
      </c>
    </row>
    <row r="7619">
      <c r="A7619">
        <v>7618</v>
      </c>
      <c r="B7619">
        <f>GS02</f>
        <v>0</v>
      </c>
      <c r="C7619" t="inlineStr">
        <is>
          <t>+LS7</t>
        </is>
      </c>
      <c r="D7619" t="inlineStr">
        <is>
          <t>-337K57.2</t>
        </is>
      </c>
      <c r="E7619" t="inlineStr">
        <is>
          <t>DIL_EM-10-G</t>
        </is>
      </c>
      <c r="F7619" t="inlineStr">
        <is>
          <t>#KALK!</t>
        </is>
      </c>
      <c r="G7619" t="inlineStr">
        <is>
          <t>LASTSCHUETZ</t>
        </is>
      </c>
      <c r="H7619" t="inlineStr">
        <is>
          <t>4kW 1S</t>
        </is>
      </c>
      <c r="I7619">
        <v>743</v>
      </c>
      <c r="J7619">
        <f>GS02/337.6</f>
        <v>0</v>
      </c>
      <c r="M7619" t="inlineStr">
        <is>
          <t>-337K57.2</t>
        </is>
      </c>
    </row>
    <row r="7620">
      <c r="A7620">
        <v>7619</v>
      </c>
      <c r="B7620">
        <f>GS01</f>
        <v>0</v>
      </c>
      <c r="C7620" t="inlineStr">
        <is>
          <t>+LS7</t>
        </is>
      </c>
      <c r="D7620" t="inlineStr">
        <is>
          <t>-337K68.0</t>
        </is>
      </c>
      <c r="E7620" t="inlineStr">
        <is>
          <t>DIL_EM-10-G</t>
        </is>
      </c>
      <c r="F7620" t="inlineStr">
        <is>
          <t>#KALK!</t>
        </is>
      </c>
      <c r="G7620" t="inlineStr">
        <is>
          <t>LASTSCHUETZ</t>
        </is>
      </c>
      <c r="H7620" t="inlineStr">
        <is>
          <t>4kW 1S</t>
        </is>
      </c>
      <c r="I7620">
        <v>500</v>
      </c>
      <c r="J7620">
        <f>GS01/337.6</f>
        <v>0</v>
      </c>
      <c r="M7620" t="inlineStr">
        <is>
          <t>-337K68.0</t>
        </is>
      </c>
    </row>
    <row r="7621">
      <c r="A7621">
        <v>7620</v>
      </c>
      <c r="B7621">
        <f>GS01</f>
        <v>0</v>
      </c>
      <c r="C7621" t="inlineStr">
        <is>
          <t>+LS7</t>
        </is>
      </c>
      <c r="D7621" t="inlineStr">
        <is>
          <t>-337K68.1</t>
        </is>
      </c>
      <c r="E7621" t="inlineStr">
        <is>
          <t>DIL_EM-10-G</t>
        </is>
      </c>
      <c r="F7621" t="inlineStr">
        <is>
          <t>#KALK!</t>
        </is>
      </c>
      <c r="G7621" t="inlineStr">
        <is>
          <t>LASTSCHUETZ</t>
        </is>
      </c>
      <c r="H7621" t="inlineStr">
        <is>
          <t>4kW 1S</t>
        </is>
      </c>
      <c r="I7621">
        <v>500</v>
      </c>
      <c r="J7621">
        <f>GS01/337.6</f>
        <v>0</v>
      </c>
      <c r="M7621" t="inlineStr">
        <is>
          <t>-337K68.1</t>
        </is>
      </c>
    </row>
    <row r="7622">
      <c r="A7622">
        <v>7621</v>
      </c>
      <c r="B7622">
        <f>GS23</f>
        <v>0</v>
      </c>
      <c r="C7622" t="inlineStr">
        <is>
          <t>+LS7</t>
        </is>
      </c>
      <c r="D7622" t="inlineStr">
        <is>
          <t>-337K90.7</t>
        </is>
      </c>
      <c r="E7622" t="inlineStr">
        <is>
          <t>DIL_EM-10-G</t>
        </is>
      </c>
      <c r="F7622" t="inlineStr">
        <is>
          <t>#KALK!</t>
        </is>
      </c>
      <c r="G7622" t="inlineStr">
        <is>
          <t>LASTSCHUETZ</t>
        </is>
      </c>
      <c r="H7622" t="inlineStr">
        <is>
          <t>4kW 1S</t>
        </is>
      </c>
      <c r="I7622">
        <v>638</v>
      </c>
      <c r="J7622">
        <f>GS23/337.7</f>
        <v>0</v>
      </c>
      <c r="M7622" t="inlineStr">
        <is>
          <t>-337K90.7</t>
        </is>
      </c>
    </row>
    <row r="7623">
      <c r="A7623">
        <v>7622</v>
      </c>
      <c r="B7623">
        <f>GC03</f>
        <v>0</v>
      </c>
      <c r="C7623" t="inlineStr">
        <is>
          <t>+LS8</t>
        </is>
      </c>
      <c r="D7623" t="inlineStr">
        <is>
          <t>-337K94.6</t>
        </is>
      </c>
      <c r="E7623" t="inlineStr">
        <is>
          <t>DIL_EM-10-G</t>
        </is>
      </c>
      <c r="F7623" t="inlineStr">
        <is>
          <t>#KALK!</t>
        </is>
      </c>
      <c r="G7623" t="inlineStr">
        <is>
          <t>LASTSCHUETZ</t>
        </is>
      </c>
      <c r="H7623" t="inlineStr">
        <is>
          <t>4kW 1S</t>
        </is>
      </c>
      <c r="I7623">
        <v>3544</v>
      </c>
      <c r="J7623">
        <f>GC03/337.6</f>
        <v>0</v>
      </c>
      <c r="M7623" t="inlineStr">
        <is>
          <t>-337K94.6</t>
        </is>
      </c>
    </row>
    <row r="7624">
      <c r="A7624">
        <v>7623</v>
      </c>
      <c r="B7624">
        <f>GC03</f>
        <v>0</v>
      </c>
      <c r="C7624" t="inlineStr">
        <is>
          <t>+LS8</t>
        </is>
      </c>
      <c r="D7624" t="inlineStr">
        <is>
          <t>-337K94.7</t>
        </is>
      </c>
      <c r="E7624" t="inlineStr">
        <is>
          <t>DIL_EM-10-G</t>
        </is>
      </c>
      <c r="F7624" t="inlineStr">
        <is>
          <t>#KALK!</t>
        </is>
      </c>
      <c r="G7624" t="inlineStr">
        <is>
          <t>LASTSCHUETZ</t>
        </is>
      </c>
      <c r="H7624" t="inlineStr">
        <is>
          <t>4kW 1S</t>
        </is>
      </c>
      <c r="I7624">
        <v>3544</v>
      </c>
      <c r="J7624">
        <f>GC03/337.6</f>
        <v>0</v>
      </c>
      <c r="M7624" t="inlineStr">
        <is>
          <t>-337K94.7</t>
        </is>
      </c>
    </row>
    <row r="7625">
      <c r="A7625">
        <v>7624</v>
      </c>
      <c r="B7625">
        <f>GS36</f>
        <v>0</v>
      </c>
      <c r="C7625" t="inlineStr">
        <is>
          <t>+LS07</t>
        </is>
      </c>
      <c r="D7625" t="inlineStr">
        <is>
          <t>-359.1Q419.5</t>
        </is>
      </c>
      <c r="E7625" t="inlineStr">
        <is>
          <t>DILM-9-10</t>
        </is>
      </c>
      <c r="F7625" t="inlineStr">
        <is>
          <t>#KALK!</t>
        </is>
      </c>
      <c r="G7625" t="inlineStr">
        <is>
          <t>LASTSCHUETZ</t>
        </is>
      </c>
      <c r="H7625" t="inlineStr">
        <is>
          <t>4kW 1S Federzugkl.</t>
        </is>
      </c>
      <c r="I7625">
        <v>1347</v>
      </c>
      <c r="J7625">
        <f>GS36/359.1.5</f>
        <v>0</v>
      </c>
      <c r="L7625" t="inlineStr">
        <is>
          <t>GF_5105</t>
        </is>
      </c>
      <c r="M7625" t="inlineStr">
        <is>
          <t>GF_5105
-359.1Q419.5</t>
        </is>
      </c>
      <c r="N7625" t="inlineStr">
        <is>
          <t>P</t>
        </is>
      </c>
    </row>
    <row r="7626">
      <c r="A7626">
        <v>7625</v>
      </c>
      <c r="B7626">
        <f>GS93</f>
        <v>0</v>
      </c>
      <c r="C7626" t="inlineStr">
        <is>
          <t>+LS06</t>
        </is>
      </c>
      <c r="D7626" t="inlineStr">
        <is>
          <t>-337Q453.3</t>
        </is>
      </c>
      <c r="E7626" t="inlineStr">
        <is>
          <t>DILM-9-10</t>
        </is>
      </c>
      <c r="F7626" t="inlineStr">
        <is>
          <t>#KALK!</t>
        </is>
      </c>
      <c r="G7626" t="inlineStr">
        <is>
          <t>LASTSCHUETZ</t>
        </is>
      </c>
      <c r="H7626" t="inlineStr">
        <is>
          <t>4kW 1S Federzugkl.</t>
        </is>
      </c>
      <c r="I7626">
        <v>891</v>
      </c>
      <c r="J7626">
        <f>GS93/337.5</f>
        <v>0</v>
      </c>
      <c r="M7626" t="inlineStr">
        <is>
          <t>-337Q453.3</t>
        </is>
      </c>
    </row>
    <row r="7627">
      <c r="A7627">
        <v>7626</v>
      </c>
      <c r="B7627">
        <f>GS07</f>
        <v>0</v>
      </c>
      <c r="C7627" t="inlineStr">
        <is>
          <t>+LS04</t>
        </is>
      </c>
      <c r="D7627" t="inlineStr">
        <is>
          <t>-338K1</t>
        </is>
      </c>
      <c r="E7627" t="inlineStr">
        <is>
          <t>DILM-9-01</t>
        </is>
      </c>
      <c r="F7627" t="inlineStr">
        <is>
          <t>#KALK!</t>
        </is>
      </c>
      <c r="G7627" t="inlineStr">
        <is>
          <t>LASTSCHUETZ</t>
        </is>
      </c>
      <c r="H7627" t="inlineStr">
        <is>
          <t>4kW 1Oe Federzugkl.</t>
        </is>
      </c>
      <c r="I7627">
        <v>437</v>
      </c>
      <c r="J7627">
        <f>GS07/338.6</f>
        <v>0</v>
      </c>
      <c r="M7627" t="inlineStr">
        <is>
          <t>-338K1</t>
        </is>
      </c>
    </row>
    <row r="7628">
      <c r="A7628">
        <v>7627</v>
      </c>
      <c r="B7628">
        <f>GS07</f>
        <v>0</v>
      </c>
      <c r="C7628" t="inlineStr">
        <is>
          <t>+LS04</t>
        </is>
      </c>
      <c r="D7628" t="inlineStr">
        <is>
          <t>-338K2</t>
        </is>
      </c>
      <c r="E7628" t="inlineStr">
        <is>
          <t>DILM-9-01</t>
        </is>
      </c>
      <c r="F7628" t="inlineStr">
        <is>
          <t>#KALK!</t>
        </is>
      </c>
      <c r="G7628" t="inlineStr">
        <is>
          <t>LASTSCHUETZ</t>
        </is>
      </c>
      <c r="H7628" t="inlineStr">
        <is>
          <t>4kW 1Oe Federzugkl.</t>
        </is>
      </c>
      <c r="I7628">
        <v>437</v>
      </c>
      <c r="J7628">
        <f>GS07/338.7</f>
        <v>0</v>
      </c>
      <c r="M7628" t="inlineStr">
        <is>
          <t>-338K2</t>
        </is>
      </c>
    </row>
    <row r="7629">
      <c r="A7629">
        <v>7628</v>
      </c>
      <c r="B7629">
        <f>GS15</f>
        <v>0</v>
      </c>
      <c r="C7629" t="inlineStr">
        <is>
          <t>+LS6</t>
        </is>
      </c>
      <c r="D7629" t="inlineStr">
        <is>
          <t>-338K21.6</t>
        </is>
      </c>
      <c r="E7629" t="inlineStr">
        <is>
          <t>DIL_EM-10-G</t>
        </is>
      </c>
      <c r="F7629" t="inlineStr">
        <is>
          <t>#KALK!</t>
        </is>
      </c>
      <c r="G7629" t="inlineStr">
        <is>
          <t>LASTSCHUETZ</t>
        </is>
      </c>
      <c r="H7629" t="inlineStr">
        <is>
          <t>4kW 1S</t>
        </is>
      </c>
      <c r="I7629">
        <v>836</v>
      </c>
      <c r="J7629">
        <f>GS15/338.6</f>
        <v>0</v>
      </c>
      <c r="M7629" t="inlineStr">
        <is>
          <t>-338K21.6</t>
        </is>
      </c>
    </row>
    <row r="7630">
      <c r="A7630">
        <v>7629</v>
      </c>
      <c r="B7630">
        <f>GS15</f>
        <v>0</v>
      </c>
      <c r="C7630" t="inlineStr">
        <is>
          <t>+LS6</t>
        </is>
      </c>
      <c r="D7630" t="inlineStr">
        <is>
          <t>-338K21.7</t>
        </is>
      </c>
      <c r="E7630" t="inlineStr">
        <is>
          <t>DIL_EM-10-G</t>
        </is>
      </c>
      <c r="F7630" t="inlineStr">
        <is>
          <t>#KALK!</t>
        </is>
      </c>
      <c r="G7630" t="inlineStr">
        <is>
          <t>LASTSCHUETZ</t>
        </is>
      </c>
      <c r="H7630" t="inlineStr">
        <is>
          <t>4kW 1S</t>
        </is>
      </c>
      <c r="I7630">
        <v>836</v>
      </c>
      <c r="J7630">
        <f>GS15/338.6</f>
        <v>0</v>
      </c>
      <c r="M7630" t="inlineStr">
        <is>
          <t>-338K21.7</t>
        </is>
      </c>
    </row>
    <row r="7631">
      <c r="A7631">
        <v>7630</v>
      </c>
      <c r="B7631">
        <f>GS14</f>
        <v>0</v>
      </c>
      <c r="C7631" t="inlineStr">
        <is>
          <t>+LS7</t>
        </is>
      </c>
      <c r="D7631" t="inlineStr">
        <is>
          <t>-338K26.2</t>
        </is>
      </c>
      <c r="E7631" t="inlineStr">
        <is>
          <t>DIL_EM-10-G</t>
        </is>
      </c>
      <c r="F7631" t="inlineStr">
        <is>
          <t>#KALK!</t>
        </is>
      </c>
      <c r="G7631" t="inlineStr">
        <is>
          <t>LASTSCHUETZ</t>
        </is>
      </c>
      <c r="H7631" t="inlineStr">
        <is>
          <t>4kW 1S</t>
        </is>
      </c>
      <c r="I7631">
        <v>467</v>
      </c>
      <c r="J7631">
        <f>GS14/338.6</f>
        <v>0</v>
      </c>
      <c r="M7631" t="inlineStr">
        <is>
          <t>-338K26.2</t>
        </is>
      </c>
    </row>
    <row r="7632">
      <c r="A7632">
        <v>7631</v>
      </c>
      <c r="B7632">
        <f>GS14</f>
        <v>0</v>
      </c>
      <c r="C7632" t="inlineStr">
        <is>
          <t>+LS7</t>
        </is>
      </c>
      <c r="D7632" t="inlineStr">
        <is>
          <t>-338K26.3</t>
        </is>
      </c>
      <c r="E7632" t="inlineStr">
        <is>
          <t>DIL_EM-10-G</t>
        </is>
      </c>
      <c r="F7632" t="inlineStr">
        <is>
          <t>#KALK!</t>
        </is>
      </c>
      <c r="G7632" t="inlineStr">
        <is>
          <t>LASTSCHUETZ</t>
        </is>
      </c>
      <c r="H7632" t="inlineStr">
        <is>
          <t>4kW 1S</t>
        </is>
      </c>
      <c r="I7632">
        <v>467</v>
      </c>
      <c r="J7632">
        <f>GS14/338.6</f>
        <v>0</v>
      </c>
      <c r="M7632" t="inlineStr">
        <is>
          <t>-338K26.3</t>
        </is>
      </c>
    </row>
    <row r="7633">
      <c r="A7633">
        <v>7632</v>
      </c>
      <c r="B7633">
        <f>GS31</f>
        <v>0</v>
      </c>
      <c r="C7633" t="inlineStr">
        <is>
          <t>+LS6</t>
        </is>
      </c>
      <c r="D7633" t="inlineStr">
        <is>
          <t>-338K3611.3</t>
        </is>
      </c>
      <c r="E7633" t="inlineStr">
        <is>
          <t>DIL_EM-10-G</t>
        </is>
      </c>
      <c r="F7633" t="inlineStr">
        <is>
          <t>#KALK!</t>
        </is>
      </c>
      <c r="G7633" t="inlineStr">
        <is>
          <t>LASTSCHUETZ</t>
        </is>
      </c>
      <c r="H7633" t="inlineStr">
        <is>
          <t>4kW 1S</t>
        </is>
      </c>
      <c r="I7633">
        <v>629</v>
      </c>
      <c r="J7633">
        <f>GS31/338.7</f>
        <v>0</v>
      </c>
      <c r="M7633" t="inlineStr">
        <is>
          <t>-338K3611.3</t>
        </is>
      </c>
    </row>
    <row r="7634">
      <c r="A7634">
        <v>7633</v>
      </c>
      <c r="B7634">
        <f>GS11</f>
        <v>0</v>
      </c>
      <c r="C7634" t="inlineStr">
        <is>
          <t>+LS8</t>
        </is>
      </c>
      <c r="D7634" t="inlineStr">
        <is>
          <t>-338K56.2</t>
        </is>
      </c>
      <c r="E7634" t="inlineStr">
        <is>
          <t>DIL_EM-10-G</t>
        </is>
      </c>
      <c r="F7634" t="inlineStr">
        <is>
          <t>#KALK!</t>
        </is>
      </c>
      <c r="G7634" t="inlineStr">
        <is>
          <t>LASTSCHUETZ</t>
        </is>
      </c>
      <c r="H7634" t="inlineStr">
        <is>
          <t>4kW 1S</t>
        </is>
      </c>
      <c r="I7634">
        <v>444</v>
      </c>
      <c r="J7634">
        <f>GS11/338.7</f>
        <v>0</v>
      </c>
      <c r="M7634" t="inlineStr">
        <is>
          <t>-338K56.2</t>
        </is>
      </c>
    </row>
    <row r="7635">
      <c r="A7635">
        <v>7634</v>
      </c>
      <c r="B7635">
        <f>GS21</f>
        <v>0</v>
      </c>
      <c r="C7635" t="inlineStr">
        <is>
          <t>+LS8</t>
        </is>
      </c>
      <c r="D7635" t="inlineStr">
        <is>
          <t>-338K56.2</t>
        </is>
      </c>
      <c r="E7635" t="inlineStr">
        <is>
          <t>DIL_EM-10-G</t>
        </is>
      </c>
      <c r="F7635" t="inlineStr">
        <is>
          <t>#KALK!</t>
        </is>
      </c>
      <c r="G7635" t="inlineStr">
        <is>
          <t>LASTSCHUETZ</t>
        </is>
      </c>
      <c r="H7635" t="inlineStr">
        <is>
          <t>4kW 1S</t>
        </is>
      </c>
      <c r="I7635">
        <v>426</v>
      </c>
      <c r="J7635">
        <f>GS21/338.7</f>
        <v>0</v>
      </c>
      <c r="M7635" t="inlineStr">
        <is>
          <t>-338K56.2</t>
        </is>
      </c>
    </row>
    <row r="7636">
      <c r="A7636">
        <v>7635</v>
      </c>
      <c r="B7636">
        <f>GS02</f>
        <v>0</v>
      </c>
      <c r="C7636" t="inlineStr">
        <is>
          <t>+LS7</t>
        </is>
      </c>
      <c r="D7636" t="inlineStr">
        <is>
          <t>-338K58.0</t>
        </is>
      </c>
      <c r="E7636" t="inlineStr">
        <is>
          <t>DIL_EM-10-G</t>
        </is>
      </c>
      <c r="F7636" t="inlineStr">
        <is>
          <t>#KALK!</t>
        </is>
      </c>
      <c r="G7636" t="inlineStr">
        <is>
          <t>LASTSCHUETZ</t>
        </is>
      </c>
      <c r="H7636" t="inlineStr">
        <is>
          <t>4kW 1S</t>
        </is>
      </c>
      <c r="I7636">
        <v>744</v>
      </c>
      <c r="J7636">
        <f>GS02/338.7</f>
        <v>0</v>
      </c>
      <c r="M7636" t="inlineStr">
        <is>
          <t>-338K58.0</t>
        </is>
      </c>
    </row>
    <row r="7637">
      <c r="A7637">
        <v>7636</v>
      </c>
      <c r="B7637">
        <f>GS01</f>
        <v>0</v>
      </c>
      <c r="C7637" t="inlineStr">
        <is>
          <t>+LS7</t>
        </is>
      </c>
      <c r="D7637" t="inlineStr">
        <is>
          <t>-338K68.5</t>
        </is>
      </c>
      <c r="E7637" t="inlineStr">
        <is>
          <t>DIL_EM-10-G</t>
        </is>
      </c>
      <c r="F7637" t="inlineStr">
        <is>
          <t>#KALK!</t>
        </is>
      </c>
      <c r="G7637" t="inlineStr">
        <is>
          <t>LASTSCHUETZ</t>
        </is>
      </c>
      <c r="H7637" t="inlineStr">
        <is>
          <t>4kW 1S</t>
        </is>
      </c>
      <c r="I7637">
        <v>501</v>
      </c>
      <c r="J7637">
        <f>GS01/338.7</f>
        <v>0</v>
      </c>
      <c r="M7637" t="inlineStr">
        <is>
          <t>-338K68.5</t>
        </is>
      </c>
    </row>
    <row r="7638">
      <c r="A7638">
        <v>7637</v>
      </c>
      <c r="B7638">
        <f>GS38</f>
        <v>0</v>
      </c>
      <c r="C7638" t="inlineStr">
        <is>
          <t>+LS07</t>
        </is>
      </c>
      <c r="D7638" t="inlineStr">
        <is>
          <t>-338Q105.4</t>
        </is>
      </c>
      <c r="E7638" t="inlineStr">
        <is>
          <t>DILM-9-10</t>
        </is>
      </c>
      <c r="F7638" t="inlineStr">
        <is>
          <t>#KALK!</t>
        </is>
      </c>
      <c r="G7638" t="inlineStr">
        <is>
          <t>LASTSCHUETZ</t>
        </is>
      </c>
      <c r="H7638" t="inlineStr">
        <is>
          <t>4kW 1S Federzugkl.</t>
        </is>
      </c>
      <c r="I7638">
        <v>503</v>
      </c>
      <c r="J7638">
        <f>GS38/338.3</f>
        <v>0</v>
      </c>
      <c r="M7638" t="inlineStr">
        <is>
          <t>-338Q105.4</t>
        </is>
      </c>
    </row>
    <row r="7639">
      <c r="A7639">
        <v>7638</v>
      </c>
      <c r="B7639">
        <f>GS39</f>
        <v>0</v>
      </c>
      <c r="C7639" t="inlineStr">
        <is>
          <t>+LS07</t>
        </is>
      </c>
      <c r="D7639" t="inlineStr">
        <is>
          <t>-338Q105.4</t>
        </is>
      </c>
      <c r="E7639" t="inlineStr">
        <is>
          <t>DILM-9-10</t>
        </is>
      </c>
      <c r="F7639" t="inlineStr">
        <is>
          <t>#KALK!</t>
        </is>
      </c>
      <c r="G7639" t="inlineStr">
        <is>
          <t>LASTSCHUETZ</t>
        </is>
      </c>
      <c r="H7639" t="inlineStr">
        <is>
          <t>4kW 1S Federzugkl.</t>
        </is>
      </c>
      <c r="I7639">
        <v>504</v>
      </c>
      <c r="J7639">
        <f>GS39/338.3</f>
        <v>0</v>
      </c>
      <c r="M7639" t="inlineStr">
        <is>
          <t>-338Q105.4</t>
        </is>
      </c>
    </row>
    <row r="7640">
      <c r="A7640">
        <v>7639</v>
      </c>
      <c r="B7640">
        <f>GS36</f>
        <v>0</v>
      </c>
      <c r="C7640" t="inlineStr">
        <is>
          <t>+LS07</t>
        </is>
      </c>
      <c r="D7640" t="inlineStr">
        <is>
          <t>-359Q419.4</t>
        </is>
      </c>
      <c r="E7640" t="inlineStr">
        <is>
          <t>DILM-9-10</t>
        </is>
      </c>
      <c r="F7640" t="inlineStr">
        <is>
          <t>#KALK!</t>
        </is>
      </c>
      <c r="G7640" t="inlineStr">
        <is>
          <t>LASTSCHUETZ</t>
        </is>
      </c>
      <c r="H7640" t="inlineStr">
        <is>
          <t>4kW 1S Federzugkl.</t>
        </is>
      </c>
      <c r="I7640">
        <v>532</v>
      </c>
      <c r="J7640">
        <f>GS36/359.5</f>
        <v>0</v>
      </c>
      <c r="L7640" t="inlineStr">
        <is>
          <t>GF_5104</t>
        </is>
      </c>
      <c r="M7640" t="inlineStr">
        <is>
          <t>GF_5104
-359Q419.4</t>
        </is>
      </c>
      <c r="N7640" t="inlineStr">
        <is>
          <t>P</t>
        </is>
      </c>
    </row>
    <row r="7641">
      <c r="A7641">
        <v>7640</v>
      </c>
      <c r="B7641">
        <f>GS14</f>
        <v>0</v>
      </c>
      <c r="C7641" t="inlineStr">
        <is>
          <t>+LS7</t>
        </is>
      </c>
      <c r="D7641" t="inlineStr">
        <is>
          <t>-339K26.4</t>
        </is>
      </c>
      <c r="E7641" t="inlineStr">
        <is>
          <t>DIL_EM-10-G</t>
        </is>
      </c>
      <c r="F7641" t="inlineStr">
        <is>
          <t>#KALK!</t>
        </is>
      </c>
      <c r="G7641" t="inlineStr">
        <is>
          <t>LASTSCHUETZ</t>
        </is>
      </c>
      <c r="H7641" t="inlineStr">
        <is>
          <t>4kW 1S</t>
        </is>
      </c>
      <c r="I7641">
        <v>468</v>
      </c>
      <c r="J7641">
        <f>GS14/339.6</f>
        <v>0</v>
      </c>
      <c r="M7641" t="inlineStr">
        <is>
          <t>-339K26.4</t>
        </is>
      </c>
    </row>
    <row r="7642">
      <c r="A7642">
        <v>7641</v>
      </c>
      <c r="B7642">
        <f>GS14</f>
        <v>0</v>
      </c>
      <c r="C7642" t="inlineStr">
        <is>
          <t>+LS7</t>
        </is>
      </c>
      <c r="D7642" t="inlineStr">
        <is>
          <t>-339K26.5</t>
        </is>
      </c>
      <c r="E7642" t="inlineStr">
        <is>
          <t>DIL_EM-10-G</t>
        </is>
      </c>
      <c r="F7642" t="inlineStr">
        <is>
          <t>#KALK!</t>
        </is>
      </c>
      <c r="G7642" t="inlineStr">
        <is>
          <t>LASTSCHUETZ</t>
        </is>
      </c>
      <c r="H7642" t="inlineStr">
        <is>
          <t>4kW 1S</t>
        </is>
      </c>
      <c r="I7642">
        <v>468</v>
      </c>
      <c r="J7642">
        <f>GS14/339.6</f>
        <v>0</v>
      </c>
      <c r="M7642" t="inlineStr">
        <is>
          <t>-339K26.5</t>
        </is>
      </c>
    </row>
    <row r="7643">
      <c r="A7643">
        <v>7642</v>
      </c>
      <c r="B7643">
        <f>GS31</f>
        <v>0</v>
      </c>
      <c r="C7643" t="inlineStr">
        <is>
          <t>+LS6.1</t>
        </is>
      </c>
      <c r="D7643" t="inlineStr">
        <is>
          <t>-339K3616.4</t>
        </is>
      </c>
      <c r="E7643" t="inlineStr">
        <is>
          <t>DIL_EM-10-G</t>
        </is>
      </c>
      <c r="F7643" t="inlineStr">
        <is>
          <t>#KALK!</t>
        </is>
      </c>
      <c r="G7643" t="inlineStr">
        <is>
          <t>LASTSCHUETZ</t>
        </is>
      </c>
      <c r="H7643" t="inlineStr">
        <is>
          <t>4kW 1S</t>
        </is>
      </c>
      <c r="I7643">
        <v>630</v>
      </c>
      <c r="J7643">
        <f>GS31/339.7</f>
        <v>0</v>
      </c>
      <c r="M7643" t="inlineStr">
        <is>
          <t>-339K3616.4</t>
        </is>
      </c>
    </row>
    <row r="7644">
      <c r="A7644">
        <v>7643</v>
      </c>
      <c r="B7644">
        <f>GS11</f>
        <v>0</v>
      </c>
      <c r="C7644" t="inlineStr">
        <is>
          <t>+LS8</t>
        </is>
      </c>
      <c r="D7644" t="inlineStr">
        <is>
          <t>-339K56.6</t>
        </is>
      </c>
      <c r="E7644" t="inlineStr">
        <is>
          <t>DIL_EM-10-G</t>
        </is>
      </c>
      <c r="F7644" t="inlineStr">
        <is>
          <t>#KALK!</t>
        </is>
      </c>
      <c r="G7644" t="inlineStr">
        <is>
          <t>LASTSCHUETZ</t>
        </is>
      </c>
      <c r="H7644" t="inlineStr">
        <is>
          <t>4kW 1S</t>
        </is>
      </c>
      <c r="I7644">
        <v>445</v>
      </c>
      <c r="J7644">
        <f>GS11/339.7</f>
        <v>0</v>
      </c>
      <c r="M7644" t="inlineStr">
        <is>
          <t>-339K56.6</t>
        </is>
      </c>
    </row>
    <row r="7645">
      <c r="A7645">
        <v>7644</v>
      </c>
      <c r="B7645">
        <f>GS21</f>
        <v>0</v>
      </c>
      <c r="C7645" t="inlineStr">
        <is>
          <t>+LS8</t>
        </is>
      </c>
      <c r="D7645" t="inlineStr">
        <is>
          <t>-339K56.6</t>
        </is>
      </c>
      <c r="E7645" t="inlineStr">
        <is>
          <t>DIL_EM-10-G</t>
        </is>
      </c>
      <c r="F7645" t="inlineStr">
        <is>
          <t>#KALK!</t>
        </is>
      </c>
      <c r="G7645" t="inlineStr">
        <is>
          <t>LASTSCHUETZ</t>
        </is>
      </c>
      <c r="H7645" t="inlineStr">
        <is>
          <t>4kW 1S</t>
        </is>
      </c>
      <c r="I7645">
        <v>427</v>
      </c>
      <c r="J7645">
        <f>GS21/339.7</f>
        <v>0</v>
      </c>
      <c r="M7645" t="inlineStr">
        <is>
          <t>-339K56.6</t>
        </is>
      </c>
    </row>
    <row r="7646">
      <c r="A7646">
        <v>7645</v>
      </c>
      <c r="B7646">
        <f>GS02</f>
        <v>0</v>
      </c>
      <c r="C7646" t="inlineStr">
        <is>
          <t>+LS7</t>
        </is>
      </c>
      <c r="D7646" t="inlineStr">
        <is>
          <t>-339K58.5</t>
        </is>
      </c>
      <c r="E7646" t="inlineStr">
        <is>
          <t>DIL_EM-10-G</t>
        </is>
      </c>
      <c r="F7646" t="inlineStr">
        <is>
          <t>#KALK!</t>
        </is>
      </c>
      <c r="G7646" t="inlineStr">
        <is>
          <t>LASTSCHUETZ</t>
        </is>
      </c>
      <c r="H7646" t="inlineStr">
        <is>
          <t>4kW 1S</t>
        </is>
      </c>
      <c r="I7646">
        <v>745</v>
      </c>
      <c r="J7646">
        <f>GS02/339.6</f>
        <v>0</v>
      </c>
      <c r="M7646" t="inlineStr">
        <is>
          <t>-339K58.5</t>
        </is>
      </c>
    </row>
    <row r="7647">
      <c r="A7647">
        <v>7646</v>
      </c>
      <c r="B7647">
        <f>GS32</f>
        <v>0</v>
      </c>
      <c r="C7647" t="inlineStr">
        <is>
          <t>+LS8</t>
        </is>
      </c>
      <c r="D7647" t="inlineStr">
        <is>
          <t>-339K69.5</t>
        </is>
      </c>
      <c r="E7647" t="inlineStr">
        <is>
          <t>DIL_EM-10-G</t>
        </is>
      </c>
      <c r="F7647" t="inlineStr">
        <is>
          <t>#KALK!</t>
        </is>
      </c>
      <c r="G7647" t="inlineStr">
        <is>
          <t>LASTSCHUETZ</t>
        </is>
      </c>
      <c r="H7647" t="inlineStr">
        <is>
          <t>4kW 1S</t>
        </is>
      </c>
      <c r="I7647">
        <v>1238</v>
      </c>
      <c r="J7647">
        <f>GS32/339.7</f>
        <v>0</v>
      </c>
      <c r="M7647" t="inlineStr">
        <is>
          <t>-339K69.5</t>
        </is>
      </c>
    </row>
    <row r="7648">
      <c r="A7648">
        <v>7647</v>
      </c>
      <c r="B7648">
        <f>GS80</f>
        <v>0</v>
      </c>
      <c r="C7648" t="inlineStr">
        <is>
          <t>+LS05</t>
        </is>
      </c>
      <c r="D7648" t="inlineStr">
        <is>
          <t>-33K3</t>
        </is>
      </c>
      <c r="E7648" t="inlineStr">
        <is>
          <t>DILA-22</t>
        </is>
      </c>
      <c r="F7648" t="inlineStr">
        <is>
          <t>#KALK!</t>
        </is>
      </c>
      <c r="G7648" t="inlineStr">
        <is>
          <t>HILFSSCHUETZ</t>
        </is>
      </c>
      <c r="H7648" t="inlineStr">
        <is>
          <t>2S 2Oe Federzugkl.</t>
        </is>
      </c>
      <c r="I7648">
        <v>171</v>
      </c>
      <c r="J7648">
        <f>GS80/33.7</f>
        <v>0</v>
      </c>
      <c r="M7648" t="inlineStr">
        <is>
          <t>-33K3</t>
        </is>
      </c>
    </row>
    <row r="7649">
      <c r="A7649">
        <v>7648</v>
      </c>
      <c r="B7649">
        <f>GS80</f>
        <v>0</v>
      </c>
      <c r="C7649" t="inlineStr">
        <is>
          <t>+LS04</t>
        </is>
      </c>
      <c r="D7649" t="inlineStr">
        <is>
          <t>-33K3</t>
        </is>
      </c>
      <c r="E7649" t="inlineStr">
        <is>
          <t>DILA-22</t>
        </is>
      </c>
      <c r="F7649" t="inlineStr">
        <is>
          <t>#KALK!</t>
        </is>
      </c>
      <c r="G7649" t="inlineStr">
        <is>
          <t>HILFSSCHUETZ</t>
        </is>
      </c>
      <c r="H7649" t="inlineStr">
        <is>
          <t>2S 2Oe Federzugkl.</t>
        </is>
      </c>
      <c r="I7649">
        <v>168</v>
      </c>
      <c r="J7649">
        <f>GS80/33.7</f>
        <v>0</v>
      </c>
      <c r="M7649" t="inlineStr">
        <is>
          <t>-33K3</t>
        </is>
      </c>
    </row>
    <row r="7650">
      <c r="A7650">
        <v>7649</v>
      </c>
      <c r="B7650">
        <f>GS80</f>
        <v>0</v>
      </c>
      <c r="C7650" t="inlineStr">
        <is>
          <t>+LS04</t>
        </is>
      </c>
      <c r="D7650" t="inlineStr">
        <is>
          <t>-33K4</t>
        </is>
      </c>
      <c r="E7650" t="inlineStr">
        <is>
          <t>DILA-40</t>
        </is>
      </c>
      <c r="F7650" t="inlineStr">
        <is>
          <t>#KALK!</t>
        </is>
      </c>
      <c r="G7650" t="inlineStr">
        <is>
          <t>HILFSSCHUETZ</t>
        </is>
      </c>
      <c r="H7650" t="inlineStr">
        <is>
          <t>4S Federzugkl.</t>
        </is>
      </c>
      <c r="I7650">
        <v>168</v>
      </c>
      <c r="J7650">
        <f>GS80/33.8</f>
        <v>0</v>
      </c>
      <c r="M7650" t="inlineStr">
        <is>
          <t>-33K4</t>
        </is>
      </c>
    </row>
    <row r="7651">
      <c r="A7651">
        <v>7650</v>
      </c>
      <c r="B7651">
        <f>GS80</f>
        <v>0</v>
      </c>
      <c r="C7651" t="inlineStr">
        <is>
          <t>+LS05</t>
        </is>
      </c>
      <c r="D7651" t="inlineStr">
        <is>
          <t>-33K4</t>
        </is>
      </c>
      <c r="E7651" t="inlineStr">
        <is>
          <t>DILA-40</t>
        </is>
      </c>
      <c r="F7651" t="inlineStr">
        <is>
          <t>#KALK!</t>
        </is>
      </c>
      <c r="G7651" t="inlineStr">
        <is>
          <t>HILFSSCHUETZ</t>
        </is>
      </c>
      <c r="H7651" t="inlineStr">
        <is>
          <t>4S Federzugkl.</t>
        </is>
      </c>
      <c r="I7651">
        <v>171</v>
      </c>
      <c r="J7651">
        <f>GS80/33.8</f>
        <v>0</v>
      </c>
      <c r="M7651" t="inlineStr">
        <is>
          <t>-33K4</t>
        </is>
      </c>
    </row>
    <row r="7652">
      <c r="A7652">
        <v>7651</v>
      </c>
      <c r="B7652">
        <f>GS24</f>
        <v>0</v>
      </c>
      <c r="C7652" t="inlineStr">
        <is>
          <t>+LS7</t>
        </is>
      </c>
      <c r="D7652" t="inlineStr">
        <is>
          <t>-340K1</t>
        </is>
      </c>
      <c r="E7652" t="inlineStr">
        <is>
          <t>22_DIL-M</t>
        </is>
      </c>
      <c r="F7652" t="inlineStr">
        <is>
          <t>22_DIL-M</t>
        </is>
      </c>
      <c r="G7652" t="inlineStr">
        <is>
          <t>HILFSKONTAKTBLOCK</t>
        </is>
      </c>
      <c r="H7652" t="inlineStr">
        <is>
          <t>2S 2OE Lastschuetz DIL M</t>
        </is>
      </c>
      <c r="I7652">
        <v>747</v>
      </c>
      <c r="J7652">
        <f>GS24/340.2</f>
        <v>0</v>
      </c>
      <c r="K7652" t="inlineStr">
        <is>
          <t>DIL0AM</t>
        </is>
      </c>
      <c r="M7652" t="inlineStr">
        <is>
          <t>-340K1</t>
        </is>
      </c>
    </row>
    <row r="7653">
      <c r="A7653">
        <v>7652</v>
      </c>
      <c r="B7653">
        <f>GS24</f>
        <v>0</v>
      </c>
      <c r="C7653" t="inlineStr">
        <is>
          <t>+LS7</t>
        </is>
      </c>
      <c r="D7653" t="inlineStr">
        <is>
          <t>-340K1</t>
        </is>
      </c>
      <c r="E7653" t="inlineStr">
        <is>
          <t>DIL_0AM</t>
        </is>
      </c>
      <c r="F7653" t="inlineStr">
        <is>
          <t>22_DIL-M</t>
        </is>
      </c>
      <c r="G7653" t="inlineStr">
        <is>
          <t>LASTSCHUETZ</t>
        </is>
      </c>
      <c r="H7653" t="inlineStr">
        <is>
          <t>11 kW</t>
        </is>
      </c>
      <c r="I7653">
        <v>747</v>
      </c>
      <c r="J7653">
        <f>GS24/340.2</f>
        <v>0</v>
      </c>
      <c r="K7653" t="inlineStr">
        <is>
          <t>DIL0AM</t>
        </is>
      </c>
      <c r="M7653" t="inlineStr">
        <is>
          <t>-340K1</t>
        </is>
      </c>
    </row>
    <row r="7654">
      <c r="A7654">
        <v>7653</v>
      </c>
      <c r="B7654">
        <f>GS25</f>
        <v>0</v>
      </c>
      <c r="C7654" t="inlineStr">
        <is>
          <t>+LS7</t>
        </is>
      </c>
      <c r="D7654" t="inlineStr">
        <is>
          <t>-340K1</t>
        </is>
      </c>
      <c r="E7654" t="inlineStr">
        <is>
          <t>DIL_0AM</t>
        </is>
      </c>
      <c r="F7654" t="inlineStr">
        <is>
          <t>22_DIL-M</t>
        </is>
      </c>
      <c r="G7654" t="inlineStr">
        <is>
          <t>LASTSCHUETZ</t>
        </is>
      </c>
      <c r="H7654" t="inlineStr">
        <is>
          <t>11 kW</t>
        </is>
      </c>
      <c r="I7654">
        <v>464</v>
      </c>
      <c r="J7654">
        <f>GS25/340.2</f>
        <v>0</v>
      </c>
      <c r="K7654" t="inlineStr">
        <is>
          <t>DIL0AM</t>
        </is>
      </c>
      <c r="M7654" t="inlineStr">
        <is>
          <t>-340K1</t>
        </is>
      </c>
    </row>
    <row r="7655">
      <c r="A7655">
        <v>7654</v>
      </c>
      <c r="B7655">
        <f>GS25</f>
        <v>0</v>
      </c>
      <c r="C7655" t="inlineStr">
        <is>
          <t>+LS7</t>
        </is>
      </c>
      <c r="D7655" t="inlineStr">
        <is>
          <t>-340K1</t>
        </is>
      </c>
      <c r="E7655" t="inlineStr">
        <is>
          <t>22_DIL-M</t>
        </is>
      </c>
      <c r="F7655" t="inlineStr">
        <is>
          <t>22_DIL-M</t>
        </is>
      </c>
      <c r="G7655" t="inlineStr">
        <is>
          <t>HILFSKONTAKTBLOCK</t>
        </is>
      </c>
      <c r="H7655" t="inlineStr">
        <is>
          <t>2S 2OE Lastschuetz DIL M</t>
        </is>
      </c>
      <c r="I7655">
        <v>464</v>
      </c>
      <c r="J7655">
        <f>GS25/340.2</f>
        <v>0</v>
      </c>
      <c r="K7655" t="inlineStr">
        <is>
          <t>DIL0AM</t>
        </is>
      </c>
      <c r="M7655" t="inlineStr">
        <is>
          <t>-340K1</t>
        </is>
      </c>
    </row>
    <row r="7656">
      <c r="A7656">
        <v>7655</v>
      </c>
      <c r="B7656">
        <f>GS33</f>
        <v>0</v>
      </c>
      <c r="C7656" t="inlineStr">
        <is>
          <t>+LS8</t>
        </is>
      </c>
      <c r="D7656" t="inlineStr">
        <is>
          <t>-340K1</t>
        </is>
      </c>
      <c r="E7656" t="inlineStr">
        <is>
          <t>DIL_2AM</t>
        </is>
      </c>
      <c r="F7656" t="inlineStr">
        <is>
          <t>22_DIL-M</t>
        </is>
      </c>
      <c r="G7656" t="inlineStr">
        <is>
          <t>LASTSCHUETZ</t>
        </is>
      </c>
      <c r="H7656" t="inlineStr">
        <is>
          <t>30 kW</t>
        </is>
      </c>
      <c r="I7656">
        <v>789</v>
      </c>
      <c r="J7656">
        <f>GS33/340.2</f>
        <v>0</v>
      </c>
      <c r="K7656" t="inlineStr">
        <is>
          <t>DIL2AM</t>
        </is>
      </c>
      <c r="M7656" t="inlineStr">
        <is>
          <t>-340K1</t>
        </is>
      </c>
    </row>
    <row r="7657">
      <c r="A7657">
        <v>7656</v>
      </c>
      <c r="B7657">
        <f>GS33</f>
        <v>0</v>
      </c>
      <c r="C7657" t="inlineStr">
        <is>
          <t>+LS8</t>
        </is>
      </c>
      <c r="D7657" t="inlineStr">
        <is>
          <t>-340K1</t>
        </is>
      </c>
      <c r="E7657" t="inlineStr">
        <is>
          <t>22_DIL-M</t>
        </is>
      </c>
      <c r="F7657" t="inlineStr">
        <is>
          <t>22_DIL-M</t>
        </is>
      </c>
      <c r="G7657" t="inlineStr">
        <is>
          <t>HILFSKONTAKTBLOCK</t>
        </is>
      </c>
      <c r="H7657" t="inlineStr">
        <is>
          <t>2S 2OE Lastschuetz DIL M</t>
        </is>
      </c>
      <c r="I7657">
        <v>789</v>
      </c>
      <c r="J7657">
        <f>GS33/340.2</f>
        <v>0</v>
      </c>
      <c r="K7657" t="inlineStr">
        <is>
          <t>DIL2AM</t>
        </is>
      </c>
      <c r="M7657" t="inlineStr">
        <is>
          <t>-340K1</t>
        </is>
      </c>
    </row>
    <row r="7658">
      <c r="A7658">
        <v>7657</v>
      </c>
      <c r="B7658">
        <f>GS91</f>
        <v>0</v>
      </c>
      <c r="C7658" t="inlineStr">
        <is>
          <t>+LS05</t>
        </is>
      </c>
      <c r="D7658" t="inlineStr">
        <is>
          <t>-340K189.4</t>
        </is>
      </c>
      <c r="E7658" t="inlineStr">
        <is>
          <t>DILA-40</t>
        </is>
      </c>
      <c r="F7658" t="inlineStr">
        <is>
          <t>#KALK!</t>
        </is>
      </c>
      <c r="G7658" t="inlineStr">
        <is>
          <t>HILFSSCHUETZ</t>
        </is>
      </c>
      <c r="H7658" t="inlineStr">
        <is>
          <t>4S Federzugkl.</t>
        </is>
      </c>
      <c r="I7658">
        <v>488</v>
      </c>
      <c r="J7658">
        <f>GS91/340.7</f>
        <v>0</v>
      </c>
      <c r="M7658" t="inlineStr">
        <is>
          <t>-340K189.4</t>
        </is>
      </c>
    </row>
    <row r="7659">
      <c r="A7659">
        <v>7658</v>
      </c>
      <c r="B7659">
        <f>GS33</f>
        <v>0</v>
      </c>
      <c r="C7659" t="inlineStr">
        <is>
          <t>+LS8</t>
        </is>
      </c>
      <c r="D7659" t="inlineStr">
        <is>
          <t>-340K2</t>
        </is>
      </c>
      <c r="E7659" t="inlineStr">
        <is>
          <t>DIL_0AM</t>
        </is>
      </c>
      <c r="F7659" t="inlineStr">
        <is>
          <t>22_DIL-M</t>
        </is>
      </c>
      <c r="G7659" t="inlineStr">
        <is>
          <t>LASTSCHUETZ</t>
        </is>
      </c>
      <c r="H7659" t="inlineStr">
        <is>
          <t>11 kW</t>
        </is>
      </c>
      <c r="I7659">
        <v>789</v>
      </c>
      <c r="J7659">
        <f>GS33/340.3</f>
        <v>0</v>
      </c>
      <c r="K7659" t="inlineStr">
        <is>
          <t>DIL0AM</t>
        </is>
      </c>
      <c r="M7659" t="inlineStr">
        <is>
          <t>-340K2</t>
        </is>
      </c>
    </row>
    <row r="7660">
      <c r="A7660">
        <v>7659</v>
      </c>
      <c r="B7660">
        <f>GS33</f>
        <v>0</v>
      </c>
      <c r="C7660" t="inlineStr">
        <is>
          <t>+LS8</t>
        </is>
      </c>
      <c r="D7660" t="inlineStr">
        <is>
          <t>-340K2</t>
        </is>
      </c>
      <c r="E7660" t="inlineStr">
        <is>
          <t>22_DIL-M</t>
        </is>
      </c>
      <c r="F7660" t="inlineStr">
        <is>
          <t>22_DIL-M</t>
        </is>
      </c>
      <c r="G7660" t="inlineStr">
        <is>
          <t>HILFSKONTAKTBLOCK</t>
        </is>
      </c>
      <c r="H7660" t="inlineStr">
        <is>
          <t>2S 2OE Lastschuetz DIL M</t>
        </is>
      </c>
      <c r="I7660">
        <v>789</v>
      </c>
      <c r="J7660">
        <f>GS33/340.3</f>
        <v>0</v>
      </c>
      <c r="K7660" t="inlineStr">
        <is>
          <t>DIL0AM</t>
        </is>
      </c>
      <c r="M7660" t="inlineStr">
        <is>
          <t>-340K2</t>
        </is>
      </c>
    </row>
    <row r="7661">
      <c r="A7661">
        <v>7660</v>
      </c>
      <c r="B7661">
        <f>GS14</f>
        <v>0</v>
      </c>
      <c r="C7661" t="inlineStr">
        <is>
          <t>+LS7</t>
        </is>
      </c>
      <c r="D7661" t="inlineStr">
        <is>
          <t>-340K26.6</t>
        </is>
      </c>
      <c r="E7661" t="inlineStr">
        <is>
          <t>DIL_EM-10-G</t>
        </is>
      </c>
      <c r="F7661" t="inlineStr">
        <is>
          <t>#KALK!</t>
        </is>
      </c>
      <c r="G7661" t="inlineStr">
        <is>
          <t>LASTSCHUETZ</t>
        </is>
      </c>
      <c r="H7661" t="inlineStr">
        <is>
          <t>4kW 1S</t>
        </is>
      </c>
      <c r="I7661">
        <v>469</v>
      </c>
      <c r="J7661">
        <f>GS14/340.6</f>
        <v>0</v>
      </c>
      <c r="M7661" t="inlineStr">
        <is>
          <t>-340K26.6</t>
        </is>
      </c>
    </row>
    <row r="7662">
      <c r="A7662">
        <v>7661</v>
      </c>
      <c r="B7662">
        <f>GS14</f>
        <v>0</v>
      </c>
      <c r="C7662" t="inlineStr">
        <is>
          <t>+LS7</t>
        </is>
      </c>
      <c r="D7662" t="inlineStr">
        <is>
          <t>-340K26.7</t>
        </is>
      </c>
      <c r="E7662" t="inlineStr">
        <is>
          <t>DIL_EM-10-G</t>
        </is>
      </c>
      <c r="F7662" t="inlineStr">
        <is>
          <t>#KALK!</t>
        </is>
      </c>
      <c r="G7662" t="inlineStr">
        <is>
          <t>LASTSCHUETZ</t>
        </is>
      </c>
      <c r="H7662" t="inlineStr">
        <is>
          <t>4kW 1S</t>
        </is>
      </c>
      <c r="I7662">
        <v>469</v>
      </c>
      <c r="J7662">
        <f>GS14/340.6</f>
        <v>0</v>
      </c>
      <c r="M7662" t="inlineStr">
        <is>
          <t>-340K26.7</t>
        </is>
      </c>
    </row>
    <row r="7663">
      <c r="A7663">
        <v>7662</v>
      </c>
      <c r="B7663">
        <f>GS31</f>
        <v>0</v>
      </c>
      <c r="C7663" t="inlineStr">
        <is>
          <t>+LS6.1</t>
        </is>
      </c>
      <c r="D7663" t="inlineStr">
        <is>
          <t>-340K3616.0</t>
        </is>
      </c>
      <c r="E7663" t="inlineStr">
        <is>
          <t>DIL_EM-10-G</t>
        </is>
      </c>
      <c r="F7663" t="inlineStr">
        <is>
          <t>#KALK!</t>
        </is>
      </c>
      <c r="G7663" t="inlineStr">
        <is>
          <t>LASTSCHUETZ</t>
        </is>
      </c>
      <c r="H7663" t="inlineStr">
        <is>
          <t>4kW 1S</t>
        </is>
      </c>
      <c r="I7663">
        <v>631</v>
      </c>
      <c r="J7663">
        <f>GS31/340.6</f>
        <v>0</v>
      </c>
      <c r="M7663" t="inlineStr">
        <is>
          <t>-340K3616.0</t>
        </is>
      </c>
    </row>
    <row r="7664">
      <c r="A7664">
        <v>7663</v>
      </c>
      <c r="B7664">
        <f>GS20</f>
        <v>0</v>
      </c>
      <c r="C7664" t="inlineStr">
        <is>
          <t>+LS08</t>
        </is>
      </c>
      <c r="D7664" t="inlineStr">
        <is>
          <t>-340K410.4</t>
        </is>
      </c>
      <c r="E7664" t="inlineStr">
        <is>
          <t>DILA-40</t>
        </is>
      </c>
      <c r="F7664" t="inlineStr">
        <is>
          <t>#KALK!</t>
        </is>
      </c>
      <c r="G7664" t="inlineStr">
        <is>
          <t>HILFSSCHUETZ</t>
        </is>
      </c>
      <c r="H7664" t="inlineStr">
        <is>
          <t>4S Federzugkl.</t>
        </is>
      </c>
      <c r="I7664">
        <v>2633</v>
      </c>
      <c r="J7664">
        <f>GS20/340.7</f>
        <v>0</v>
      </c>
      <c r="M7664" t="inlineStr">
        <is>
          <t>-340K410.4</t>
        </is>
      </c>
    </row>
    <row r="7665">
      <c r="A7665">
        <v>7664</v>
      </c>
      <c r="B7665">
        <f>GS92</f>
        <v>0</v>
      </c>
      <c r="C7665" t="inlineStr">
        <is>
          <t>+LS06</t>
        </is>
      </c>
      <c r="D7665" t="inlineStr">
        <is>
          <t>-340K452.4</t>
        </is>
      </c>
      <c r="E7665" t="inlineStr">
        <is>
          <t>DILA-40</t>
        </is>
      </c>
      <c r="F7665" t="inlineStr">
        <is>
          <t>#KALK!</t>
        </is>
      </c>
      <c r="G7665" t="inlineStr">
        <is>
          <t>HILFSSCHUETZ</t>
        </is>
      </c>
      <c r="H7665" t="inlineStr">
        <is>
          <t>4S Federzugkl.</t>
        </is>
      </c>
      <c r="I7665">
        <v>486</v>
      </c>
      <c r="J7665">
        <f>GS92/340.7</f>
        <v>0</v>
      </c>
      <c r="M7665" t="inlineStr">
        <is>
          <t>-340K452.4</t>
        </is>
      </c>
    </row>
    <row r="7666">
      <c r="A7666">
        <v>7665</v>
      </c>
      <c r="B7666">
        <f>GS11</f>
        <v>0</v>
      </c>
      <c r="C7666" t="inlineStr">
        <is>
          <t>+LS8</t>
        </is>
      </c>
      <c r="D7666" t="inlineStr">
        <is>
          <t>-340K56.7</t>
        </is>
      </c>
      <c r="E7666" t="inlineStr">
        <is>
          <t>DIL_EM-10-G</t>
        </is>
      </c>
      <c r="F7666" t="inlineStr">
        <is>
          <t>#KALK!</t>
        </is>
      </c>
      <c r="G7666" t="inlineStr">
        <is>
          <t>LASTSCHUETZ</t>
        </is>
      </c>
      <c r="H7666" t="inlineStr">
        <is>
          <t>4kW 1S</t>
        </is>
      </c>
      <c r="I7666">
        <v>446</v>
      </c>
      <c r="J7666">
        <f>GS11/340.6</f>
        <v>0</v>
      </c>
      <c r="M7666" t="inlineStr">
        <is>
          <t>-340K56.7</t>
        </is>
      </c>
    </row>
    <row r="7667">
      <c r="A7667">
        <v>7666</v>
      </c>
      <c r="B7667">
        <f>GS21</f>
        <v>0</v>
      </c>
      <c r="C7667" t="inlineStr">
        <is>
          <t>+LS8</t>
        </is>
      </c>
      <c r="D7667" t="inlineStr">
        <is>
          <t>-340K56.7</t>
        </is>
      </c>
      <c r="E7667" t="inlineStr">
        <is>
          <t>DIL_EM-10-G</t>
        </is>
      </c>
      <c r="F7667" t="inlineStr">
        <is>
          <t>#KALK!</t>
        </is>
      </c>
      <c r="G7667" t="inlineStr">
        <is>
          <t>LASTSCHUETZ</t>
        </is>
      </c>
      <c r="H7667" t="inlineStr">
        <is>
          <t>4kW 1S</t>
        </is>
      </c>
      <c r="I7667">
        <v>428</v>
      </c>
      <c r="J7667">
        <f>GS21/340.6</f>
        <v>0</v>
      </c>
      <c r="M7667" t="inlineStr">
        <is>
          <t>-340K56.7</t>
        </is>
      </c>
    </row>
    <row r="7668">
      <c r="A7668">
        <v>7667</v>
      </c>
      <c r="B7668">
        <f>GS02</f>
        <v>0</v>
      </c>
      <c r="C7668" t="inlineStr">
        <is>
          <t>+LS7</t>
        </is>
      </c>
      <c r="D7668" t="inlineStr">
        <is>
          <t>-340K58.4</t>
        </is>
      </c>
      <c r="E7668" t="inlineStr">
        <is>
          <t>DIL_EM-10-G</t>
        </is>
      </c>
      <c r="F7668" t="inlineStr">
        <is>
          <t>#KALK!</t>
        </is>
      </c>
      <c r="G7668" t="inlineStr">
        <is>
          <t>LASTSCHUETZ</t>
        </is>
      </c>
      <c r="H7668" t="inlineStr">
        <is>
          <t>4kW 1S</t>
        </is>
      </c>
      <c r="I7668">
        <v>746</v>
      </c>
      <c r="J7668">
        <f>GS02/340.7</f>
        <v>0</v>
      </c>
      <c r="M7668" t="inlineStr">
        <is>
          <t>-340K58.4</t>
        </is>
      </c>
    </row>
    <row r="7669">
      <c r="A7669">
        <v>7668</v>
      </c>
      <c r="B7669">
        <f>GS32</f>
        <v>0</v>
      </c>
      <c r="C7669" t="inlineStr">
        <is>
          <t>+LS8</t>
        </is>
      </c>
      <c r="D7669" t="inlineStr">
        <is>
          <t>-340K70.3</t>
        </is>
      </c>
      <c r="E7669" t="inlineStr">
        <is>
          <t>DIL_EM-10-G</t>
        </is>
      </c>
      <c r="F7669" t="inlineStr">
        <is>
          <t>#KALK!</t>
        </is>
      </c>
      <c r="G7669" t="inlineStr">
        <is>
          <t>LASTSCHUETZ</t>
        </is>
      </c>
      <c r="H7669" t="inlineStr">
        <is>
          <t>4kW 1S</t>
        </is>
      </c>
      <c r="I7669">
        <v>1237</v>
      </c>
      <c r="J7669">
        <f>GS32/340.7</f>
        <v>0</v>
      </c>
      <c r="M7669" t="inlineStr">
        <is>
          <t>-340K70.3</t>
        </is>
      </c>
    </row>
    <row r="7670">
      <c r="A7670">
        <v>7669</v>
      </c>
      <c r="B7670">
        <f>GS20</f>
        <v>0</v>
      </c>
      <c r="C7670" t="inlineStr">
        <is>
          <t>+LS08</t>
        </is>
      </c>
      <c r="D7670" t="inlineStr">
        <is>
          <t>-340Q1</t>
        </is>
      </c>
      <c r="E7670" t="inlineStr">
        <is>
          <t>DILA-XHI22</t>
        </is>
      </c>
      <c r="F7670" t="inlineStr">
        <is>
          <t>DILA-XHI22</t>
        </is>
      </c>
      <c r="G7670" t="inlineStr">
        <is>
          <t>HILFSKONTAKTBLOCK</t>
        </is>
      </c>
      <c r="H7670" t="inlineStr">
        <is>
          <t>2S 2OE Last+Hilfssch. Cage</t>
        </is>
      </c>
      <c r="I7670">
        <v>2633</v>
      </c>
      <c r="J7670">
        <f>GS20/340.4</f>
        <v>0</v>
      </c>
      <c r="K7670" t="inlineStr">
        <is>
          <t>DIL MC25</t>
        </is>
      </c>
      <c r="M7670" t="inlineStr">
        <is>
          <t>-340Q1</t>
        </is>
      </c>
    </row>
    <row r="7671">
      <c r="A7671">
        <v>7670</v>
      </c>
      <c r="B7671">
        <f>GS20</f>
        <v>0</v>
      </c>
      <c r="C7671" t="inlineStr">
        <is>
          <t>+LS08</t>
        </is>
      </c>
      <c r="D7671" t="inlineStr">
        <is>
          <t>-340Q1</t>
        </is>
      </c>
      <c r="E7671" t="inlineStr">
        <is>
          <t>DILMC25-10(RDC24)</t>
        </is>
      </c>
      <c r="F7671" t="inlineStr">
        <is>
          <t>DILA-XHI22</t>
        </is>
      </c>
      <c r="G7671" t="inlineStr">
        <is>
          <t>LASTSCHUETZ</t>
        </is>
      </c>
      <c r="H7671" t="inlineStr">
        <is>
          <t>11kW 1S Federzugkl.</t>
        </is>
      </c>
      <c r="I7671">
        <v>2633</v>
      </c>
      <c r="J7671">
        <f>GS20/340.4</f>
        <v>0</v>
      </c>
      <c r="K7671" t="inlineStr">
        <is>
          <t>DIL MC25</t>
        </is>
      </c>
      <c r="M7671" t="inlineStr">
        <is>
          <t>-340Q1</t>
        </is>
      </c>
    </row>
    <row r="7672">
      <c r="A7672">
        <v>7671</v>
      </c>
      <c r="B7672">
        <f>GS51</f>
        <v>0</v>
      </c>
      <c r="C7672" t="inlineStr">
        <is>
          <t>+LS04</t>
        </is>
      </c>
      <c r="D7672" t="inlineStr">
        <is>
          <t>-340Q1</t>
        </is>
      </c>
      <c r="E7672" t="inlineStr">
        <is>
          <t>DILA-XHI22</t>
        </is>
      </c>
      <c r="F7672" t="inlineStr">
        <is>
          <t>DILA-XHI22</t>
        </is>
      </c>
      <c r="G7672" t="inlineStr">
        <is>
          <t>HILFSKONTAKTBLOCK</t>
        </is>
      </c>
      <c r="H7672" t="inlineStr">
        <is>
          <t>2S 2OE Last+Hilfssch. Cage</t>
        </is>
      </c>
      <c r="I7672">
        <v>521</v>
      </c>
      <c r="J7672">
        <f>GS51/340.6</f>
        <v>0</v>
      </c>
      <c r="K7672" t="inlineStr">
        <is>
          <t>DIL MC25</t>
        </is>
      </c>
      <c r="M7672" t="inlineStr">
        <is>
          <t>-340Q1</t>
        </is>
      </c>
    </row>
    <row r="7673">
      <c r="A7673">
        <v>7672</v>
      </c>
      <c r="B7673">
        <f>GS51</f>
        <v>0</v>
      </c>
      <c r="C7673" t="inlineStr">
        <is>
          <t>+LS04</t>
        </is>
      </c>
      <c r="D7673" t="inlineStr">
        <is>
          <t>-340Q1</t>
        </is>
      </c>
      <c r="E7673" t="inlineStr">
        <is>
          <t>DILMC25-10(RDC24)</t>
        </is>
      </c>
      <c r="F7673" t="inlineStr">
        <is>
          <t>DILA-XHI22</t>
        </is>
      </c>
      <c r="G7673" t="inlineStr">
        <is>
          <t>LASTSCHUETZ</t>
        </is>
      </c>
      <c r="H7673" t="inlineStr">
        <is>
          <t>11kW 1S Federzugkl.</t>
        </is>
      </c>
      <c r="I7673">
        <v>521</v>
      </c>
      <c r="J7673">
        <f>GS51/340.6</f>
        <v>0</v>
      </c>
      <c r="K7673" t="inlineStr">
        <is>
          <t>DIL MC25</t>
        </is>
      </c>
      <c r="M7673" t="inlineStr">
        <is>
          <t>-340Q1</t>
        </is>
      </c>
    </row>
    <row r="7674">
      <c r="A7674">
        <v>7673</v>
      </c>
      <c r="B7674">
        <f>GS53</f>
        <v>0</v>
      </c>
      <c r="C7674" t="inlineStr">
        <is>
          <t>+LS12</t>
        </is>
      </c>
      <c r="D7674" t="inlineStr">
        <is>
          <t>-340Q1</t>
        </is>
      </c>
      <c r="E7674" t="inlineStr">
        <is>
          <t>DILMC25-10(RDC24)</t>
        </is>
      </c>
      <c r="F7674" t="inlineStr">
        <is>
          <t>DILA-XHI22</t>
        </is>
      </c>
      <c r="G7674" t="inlineStr">
        <is>
          <t>LASTSCHUETZ</t>
        </is>
      </c>
      <c r="H7674" t="inlineStr">
        <is>
          <t>11kW 1S Federzugkl.</t>
        </is>
      </c>
      <c r="I7674">
        <v>446</v>
      </c>
      <c r="J7674">
        <f>GS53/340.6</f>
        <v>0</v>
      </c>
      <c r="K7674" t="inlineStr">
        <is>
          <t>DIL MC25</t>
        </is>
      </c>
      <c r="M7674" t="inlineStr">
        <is>
          <t>-340Q1</t>
        </is>
      </c>
    </row>
    <row r="7675">
      <c r="A7675">
        <v>7674</v>
      </c>
      <c r="B7675">
        <f>GS53</f>
        <v>0</v>
      </c>
      <c r="C7675" t="inlineStr">
        <is>
          <t>+LS12</t>
        </is>
      </c>
      <c r="D7675" t="inlineStr">
        <is>
          <t>-340Q1</t>
        </is>
      </c>
      <c r="E7675" t="inlineStr">
        <is>
          <t>DILA-XHI22</t>
        </is>
      </c>
      <c r="F7675" t="inlineStr">
        <is>
          <t>DILA-XHI22</t>
        </is>
      </c>
      <c r="G7675" t="inlineStr">
        <is>
          <t>HILFSKONTAKTBLOCK</t>
        </is>
      </c>
      <c r="H7675" t="inlineStr">
        <is>
          <t>2S 2OE Last+Hilfssch. Cage</t>
        </is>
      </c>
      <c r="I7675">
        <v>446</v>
      </c>
      <c r="J7675">
        <f>GS53/340.6</f>
        <v>0</v>
      </c>
      <c r="K7675" t="inlineStr">
        <is>
          <t>DIL MC25</t>
        </is>
      </c>
      <c r="M7675" t="inlineStr">
        <is>
          <t>-340Q1</t>
        </is>
      </c>
    </row>
    <row r="7676">
      <c r="A7676">
        <v>7675</v>
      </c>
      <c r="B7676">
        <f>GS91</f>
        <v>0</v>
      </c>
      <c r="C7676" t="inlineStr">
        <is>
          <t>+LS05</t>
        </is>
      </c>
      <c r="D7676" t="inlineStr">
        <is>
          <t>-340Q1</t>
        </is>
      </c>
      <c r="E7676" t="inlineStr">
        <is>
          <t>DILA-XHI22</t>
        </is>
      </c>
      <c r="F7676" t="inlineStr">
        <is>
          <t>DILA-XHI22</t>
        </is>
      </c>
      <c r="G7676" t="inlineStr">
        <is>
          <t>HILFSKONTAKTBLOCK</t>
        </is>
      </c>
      <c r="H7676" t="inlineStr">
        <is>
          <t>2S 2OE Last+Hilfssch. Cage</t>
        </is>
      </c>
      <c r="I7676">
        <v>488</v>
      </c>
      <c r="J7676">
        <f>GS91/340.4</f>
        <v>0</v>
      </c>
      <c r="K7676" t="inlineStr">
        <is>
          <t>DIL MC25</t>
        </is>
      </c>
      <c r="M7676" t="inlineStr">
        <is>
          <t>-340Q1</t>
        </is>
      </c>
    </row>
    <row r="7677">
      <c r="A7677">
        <v>7676</v>
      </c>
      <c r="B7677">
        <f>GS91</f>
        <v>0</v>
      </c>
      <c r="C7677" t="inlineStr">
        <is>
          <t>+LS05</t>
        </is>
      </c>
      <c r="D7677" t="inlineStr">
        <is>
          <t>-340Q1</t>
        </is>
      </c>
      <c r="E7677" t="inlineStr">
        <is>
          <t>DILMC25-10(RDC24)</t>
        </is>
      </c>
      <c r="F7677" t="inlineStr">
        <is>
          <t>DILA-XHI22</t>
        </is>
      </c>
      <c r="G7677" t="inlineStr">
        <is>
          <t>LASTSCHUETZ</t>
        </is>
      </c>
      <c r="H7677" t="inlineStr">
        <is>
          <t>11kW 1S Federzugkl.</t>
        </is>
      </c>
      <c r="I7677">
        <v>488</v>
      </c>
      <c r="J7677">
        <f>GS91/340.4</f>
        <v>0</v>
      </c>
      <c r="K7677" t="inlineStr">
        <is>
          <t>DIL MC25</t>
        </is>
      </c>
      <c r="M7677" t="inlineStr">
        <is>
          <t>-340Q1</t>
        </is>
      </c>
    </row>
    <row r="7678">
      <c r="A7678">
        <v>7677</v>
      </c>
      <c r="B7678">
        <f>GS92</f>
        <v>0</v>
      </c>
      <c r="C7678" t="inlineStr">
        <is>
          <t>+LS06</t>
        </is>
      </c>
      <c r="D7678" t="inlineStr">
        <is>
          <t>-340Q1</t>
        </is>
      </c>
      <c r="E7678" t="inlineStr">
        <is>
          <t>DILMC25-10(RDC24)</t>
        </is>
      </c>
      <c r="F7678" t="inlineStr">
        <is>
          <t>DILA-XHI22</t>
        </is>
      </c>
      <c r="G7678" t="inlineStr">
        <is>
          <t>LASTSCHUETZ</t>
        </is>
      </c>
      <c r="H7678" t="inlineStr">
        <is>
          <t>11kW 1S Federzugkl.</t>
        </is>
      </c>
      <c r="I7678">
        <v>486</v>
      </c>
      <c r="J7678">
        <f>GS92/340.4</f>
        <v>0</v>
      </c>
      <c r="K7678" t="inlineStr">
        <is>
          <t>DIL MC25</t>
        </is>
      </c>
      <c r="M7678" t="inlineStr">
        <is>
          <t>-340Q1</t>
        </is>
      </c>
    </row>
    <row r="7679">
      <c r="A7679">
        <v>7678</v>
      </c>
      <c r="B7679">
        <f>GS92</f>
        <v>0</v>
      </c>
      <c r="C7679" t="inlineStr">
        <is>
          <t>+LS06</t>
        </is>
      </c>
      <c r="D7679" t="inlineStr">
        <is>
          <t>-340Q1</t>
        </is>
      </c>
      <c r="E7679" t="inlineStr">
        <is>
          <t>DILA-XHI22</t>
        </is>
      </c>
      <c r="F7679" t="inlineStr">
        <is>
          <t>DILA-XHI22</t>
        </is>
      </c>
      <c r="G7679" t="inlineStr">
        <is>
          <t>HILFSKONTAKTBLOCK</t>
        </is>
      </c>
      <c r="H7679" t="inlineStr">
        <is>
          <t>2S 2OE Last+Hilfssch. Cage</t>
        </is>
      </c>
      <c r="I7679">
        <v>486</v>
      </c>
      <c r="J7679">
        <f>GS92/340.4</f>
        <v>0</v>
      </c>
      <c r="K7679" t="inlineStr">
        <is>
          <t>DIL MC25</t>
        </is>
      </c>
      <c r="M7679" t="inlineStr">
        <is>
          <t>-340Q1</t>
        </is>
      </c>
    </row>
    <row r="7680">
      <c r="A7680">
        <v>7679</v>
      </c>
      <c r="B7680">
        <f>GS05</f>
        <v>0</v>
      </c>
      <c r="C7680" t="inlineStr">
        <is>
          <t>+LS05</t>
        </is>
      </c>
      <c r="D7680" t="inlineStr">
        <is>
          <t>-340Q135.1</t>
        </is>
      </c>
      <c r="E7680" t="inlineStr">
        <is>
          <t>DILM-9-10</t>
        </is>
      </c>
      <c r="F7680" t="inlineStr">
        <is>
          <t>#KALK!</t>
        </is>
      </c>
      <c r="G7680" t="inlineStr">
        <is>
          <t>LASTSCHUETZ</t>
        </is>
      </c>
      <c r="H7680" t="inlineStr">
        <is>
          <t>4kW 1S Federzugkl.</t>
        </is>
      </c>
      <c r="I7680">
        <v>2138</v>
      </c>
      <c r="J7680">
        <f>GS05/340.6</f>
        <v>0</v>
      </c>
      <c r="K7680" t="inlineStr">
        <is>
          <t>DIL MC9</t>
        </is>
      </c>
      <c r="M7680" t="inlineStr">
        <is>
          <t>-340Q135.1</t>
        </is>
      </c>
    </row>
    <row r="7681">
      <c r="A7681">
        <v>7680</v>
      </c>
      <c r="B7681">
        <f>GS04</f>
        <v>0</v>
      </c>
      <c r="C7681" t="inlineStr">
        <is>
          <t>+LS8</t>
        </is>
      </c>
      <c r="D7681" t="inlineStr">
        <is>
          <t>-341K1</t>
        </is>
      </c>
      <c r="E7681" t="inlineStr">
        <is>
          <t>DIL_0AM</t>
        </is>
      </c>
      <c r="F7681" t="inlineStr">
        <is>
          <t>22_DIL-M</t>
        </is>
      </c>
      <c r="G7681" t="inlineStr">
        <is>
          <t>LASTSCHUETZ</t>
        </is>
      </c>
      <c r="H7681" t="inlineStr">
        <is>
          <t>11 kW</t>
        </is>
      </c>
      <c r="I7681">
        <v>592</v>
      </c>
      <c r="J7681">
        <f>GS04/341.2</f>
        <v>0</v>
      </c>
      <c r="K7681" t="inlineStr">
        <is>
          <t>DIL0AM</t>
        </is>
      </c>
      <c r="M7681" t="inlineStr">
        <is>
          <t>-341K1</t>
        </is>
      </c>
    </row>
    <row r="7682">
      <c r="A7682">
        <v>7681</v>
      </c>
      <c r="B7682">
        <f>GS04</f>
        <v>0</v>
      </c>
      <c r="C7682" t="inlineStr">
        <is>
          <t>+LS8</t>
        </is>
      </c>
      <c r="D7682" t="inlineStr">
        <is>
          <t>-341K1</t>
        </is>
      </c>
      <c r="E7682" t="inlineStr">
        <is>
          <t>22_DIL-M</t>
        </is>
      </c>
      <c r="F7682" t="inlineStr">
        <is>
          <t>22_DIL-M</t>
        </is>
      </c>
      <c r="G7682" t="inlineStr">
        <is>
          <t>HILFSKONTAKTBLOCK</t>
        </is>
      </c>
      <c r="H7682" t="inlineStr">
        <is>
          <t>2S 2OE Lastschuetz DIL M</t>
        </is>
      </c>
      <c r="I7682">
        <v>592</v>
      </c>
      <c r="J7682">
        <f>GS04/341.2</f>
        <v>0</v>
      </c>
      <c r="K7682" t="inlineStr">
        <is>
          <t>DIL0AM</t>
        </is>
      </c>
      <c r="M7682" t="inlineStr">
        <is>
          <t>-341K1</t>
        </is>
      </c>
    </row>
    <row r="7683">
      <c r="A7683">
        <v>7682</v>
      </c>
      <c r="B7683">
        <f>GS38</f>
        <v>0</v>
      </c>
      <c r="C7683" t="inlineStr">
        <is>
          <t>+LS07</t>
        </is>
      </c>
      <c r="D7683" t="inlineStr">
        <is>
          <t>-341K1</t>
        </is>
      </c>
      <c r="E7683" t="inlineStr">
        <is>
          <t>DILM-9-01</t>
        </is>
      </c>
      <c r="F7683" t="inlineStr">
        <is>
          <t>#KALK!</t>
        </is>
      </c>
      <c r="G7683" t="inlineStr">
        <is>
          <t>LASTSCHUETZ</t>
        </is>
      </c>
      <c r="H7683" t="inlineStr">
        <is>
          <t>4kW 1Oe Federzugkl.</t>
        </is>
      </c>
      <c r="I7683">
        <v>506</v>
      </c>
      <c r="J7683">
        <f>GS38/341.5</f>
        <v>0</v>
      </c>
      <c r="M7683" t="inlineStr">
        <is>
          <t>-341K1</t>
        </is>
      </c>
    </row>
    <row r="7684">
      <c r="A7684">
        <v>7683</v>
      </c>
      <c r="B7684">
        <f>GS39</f>
        <v>0</v>
      </c>
      <c r="C7684" t="inlineStr">
        <is>
          <t>+LS07</t>
        </is>
      </c>
      <c r="D7684" t="inlineStr">
        <is>
          <t>-341K1</t>
        </is>
      </c>
      <c r="E7684" t="inlineStr">
        <is>
          <t>DILM-9-01</t>
        </is>
      </c>
      <c r="F7684" t="inlineStr">
        <is>
          <t>#KALK!</t>
        </is>
      </c>
      <c r="G7684" t="inlineStr">
        <is>
          <t>LASTSCHUETZ</t>
        </is>
      </c>
      <c r="H7684" t="inlineStr">
        <is>
          <t>4kW 1Oe Federzugkl.</t>
        </is>
      </c>
      <c r="I7684">
        <v>509</v>
      </c>
      <c r="J7684">
        <f>GS39/341.5</f>
        <v>0</v>
      </c>
      <c r="M7684" t="inlineStr">
        <is>
          <t>-341K1</t>
        </is>
      </c>
    </row>
    <row r="7685">
      <c r="A7685">
        <v>7684</v>
      </c>
      <c r="B7685">
        <f>GS38</f>
        <v>0</v>
      </c>
      <c r="C7685" t="inlineStr">
        <is>
          <t>+LS07</t>
        </is>
      </c>
      <c r="D7685" t="inlineStr">
        <is>
          <t>-341K2</t>
        </is>
      </c>
      <c r="E7685" t="inlineStr">
        <is>
          <t>DILM-9-01</t>
        </is>
      </c>
      <c r="F7685" t="inlineStr">
        <is>
          <t>#KALK!</t>
        </is>
      </c>
      <c r="G7685" t="inlineStr">
        <is>
          <t>LASTSCHUETZ</t>
        </is>
      </c>
      <c r="H7685" t="inlineStr">
        <is>
          <t>4kW 1Oe Federzugkl.</t>
        </is>
      </c>
      <c r="I7685">
        <v>506</v>
      </c>
      <c r="J7685">
        <f>GS38/341.6</f>
        <v>0</v>
      </c>
      <c r="M7685" t="inlineStr">
        <is>
          <t>-341K2</t>
        </is>
      </c>
    </row>
    <row r="7686">
      <c r="A7686">
        <v>7685</v>
      </c>
      <c r="B7686">
        <f>GS39</f>
        <v>0</v>
      </c>
      <c r="C7686" t="inlineStr">
        <is>
          <t>+LS07</t>
        </is>
      </c>
      <c r="D7686" t="inlineStr">
        <is>
          <t>-341K2</t>
        </is>
      </c>
      <c r="E7686" t="inlineStr">
        <is>
          <t>DILM-9-01</t>
        </is>
      </c>
      <c r="F7686" t="inlineStr">
        <is>
          <t>#KALK!</t>
        </is>
      </c>
      <c r="G7686" t="inlineStr">
        <is>
          <t>LASTSCHUETZ</t>
        </is>
      </c>
      <c r="H7686" t="inlineStr">
        <is>
          <t>4kW 1Oe Federzugkl.</t>
        </is>
      </c>
      <c r="I7686">
        <v>509</v>
      </c>
      <c r="J7686">
        <f>GS39/341.6</f>
        <v>0</v>
      </c>
      <c r="M7686" t="inlineStr">
        <is>
          <t>-341K2</t>
        </is>
      </c>
    </row>
    <row r="7687">
      <c r="A7687">
        <v>7686</v>
      </c>
      <c r="B7687">
        <f>GS31</f>
        <v>0</v>
      </c>
      <c r="C7687" t="inlineStr">
        <is>
          <t>+LS6.1</t>
        </is>
      </c>
      <c r="D7687" t="inlineStr">
        <is>
          <t>-341K3617.0</t>
        </is>
      </c>
      <c r="E7687" t="inlineStr">
        <is>
          <t>DIL_EM-10-G</t>
        </is>
      </c>
      <c r="F7687" t="inlineStr">
        <is>
          <t>#KALK!</t>
        </is>
      </c>
      <c r="G7687" t="inlineStr">
        <is>
          <t>LASTSCHUETZ</t>
        </is>
      </c>
      <c r="H7687" t="inlineStr">
        <is>
          <t>4kW 1S</t>
        </is>
      </c>
      <c r="I7687">
        <v>632</v>
      </c>
      <c r="J7687">
        <f>GS31/341.7</f>
        <v>0</v>
      </c>
      <c r="M7687" t="inlineStr">
        <is>
          <t>-341K3617.0</t>
        </is>
      </c>
    </row>
    <row r="7688">
      <c r="A7688">
        <v>7687</v>
      </c>
      <c r="B7688">
        <f>GS11</f>
        <v>0</v>
      </c>
      <c r="C7688" t="inlineStr">
        <is>
          <t>+LS8</t>
        </is>
      </c>
      <c r="D7688" t="inlineStr">
        <is>
          <t>-341K57.4</t>
        </is>
      </c>
      <c r="E7688" t="inlineStr">
        <is>
          <t>DIL_EM-10-G</t>
        </is>
      </c>
      <c r="F7688" t="inlineStr">
        <is>
          <t>#KALK!</t>
        </is>
      </c>
      <c r="G7688" t="inlineStr">
        <is>
          <t>LASTSCHUETZ</t>
        </is>
      </c>
      <c r="H7688" t="inlineStr">
        <is>
          <t>4kW 1S</t>
        </is>
      </c>
      <c r="I7688">
        <v>447</v>
      </c>
      <c r="J7688">
        <f>GS11/341.7</f>
        <v>0</v>
      </c>
      <c r="M7688" t="inlineStr">
        <is>
          <t>-341K57.4</t>
        </is>
      </c>
    </row>
    <row r="7689">
      <c r="A7689">
        <v>7688</v>
      </c>
      <c r="B7689">
        <f>GS21</f>
        <v>0</v>
      </c>
      <c r="C7689" t="inlineStr">
        <is>
          <t>+LS8</t>
        </is>
      </c>
      <c r="D7689" t="inlineStr">
        <is>
          <t>-341K57.4</t>
        </is>
      </c>
      <c r="E7689" t="inlineStr">
        <is>
          <t>DIL_EM-10-G</t>
        </is>
      </c>
      <c r="F7689" t="inlineStr">
        <is>
          <t>#KALK!</t>
        </is>
      </c>
      <c r="G7689" t="inlineStr">
        <is>
          <t>LASTSCHUETZ</t>
        </is>
      </c>
      <c r="H7689" t="inlineStr">
        <is>
          <t>4kW 1S</t>
        </is>
      </c>
      <c r="I7689">
        <v>429</v>
      </c>
      <c r="J7689">
        <f>GS21/341.7</f>
        <v>0</v>
      </c>
      <c r="M7689" t="inlineStr">
        <is>
          <t>-341K57.4</t>
        </is>
      </c>
    </row>
    <row r="7690">
      <c r="A7690">
        <v>7689</v>
      </c>
      <c r="B7690">
        <f>GC22</f>
        <v>0</v>
      </c>
      <c r="C7690" t="inlineStr">
        <is>
          <t>+ES4</t>
        </is>
      </c>
      <c r="D7690" t="inlineStr">
        <is>
          <t>-341K7.0</t>
        </is>
      </c>
      <c r="E7690" t="inlineStr">
        <is>
          <t>40_DIL-E</t>
        </is>
      </c>
      <c r="F7690" t="inlineStr">
        <is>
          <t>40_DIL-E</t>
        </is>
      </c>
      <c r="G7690" t="inlineStr">
        <is>
          <t>HILFSKONTAKTBLOCK</t>
        </is>
      </c>
      <c r="H7690" t="inlineStr">
        <is>
          <t>4S Last+Hilfsschuetz</t>
        </is>
      </c>
      <c r="I7690">
        <v>711</v>
      </c>
      <c r="J7690">
        <f>GC22/341.6</f>
        <v>0</v>
      </c>
      <c r="M7690" t="inlineStr">
        <is>
          <t>-341K7.0</t>
        </is>
      </c>
    </row>
    <row r="7691">
      <c r="A7691">
        <v>7690</v>
      </c>
      <c r="B7691">
        <f>GC22</f>
        <v>0</v>
      </c>
      <c r="C7691" t="inlineStr">
        <is>
          <t>+ES4</t>
        </is>
      </c>
      <c r="D7691" t="inlineStr">
        <is>
          <t>-341K7.0</t>
        </is>
      </c>
      <c r="E7691" t="inlineStr">
        <is>
          <t>DIL_ER-40-G</t>
        </is>
      </c>
      <c r="F7691" t="inlineStr">
        <is>
          <t>40_DIL-E</t>
        </is>
      </c>
      <c r="G7691" t="inlineStr">
        <is>
          <t>HILFSSCHUETZ</t>
        </is>
      </c>
      <c r="H7691" t="inlineStr">
        <is>
          <t>4S</t>
        </is>
      </c>
      <c r="I7691">
        <v>711</v>
      </c>
      <c r="J7691">
        <f>GC22/341.6</f>
        <v>0</v>
      </c>
      <c r="M7691" t="inlineStr">
        <is>
          <t>-341K7.0</t>
        </is>
      </c>
    </row>
    <row r="7692">
      <c r="A7692">
        <v>7691</v>
      </c>
      <c r="B7692">
        <f>GS12</f>
        <v>0</v>
      </c>
      <c r="C7692" t="inlineStr">
        <is>
          <t>+ES4</t>
        </is>
      </c>
      <c r="D7692" t="inlineStr">
        <is>
          <t>-341K7.0</t>
        </is>
      </c>
      <c r="E7692" t="inlineStr">
        <is>
          <t>DIL_ER-40-G</t>
        </is>
      </c>
      <c r="F7692" t="inlineStr">
        <is>
          <t>40_DIL-E</t>
        </is>
      </c>
      <c r="G7692" t="inlineStr">
        <is>
          <t>HILFSSCHUETZ</t>
        </is>
      </c>
      <c r="H7692" t="inlineStr">
        <is>
          <t>4S</t>
        </is>
      </c>
      <c r="I7692">
        <v>473</v>
      </c>
      <c r="J7692">
        <f>GS12/341.6</f>
        <v>0</v>
      </c>
      <c r="M7692" t="inlineStr">
        <is>
          <t>-341K7.0</t>
        </is>
      </c>
    </row>
    <row r="7693">
      <c r="A7693">
        <v>7692</v>
      </c>
      <c r="B7693">
        <f>GS12</f>
        <v>0</v>
      </c>
      <c r="C7693" t="inlineStr">
        <is>
          <t>+ES4</t>
        </is>
      </c>
      <c r="D7693" t="inlineStr">
        <is>
          <t>-341K7.0</t>
        </is>
      </c>
      <c r="E7693" t="inlineStr">
        <is>
          <t>40_DIL-E</t>
        </is>
      </c>
      <c r="F7693" t="inlineStr">
        <is>
          <t>40_DIL-E</t>
        </is>
      </c>
      <c r="G7693" t="inlineStr">
        <is>
          <t>HILFSKONTAKTBLOCK</t>
        </is>
      </c>
      <c r="H7693" t="inlineStr">
        <is>
          <t>4S Last+Hilfsschuetz</t>
        </is>
      </c>
      <c r="I7693">
        <v>473</v>
      </c>
      <c r="J7693">
        <f>GS12/341.6</f>
        <v>0</v>
      </c>
      <c r="M7693" t="inlineStr">
        <is>
          <t>-341K7.0</t>
        </is>
      </c>
    </row>
    <row r="7694">
      <c r="A7694">
        <v>7693</v>
      </c>
      <c r="B7694">
        <f>GC22</f>
        <v>0</v>
      </c>
      <c r="C7694" t="inlineStr">
        <is>
          <t>+ES4</t>
        </is>
      </c>
      <c r="D7694" t="inlineStr">
        <is>
          <t>-341K7.1</t>
        </is>
      </c>
      <c r="E7694" t="inlineStr">
        <is>
          <t>40_DIL-E</t>
        </is>
      </c>
      <c r="F7694" t="inlineStr">
        <is>
          <t>40_DIL-E</t>
        </is>
      </c>
      <c r="G7694" t="inlineStr">
        <is>
          <t>HILFSKONTAKTBLOCK</t>
        </is>
      </c>
      <c r="H7694" t="inlineStr">
        <is>
          <t>4S Last+Hilfsschuetz</t>
        </is>
      </c>
      <c r="I7694">
        <v>711</v>
      </c>
      <c r="J7694">
        <f>GC22/341.6</f>
        <v>0</v>
      </c>
      <c r="M7694" t="inlineStr">
        <is>
          <t>-341K7.1</t>
        </is>
      </c>
    </row>
    <row r="7695">
      <c r="A7695">
        <v>7694</v>
      </c>
      <c r="B7695">
        <f>GC22</f>
        <v>0</v>
      </c>
      <c r="C7695" t="inlineStr">
        <is>
          <t>+ES4</t>
        </is>
      </c>
      <c r="D7695" t="inlineStr">
        <is>
          <t>-341K7.1</t>
        </is>
      </c>
      <c r="E7695" t="inlineStr">
        <is>
          <t>DIL_ER-40-G</t>
        </is>
      </c>
      <c r="F7695" t="inlineStr">
        <is>
          <t>40_DIL-E</t>
        </is>
      </c>
      <c r="G7695" t="inlineStr">
        <is>
          <t>HILFSSCHUETZ</t>
        </is>
      </c>
      <c r="H7695" t="inlineStr">
        <is>
          <t>4S</t>
        </is>
      </c>
      <c r="I7695">
        <v>711</v>
      </c>
      <c r="J7695">
        <f>GC22/341.6</f>
        <v>0</v>
      </c>
      <c r="M7695" t="inlineStr">
        <is>
          <t>-341K7.1</t>
        </is>
      </c>
    </row>
    <row r="7696">
      <c r="A7696">
        <v>7695</v>
      </c>
      <c r="B7696">
        <f>GS12</f>
        <v>0</v>
      </c>
      <c r="C7696" t="inlineStr">
        <is>
          <t>+ES4</t>
        </is>
      </c>
      <c r="D7696" t="inlineStr">
        <is>
          <t>-341K7.1</t>
        </is>
      </c>
      <c r="E7696" t="inlineStr">
        <is>
          <t>DIL_ER-40-G</t>
        </is>
      </c>
      <c r="F7696" t="inlineStr">
        <is>
          <t>40_DIL-E</t>
        </is>
      </c>
      <c r="G7696" t="inlineStr">
        <is>
          <t>HILFSSCHUETZ</t>
        </is>
      </c>
      <c r="H7696" t="inlineStr">
        <is>
          <t>4S</t>
        </is>
      </c>
      <c r="I7696">
        <v>473</v>
      </c>
      <c r="J7696">
        <f>GS12/341.6</f>
        <v>0</v>
      </c>
      <c r="M7696" t="inlineStr">
        <is>
          <t>-341K7.1</t>
        </is>
      </c>
    </row>
    <row r="7697">
      <c r="A7697">
        <v>7696</v>
      </c>
      <c r="B7697">
        <f>GS12</f>
        <v>0</v>
      </c>
      <c r="C7697" t="inlineStr">
        <is>
          <t>+ES4</t>
        </is>
      </c>
      <c r="D7697" t="inlineStr">
        <is>
          <t>-341K7.1</t>
        </is>
      </c>
      <c r="E7697" t="inlineStr">
        <is>
          <t>40_DIL-E</t>
        </is>
      </c>
      <c r="F7697" t="inlineStr">
        <is>
          <t>40_DIL-E</t>
        </is>
      </c>
      <c r="G7697" t="inlineStr">
        <is>
          <t>HILFSKONTAKTBLOCK</t>
        </is>
      </c>
      <c r="H7697" t="inlineStr">
        <is>
          <t>4S Last+Hilfsschuetz</t>
        </is>
      </c>
      <c r="I7697">
        <v>473</v>
      </c>
      <c r="J7697">
        <f>GS12/341.6</f>
        <v>0</v>
      </c>
      <c r="M7697" t="inlineStr">
        <is>
          <t>-341K7.1</t>
        </is>
      </c>
    </row>
    <row r="7698">
      <c r="A7698">
        <v>7697</v>
      </c>
      <c r="B7698">
        <f>GS38</f>
        <v>0</v>
      </c>
      <c r="C7698" t="inlineStr">
        <is>
          <t>+LS07</t>
        </is>
      </c>
      <c r="D7698" t="inlineStr">
        <is>
          <t>-342K1</t>
        </is>
      </c>
      <c r="E7698" t="inlineStr">
        <is>
          <t>DILM-9-01</t>
        </is>
      </c>
      <c r="F7698" t="inlineStr">
        <is>
          <t>#KALK!</t>
        </is>
      </c>
      <c r="G7698" t="inlineStr">
        <is>
          <t>LASTSCHUETZ</t>
        </is>
      </c>
      <c r="H7698" t="inlineStr">
        <is>
          <t>4kW 1Oe Federzugkl.</t>
        </is>
      </c>
      <c r="I7698">
        <v>507</v>
      </c>
      <c r="J7698">
        <f>GS38/342.5</f>
        <v>0</v>
      </c>
      <c r="M7698" t="inlineStr">
        <is>
          <t>-342K1</t>
        </is>
      </c>
    </row>
    <row r="7699">
      <c r="A7699">
        <v>7698</v>
      </c>
      <c r="B7699">
        <f>GS39</f>
        <v>0</v>
      </c>
      <c r="C7699" t="inlineStr">
        <is>
          <t>+LS07</t>
        </is>
      </c>
      <c r="D7699" t="inlineStr">
        <is>
          <t>-342K1</t>
        </is>
      </c>
      <c r="E7699" t="inlineStr">
        <is>
          <t>DILM-9-01</t>
        </is>
      </c>
      <c r="F7699" t="inlineStr">
        <is>
          <t>#KALK!</t>
        </is>
      </c>
      <c r="G7699" t="inlineStr">
        <is>
          <t>LASTSCHUETZ</t>
        </is>
      </c>
      <c r="H7699" t="inlineStr">
        <is>
          <t>4kW 1Oe Federzugkl.</t>
        </is>
      </c>
      <c r="I7699">
        <v>510</v>
      </c>
      <c r="J7699">
        <f>GS39/342.5</f>
        <v>0</v>
      </c>
      <c r="M7699" t="inlineStr">
        <is>
          <t>-342K1</t>
        </is>
      </c>
    </row>
    <row r="7700">
      <c r="A7700">
        <v>7699</v>
      </c>
      <c r="B7700">
        <f>GS24</f>
        <v>0</v>
      </c>
      <c r="C7700" t="inlineStr">
        <is>
          <t>+LS7</t>
        </is>
      </c>
      <c r="D7700" t="inlineStr">
        <is>
          <t>-342K18.0</t>
        </is>
      </c>
      <c r="E7700" t="inlineStr">
        <is>
          <t>DIL_EM-10-G</t>
        </is>
      </c>
      <c r="F7700" t="inlineStr">
        <is>
          <t>#KALK!</t>
        </is>
      </c>
      <c r="G7700" t="inlineStr">
        <is>
          <t>LASTSCHUETZ</t>
        </is>
      </c>
      <c r="H7700" t="inlineStr">
        <is>
          <t>4kW 1S</t>
        </is>
      </c>
      <c r="I7700">
        <v>745</v>
      </c>
      <c r="J7700">
        <f>GS24/342.6</f>
        <v>0</v>
      </c>
      <c r="M7700" t="inlineStr">
        <is>
          <t>-342K18.0</t>
        </is>
      </c>
    </row>
    <row r="7701">
      <c r="A7701">
        <v>7700</v>
      </c>
      <c r="B7701">
        <f>GS24</f>
        <v>0</v>
      </c>
      <c r="C7701" t="inlineStr">
        <is>
          <t>+LS7</t>
        </is>
      </c>
      <c r="D7701" t="inlineStr">
        <is>
          <t>-342K18.1</t>
        </is>
      </c>
      <c r="E7701" t="inlineStr">
        <is>
          <t>DIL_EM-10-G</t>
        </is>
      </c>
      <c r="F7701" t="inlineStr">
        <is>
          <t>#KALK!</t>
        </is>
      </c>
      <c r="G7701" t="inlineStr">
        <is>
          <t>LASTSCHUETZ</t>
        </is>
      </c>
      <c r="H7701" t="inlineStr">
        <is>
          <t>4kW 1S</t>
        </is>
      </c>
      <c r="I7701">
        <v>745</v>
      </c>
      <c r="J7701">
        <f>GS24/342.6</f>
        <v>0</v>
      </c>
      <c r="M7701" t="inlineStr">
        <is>
          <t>-342K18.1</t>
        </is>
      </c>
    </row>
    <row r="7702">
      <c r="A7702">
        <v>7701</v>
      </c>
      <c r="B7702">
        <f>GS38</f>
        <v>0</v>
      </c>
      <c r="C7702" t="inlineStr">
        <is>
          <t>+LS07</t>
        </is>
      </c>
      <c r="D7702" t="inlineStr">
        <is>
          <t>-342K2</t>
        </is>
      </c>
      <c r="E7702" t="inlineStr">
        <is>
          <t>DILM-9-01</t>
        </is>
      </c>
      <c r="F7702" t="inlineStr">
        <is>
          <t>#KALK!</t>
        </is>
      </c>
      <c r="G7702" t="inlineStr">
        <is>
          <t>LASTSCHUETZ</t>
        </is>
      </c>
      <c r="H7702" t="inlineStr">
        <is>
          <t>4kW 1Oe Federzugkl.</t>
        </is>
      </c>
      <c r="I7702">
        <v>507</v>
      </c>
      <c r="J7702">
        <f>GS38/342.6</f>
        <v>0</v>
      </c>
      <c r="M7702" t="inlineStr">
        <is>
          <t>-342K2</t>
        </is>
      </c>
    </row>
    <row r="7703">
      <c r="A7703">
        <v>7702</v>
      </c>
      <c r="B7703">
        <f>GS39</f>
        <v>0</v>
      </c>
      <c r="C7703" t="inlineStr">
        <is>
          <t>+LS07</t>
        </is>
      </c>
      <c r="D7703" t="inlineStr">
        <is>
          <t>-342K2</t>
        </is>
      </c>
      <c r="E7703" t="inlineStr">
        <is>
          <t>DILM-9-01</t>
        </is>
      </c>
      <c r="F7703" t="inlineStr">
        <is>
          <t>#KALK!</t>
        </is>
      </c>
      <c r="G7703" t="inlineStr">
        <is>
          <t>LASTSCHUETZ</t>
        </is>
      </c>
      <c r="H7703" t="inlineStr">
        <is>
          <t>4kW 1Oe Federzugkl.</t>
        </is>
      </c>
      <c r="I7703">
        <v>510</v>
      </c>
      <c r="J7703">
        <f>GS39/342.6</f>
        <v>0</v>
      </c>
      <c r="M7703" t="inlineStr">
        <is>
          <t>-342K2</t>
        </is>
      </c>
    </row>
    <row r="7704">
      <c r="A7704">
        <v>7703</v>
      </c>
      <c r="B7704">
        <f>GS25</f>
        <v>0</v>
      </c>
      <c r="C7704" t="inlineStr">
        <is>
          <t>+LS7</t>
        </is>
      </c>
      <c r="D7704" t="inlineStr">
        <is>
          <t>-342K22.0</t>
        </is>
      </c>
      <c r="E7704" t="inlineStr">
        <is>
          <t>DIL_EM-10-G</t>
        </is>
      </c>
      <c r="F7704" t="inlineStr">
        <is>
          <t>#KALK!</t>
        </is>
      </c>
      <c r="G7704" t="inlineStr">
        <is>
          <t>LASTSCHUETZ</t>
        </is>
      </c>
      <c r="H7704" t="inlineStr">
        <is>
          <t>4kW 1S</t>
        </is>
      </c>
      <c r="I7704">
        <v>466</v>
      </c>
      <c r="J7704">
        <f>GS25/342.6</f>
        <v>0</v>
      </c>
      <c r="M7704" t="inlineStr">
        <is>
          <t>-342K22.0</t>
        </is>
      </c>
    </row>
    <row r="7705">
      <c r="A7705">
        <v>7704</v>
      </c>
      <c r="B7705">
        <f>GS25</f>
        <v>0</v>
      </c>
      <c r="C7705" t="inlineStr">
        <is>
          <t>+LS7</t>
        </is>
      </c>
      <c r="D7705" t="inlineStr">
        <is>
          <t>-342K22.1</t>
        </is>
      </c>
      <c r="E7705" t="inlineStr">
        <is>
          <t>DIL_EM-10-G</t>
        </is>
      </c>
      <c r="F7705" t="inlineStr">
        <is>
          <t>#KALK!</t>
        </is>
      </c>
      <c r="G7705" t="inlineStr">
        <is>
          <t>LASTSCHUETZ</t>
        </is>
      </c>
      <c r="H7705" t="inlineStr">
        <is>
          <t>4kW 1S</t>
        </is>
      </c>
      <c r="I7705">
        <v>466</v>
      </c>
      <c r="J7705">
        <f>GS25/342.6</f>
        <v>0</v>
      </c>
      <c r="M7705" t="inlineStr">
        <is>
          <t>-342K22.1</t>
        </is>
      </c>
    </row>
    <row r="7706">
      <c r="A7706">
        <v>7705</v>
      </c>
      <c r="B7706">
        <f>GS11</f>
        <v>0</v>
      </c>
      <c r="C7706" t="inlineStr">
        <is>
          <t>+LS8</t>
        </is>
      </c>
      <c r="D7706" t="inlineStr">
        <is>
          <t>-342K58.0</t>
        </is>
      </c>
      <c r="E7706" t="inlineStr">
        <is>
          <t>DIL_EM-10-G</t>
        </is>
      </c>
      <c r="F7706" t="inlineStr">
        <is>
          <t>#KALK!</t>
        </is>
      </c>
      <c r="G7706" t="inlineStr">
        <is>
          <t>LASTSCHUETZ</t>
        </is>
      </c>
      <c r="H7706" t="inlineStr">
        <is>
          <t>4kW 1S</t>
        </is>
      </c>
      <c r="I7706">
        <v>448</v>
      </c>
      <c r="J7706">
        <f>GS11/342.7</f>
        <v>0</v>
      </c>
      <c r="M7706" t="inlineStr">
        <is>
          <t>-342K58.0</t>
        </is>
      </c>
    </row>
    <row r="7707">
      <c r="A7707">
        <v>7706</v>
      </c>
      <c r="B7707">
        <f>GS21</f>
        <v>0</v>
      </c>
      <c r="C7707" t="inlineStr">
        <is>
          <t>+LS8</t>
        </is>
      </c>
      <c r="D7707" t="inlineStr">
        <is>
          <t>-342K58.0</t>
        </is>
      </c>
      <c r="E7707" t="inlineStr">
        <is>
          <t>DIL_EM-10-G</t>
        </is>
      </c>
      <c r="F7707" t="inlineStr">
        <is>
          <t>#KALK!</t>
        </is>
      </c>
      <c r="G7707" t="inlineStr">
        <is>
          <t>LASTSCHUETZ</t>
        </is>
      </c>
      <c r="H7707" t="inlineStr">
        <is>
          <t>4kW 1S</t>
        </is>
      </c>
      <c r="I7707">
        <v>430</v>
      </c>
      <c r="J7707">
        <f>GS21/342.7</f>
        <v>0</v>
      </c>
      <c r="M7707" t="inlineStr">
        <is>
          <t>-342K58.0</t>
        </is>
      </c>
    </row>
    <row r="7708">
      <c r="A7708">
        <v>7707</v>
      </c>
      <c r="B7708">
        <f>GS32</f>
        <v>0</v>
      </c>
      <c r="C7708" t="inlineStr">
        <is>
          <t>+LS8</t>
        </is>
      </c>
      <c r="D7708" t="inlineStr">
        <is>
          <t>-342K71.3</t>
        </is>
      </c>
      <c r="E7708" t="inlineStr">
        <is>
          <t>DIL_EM-10-G</t>
        </is>
      </c>
      <c r="F7708" t="inlineStr">
        <is>
          <t>#KALK!</t>
        </is>
      </c>
      <c r="G7708" t="inlineStr">
        <is>
          <t>LASTSCHUETZ</t>
        </is>
      </c>
      <c r="H7708" t="inlineStr">
        <is>
          <t>4kW 1S</t>
        </is>
      </c>
      <c r="I7708">
        <v>1235</v>
      </c>
      <c r="J7708">
        <f>GS32/342.7</f>
        <v>0</v>
      </c>
      <c r="M7708" t="inlineStr">
        <is>
          <t>-342K71.3</t>
        </is>
      </c>
    </row>
    <row r="7709">
      <c r="A7709">
        <v>7708</v>
      </c>
      <c r="B7709">
        <f>GC22</f>
        <v>0</v>
      </c>
      <c r="C7709" t="inlineStr">
        <is>
          <t>+ES4</t>
        </is>
      </c>
      <c r="D7709" t="inlineStr">
        <is>
          <t>-342K96.2</t>
        </is>
      </c>
      <c r="E7709" t="inlineStr">
        <is>
          <t>DIL_ER-22-G</t>
        </is>
      </c>
      <c r="F7709" t="inlineStr">
        <is>
          <t>#KALK!</t>
        </is>
      </c>
      <c r="G7709" t="inlineStr">
        <is>
          <t>HILFSSCHUETZ</t>
        </is>
      </c>
      <c r="H7709" t="inlineStr">
        <is>
          <t>2S 2OE</t>
        </is>
      </c>
      <c r="I7709">
        <v>712</v>
      </c>
      <c r="J7709">
        <f>GC22/342.6</f>
        <v>0</v>
      </c>
      <c r="M7709" t="inlineStr">
        <is>
          <t>-342K96.2</t>
        </is>
      </c>
    </row>
    <row r="7710">
      <c r="A7710">
        <v>7709</v>
      </c>
      <c r="B7710">
        <f>GS12</f>
        <v>0</v>
      </c>
      <c r="C7710" t="inlineStr">
        <is>
          <t>+ES4</t>
        </is>
      </c>
      <c r="D7710" t="inlineStr">
        <is>
          <t>-342K96.2</t>
        </is>
      </c>
      <c r="E7710" t="inlineStr">
        <is>
          <t>DIL_ER-22-G</t>
        </is>
      </c>
      <c r="F7710" t="inlineStr">
        <is>
          <t>#KALK!</t>
        </is>
      </c>
      <c r="G7710" t="inlineStr">
        <is>
          <t>HILFSSCHUETZ</t>
        </is>
      </c>
      <c r="H7710" t="inlineStr">
        <is>
          <t>2S 2OE</t>
        </is>
      </c>
      <c r="I7710">
        <v>474</v>
      </c>
      <c r="J7710">
        <f>GS12/342.6</f>
        <v>0</v>
      </c>
      <c r="M7710" t="inlineStr">
        <is>
          <t>-342K96.2</t>
        </is>
      </c>
    </row>
    <row r="7711">
      <c r="A7711">
        <v>7710</v>
      </c>
      <c r="B7711">
        <f>GS92</f>
        <v>0</v>
      </c>
      <c r="C7711" t="inlineStr">
        <is>
          <t>+LS06</t>
        </is>
      </c>
      <c r="D7711" t="inlineStr">
        <is>
          <t>-342Q452.6</t>
        </is>
      </c>
      <c r="E7711" t="inlineStr">
        <is>
          <t>DILM-9-10</t>
        </is>
      </c>
      <c r="F7711" t="inlineStr">
        <is>
          <t>#KALK!</t>
        </is>
      </c>
      <c r="G7711" t="inlineStr">
        <is>
          <t>LASTSCHUETZ</t>
        </is>
      </c>
      <c r="H7711" t="inlineStr">
        <is>
          <t>4kW 1S Federzugkl.</t>
        </is>
      </c>
      <c r="I7711">
        <v>487</v>
      </c>
      <c r="J7711">
        <f>GS92/342.5</f>
        <v>0</v>
      </c>
      <c r="M7711" t="inlineStr">
        <is>
          <t>-342Q452.6</t>
        </is>
      </c>
    </row>
    <row r="7712">
      <c r="A7712">
        <v>7711</v>
      </c>
      <c r="B7712">
        <f>GS36</f>
        <v>0</v>
      </c>
      <c r="C7712" t="inlineStr">
        <is>
          <t>+LS08</t>
        </is>
      </c>
      <c r="D7712" t="inlineStr">
        <is>
          <t>-365K1</t>
        </is>
      </c>
      <c r="E7712" t="inlineStr">
        <is>
          <t>DILA-40</t>
        </is>
      </c>
      <c r="F7712" t="inlineStr">
        <is>
          <t>#KALK!</t>
        </is>
      </c>
      <c r="G7712" t="inlineStr">
        <is>
          <t>HILFSSCHUETZ</t>
        </is>
      </c>
      <c r="H7712" t="inlineStr">
        <is>
          <t>4S Federzugkl.</t>
        </is>
      </c>
      <c r="I7712">
        <v>538</v>
      </c>
      <c r="J7712">
        <f>GS36/365.5</f>
        <v>0</v>
      </c>
      <c r="M7712" t="inlineStr">
        <is>
          <t>-365K1</t>
        </is>
      </c>
    </row>
    <row r="7713">
      <c r="A7713">
        <v>7712</v>
      </c>
      <c r="B7713">
        <f>GS38</f>
        <v>0</v>
      </c>
      <c r="C7713" t="inlineStr">
        <is>
          <t>+LS07</t>
        </is>
      </c>
      <c r="D7713" t="inlineStr">
        <is>
          <t>-343K1</t>
        </is>
      </c>
      <c r="E7713" t="inlineStr">
        <is>
          <t>DILM-9-01</t>
        </is>
      </c>
      <c r="F7713" t="inlineStr">
        <is>
          <t>#KALK!</t>
        </is>
      </c>
      <c r="G7713" t="inlineStr">
        <is>
          <t>LASTSCHUETZ</t>
        </is>
      </c>
      <c r="H7713" t="inlineStr">
        <is>
          <t>4kW 1Oe Federzugkl.</t>
        </is>
      </c>
      <c r="I7713">
        <v>508</v>
      </c>
      <c r="J7713">
        <f>GS38/343.5</f>
        <v>0</v>
      </c>
      <c r="M7713" t="inlineStr">
        <is>
          <t>-343K1</t>
        </is>
      </c>
    </row>
    <row r="7714">
      <c r="A7714">
        <v>7713</v>
      </c>
      <c r="B7714">
        <f>GS39</f>
        <v>0</v>
      </c>
      <c r="C7714" t="inlineStr">
        <is>
          <t>+LS07</t>
        </is>
      </c>
      <c r="D7714" t="inlineStr">
        <is>
          <t>-343K1</t>
        </is>
      </c>
      <c r="E7714" t="inlineStr">
        <is>
          <t>DILM-9-01</t>
        </is>
      </c>
      <c r="F7714" t="inlineStr">
        <is>
          <t>#KALK!</t>
        </is>
      </c>
      <c r="G7714" t="inlineStr">
        <is>
          <t>LASTSCHUETZ</t>
        </is>
      </c>
      <c r="H7714" t="inlineStr">
        <is>
          <t>4kW 1Oe Federzugkl.</t>
        </is>
      </c>
      <c r="I7714">
        <v>511</v>
      </c>
      <c r="J7714">
        <f>GS39/343.5</f>
        <v>0</v>
      </c>
      <c r="M7714" t="inlineStr">
        <is>
          <t>-343K1</t>
        </is>
      </c>
    </row>
    <row r="7715">
      <c r="A7715">
        <v>7714</v>
      </c>
      <c r="B7715">
        <f>GS24</f>
        <v>0</v>
      </c>
      <c r="C7715" t="inlineStr">
        <is>
          <t>+LS7</t>
        </is>
      </c>
      <c r="D7715" t="inlineStr">
        <is>
          <t>-343K18.2</t>
        </is>
      </c>
      <c r="E7715" t="inlineStr">
        <is>
          <t>DIL_EM-10-G</t>
        </is>
      </c>
      <c r="F7715" t="inlineStr">
        <is>
          <t>#KALK!</t>
        </is>
      </c>
      <c r="G7715" t="inlineStr">
        <is>
          <t>LASTSCHUETZ</t>
        </is>
      </c>
      <c r="H7715" t="inlineStr">
        <is>
          <t>4kW 1S</t>
        </is>
      </c>
      <c r="I7715">
        <v>744</v>
      </c>
      <c r="J7715">
        <f>GS24/343.6</f>
        <v>0</v>
      </c>
      <c r="M7715" t="inlineStr">
        <is>
          <t>-343K18.2</t>
        </is>
      </c>
    </row>
    <row r="7716">
      <c r="A7716">
        <v>7715</v>
      </c>
      <c r="B7716">
        <f>GS24</f>
        <v>0</v>
      </c>
      <c r="C7716" t="inlineStr">
        <is>
          <t>+LS7</t>
        </is>
      </c>
      <c r="D7716" t="inlineStr">
        <is>
          <t>-343K18.3</t>
        </is>
      </c>
      <c r="E7716" t="inlineStr">
        <is>
          <t>DIL_EM-10-G</t>
        </is>
      </c>
      <c r="F7716" t="inlineStr">
        <is>
          <t>#KALK!</t>
        </is>
      </c>
      <c r="G7716" t="inlineStr">
        <is>
          <t>LASTSCHUETZ</t>
        </is>
      </c>
      <c r="H7716" t="inlineStr">
        <is>
          <t>4kW 1S</t>
        </is>
      </c>
      <c r="I7716">
        <v>744</v>
      </c>
      <c r="J7716">
        <f>GS24/343.6</f>
        <v>0</v>
      </c>
      <c r="M7716" t="inlineStr">
        <is>
          <t>-343K18.3</t>
        </is>
      </c>
    </row>
    <row r="7717">
      <c r="A7717">
        <v>7716</v>
      </c>
      <c r="B7717">
        <f>GS36</f>
        <v>0</v>
      </c>
      <c r="C7717" t="inlineStr">
        <is>
          <t>+LS08</t>
        </is>
      </c>
      <c r="D7717" t="inlineStr">
        <is>
          <t>-365K424.0</t>
        </is>
      </c>
      <c r="E7717" t="inlineStr">
        <is>
          <t>DILA-40</t>
        </is>
      </c>
      <c r="F7717" t="inlineStr">
        <is>
          <t>#KALK!</t>
        </is>
      </c>
      <c r="G7717" t="inlineStr">
        <is>
          <t>HILFSSCHUETZ</t>
        </is>
      </c>
      <c r="H7717" t="inlineStr">
        <is>
          <t>4S Federzugkl.</t>
        </is>
      </c>
      <c r="I7717">
        <v>538</v>
      </c>
      <c r="J7717">
        <f>GS36/365.7</f>
        <v>0</v>
      </c>
      <c r="M7717" t="inlineStr">
        <is>
          <t>-365K424.0</t>
        </is>
      </c>
    </row>
    <row r="7718">
      <c r="A7718">
        <v>7717</v>
      </c>
      <c r="B7718">
        <f>GS38</f>
        <v>0</v>
      </c>
      <c r="C7718" t="inlineStr">
        <is>
          <t>+LS07</t>
        </is>
      </c>
      <c r="D7718" t="inlineStr">
        <is>
          <t>-343K2</t>
        </is>
      </c>
      <c r="E7718" t="inlineStr">
        <is>
          <t>DILM-9-01</t>
        </is>
      </c>
      <c r="F7718" t="inlineStr">
        <is>
          <t>#KALK!</t>
        </is>
      </c>
      <c r="G7718" t="inlineStr">
        <is>
          <t>LASTSCHUETZ</t>
        </is>
      </c>
      <c r="H7718" t="inlineStr">
        <is>
          <t>4kW 1Oe Federzugkl.</t>
        </is>
      </c>
      <c r="I7718">
        <v>508</v>
      </c>
      <c r="J7718">
        <f>GS38/343.6</f>
        <v>0</v>
      </c>
      <c r="M7718" t="inlineStr">
        <is>
          <t>-343K2</t>
        </is>
      </c>
    </row>
    <row r="7719">
      <c r="A7719">
        <v>7718</v>
      </c>
      <c r="B7719">
        <f>GS39</f>
        <v>0</v>
      </c>
      <c r="C7719" t="inlineStr">
        <is>
          <t>+LS07</t>
        </is>
      </c>
      <c r="D7719" t="inlineStr">
        <is>
          <t>-343K2</t>
        </is>
      </c>
      <c r="E7719" t="inlineStr">
        <is>
          <t>DILM-9-01</t>
        </is>
      </c>
      <c r="F7719" t="inlineStr">
        <is>
          <t>#KALK!</t>
        </is>
      </c>
      <c r="G7719" t="inlineStr">
        <is>
          <t>LASTSCHUETZ</t>
        </is>
      </c>
      <c r="H7719" t="inlineStr">
        <is>
          <t>4kW 1Oe Federzugkl.</t>
        </is>
      </c>
      <c r="I7719">
        <v>511</v>
      </c>
      <c r="J7719">
        <f>GS39/343.6</f>
        <v>0</v>
      </c>
      <c r="M7719" t="inlineStr">
        <is>
          <t>-343K2</t>
        </is>
      </c>
    </row>
    <row r="7720">
      <c r="A7720">
        <v>7719</v>
      </c>
      <c r="B7720">
        <f>GS25</f>
        <v>0</v>
      </c>
      <c r="C7720" t="inlineStr">
        <is>
          <t>+LS7</t>
        </is>
      </c>
      <c r="D7720" t="inlineStr">
        <is>
          <t>-343K22.2</t>
        </is>
      </c>
      <c r="E7720" t="inlineStr">
        <is>
          <t>DIL_EM-10-G</t>
        </is>
      </c>
      <c r="F7720" t="inlineStr">
        <is>
          <t>#KALK!</t>
        </is>
      </c>
      <c r="G7720" t="inlineStr">
        <is>
          <t>LASTSCHUETZ</t>
        </is>
      </c>
      <c r="H7720" t="inlineStr">
        <is>
          <t>4kW 1S</t>
        </is>
      </c>
      <c r="I7720">
        <v>467</v>
      </c>
      <c r="J7720">
        <f>GS25/343.6</f>
        <v>0</v>
      </c>
      <c r="M7720" t="inlineStr">
        <is>
          <t>-343K22.2</t>
        </is>
      </c>
    </row>
    <row r="7721">
      <c r="A7721">
        <v>7720</v>
      </c>
      <c r="B7721">
        <f>GS25</f>
        <v>0</v>
      </c>
      <c r="C7721" t="inlineStr">
        <is>
          <t>+LS7</t>
        </is>
      </c>
      <c r="D7721" t="inlineStr">
        <is>
          <t>-343K22.3</t>
        </is>
      </c>
      <c r="E7721" t="inlineStr">
        <is>
          <t>DIL_EM-10-G</t>
        </is>
      </c>
      <c r="F7721" t="inlineStr">
        <is>
          <t>#KALK!</t>
        </is>
      </c>
      <c r="G7721" t="inlineStr">
        <is>
          <t>LASTSCHUETZ</t>
        </is>
      </c>
      <c r="H7721" t="inlineStr">
        <is>
          <t>4kW 1S</t>
        </is>
      </c>
      <c r="I7721">
        <v>467</v>
      </c>
      <c r="J7721">
        <f>GS25/343.6</f>
        <v>0</v>
      </c>
      <c r="M7721" t="inlineStr">
        <is>
          <t>-343K22.3</t>
        </is>
      </c>
    </row>
    <row r="7722">
      <c r="A7722">
        <v>7721</v>
      </c>
      <c r="B7722">
        <f>GS32</f>
        <v>0</v>
      </c>
      <c r="C7722" t="inlineStr">
        <is>
          <t>+LS8</t>
        </is>
      </c>
      <c r="D7722" t="inlineStr">
        <is>
          <t>-343K71.7</t>
        </is>
      </c>
      <c r="E7722" t="inlineStr">
        <is>
          <t>DIL_EM-10-G</t>
        </is>
      </c>
      <c r="F7722" t="inlineStr">
        <is>
          <t>#KALK!</t>
        </is>
      </c>
      <c r="G7722" t="inlineStr">
        <is>
          <t>LASTSCHUETZ</t>
        </is>
      </c>
      <c r="H7722" t="inlineStr">
        <is>
          <t>4kW 1S</t>
        </is>
      </c>
      <c r="I7722">
        <v>1234</v>
      </c>
      <c r="J7722">
        <f>GS32/343.7</f>
        <v>0</v>
      </c>
      <c r="M7722" t="inlineStr">
        <is>
          <t>-343K71.7</t>
        </is>
      </c>
    </row>
    <row r="7723">
      <c r="A7723">
        <v>7722</v>
      </c>
      <c r="B7723">
        <f>GS04</f>
        <v>0</v>
      </c>
      <c r="C7723" t="inlineStr">
        <is>
          <t>+LS8</t>
        </is>
      </c>
      <c r="D7723" t="inlineStr">
        <is>
          <t>-343K77.3</t>
        </is>
      </c>
      <c r="E7723" t="inlineStr">
        <is>
          <t>DIL_EM-10-G</t>
        </is>
      </c>
      <c r="F7723" t="inlineStr">
        <is>
          <t>#KALK!</t>
        </is>
      </c>
      <c r="G7723" t="inlineStr">
        <is>
          <t>LASTSCHUETZ</t>
        </is>
      </c>
      <c r="H7723" t="inlineStr">
        <is>
          <t>4kW 1S</t>
        </is>
      </c>
      <c r="I7723">
        <v>594</v>
      </c>
      <c r="J7723">
        <f>GS04/343.7</f>
        <v>0</v>
      </c>
      <c r="M7723" t="inlineStr">
        <is>
          <t>-343K77.3</t>
        </is>
      </c>
    </row>
    <row r="7724">
      <c r="A7724">
        <v>7723</v>
      </c>
      <c r="B7724">
        <f>GS24</f>
        <v>0</v>
      </c>
      <c r="C7724" t="inlineStr">
        <is>
          <t>+LS7</t>
        </is>
      </c>
      <c r="D7724" t="inlineStr">
        <is>
          <t>-344K19.3</t>
        </is>
      </c>
      <c r="E7724" t="inlineStr">
        <is>
          <t>DIL_EM-01-G</t>
        </is>
      </c>
      <c r="F7724" t="inlineStr">
        <is>
          <t>#KALK!</t>
        </is>
      </c>
      <c r="G7724" t="inlineStr">
        <is>
          <t>LASTSCHUETZ</t>
        </is>
      </c>
      <c r="H7724" t="inlineStr">
        <is>
          <t>4kW 1OE</t>
        </is>
      </c>
      <c r="I7724">
        <v>743</v>
      </c>
      <c r="J7724">
        <f>GS24/344.7</f>
        <v>0</v>
      </c>
      <c r="M7724" t="inlineStr">
        <is>
          <t>-344K19.3</t>
        </is>
      </c>
    </row>
    <row r="7725">
      <c r="A7725">
        <v>7724</v>
      </c>
      <c r="B7725">
        <f>GS25</f>
        <v>0</v>
      </c>
      <c r="C7725" t="inlineStr">
        <is>
          <t>+LS7</t>
        </is>
      </c>
      <c r="D7725" t="inlineStr">
        <is>
          <t>-344K22.4</t>
        </is>
      </c>
      <c r="E7725" t="inlineStr">
        <is>
          <t>DIL_EM-10-G</t>
        </is>
      </c>
      <c r="F7725" t="inlineStr">
        <is>
          <t>#KALK!</t>
        </is>
      </c>
      <c r="G7725" t="inlineStr">
        <is>
          <t>LASTSCHUETZ</t>
        </is>
      </c>
      <c r="H7725" t="inlineStr">
        <is>
          <t>4kW 1S</t>
        </is>
      </c>
      <c r="I7725">
        <v>468</v>
      </c>
      <c r="J7725">
        <f>GS25/344.6</f>
        <v>0</v>
      </c>
      <c r="M7725" t="inlineStr">
        <is>
          <t>-344K22.4</t>
        </is>
      </c>
    </row>
    <row r="7726">
      <c r="A7726">
        <v>7725</v>
      </c>
      <c r="B7726">
        <f>GS25</f>
        <v>0</v>
      </c>
      <c r="C7726" t="inlineStr">
        <is>
          <t>+LS7</t>
        </is>
      </c>
      <c r="D7726" t="inlineStr">
        <is>
          <t>-344K22.5</t>
        </is>
      </c>
      <c r="E7726" t="inlineStr">
        <is>
          <t>DIL_EM-10-G</t>
        </is>
      </c>
      <c r="F7726" t="inlineStr">
        <is>
          <t>#KALK!</t>
        </is>
      </c>
      <c r="G7726" t="inlineStr">
        <is>
          <t>LASTSCHUETZ</t>
        </is>
      </c>
      <c r="H7726" t="inlineStr">
        <is>
          <t>4kW 1S</t>
        </is>
      </c>
      <c r="I7726">
        <v>468</v>
      </c>
      <c r="J7726">
        <f>GS25/344.6</f>
        <v>0</v>
      </c>
      <c r="M7726" t="inlineStr">
        <is>
          <t>-344K22.5</t>
        </is>
      </c>
    </row>
    <row r="7727">
      <c r="A7727">
        <v>7726</v>
      </c>
      <c r="B7727">
        <f>GS33</f>
        <v>0</v>
      </c>
      <c r="C7727" t="inlineStr">
        <is>
          <t>+LS8</t>
        </is>
      </c>
      <c r="D7727" t="inlineStr">
        <is>
          <t>-344K3802.0</t>
        </is>
      </c>
      <c r="E7727" t="inlineStr">
        <is>
          <t>DIL_ER-22-G</t>
        </is>
      </c>
      <c r="F7727" t="inlineStr">
        <is>
          <t>#KALK!</t>
        </is>
      </c>
      <c r="G7727" t="inlineStr">
        <is>
          <t>HILFSSCHUETZ</t>
        </is>
      </c>
      <c r="H7727" t="inlineStr">
        <is>
          <t>2S 2OE</t>
        </is>
      </c>
      <c r="I7727">
        <v>793</v>
      </c>
      <c r="J7727">
        <f>GS33/344.5</f>
        <v>0</v>
      </c>
      <c r="M7727" t="inlineStr">
        <is>
          <t>-344K3802.0</t>
        </is>
      </c>
    </row>
    <row r="7728">
      <c r="A7728">
        <v>7727</v>
      </c>
      <c r="B7728">
        <f>GS33</f>
        <v>0</v>
      </c>
      <c r="C7728" t="inlineStr">
        <is>
          <t>+LS8</t>
        </is>
      </c>
      <c r="D7728" t="inlineStr">
        <is>
          <t>-344K3802.1</t>
        </is>
      </c>
      <c r="E7728" t="inlineStr">
        <is>
          <t>DIL_ER-22-G</t>
        </is>
      </c>
      <c r="F7728" t="inlineStr">
        <is>
          <t>#KALK!</t>
        </is>
      </c>
      <c r="G7728" t="inlineStr">
        <is>
          <t>HILFSSCHUETZ</t>
        </is>
      </c>
      <c r="H7728" t="inlineStr">
        <is>
          <t>2S 2OE</t>
        </is>
      </c>
      <c r="I7728">
        <v>793</v>
      </c>
      <c r="J7728">
        <f>GS33/344.6</f>
        <v>0</v>
      </c>
      <c r="M7728" t="inlineStr">
        <is>
          <t>-344K3802.1</t>
        </is>
      </c>
    </row>
    <row r="7729">
      <c r="A7729">
        <v>7728</v>
      </c>
      <c r="B7729">
        <f>GS33</f>
        <v>0</v>
      </c>
      <c r="C7729" t="inlineStr">
        <is>
          <t>+LS8</t>
        </is>
      </c>
      <c r="D7729" t="inlineStr">
        <is>
          <t>-344K3802.2</t>
        </is>
      </c>
      <c r="E7729" t="inlineStr">
        <is>
          <t>DIL_ER-22-G</t>
        </is>
      </c>
      <c r="F7729" t="inlineStr">
        <is>
          <t>#KALK!</t>
        </is>
      </c>
      <c r="G7729" t="inlineStr">
        <is>
          <t>HILFSSCHUETZ</t>
        </is>
      </c>
      <c r="H7729" t="inlineStr">
        <is>
          <t>2S 2OE</t>
        </is>
      </c>
      <c r="I7729">
        <v>793</v>
      </c>
      <c r="J7729">
        <f>GS33/344.7</f>
        <v>0</v>
      </c>
      <c r="M7729" t="inlineStr">
        <is>
          <t>-344K3802.2</t>
        </is>
      </c>
    </row>
    <row r="7730">
      <c r="A7730">
        <v>7729</v>
      </c>
      <c r="B7730">
        <f>GS33</f>
        <v>0</v>
      </c>
      <c r="C7730" t="inlineStr">
        <is>
          <t>+LS8</t>
        </is>
      </c>
      <c r="D7730" t="inlineStr">
        <is>
          <t>-344K3802.4</t>
        </is>
      </c>
      <c r="E7730" t="inlineStr">
        <is>
          <t>DIL_EM-10-G</t>
        </is>
      </c>
      <c r="F7730" t="inlineStr">
        <is>
          <t>#KALK!</t>
        </is>
      </c>
      <c r="G7730" t="inlineStr">
        <is>
          <t>LASTSCHUETZ</t>
        </is>
      </c>
      <c r="H7730" t="inlineStr">
        <is>
          <t>4kW 1S</t>
        </is>
      </c>
      <c r="I7730">
        <v>793</v>
      </c>
      <c r="J7730">
        <f>GS33/344.7</f>
        <v>0</v>
      </c>
      <c r="M7730" t="inlineStr">
        <is>
          <t>-344K3802.4</t>
        </is>
      </c>
    </row>
    <row r="7731">
      <c r="A7731">
        <v>7730</v>
      </c>
      <c r="B7731">
        <f>GS34</f>
        <v>0</v>
      </c>
      <c r="C7731" t="inlineStr">
        <is>
          <t>+ES2</t>
        </is>
      </c>
      <c r="D7731" t="inlineStr">
        <is>
          <t>-344K46.0</t>
        </is>
      </c>
      <c r="E7731" t="inlineStr">
        <is>
          <t>40_DIL-E</t>
        </is>
      </c>
      <c r="F7731" t="inlineStr">
        <is>
          <t>40_DIL-E</t>
        </is>
      </c>
      <c r="G7731" t="inlineStr">
        <is>
          <t>HILFSKONTAKTBLOCK</t>
        </is>
      </c>
      <c r="H7731" t="inlineStr">
        <is>
          <t>4S Last+Hilfsschuetz</t>
        </is>
      </c>
      <c r="I7731">
        <v>469</v>
      </c>
      <c r="J7731">
        <f>GS34/344.6</f>
        <v>0</v>
      </c>
      <c r="M7731" t="inlineStr">
        <is>
          <t>-344K46.0</t>
        </is>
      </c>
    </row>
    <row r="7732">
      <c r="A7732">
        <v>7731</v>
      </c>
      <c r="B7732">
        <f>GS34</f>
        <v>0</v>
      </c>
      <c r="C7732" t="inlineStr">
        <is>
          <t>+ES2</t>
        </is>
      </c>
      <c r="D7732" t="inlineStr">
        <is>
          <t>-344K46.0</t>
        </is>
      </c>
      <c r="E7732" t="inlineStr">
        <is>
          <t>DIL_ER-40-G</t>
        </is>
      </c>
      <c r="F7732" t="inlineStr">
        <is>
          <t>40_DIL-E</t>
        </is>
      </c>
      <c r="G7732" t="inlineStr">
        <is>
          <t>HILFSSCHUETZ</t>
        </is>
      </c>
      <c r="H7732" t="inlineStr">
        <is>
          <t>4S</t>
        </is>
      </c>
      <c r="I7732">
        <v>469</v>
      </c>
      <c r="J7732">
        <f>GS34/344.6</f>
        <v>0</v>
      </c>
      <c r="M7732" t="inlineStr">
        <is>
          <t>-344K46.0</t>
        </is>
      </c>
    </row>
    <row r="7733">
      <c r="A7733">
        <v>7732</v>
      </c>
      <c r="B7733">
        <f>GS34</f>
        <v>0</v>
      </c>
      <c r="C7733" t="inlineStr">
        <is>
          <t>+ES2</t>
        </is>
      </c>
      <c r="D7733" t="inlineStr">
        <is>
          <t>-344K46.1</t>
        </is>
      </c>
      <c r="E7733" t="inlineStr">
        <is>
          <t>40_DIL-E</t>
        </is>
      </c>
      <c r="F7733" t="inlineStr">
        <is>
          <t>40_DIL-E</t>
        </is>
      </c>
      <c r="G7733" t="inlineStr">
        <is>
          <t>HILFSKONTAKTBLOCK</t>
        </is>
      </c>
      <c r="H7733" t="inlineStr">
        <is>
          <t>4S Last+Hilfsschuetz</t>
        </is>
      </c>
      <c r="I7733">
        <v>469</v>
      </c>
      <c r="J7733">
        <f>GS34/344.7</f>
        <v>0</v>
      </c>
      <c r="M7733" t="inlineStr">
        <is>
          <t>-344K46.1</t>
        </is>
      </c>
    </row>
    <row r="7734">
      <c r="A7734">
        <v>7733</v>
      </c>
      <c r="B7734">
        <f>GS34</f>
        <v>0</v>
      </c>
      <c r="C7734" t="inlineStr">
        <is>
          <t>+ES2</t>
        </is>
      </c>
      <c r="D7734" t="inlineStr">
        <is>
          <t>-344K46.1</t>
        </is>
      </c>
      <c r="E7734" t="inlineStr">
        <is>
          <t>DIL_ER-40-G</t>
        </is>
      </c>
      <c r="F7734" t="inlineStr">
        <is>
          <t>40_DIL-E</t>
        </is>
      </c>
      <c r="G7734" t="inlineStr">
        <is>
          <t>HILFSSCHUETZ</t>
        </is>
      </c>
      <c r="H7734" t="inlineStr">
        <is>
          <t>4S</t>
        </is>
      </c>
      <c r="I7734">
        <v>469</v>
      </c>
      <c r="J7734">
        <f>GS34/344.7</f>
        <v>0</v>
      </c>
      <c r="M7734" t="inlineStr">
        <is>
          <t>-344K46.1</t>
        </is>
      </c>
    </row>
    <row r="7735">
      <c r="A7735">
        <v>7734</v>
      </c>
      <c r="B7735">
        <f>GS32</f>
        <v>0</v>
      </c>
      <c r="C7735" t="inlineStr">
        <is>
          <t>+LS8</t>
        </is>
      </c>
      <c r="D7735" t="inlineStr">
        <is>
          <t>-344K72.0</t>
        </is>
      </c>
      <c r="E7735" t="inlineStr">
        <is>
          <t>DIL_EM-10-G</t>
        </is>
      </c>
      <c r="F7735" t="inlineStr">
        <is>
          <t>#KALK!</t>
        </is>
      </c>
      <c r="G7735" t="inlineStr">
        <is>
          <t>LASTSCHUETZ</t>
        </is>
      </c>
      <c r="H7735" t="inlineStr">
        <is>
          <t>4kW 1S</t>
        </is>
      </c>
      <c r="I7735">
        <v>1233</v>
      </c>
      <c r="J7735">
        <f>GS32/344.6</f>
        <v>0</v>
      </c>
      <c r="M7735" t="inlineStr">
        <is>
          <t>-344K72.0</t>
        </is>
      </c>
    </row>
    <row r="7736">
      <c r="A7736">
        <v>7735</v>
      </c>
      <c r="B7736">
        <f>GS32</f>
        <v>0</v>
      </c>
      <c r="C7736" t="inlineStr">
        <is>
          <t>+LS8</t>
        </is>
      </c>
      <c r="D7736" t="inlineStr">
        <is>
          <t>-344K72.1</t>
        </is>
      </c>
      <c r="E7736" t="inlineStr">
        <is>
          <t>DIL_EM-10-G</t>
        </is>
      </c>
      <c r="F7736" t="inlineStr">
        <is>
          <t>#KALK!</t>
        </is>
      </c>
      <c r="G7736" t="inlineStr">
        <is>
          <t>LASTSCHUETZ</t>
        </is>
      </c>
      <c r="H7736" t="inlineStr">
        <is>
          <t>4kW 1S</t>
        </is>
      </c>
      <c r="I7736">
        <v>1233</v>
      </c>
      <c r="J7736">
        <f>GS32/344.6</f>
        <v>0</v>
      </c>
      <c r="M7736" t="inlineStr">
        <is>
          <t>-344K72.1</t>
        </is>
      </c>
    </row>
    <row r="7737">
      <c r="A7737">
        <v>7736</v>
      </c>
      <c r="B7737">
        <f>GS38</f>
        <v>0</v>
      </c>
      <c r="C7737" t="inlineStr">
        <is>
          <t>+LS07</t>
        </is>
      </c>
      <c r="D7737" t="inlineStr">
        <is>
          <t>-344Q105.5</t>
        </is>
      </c>
      <c r="E7737" t="inlineStr">
        <is>
          <t>DILMC25-10(RDC24)</t>
        </is>
      </c>
      <c r="F7737" t="inlineStr">
        <is>
          <t>DILA-XHI22</t>
        </is>
      </c>
      <c r="G7737" t="inlineStr">
        <is>
          <t>LASTSCHUETZ</t>
        </is>
      </c>
      <c r="H7737" t="inlineStr">
        <is>
          <t>11kW 1S Federzugkl.</t>
        </is>
      </c>
      <c r="I7737">
        <v>509</v>
      </c>
      <c r="J7737">
        <f>GS38/344.5</f>
        <v>0</v>
      </c>
      <c r="K7737" t="inlineStr">
        <is>
          <t>DIL MC25</t>
        </is>
      </c>
      <c r="M7737" t="inlineStr">
        <is>
          <t>-344Q105.5</t>
        </is>
      </c>
    </row>
    <row r="7738">
      <c r="A7738">
        <v>7737</v>
      </c>
      <c r="B7738">
        <f>GS38</f>
        <v>0</v>
      </c>
      <c r="C7738" t="inlineStr">
        <is>
          <t>+LS07</t>
        </is>
      </c>
      <c r="D7738" t="inlineStr">
        <is>
          <t>-344Q105.5</t>
        </is>
      </c>
      <c r="E7738" t="inlineStr">
        <is>
          <t>DILA-XHI22</t>
        </is>
      </c>
      <c r="F7738" t="inlineStr">
        <is>
          <t>DILA-XHI22</t>
        </is>
      </c>
      <c r="G7738" t="inlineStr">
        <is>
          <t>HILFSKONTAKTBLOCK</t>
        </is>
      </c>
      <c r="H7738" t="inlineStr">
        <is>
          <t>2S 2OE Last+Hilfssch. Cage</t>
        </is>
      </c>
      <c r="I7738">
        <v>509</v>
      </c>
      <c r="J7738">
        <f>GS38/344.5</f>
        <v>0</v>
      </c>
      <c r="K7738" t="inlineStr">
        <is>
          <t>DIL MC25</t>
        </is>
      </c>
      <c r="M7738" t="inlineStr">
        <is>
          <t>-344Q105.5</t>
        </is>
      </c>
    </row>
    <row r="7739">
      <c r="A7739">
        <v>7738</v>
      </c>
      <c r="B7739">
        <f>GS39</f>
        <v>0</v>
      </c>
      <c r="C7739" t="inlineStr">
        <is>
          <t>+LS07</t>
        </is>
      </c>
      <c r="D7739" t="inlineStr">
        <is>
          <t>-344Q105.5</t>
        </is>
      </c>
      <c r="E7739" t="inlineStr">
        <is>
          <t>DILA-XHI22</t>
        </is>
      </c>
      <c r="F7739" t="inlineStr">
        <is>
          <t>DILA-XHI22</t>
        </is>
      </c>
      <c r="G7739" t="inlineStr">
        <is>
          <t>HILFSKONTAKTBLOCK</t>
        </is>
      </c>
      <c r="H7739" t="inlineStr">
        <is>
          <t>2S 2OE Last+Hilfssch. Cage</t>
        </is>
      </c>
      <c r="I7739">
        <v>512</v>
      </c>
      <c r="J7739">
        <f>GS39/344.5</f>
        <v>0</v>
      </c>
      <c r="K7739" t="inlineStr">
        <is>
          <t>DIL MC25</t>
        </is>
      </c>
      <c r="M7739" t="inlineStr">
        <is>
          <t>-344Q105.5</t>
        </is>
      </c>
    </row>
    <row r="7740">
      <c r="A7740">
        <v>7739</v>
      </c>
      <c r="B7740">
        <f>GS39</f>
        <v>0</v>
      </c>
      <c r="C7740" t="inlineStr">
        <is>
          <t>+LS07</t>
        </is>
      </c>
      <c r="D7740" t="inlineStr">
        <is>
          <t>-344Q105.5</t>
        </is>
      </c>
      <c r="E7740" t="inlineStr">
        <is>
          <t>DILMC25-10(RDC24)</t>
        </is>
      </c>
      <c r="F7740" t="inlineStr">
        <is>
          <t>DILA-XHI22</t>
        </is>
      </c>
      <c r="G7740" t="inlineStr">
        <is>
          <t>LASTSCHUETZ</t>
        </is>
      </c>
      <c r="H7740" t="inlineStr">
        <is>
          <t>11kW 1S Federzugkl.</t>
        </is>
      </c>
      <c r="I7740">
        <v>512</v>
      </c>
      <c r="J7740">
        <f>GS39/344.5</f>
        <v>0</v>
      </c>
      <c r="K7740" t="inlineStr">
        <is>
          <t>DIL MC25</t>
        </is>
      </c>
      <c r="M7740" t="inlineStr">
        <is>
          <t>-344Q105.5</t>
        </is>
      </c>
    </row>
    <row r="7741">
      <c r="A7741">
        <v>7740</v>
      </c>
      <c r="B7741">
        <f>GS37</f>
        <v>0</v>
      </c>
      <c r="C7741" t="inlineStr">
        <is>
          <t>+LS07</t>
        </is>
      </c>
      <c r="D7741" t="inlineStr">
        <is>
          <t>-345K123.4</t>
        </is>
      </c>
      <c r="E7741" t="inlineStr">
        <is>
          <t>DILA-40</t>
        </is>
      </c>
      <c r="F7741" t="inlineStr">
        <is>
          <t>#KALK!</t>
        </is>
      </c>
      <c r="G7741" t="inlineStr">
        <is>
          <t>HILFSSCHUETZ</t>
        </is>
      </c>
      <c r="H7741" t="inlineStr">
        <is>
          <t>4S Federzugkl.</t>
        </is>
      </c>
      <c r="I7741">
        <v>600</v>
      </c>
      <c r="J7741">
        <f>GS37/345.7</f>
        <v>0</v>
      </c>
      <c r="M7741" t="inlineStr">
        <is>
          <t>-345K123.4</t>
        </is>
      </c>
    </row>
    <row r="7742">
      <c r="A7742">
        <v>7741</v>
      </c>
      <c r="B7742">
        <f>GS35</f>
        <v>0</v>
      </c>
      <c r="C7742" t="inlineStr">
        <is>
          <t>+LS08</t>
        </is>
      </c>
      <c r="D7742" t="inlineStr">
        <is>
          <t>-345K134.4</t>
        </is>
      </c>
      <c r="E7742" t="inlineStr">
        <is>
          <t>DILA-40</t>
        </is>
      </c>
      <c r="F7742" t="inlineStr">
        <is>
          <t>#KALK!</t>
        </is>
      </c>
      <c r="G7742" t="inlineStr">
        <is>
          <t>HILFSSCHUETZ</t>
        </is>
      </c>
      <c r="H7742" t="inlineStr">
        <is>
          <t>4S Federzugkl.</t>
        </is>
      </c>
      <c r="I7742">
        <v>504</v>
      </c>
      <c r="J7742">
        <f>GS35/345.7</f>
        <v>0</v>
      </c>
      <c r="M7742" t="inlineStr">
        <is>
          <t>-345K134.4</t>
        </is>
      </c>
    </row>
    <row r="7743">
      <c r="A7743">
        <v>7742</v>
      </c>
      <c r="B7743">
        <f>GS24</f>
        <v>0</v>
      </c>
      <c r="C7743" t="inlineStr">
        <is>
          <t>+LS7</t>
        </is>
      </c>
      <c r="D7743" t="inlineStr">
        <is>
          <t>-345K19.4</t>
        </is>
      </c>
      <c r="E7743" t="inlineStr">
        <is>
          <t>DIL_EM-10-G</t>
        </is>
      </c>
      <c r="F7743" t="inlineStr">
        <is>
          <t>#KALK!</t>
        </is>
      </c>
      <c r="G7743" t="inlineStr">
        <is>
          <t>LASTSCHUETZ</t>
        </is>
      </c>
      <c r="H7743" t="inlineStr">
        <is>
          <t>4kW 1S</t>
        </is>
      </c>
      <c r="I7743">
        <v>742</v>
      </c>
      <c r="J7743">
        <f>GS24/345.6</f>
        <v>0</v>
      </c>
      <c r="M7743" t="inlineStr">
        <is>
          <t>-345K19.4</t>
        </is>
      </c>
    </row>
    <row r="7744">
      <c r="A7744">
        <v>7743</v>
      </c>
      <c r="B7744">
        <f>GS90</f>
        <v>0</v>
      </c>
      <c r="C7744" t="inlineStr">
        <is>
          <t>+LS06</t>
        </is>
      </c>
      <c r="D7744" t="inlineStr">
        <is>
          <t>-345K193.0</t>
        </is>
      </c>
      <c r="E7744" t="inlineStr">
        <is>
          <t>DILA-40</t>
        </is>
      </c>
      <c r="F7744" t="inlineStr">
        <is>
          <t>#KALK!</t>
        </is>
      </c>
      <c r="G7744" t="inlineStr">
        <is>
          <t>HILFSSCHUETZ</t>
        </is>
      </c>
      <c r="H7744" t="inlineStr">
        <is>
          <t>4S Federzugkl.</t>
        </is>
      </c>
      <c r="I7744">
        <v>930</v>
      </c>
      <c r="J7744">
        <f>GS90/345.7</f>
        <v>0</v>
      </c>
      <c r="M7744" t="inlineStr">
        <is>
          <t>-345K193.0</t>
        </is>
      </c>
    </row>
    <row r="7745">
      <c r="A7745">
        <v>7744</v>
      </c>
      <c r="B7745">
        <f>GS25</f>
        <v>0</v>
      </c>
      <c r="C7745" t="inlineStr">
        <is>
          <t>+LS7</t>
        </is>
      </c>
      <c r="D7745" t="inlineStr">
        <is>
          <t>-345K23.1</t>
        </is>
      </c>
      <c r="E7745" t="inlineStr">
        <is>
          <t>DIL_EM-10-G</t>
        </is>
      </c>
      <c r="F7745" t="inlineStr">
        <is>
          <t>#KALK!</t>
        </is>
      </c>
      <c r="G7745" t="inlineStr">
        <is>
          <t>LASTSCHUETZ</t>
        </is>
      </c>
      <c r="H7745" t="inlineStr">
        <is>
          <t>4kW 1S</t>
        </is>
      </c>
      <c r="I7745">
        <v>469</v>
      </c>
      <c r="J7745">
        <f>GS25/345.7</f>
        <v>0</v>
      </c>
      <c r="M7745" t="inlineStr">
        <is>
          <t>-345K23.1</t>
        </is>
      </c>
    </row>
    <row r="7746">
      <c r="A7746">
        <v>7745</v>
      </c>
      <c r="B7746">
        <f>GS36</f>
        <v>0</v>
      </c>
      <c r="C7746" t="inlineStr">
        <is>
          <t>+LS08</t>
        </is>
      </c>
      <c r="D7746" t="inlineStr">
        <is>
          <t>-368Q424.4</t>
        </is>
      </c>
      <c r="E7746" t="inlineStr">
        <is>
          <t>DILM-9-10</t>
        </is>
      </c>
      <c r="F7746" t="inlineStr">
        <is>
          <t>#KALK!</t>
        </is>
      </c>
      <c r="G7746" t="inlineStr">
        <is>
          <t>LASTSCHUETZ</t>
        </is>
      </c>
      <c r="H7746" t="inlineStr">
        <is>
          <t>4kW 1S Federzugkl.</t>
        </is>
      </c>
      <c r="I7746">
        <v>541</v>
      </c>
      <c r="J7746">
        <f>GS36/368.6</f>
        <v>0</v>
      </c>
      <c r="L7746" t="inlineStr">
        <is>
          <t>KF_1503</t>
        </is>
      </c>
      <c r="M7746" t="inlineStr">
        <is>
          <t>KF_1503
-368Q424.4</t>
        </is>
      </c>
      <c r="N7746" t="inlineStr">
        <is>
          <t>P</t>
        </is>
      </c>
    </row>
    <row r="7747">
      <c r="A7747">
        <v>7746</v>
      </c>
      <c r="B7747">
        <f>GS93</f>
        <v>0</v>
      </c>
      <c r="C7747" t="inlineStr">
        <is>
          <t>+LS06</t>
        </is>
      </c>
      <c r="D7747" t="inlineStr">
        <is>
          <t>-345K454.4</t>
        </is>
      </c>
      <c r="E7747" t="inlineStr">
        <is>
          <t>DILA-40</t>
        </is>
      </c>
      <c r="F7747" t="inlineStr">
        <is>
          <t>#KALK!</t>
        </is>
      </c>
      <c r="G7747" t="inlineStr">
        <is>
          <t>HILFSSCHUETZ</t>
        </is>
      </c>
      <c r="H7747" t="inlineStr">
        <is>
          <t>4S Federzugkl.</t>
        </is>
      </c>
      <c r="I7747">
        <v>899</v>
      </c>
      <c r="J7747">
        <f>GS93/345.7</f>
        <v>0</v>
      </c>
      <c r="M7747" t="inlineStr">
        <is>
          <t>-345K454.4</t>
        </is>
      </c>
    </row>
    <row r="7748">
      <c r="A7748">
        <v>7747</v>
      </c>
      <c r="B7748">
        <f>GS94</f>
        <v>0</v>
      </c>
      <c r="C7748" t="inlineStr">
        <is>
          <t>+LS20</t>
        </is>
      </c>
      <c r="D7748" t="inlineStr">
        <is>
          <t>-345K501.7</t>
        </is>
      </c>
      <c r="E7748" t="inlineStr">
        <is>
          <t>DILA-40</t>
        </is>
      </c>
      <c r="F7748" t="inlineStr">
        <is>
          <t>#KALK!</t>
        </is>
      </c>
      <c r="G7748" t="inlineStr">
        <is>
          <t>HILFSSCHUETZ</t>
        </is>
      </c>
      <c r="H7748" t="inlineStr">
        <is>
          <t>4S Federzugkl.</t>
        </is>
      </c>
      <c r="I7748">
        <v>435</v>
      </c>
      <c r="J7748">
        <f>GS94/345.7</f>
        <v>0</v>
      </c>
      <c r="M7748" t="inlineStr">
        <is>
          <t>-345K501.7</t>
        </is>
      </c>
    </row>
    <row r="7749">
      <c r="A7749">
        <v>7748</v>
      </c>
      <c r="B7749">
        <f>GS95</f>
        <v>0</v>
      </c>
      <c r="C7749" t="inlineStr">
        <is>
          <t>+LS20</t>
        </is>
      </c>
      <c r="D7749" t="inlineStr">
        <is>
          <t>-345K501.7</t>
        </is>
      </c>
      <c r="E7749" t="inlineStr">
        <is>
          <t>DILA-40</t>
        </is>
      </c>
      <c r="F7749" t="inlineStr">
        <is>
          <t>#KALK!</t>
        </is>
      </c>
      <c r="G7749" t="inlineStr">
        <is>
          <t>HILFSSCHUETZ</t>
        </is>
      </c>
      <c r="H7749" t="inlineStr">
        <is>
          <t>4S Federzugkl.</t>
        </is>
      </c>
      <c r="I7749">
        <v>435</v>
      </c>
      <c r="J7749">
        <f>GS95/345.7</f>
        <v>0</v>
      </c>
      <c r="M7749" t="inlineStr">
        <is>
          <t>-345K501.7</t>
        </is>
      </c>
    </row>
    <row r="7750">
      <c r="A7750">
        <v>7749</v>
      </c>
      <c r="B7750">
        <f>GS96</f>
        <v>0</v>
      </c>
      <c r="C7750" t="inlineStr">
        <is>
          <t>+LS20</t>
        </is>
      </c>
      <c r="D7750" t="inlineStr">
        <is>
          <t>-345K501.7</t>
        </is>
      </c>
      <c r="E7750" t="inlineStr">
        <is>
          <t>DILA-40</t>
        </is>
      </c>
      <c r="F7750" t="inlineStr">
        <is>
          <t>#KALK!</t>
        </is>
      </c>
      <c r="G7750" t="inlineStr">
        <is>
          <t>HILFSSCHUETZ</t>
        </is>
      </c>
      <c r="H7750" t="inlineStr">
        <is>
          <t>4S Federzugkl.</t>
        </is>
      </c>
      <c r="I7750">
        <v>435</v>
      </c>
      <c r="J7750">
        <f>GS96/345.7</f>
        <v>0</v>
      </c>
      <c r="M7750" t="inlineStr">
        <is>
          <t>-345K501.7</t>
        </is>
      </c>
    </row>
    <row r="7751">
      <c r="A7751">
        <v>7750</v>
      </c>
      <c r="B7751">
        <f>GS97</f>
        <v>0</v>
      </c>
      <c r="C7751" t="inlineStr">
        <is>
          <t>+LS20</t>
        </is>
      </c>
      <c r="D7751" t="inlineStr">
        <is>
          <t>-345K501.7</t>
        </is>
      </c>
      <c r="E7751" t="inlineStr">
        <is>
          <t>DILA-40</t>
        </is>
      </c>
      <c r="F7751" t="inlineStr">
        <is>
          <t>#KALK!</t>
        </is>
      </c>
      <c r="G7751" t="inlineStr">
        <is>
          <t>HILFSSCHUETZ</t>
        </is>
      </c>
      <c r="H7751" t="inlineStr">
        <is>
          <t>4S Federzugkl.</t>
        </is>
      </c>
      <c r="I7751">
        <v>435</v>
      </c>
      <c r="J7751">
        <f>GS97/345.7</f>
        <v>0</v>
      </c>
      <c r="M7751" t="inlineStr">
        <is>
          <t>-345K501.7</t>
        </is>
      </c>
    </row>
    <row r="7752">
      <c r="A7752">
        <v>7751</v>
      </c>
      <c r="B7752">
        <f>GS30</f>
        <v>0</v>
      </c>
      <c r="C7752" t="inlineStr">
        <is>
          <t>+LS10</t>
        </is>
      </c>
      <c r="D7752" t="inlineStr">
        <is>
          <t>-345K710.4</t>
        </is>
      </c>
      <c r="E7752" t="inlineStr">
        <is>
          <t>DILA-40</t>
        </is>
      </c>
      <c r="F7752" t="inlineStr">
        <is>
          <t>#KALK!</t>
        </is>
      </c>
      <c r="G7752" t="inlineStr">
        <is>
          <t>HILFSSCHUETZ</t>
        </is>
      </c>
      <c r="H7752" t="inlineStr">
        <is>
          <t>4S Federzugkl.</t>
        </is>
      </c>
      <c r="I7752">
        <v>1839</v>
      </c>
      <c r="J7752">
        <f>GS30/345.7</f>
        <v>0</v>
      </c>
      <c r="M7752" t="inlineStr">
        <is>
          <t>-345K710.4</t>
        </is>
      </c>
    </row>
    <row r="7753">
      <c r="A7753">
        <v>7752</v>
      </c>
      <c r="B7753">
        <f>GS32</f>
        <v>0</v>
      </c>
      <c r="C7753" t="inlineStr">
        <is>
          <t>+LS8</t>
        </is>
      </c>
      <c r="D7753" t="inlineStr">
        <is>
          <t>-345K72.2</t>
        </is>
      </c>
      <c r="E7753" t="inlineStr">
        <is>
          <t>DIL_EM-10-G</t>
        </is>
      </c>
      <c r="F7753" t="inlineStr">
        <is>
          <t>#KALK!</t>
        </is>
      </c>
      <c r="G7753" t="inlineStr">
        <is>
          <t>LASTSCHUETZ</t>
        </is>
      </c>
      <c r="H7753" t="inlineStr">
        <is>
          <t>4kW 1S</t>
        </is>
      </c>
      <c r="I7753">
        <v>1232</v>
      </c>
      <c r="J7753">
        <f>GS32/345.6</f>
        <v>0</v>
      </c>
      <c r="M7753" t="inlineStr">
        <is>
          <t>-345K72.2</t>
        </is>
      </c>
    </row>
    <row r="7754">
      <c r="A7754">
        <v>7753</v>
      </c>
      <c r="B7754">
        <f>GS32</f>
        <v>0</v>
      </c>
      <c r="C7754" t="inlineStr">
        <is>
          <t>+LS8</t>
        </is>
      </c>
      <c r="D7754" t="inlineStr">
        <is>
          <t>-345K72.3</t>
        </is>
      </c>
      <c r="E7754" t="inlineStr">
        <is>
          <t>DIL_EM-10-G</t>
        </is>
      </c>
      <c r="F7754" t="inlineStr">
        <is>
          <t>#KALK!</t>
        </is>
      </c>
      <c r="G7754" t="inlineStr">
        <is>
          <t>LASTSCHUETZ</t>
        </is>
      </c>
      <c r="H7754" t="inlineStr">
        <is>
          <t>4kW 1S</t>
        </is>
      </c>
      <c r="I7754">
        <v>1232</v>
      </c>
      <c r="J7754">
        <f>GS32/345.6</f>
        <v>0</v>
      </c>
      <c r="M7754" t="inlineStr">
        <is>
          <t>-345K72.3</t>
        </is>
      </c>
    </row>
    <row r="7755">
      <c r="A7755">
        <v>7754</v>
      </c>
      <c r="B7755">
        <f>GS04</f>
        <v>0</v>
      </c>
      <c r="C7755" t="inlineStr">
        <is>
          <t>+LS8</t>
        </is>
      </c>
      <c r="D7755" t="inlineStr">
        <is>
          <t>-345K78.0</t>
        </is>
      </c>
      <c r="E7755" t="inlineStr">
        <is>
          <t>DIL_EM-10-G</t>
        </is>
      </c>
      <c r="F7755" t="inlineStr">
        <is>
          <t>#KALK!</t>
        </is>
      </c>
      <c r="G7755" t="inlineStr">
        <is>
          <t>LASTSCHUETZ</t>
        </is>
      </c>
      <c r="H7755" t="inlineStr">
        <is>
          <t>4kW 1S</t>
        </is>
      </c>
      <c r="I7755">
        <v>596</v>
      </c>
      <c r="J7755">
        <f>GS04/345.7</f>
        <v>0</v>
      </c>
      <c r="M7755" t="inlineStr">
        <is>
          <t>-345K78.0</t>
        </is>
      </c>
    </row>
    <row r="7756">
      <c r="A7756">
        <v>7755</v>
      </c>
      <c r="B7756">
        <f>GS30</f>
        <v>0</v>
      </c>
      <c r="C7756" t="inlineStr">
        <is>
          <t>+LS10</t>
        </is>
      </c>
      <c r="D7756" t="inlineStr">
        <is>
          <t>-345Q1</t>
        </is>
      </c>
      <c r="E7756" t="inlineStr">
        <is>
          <t>DILA-XHI22</t>
        </is>
      </c>
      <c r="F7756" t="inlineStr">
        <is>
          <t>DILA-XHI22</t>
        </is>
      </c>
      <c r="G7756" t="inlineStr">
        <is>
          <t>HILFSKONTAKTBLOCK</t>
        </is>
      </c>
      <c r="H7756" t="inlineStr">
        <is>
          <t>2S 2OE Last+Hilfssch. Cage</t>
        </is>
      </c>
      <c r="I7756">
        <v>1839</v>
      </c>
      <c r="J7756">
        <f>GS30/345.4</f>
        <v>0</v>
      </c>
      <c r="K7756" t="inlineStr">
        <is>
          <t>DIL MC25</t>
        </is>
      </c>
      <c r="M7756" t="inlineStr">
        <is>
          <t>-345Q1</t>
        </is>
      </c>
    </row>
    <row r="7757">
      <c r="A7757">
        <v>7756</v>
      </c>
      <c r="B7757">
        <f>GS30</f>
        <v>0</v>
      </c>
      <c r="C7757" t="inlineStr">
        <is>
          <t>+LS10</t>
        </is>
      </c>
      <c r="D7757" t="inlineStr">
        <is>
          <t>-345Q1</t>
        </is>
      </c>
      <c r="E7757" t="inlineStr">
        <is>
          <t>DILMC25-10(RDC24)</t>
        </is>
      </c>
      <c r="F7757" t="inlineStr">
        <is>
          <t>DILA-XHI22</t>
        </is>
      </c>
      <c r="G7757" t="inlineStr">
        <is>
          <t>LASTSCHUETZ</t>
        </is>
      </c>
      <c r="H7757" t="inlineStr">
        <is>
          <t>11kW 1S Federzugkl.</t>
        </is>
      </c>
      <c r="I7757">
        <v>1839</v>
      </c>
      <c r="J7757">
        <f>GS30/345.4</f>
        <v>0</v>
      </c>
      <c r="K7757" t="inlineStr">
        <is>
          <t>DIL MC25</t>
        </is>
      </c>
      <c r="M7757" t="inlineStr">
        <is>
          <t>-345Q1</t>
        </is>
      </c>
    </row>
    <row r="7758">
      <c r="A7758">
        <v>7757</v>
      </c>
      <c r="B7758">
        <f>GS35</f>
        <v>0</v>
      </c>
      <c r="C7758" t="inlineStr">
        <is>
          <t>+LS08</t>
        </is>
      </c>
      <c r="D7758" t="inlineStr">
        <is>
          <t>-345Q1</t>
        </is>
      </c>
      <c r="E7758" t="inlineStr">
        <is>
          <t>DILM-25-10</t>
        </is>
      </c>
      <c r="F7758" t="inlineStr">
        <is>
          <t>DILA-XHI22</t>
        </is>
      </c>
      <c r="G7758" t="inlineStr">
        <is>
          <t>LASTSCHUETZ</t>
        </is>
      </c>
      <c r="H7758" t="inlineStr">
        <is>
          <t>11kW 1S Federzugkl.</t>
        </is>
      </c>
      <c r="I7758">
        <v>504</v>
      </c>
      <c r="J7758">
        <f>GS35/345.4</f>
        <v>0</v>
      </c>
      <c r="K7758" t="inlineStr">
        <is>
          <t>DIL MC25</t>
        </is>
      </c>
      <c r="M7758" t="inlineStr">
        <is>
          <t>-345Q1</t>
        </is>
      </c>
    </row>
    <row r="7759">
      <c r="A7759">
        <v>7758</v>
      </c>
      <c r="B7759">
        <f>GS35</f>
        <v>0</v>
      </c>
      <c r="C7759" t="inlineStr">
        <is>
          <t>+LS08</t>
        </is>
      </c>
      <c r="D7759" t="inlineStr">
        <is>
          <t>-345Q1</t>
        </is>
      </c>
      <c r="E7759" t="inlineStr">
        <is>
          <t>DILA-XHI22</t>
        </is>
      </c>
      <c r="F7759" t="inlineStr">
        <is>
          <t>DILA-XHI22</t>
        </is>
      </c>
      <c r="G7759" t="inlineStr">
        <is>
          <t>HILFSKONTAKTBLOCK</t>
        </is>
      </c>
      <c r="H7759" t="inlineStr">
        <is>
          <t>2S 2OE Last+Hilfssch. Cage</t>
        </is>
      </c>
      <c r="I7759">
        <v>504</v>
      </c>
      <c r="J7759">
        <f>GS35/345.4</f>
        <v>0</v>
      </c>
      <c r="K7759" t="inlineStr">
        <is>
          <t>DIL MC25</t>
        </is>
      </c>
      <c r="M7759" t="inlineStr">
        <is>
          <t>-345Q1</t>
        </is>
      </c>
    </row>
    <row r="7760">
      <c r="A7760">
        <v>7759</v>
      </c>
      <c r="B7760">
        <f>GS36</f>
        <v>0</v>
      </c>
      <c r="C7760" t="inlineStr">
        <is>
          <t>+LS07</t>
        </is>
      </c>
      <c r="D7760" t="inlineStr">
        <is>
          <t>-345Q1</t>
        </is>
      </c>
      <c r="E7760" t="inlineStr">
        <is>
          <t>DILMC25-10(RDC24)</t>
        </is>
      </c>
      <c r="F7760" t="inlineStr">
        <is>
          <t>DILA-XHI22</t>
        </is>
      </c>
      <c r="G7760" t="inlineStr">
        <is>
          <t>LASTSCHUETZ</t>
        </is>
      </c>
      <c r="H7760" t="inlineStr">
        <is>
          <t>11kW 1S Federzugkl.</t>
        </is>
      </c>
      <c r="I7760">
        <v>518</v>
      </c>
      <c r="J7760">
        <f>GS36/345.4</f>
        <v>0</v>
      </c>
      <c r="K7760" t="inlineStr">
        <is>
          <t>DIL MC25</t>
        </is>
      </c>
      <c r="L7760" t="inlineStr">
        <is>
          <t>HVO 14</t>
        </is>
      </c>
      <c r="M7760" t="inlineStr">
        <is>
          <t>HVO 14
-345Q1</t>
        </is>
      </c>
      <c r="N7760" t="inlineStr">
        <is>
          <t>P</t>
        </is>
      </c>
    </row>
    <row r="7761">
      <c r="A7761">
        <v>7760</v>
      </c>
      <c r="B7761">
        <f>GS36</f>
        <v>0</v>
      </c>
      <c r="C7761" t="inlineStr">
        <is>
          <t>+LS07</t>
        </is>
      </c>
      <c r="D7761" t="inlineStr">
        <is>
          <t>-345Q1</t>
        </is>
      </c>
      <c r="E7761" t="inlineStr">
        <is>
          <t>DILA-XHI22</t>
        </is>
      </c>
      <c r="F7761" t="inlineStr">
        <is>
          <t>DILA-XHI22</t>
        </is>
      </c>
      <c r="G7761" t="inlineStr">
        <is>
          <t>HILFSKONTAKTBLOCK</t>
        </is>
      </c>
      <c r="H7761" t="inlineStr">
        <is>
          <t>2S 2OE Last+Hilfssch. Cage</t>
        </is>
      </c>
      <c r="I7761">
        <v>518</v>
      </c>
      <c r="J7761">
        <f>GS36/345.4</f>
        <v>0</v>
      </c>
      <c r="K7761" t="inlineStr">
        <is>
          <t>DIL MC25</t>
        </is>
      </c>
      <c r="L7761" t="inlineStr">
        <is>
          <t>HVO 14</t>
        </is>
      </c>
      <c r="M7761" t="inlineStr">
        <is>
          <t>HVO 14
-345Q1</t>
        </is>
      </c>
      <c r="N7761" t="inlineStr">
        <is>
          <t>P</t>
        </is>
      </c>
    </row>
    <row r="7762">
      <c r="A7762">
        <v>7761</v>
      </c>
      <c r="B7762">
        <f>GS37</f>
        <v>0</v>
      </c>
      <c r="C7762" t="inlineStr">
        <is>
          <t>+LS07</t>
        </is>
      </c>
      <c r="D7762" t="inlineStr">
        <is>
          <t>-345Q1</t>
        </is>
      </c>
      <c r="E7762" t="inlineStr">
        <is>
          <t>DILMC25-10(RDC24)</t>
        </is>
      </c>
      <c r="F7762" t="inlineStr">
        <is>
          <t>DILA-XHI22</t>
        </is>
      </c>
      <c r="G7762" t="inlineStr">
        <is>
          <t>LASTSCHUETZ</t>
        </is>
      </c>
      <c r="H7762" t="inlineStr">
        <is>
          <t>11kW 1S Federzugkl.</t>
        </is>
      </c>
      <c r="I7762">
        <v>600</v>
      </c>
      <c r="J7762">
        <f>GS37/345.3</f>
        <v>0</v>
      </c>
      <c r="K7762" t="inlineStr">
        <is>
          <t>DIL MC25</t>
        </is>
      </c>
      <c r="M7762" t="inlineStr">
        <is>
          <t>-345Q1</t>
        </is>
      </c>
    </row>
    <row r="7763">
      <c r="A7763">
        <v>7762</v>
      </c>
      <c r="B7763">
        <f>GS37</f>
        <v>0</v>
      </c>
      <c r="C7763" t="inlineStr">
        <is>
          <t>+LS07</t>
        </is>
      </c>
      <c r="D7763" t="inlineStr">
        <is>
          <t>-345Q1</t>
        </is>
      </c>
      <c r="E7763" t="inlineStr">
        <is>
          <t>DILA-XHI22</t>
        </is>
      </c>
      <c r="F7763" t="inlineStr">
        <is>
          <t>DILA-XHI22</t>
        </is>
      </c>
      <c r="G7763" t="inlineStr">
        <is>
          <t>HILFSKONTAKTBLOCK</t>
        </is>
      </c>
      <c r="H7763" t="inlineStr">
        <is>
          <t>2S 2OE Last+Hilfssch. Cage</t>
        </is>
      </c>
      <c r="I7763">
        <v>600</v>
      </c>
      <c r="J7763">
        <f>GS37/345.3</f>
        <v>0</v>
      </c>
      <c r="K7763" t="inlineStr">
        <is>
          <t>DIL MC25</t>
        </is>
      </c>
      <c r="M7763" t="inlineStr">
        <is>
          <t>-345Q1</t>
        </is>
      </c>
    </row>
    <row r="7764">
      <c r="A7764">
        <v>7763</v>
      </c>
      <c r="B7764">
        <f>GS52</f>
        <v>0</v>
      </c>
      <c r="C7764" t="inlineStr">
        <is>
          <t>+LS05</t>
        </is>
      </c>
      <c r="D7764" t="inlineStr">
        <is>
          <t>-345Q1</t>
        </is>
      </c>
      <c r="E7764" t="inlineStr">
        <is>
          <t>DILMC25-10(RDC24)</t>
        </is>
      </c>
      <c r="F7764" t="inlineStr">
        <is>
          <t>DILA-XHI22</t>
        </is>
      </c>
      <c r="G7764" t="inlineStr">
        <is>
          <t>LASTSCHUETZ</t>
        </is>
      </c>
      <c r="H7764" t="inlineStr">
        <is>
          <t>11kW 1S Federzugkl.</t>
        </is>
      </c>
      <c r="I7764">
        <v>1633</v>
      </c>
      <c r="J7764">
        <f>GS52/345.6</f>
        <v>0</v>
      </c>
      <c r="K7764" t="inlineStr">
        <is>
          <t>DIL MC25</t>
        </is>
      </c>
      <c r="M7764" t="inlineStr">
        <is>
          <t>-345Q1</t>
        </is>
      </c>
    </row>
    <row r="7765">
      <c r="A7765">
        <v>7764</v>
      </c>
      <c r="B7765">
        <f>GS52</f>
        <v>0</v>
      </c>
      <c r="C7765" t="inlineStr">
        <is>
          <t>+LS05</t>
        </is>
      </c>
      <c r="D7765" t="inlineStr">
        <is>
          <t>-345Q1</t>
        </is>
      </c>
      <c r="E7765" t="inlineStr">
        <is>
          <t>DILA-XHI22</t>
        </is>
      </c>
      <c r="F7765" t="inlineStr">
        <is>
          <t>DILA-XHI22</t>
        </is>
      </c>
      <c r="G7765" t="inlineStr">
        <is>
          <t>HILFSKONTAKTBLOCK</t>
        </is>
      </c>
      <c r="H7765" t="inlineStr">
        <is>
          <t>2S 2OE Last+Hilfssch. Cage</t>
        </is>
      </c>
      <c r="I7765">
        <v>1633</v>
      </c>
      <c r="J7765">
        <f>GS52/345.6</f>
        <v>0</v>
      </c>
      <c r="K7765" t="inlineStr">
        <is>
          <t>DIL MC25</t>
        </is>
      </c>
      <c r="M7765" t="inlineStr">
        <is>
          <t>-345Q1</t>
        </is>
      </c>
    </row>
    <row r="7766">
      <c r="A7766">
        <v>7765</v>
      </c>
      <c r="B7766">
        <f>GS55</f>
        <v>0</v>
      </c>
      <c r="C7766" t="inlineStr">
        <is>
          <t>+LS05</t>
        </is>
      </c>
      <c r="D7766" t="inlineStr">
        <is>
          <t>-345Q1</t>
        </is>
      </c>
      <c r="E7766" t="inlineStr">
        <is>
          <t>DILA-XHI22</t>
        </is>
      </c>
      <c r="F7766" t="inlineStr">
        <is>
          <t>DILA-XHI22</t>
        </is>
      </c>
      <c r="G7766" t="inlineStr">
        <is>
          <t>HILFSKONTAKTBLOCK</t>
        </is>
      </c>
      <c r="H7766" t="inlineStr">
        <is>
          <t>2S 2OE Last+Hilfssch. Cage</t>
        </is>
      </c>
      <c r="I7766">
        <v>620</v>
      </c>
      <c r="J7766">
        <f>GS55/345.6</f>
        <v>0</v>
      </c>
      <c r="K7766" t="inlineStr">
        <is>
          <t>DIL MC25</t>
        </is>
      </c>
      <c r="M7766" t="inlineStr">
        <is>
          <t>-345Q1</t>
        </is>
      </c>
    </row>
    <row r="7767">
      <c r="A7767">
        <v>7766</v>
      </c>
      <c r="B7767">
        <f>GS55</f>
        <v>0</v>
      </c>
      <c r="C7767" t="inlineStr">
        <is>
          <t>+LS05</t>
        </is>
      </c>
      <c r="D7767" t="inlineStr">
        <is>
          <t>-345Q1</t>
        </is>
      </c>
      <c r="E7767" t="inlineStr">
        <is>
          <t>DILMC25-10(RDC24)</t>
        </is>
      </c>
      <c r="F7767" t="inlineStr">
        <is>
          <t>DILA-XHI22</t>
        </is>
      </c>
      <c r="G7767" t="inlineStr">
        <is>
          <t>LASTSCHUETZ</t>
        </is>
      </c>
      <c r="H7767" t="inlineStr">
        <is>
          <t>11kW 1S Federzugkl.</t>
        </is>
      </c>
      <c r="I7767">
        <v>620</v>
      </c>
      <c r="J7767">
        <f>GS55/345.6</f>
        <v>0</v>
      </c>
      <c r="K7767" t="inlineStr">
        <is>
          <t>DIL MC25</t>
        </is>
      </c>
      <c r="M7767" t="inlineStr">
        <is>
          <t>-345Q1</t>
        </is>
      </c>
    </row>
    <row r="7768">
      <c r="A7768">
        <v>7767</v>
      </c>
      <c r="B7768">
        <f>GS90</f>
        <v>0</v>
      </c>
      <c r="C7768" t="inlineStr">
        <is>
          <t>+LS06</t>
        </is>
      </c>
      <c r="D7768" t="inlineStr">
        <is>
          <t>-345Q1</t>
        </is>
      </c>
      <c r="E7768" t="inlineStr">
        <is>
          <t>DILMC25-10(RDC24)</t>
        </is>
      </c>
      <c r="F7768" t="inlineStr">
        <is>
          <t>DILA-XHI22</t>
        </is>
      </c>
      <c r="G7768" t="inlineStr">
        <is>
          <t>LASTSCHUETZ</t>
        </is>
      </c>
      <c r="H7768" t="inlineStr">
        <is>
          <t>11kW 1S Federzugkl.</t>
        </is>
      </c>
      <c r="I7768">
        <v>930</v>
      </c>
      <c r="J7768">
        <f>GS90/345.4</f>
        <v>0</v>
      </c>
      <c r="K7768" t="inlineStr">
        <is>
          <t>DIL MC25</t>
        </is>
      </c>
      <c r="M7768" t="inlineStr">
        <is>
          <t>-345Q1</t>
        </is>
      </c>
    </row>
    <row r="7769">
      <c r="A7769">
        <v>7768</v>
      </c>
      <c r="B7769">
        <f>GS90</f>
        <v>0</v>
      </c>
      <c r="C7769" t="inlineStr">
        <is>
          <t>+LS06</t>
        </is>
      </c>
      <c r="D7769" t="inlineStr">
        <is>
          <t>-345Q1</t>
        </is>
      </c>
      <c r="E7769" t="inlineStr">
        <is>
          <t>DILA-XHI22</t>
        </is>
      </c>
      <c r="F7769" t="inlineStr">
        <is>
          <t>DILA-XHI22</t>
        </is>
      </c>
      <c r="G7769" t="inlineStr">
        <is>
          <t>HILFSKONTAKTBLOCK</t>
        </is>
      </c>
      <c r="H7769" t="inlineStr">
        <is>
          <t>2S 2OE Last+Hilfssch. Cage</t>
        </is>
      </c>
      <c r="I7769">
        <v>930</v>
      </c>
      <c r="J7769">
        <f>GS90/345.4</f>
        <v>0</v>
      </c>
      <c r="K7769" t="inlineStr">
        <is>
          <t>DIL MC25</t>
        </is>
      </c>
      <c r="M7769" t="inlineStr">
        <is>
          <t>-345Q1</t>
        </is>
      </c>
    </row>
    <row r="7770">
      <c r="A7770">
        <v>7769</v>
      </c>
      <c r="B7770">
        <f>GS93</f>
        <v>0</v>
      </c>
      <c r="C7770" t="inlineStr">
        <is>
          <t>+LS06</t>
        </is>
      </c>
      <c r="D7770" t="inlineStr">
        <is>
          <t>-345Q1</t>
        </is>
      </c>
      <c r="E7770" t="inlineStr">
        <is>
          <t>DILMC25-10(RDC24)</t>
        </is>
      </c>
      <c r="F7770" t="inlineStr">
        <is>
          <t>DILA-XHI22</t>
        </is>
      </c>
      <c r="G7770" t="inlineStr">
        <is>
          <t>LASTSCHUETZ</t>
        </is>
      </c>
      <c r="H7770" t="inlineStr">
        <is>
          <t>11kW 1S Federzugkl.</t>
        </is>
      </c>
      <c r="I7770">
        <v>899</v>
      </c>
      <c r="J7770">
        <f>GS93/345.4</f>
        <v>0</v>
      </c>
      <c r="K7770" t="inlineStr">
        <is>
          <t>DIL MC25</t>
        </is>
      </c>
      <c r="M7770" t="inlineStr">
        <is>
          <t>-345Q1</t>
        </is>
      </c>
    </row>
    <row r="7771">
      <c r="A7771">
        <v>7770</v>
      </c>
      <c r="B7771">
        <f>GS93</f>
        <v>0</v>
      </c>
      <c r="C7771" t="inlineStr">
        <is>
          <t>+LS06</t>
        </is>
      </c>
      <c r="D7771" t="inlineStr">
        <is>
          <t>-345Q1</t>
        </is>
      </c>
      <c r="E7771" t="inlineStr">
        <is>
          <t>DILA-XHI22</t>
        </is>
      </c>
      <c r="F7771" t="inlineStr">
        <is>
          <t>DILA-XHI22</t>
        </is>
      </c>
      <c r="G7771" t="inlineStr">
        <is>
          <t>HILFSKONTAKTBLOCK</t>
        </is>
      </c>
      <c r="H7771" t="inlineStr">
        <is>
          <t>2S 2OE Last+Hilfssch. Cage</t>
        </is>
      </c>
      <c r="I7771">
        <v>899</v>
      </c>
      <c r="J7771">
        <f>GS93/345.4</f>
        <v>0</v>
      </c>
      <c r="K7771" t="inlineStr">
        <is>
          <t>DIL MC25</t>
        </is>
      </c>
      <c r="M7771" t="inlineStr">
        <is>
          <t>-345Q1</t>
        </is>
      </c>
    </row>
    <row r="7772">
      <c r="A7772">
        <v>7771</v>
      </c>
      <c r="B7772">
        <f>GS94</f>
        <v>0</v>
      </c>
      <c r="C7772" t="inlineStr">
        <is>
          <t>+LS20</t>
        </is>
      </c>
      <c r="D7772" t="inlineStr">
        <is>
          <t>-345Q1</t>
        </is>
      </c>
      <c r="E7772" t="inlineStr">
        <is>
          <t>DILMC25-10(RDC24)</t>
        </is>
      </c>
      <c r="F7772" t="inlineStr">
        <is>
          <t>DILA-XHI22</t>
        </is>
      </c>
      <c r="G7772" t="inlineStr">
        <is>
          <t>LASTSCHUETZ</t>
        </is>
      </c>
      <c r="H7772" t="inlineStr">
        <is>
          <t>11kW 1S Federzugkl.</t>
        </is>
      </c>
      <c r="I7772">
        <v>435</v>
      </c>
      <c r="J7772">
        <f>GS94/345.4</f>
        <v>0</v>
      </c>
      <c r="K7772" t="inlineStr">
        <is>
          <t>DIL MC25</t>
        </is>
      </c>
      <c r="M7772" t="inlineStr">
        <is>
          <t>-345Q1</t>
        </is>
      </c>
    </row>
    <row r="7773">
      <c r="A7773">
        <v>7772</v>
      </c>
      <c r="B7773">
        <f>GS94</f>
        <v>0</v>
      </c>
      <c r="C7773" t="inlineStr">
        <is>
          <t>+LS20</t>
        </is>
      </c>
      <c r="D7773" t="inlineStr">
        <is>
          <t>-345Q1</t>
        </is>
      </c>
      <c r="E7773" t="inlineStr">
        <is>
          <t>DILA-XHI22</t>
        </is>
      </c>
      <c r="F7773" t="inlineStr">
        <is>
          <t>DILA-XHI22</t>
        </is>
      </c>
      <c r="G7773" t="inlineStr">
        <is>
          <t>HILFSKONTAKTBLOCK</t>
        </is>
      </c>
      <c r="H7773" t="inlineStr">
        <is>
          <t>2S 2OE Last+Hilfssch. Cage</t>
        </is>
      </c>
      <c r="I7773">
        <v>435</v>
      </c>
      <c r="J7773">
        <f>GS94/345.4</f>
        <v>0</v>
      </c>
      <c r="K7773" t="inlineStr">
        <is>
          <t>DIL MC25</t>
        </is>
      </c>
      <c r="M7773" t="inlineStr">
        <is>
          <t>-345Q1</t>
        </is>
      </c>
    </row>
    <row r="7774">
      <c r="A7774">
        <v>7773</v>
      </c>
      <c r="B7774">
        <f>GS95</f>
        <v>0</v>
      </c>
      <c r="C7774" t="inlineStr">
        <is>
          <t>+LS20</t>
        </is>
      </c>
      <c r="D7774" t="inlineStr">
        <is>
          <t>-345Q1</t>
        </is>
      </c>
      <c r="E7774" t="inlineStr">
        <is>
          <t>DILA-XHI22</t>
        </is>
      </c>
      <c r="F7774" t="inlineStr">
        <is>
          <t>DILA-XHI22</t>
        </is>
      </c>
      <c r="G7774" t="inlineStr">
        <is>
          <t>HILFSKONTAKTBLOCK</t>
        </is>
      </c>
      <c r="H7774" t="inlineStr">
        <is>
          <t>2S 2OE Last+Hilfssch. Cage</t>
        </is>
      </c>
      <c r="I7774">
        <v>435</v>
      </c>
      <c r="J7774">
        <f>GS95/345.4</f>
        <v>0</v>
      </c>
      <c r="K7774" t="inlineStr">
        <is>
          <t>DIL MC25</t>
        </is>
      </c>
      <c r="M7774" t="inlineStr">
        <is>
          <t>-345Q1</t>
        </is>
      </c>
    </row>
    <row r="7775">
      <c r="A7775">
        <v>7774</v>
      </c>
      <c r="B7775">
        <f>GS95</f>
        <v>0</v>
      </c>
      <c r="C7775" t="inlineStr">
        <is>
          <t>+LS20</t>
        </is>
      </c>
      <c r="D7775" t="inlineStr">
        <is>
          <t>-345Q1</t>
        </is>
      </c>
      <c r="E7775" t="inlineStr">
        <is>
          <t>DILMC25-10(RDC24)</t>
        </is>
      </c>
      <c r="F7775" t="inlineStr">
        <is>
          <t>DILA-XHI22</t>
        </is>
      </c>
      <c r="G7775" t="inlineStr">
        <is>
          <t>LASTSCHUETZ</t>
        </is>
      </c>
      <c r="H7775" t="inlineStr">
        <is>
          <t>11kW 1S Federzugkl.</t>
        </is>
      </c>
      <c r="I7775">
        <v>435</v>
      </c>
      <c r="J7775">
        <f>GS95/345.4</f>
        <v>0</v>
      </c>
      <c r="K7775" t="inlineStr">
        <is>
          <t>DIL MC25</t>
        </is>
      </c>
      <c r="M7775" t="inlineStr">
        <is>
          <t>-345Q1</t>
        </is>
      </c>
    </row>
    <row r="7776">
      <c r="A7776">
        <v>7775</v>
      </c>
      <c r="B7776">
        <f>GS96</f>
        <v>0</v>
      </c>
      <c r="C7776" t="inlineStr">
        <is>
          <t>+LS20</t>
        </is>
      </c>
      <c r="D7776" t="inlineStr">
        <is>
          <t>-345Q1</t>
        </is>
      </c>
      <c r="E7776" t="inlineStr">
        <is>
          <t>DILA-XHI22</t>
        </is>
      </c>
      <c r="F7776" t="inlineStr">
        <is>
          <t>DILA-XHI22</t>
        </is>
      </c>
      <c r="G7776" t="inlineStr">
        <is>
          <t>HILFSKONTAKTBLOCK</t>
        </is>
      </c>
      <c r="H7776" t="inlineStr">
        <is>
          <t>2S 2OE Last+Hilfssch. Cage</t>
        </is>
      </c>
      <c r="I7776">
        <v>435</v>
      </c>
      <c r="J7776">
        <f>GS96/345.4</f>
        <v>0</v>
      </c>
      <c r="K7776" t="inlineStr">
        <is>
          <t>DIL MC25</t>
        </is>
      </c>
      <c r="M7776" t="inlineStr">
        <is>
          <t>-345Q1</t>
        </is>
      </c>
    </row>
    <row r="7777">
      <c r="A7777">
        <v>7776</v>
      </c>
      <c r="B7777">
        <f>GS96</f>
        <v>0</v>
      </c>
      <c r="C7777" t="inlineStr">
        <is>
          <t>+LS20</t>
        </is>
      </c>
      <c r="D7777" t="inlineStr">
        <is>
          <t>-345Q1</t>
        </is>
      </c>
      <c r="E7777" t="inlineStr">
        <is>
          <t>DILMC25-10(RDC24)</t>
        </is>
      </c>
      <c r="F7777" t="inlineStr">
        <is>
          <t>DILA-XHI22</t>
        </is>
      </c>
      <c r="G7777" t="inlineStr">
        <is>
          <t>LASTSCHUETZ</t>
        </is>
      </c>
      <c r="H7777" t="inlineStr">
        <is>
          <t>11kW 1S Federzugkl.</t>
        </is>
      </c>
      <c r="I7777">
        <v>435</v>
      </c>
      <c r="J7777">
        <f>GS96/345.4</f>
        <v>0</v>
      </c>
      <c r="K7777" t="inlineStr">
        <is>
          <t>DIL MC25</t>
        </is>
      </c>
      <c r="M7777" t="inlineStr">
        <is>
          <t>-345Q1</t>
        </is>
      </c>
    </row>
    <row r="7778">
      <c r="A7778">
        <v>7777</v>
      </c>
      <c r="B7778">
        <f>GS97</f>
        <v>0</v>
      </c>
      <c r="C7778" t="inlineStr">
        <is>
          <t>+LS20</t>
        </is>
      </c>
      <c r="D7778" t="inlineStr">
        <is>
          <t>-345Q1</t>
        </is>
      </c>
      <c r="E7778" t="inlineStr">
        <is>
          <t>DILMC25-10(RDC24)</t>
        </is>
      </c>
      <c r="F7778" t="inlineStr">
        <is>
          <t>DILA-XHI22</t>
        </is>
      </c>
      <c r="G7778" t="inlineStr">
        <is>
          <t>LASTSCHUETZ</t>
        </is>
      </c>
      <c r="H7778" t="inlineStr">
        <is>
          <t>11kW 1S Federzugkl.</t>
        </is>
      </c>
      <c r="I7778">
        <v>435</v>
      </c>
      <c r="J7778">
        <f>GS97/345.4</f>
        <v>0</v>
      </c>
      <c r="K7778" t="inlineStr">
        <is>
          <t>DIL MC25</t>
        </is>
      </c>
      <c r="M7778" t="inlineStr">
        <is>
          <t>-345Q1</t>
        </is>
      </c>
    </row>
    <row r="7779">
      <c r="A7779">
        <v>7778</v>
      </c>
      <c r="B7779">
        <f>GS97</f>
        <v>0</v>
      </c>
      <c r="C7779" t="inlineStr">
        <is>
          <t>+LS20</t>
        </is>
      </c>
      <c r="D7779" t="inlineStr">
        <is>
          <t>-345Q1</t>
        </is>
      </c>
      <c r="E7779" t="inlineStr">
        <is>
          <t>DILA-XHI22</t>
        </is>
      </c>
      <c r="F7779" t="inlineStr">
        <is>
          <t>DILA-XHI22</t>
        </is>
      </c>
      <c r="G7779" t="inlineStr">
        <is>
          <t>HILFSKONTAKTBLOCK</t>
        </is>
      </c>
      <c r="H7779" t="inlineStr">
        <is>
          <t>2S 2OE Last+Hilfssch. Cage</t>
        </is>
      </c>
      <c r="I7779">
        <v>435</v>
      </c>
      <c r="J7779">
        <f>GS97/345.4</f>
        <v>0</v>
      </c>
      <c r="K7779" t="inlineStr">
        <is>
          <t>DIL MC25</t>
        </is>
      </c>
      <c r="M7779" t="inlineStr">
        <is>
          <t>-345Q1</t>
        </is>
      </c>
    </row>
    <row r="7780">
      <c r="A7780">
        <v>7779</v>
      </c>
      <c r="B7780">
        <f>GS51</f>
        <v>0</v>
      </c>
      <c r="C7780" t="inlineStr">
        <is>
          <t>+LS04</t>
        </is>
      </c>
      <c r="D7780" t="inlineStr">
        <is>
          <t>-345Q145.3</t>
        </is>
      </c>
      <c r="E7780" t="inlineStr">
        <is>
          <t>DILM-9-10</t>
        </is>
      </c>
      <c r="F7780" t="inlineStr">
        <is>
          <t>#KALK!</t>
        </is>
      </c>
      <c r="G7780" t="inlineStr">
        <is>
          <t>LASTSCHUETZ</t>
        </is>
      </c>
      <c r="H7780" t="inlineStr">
        <is>
          <t>4kW 1S Federzugkl.</t>
        </is>
      </c>
      <c r="I7780">
        <v>527</v>
      </c>
      <c r="J7780">
        <f>GS51/345.6</f>
        <v>0</v>
      </c>
      <c r="K7780" t="inlineStr">
        <is>
          <t>DIL MC9</t>
        </is>
      </c>
      <c r="M7780" t="inlineStr">
        <is>
          <t>-345Q145.3</t>
        </is>
      </c>
    </row>
    <row r="7781">
      <c r="A7781">
        <v>7780</v>
      </c>
      <c r="B7781">
        <f>GS24</f>
        <v>0</v>
      </c>
      <c r="C7781" t="inlineStr">
        <is>
          <t>+LS7</t>
        </is>
      </c>
      <c r="D7781" t="inlineStr">
        <is>
          <t>-346K19.5</t>
        </is>
      </c>
      <c r="E7781" t="inlineStr">
        <is>
          <t>DIL_EM-10-G</t>
        </is>
      </c>
      <c r="F7781" t="inlineStr">
        <is>
          <t>#KALK!</t>
        </is>
      </c>
      <c r="G7781" t="inlineStr">
        <is>
          <t>LASTSCHUETZ</t>
        </is>
      </c>
      <c r="H7781" t="inlineStr">
        <is>
          <t>4kW 1S</t>
        </is>
      </c>
      <c r="I7781">
        <v>741</v>
      </c>
      <c r="J7781">
        <f>GS24/346.6</f>
        <v>0</v>
      </c>
      <c r="M7781" t="inlineStr">
        <is>
          <t>-346K19.5</t>
        </is>
      </c>
    </row>
    <row r="7782">
      <c r="A7782">
        <v>7781</v>
      </c>
      <c r="B7782">
        <f>GS24</f>
        <v>0</v>
      </c>
      <c r="C7782" t="inlineStr">
        <is>
          <t>+LS7</t>
        </is>
      </c>
      <c r="D7782" t="inlineStr">
        <is>
          <t>-346K20.0</t>
        </is>
      </c>
      <c r="E7782" t="inlineStr">
        <is>
          <t>DIL_EM-10-G</t>
        </is>
      </c>
      <c r="F7782" t="inlineStr">
        <is>
          <t>#KALK!</t>
        </is>
      </c>
      <c r="G7782" t="inlineStr">
        <is>
          <t>LASTSCHUETZ</t>
        </is>
      </c>
      <c r="H7782" t="inlineStr">
        <is>
          <t>4kW 1S</t>
        </is>
      </c>
      <c r="I7782">
        <v>741</v>
      </c>
      <c r="J7782">
        <f>GS24/346.6</f>
        <v>0</v>
      </c>
      <c r="M7782" t="inlineStr">
        <is>
          <t>-346K20.0</t>
        </is>
      </c>
    </row>
    <row r="7783">
      <c r="A7783">
        <v>7782</v>
      </c>
      <c r="B7783">
        <f>GS25</f>
        <v>0</v>
      </c>
      <c r="C7783" t="inlineStr">
        <is>
          <t>+LS7</t>
        </is>
      </c>
      <c r="D7783" t="inlineStr">
        <is>
          <t>-346K23.2</t>
        </is>
      </c>
      <c r="E7783" t="inlineStr">
        <is>
          <t>DIL_EM-10-G</t>
        </is>
      </c>
      <c r="F7783" t="inlineStr">
        <is>
          <t>#KALK!</t>
        </is>
      </c>
      <c r="G7783" t="inlineStr">
        <is>
          <t>LASTSCHUETZ</t>
        </is>
      </c>
      <c r="H7783" t="inlineStr">
        <is>
          <t>4kW 1S</t>
        </is>
      </c>
      <c r="I7783">
        <v>470</v>
      </c>
      <c r="J7783">
        <f>GS25/346.6</f>
        <v>0</v>
      </c>
      <c r="M7783" t="inlineStr">
        <is>
          <t>-346K23.2</t>
        </is>
      </c>
    </row>
    <row r="7784">
      <c r="A7784">
        <v>7783</v>
      </c>
      <c r="B7784">
        <f>GS32</f>
        <v>0</v>
      </c>
      <c r="C7784" t="inlineStr">
        <is>
          <t>+LS8</t>
        </is>
      </c>
      <c r="D7784" t="inlineStr">
        <is>
          <t>-346K73.7</t>
        </is>
      </c>
      <c r="E7784" t="inlineStr">
        <is>
          <t>DIL_EM-10-G</t>
        </is>
      </c>
      <c r="F7784" t="inlineStr">
        <is>
          <t>#KALK!</t>
        </is>
      </c>
      <c r="G7784" t="inlineStr">
        <is>
          <t>LASTSCHUETZ</t>
        </is>
      </c>
      <c r="H7784" t="inlineStr">
        <is>
          <t>4kW 1S</t>
        </is>
      </c>
      <c r="I7784">
        <v>1231</v>
      </c>
      <c r="J7784">
        <f>GS32/346.7</f>
        <v>0</v>
      </c>
      <c r="M7784" t="inlineStr">
        <is>
          <t>-346K73.7</t>
        </is>
      </c>
    </row>
    <row r="7785">
      <c r="A7785">
        <v>7784</v>
      </c>
      <c r="B7785">
        <f>GS14</f>
        <v>0</v>
      </c>
      <c r="C7785" t="inlineStr">
        <is>
          <t>+LS7</t>
        </is>
      </c>
      <c r="D7785" t="inlineStr">
        <is>
          <t>-347K1</t>
        </is>
      </c>
      <c r="E7785" t="inlineStr">
        <is>
          <t>DIL_2AM</t>
        </is>
      </c>
      <c r="F7785" t="inlineStr">
        <is>
          <t>22_DIL-M</t>
        </is>
      </c>
      <c r="G7785" t="inlineStr">
        <is>
          <t>LASTSCHUETZ</t>
        </is>
      </c>
      <c r="H7785" t="inlineStr">
        <is>
          <t>30 kW</t>
        </is>
      </c>
      <c r="I7785">
        <v>476</v>
      </c>
      <c r="J7785">
        <f>GS14/347.2</f>
        <v>0</v>
      </c>
      <c r="K7785" t="inlineStr">
        <is>
          <t>DIL2AM</t>
        </is>
      </c>
      <c r="M7785" t="inlineStr">
        <is>
          <t>-347K1</t>
        </is>
      </c>
    </row>
    <row r="7786">
      <c r="A7786">
        <v>7785</v>
      </c>
      <c r="B7786">
        <f>GS14</f>
        <v>0</v>
      </c>
      <c r="C7786" t="inlineStr">
        <is>
          <t>+LS7</t>
        </is>
      </c>
      <c r="D7786" t="inlineStr">
        <is>
          <t>-347K1</t>
        </is>
      </c>
      <c r="E7786" t="inlineStr">
        <is>
          <t>22_DIL-M</t>
        </is>
      </c>
      <c r="F7786" t="inlineStr">
        <is>
          <t>22_DIL-M</t>
        </is>
      </c>
      <c r="G7786" t="inlineStr">
        <is>
          <t>HILFSKONTAKTBLOCK</t>
        </is>
      </c>
      <c r="H7786" t="inlineStr">
        <is>
          <t>2S 2OE Lastschuetz DIL M</t>
        </is>
      </c>
      <c r="I7786">
        <v>476</v>
      </c>
      <c r="J7786">
        <f>GS14/347.2</f>
        <v>0</v>
      </c>
      <c r="K7786" t="inlineStr">
        <is>
          <t>DIL2AM</t>
        </is>
      </c>
      <c r="M7786" t="inlineStr">
        <is>
          <t>-347K1</t>
        </is>
      </c>
    </row>
    <row r="7787">
      <c r="A7787">
        <v>7786</v>
      </c>
      <c r="B7787">
        <f>GS14</f>
        <v>0</v>
      </c>
      <c r="C7787" t="inlineStr">
        <is>
          <t>+LS7</t>
        </is>
      </c>
      <c r="D7787" t="inlineStr">
        <is>
          <t>-347K2</t>
        </is>
      </c>
      <c r="E7787" t="inlineStr">
        <is>
          <t>DIL_0AM</t>
        </is>
      </c>
      <c r="F7787" t="inlineStr">
        <is>
          <t>22_DIL-M</t>
        </is>
      </c>
      <c r="G7787" t="inlineStr">
        <is>
          <t>LASTSCHUETZ</t>
        </is>
      </c>
      <c r="H7787" t="inlineStr">
        <is>
          <t>11 kW</t>
        </is>
      </c>
      <c r="I7787">
        <v>476</v>
      </c>
      <c r="J7787">
        <f>GS14/347.3</f>
        <v>0</v>
      </c>
      <c r="K7787" t="inlineStr">
        <is>
          <t>DIL0AM</t>
        </is>
      </c>
      <c r="M7787" t="inlineStr">
        <is>
          <t>-347K2</t>
        </is>
      </c>
    </row>
    <row r="7788">
      <c r="A7788">
        <v>7787</v>
      </c>
      <c r="B7788">
        <f>GS14</f>
        <v>0</v>
      </c>
      <c r="C7788" t="inlineStr">
        <is>
          <t>+LS7</t>
        </is>
      </c>
      <c r="D7788" t="inlineStr">
        <is>
          <t>-347K2</t>
        </is>
      </c>
      <c r="E7788" t="inlineStr">
        <is>
          <t>22_DIL-M</t>
        </is>
      </c>
      <c r="F7788" t="inlineStr">
        <is>
          <t>22_DIL-M</t>
        </is>
      </c>
      <c r="G7788" t="inlineStr">
        <is>
          <t>HILFSKONTAKTBLOCK</t>
        </is>
      </c>
      <c r="H7788" t="inlineStr">
        <is>
          <t>2S 2OE Lastschuetz DIL M</t>
        </is>
      </c>
      <c r="I7788">
        <v>476</v>
      </c>
      <c r="J7788">
        <f>GS14/347.3</f>
        <v>0</v>
      </c>
      <c r="K7788" t="inlineStr">
        <is>
          <t>DIL0AM</t>
        </is>
      </c>
      <c r="M7788" t="inlineStr">
        <is>
          <t>-347K2</t>
        </is>
      </c>
    </row>
    <row r="7789">
      <c r="A7789">
        <v>7788</v>
      </c>
      <c r="B7789">
        <f>GS24</f>
        <v>0</v>
      </c>
      <c r="C7789" t="inlineStr">
        <is>
          <t>+LS7</t>
        </is>
      </c>
      <c r="D7789" t="inlineStr">
        <is>
          <t>-347K20.1</t>
        </is>
      </c>
      <c r="E7789" t="inlineStr">
        <is>
          <t>DIL_EM-10-G</t>
        </is>
      </c>
      <c r="F7789" t="inlineStr">
        <is>
          <t>#KALK!</t>
        </is>
      </c>
      <c r="G7789" t="inlineStr">
        <is>
          <t>LASTSCHUETZ</t>
        </is>
      </c>
      <c r="H7789" t="inlineStr">
        <is>
          <t>4kW 1S</t>
        </is>
      </c>
      <c r="I7789">
        <v>740</v>
      </c>
      <c r="J7789">
        <f>GS24/347.6</f>
        <v>0</v>
      </c>
      <c r="M7789" t="inlineStr">
        <is>
          <t>-347K20.1</t>
        </is>
      </c>
    </row>
    <row r="7790">
      <c r="A7790">
        <v>7789</v>
      </c>
      <c r="B7790">
        <f>GS24</f>
        <v>0</v>
      </c>
      <c r="C7790" t="inlineStr">
        <is>
          <t>+LS7</t>
        </is>
      </c>
      <c r="D7790" t="inlineStr">
        <is>
          <t>-347K20.2</t>
        </is>
      </c>
      <c r="E7790" t="inlineStr">
        <is>
          <t>DIL_EM-10-G</t>
        </is>
      </c>
      <c r="F7790" t="inlineStr">
        <is>
          <t>#KALK!</t>
        </is>
      </c>
      <c r="G7790" t="inlineStr">
        <is>
          <t>LASTSCHUETZ</t>
        </is>
      </c>
      <c r="H7790" t="inlineStr">
        <is>
          <t>4kW 1S</t>
        </is>
      </c>
      <c r="I7790">
        <v>740</v>
      </c>
      <c r="J7790">
        <f>GS24/347.6</f>
        <v>0</v>
      </c>
      <c r="M7790" t="inlineStr">
        <is>
          <t>-347K20.2</t>
        </is>
      </c>
    </row>
    <row r="7791">
      <c r="A7791">
        <v>7790</v>
      </c>
      <c r="B7791">
        <f>GS25</f>
        <v>0</v>
      </c>
      <c r="C7791" t="inlineStr">
        <is>
          <t>+LS7</t>
        </is>
      </c>
      <c r="D7791" t="inlineStr">
        <is>
          <t>-347K23.6</t>
        </is>
      </c>
      <c r="E7791" t="inlineStr">
        <is>
          <t>DIL_EM-10-G</t>
        </is>
      </c>
      <c r="F7791" t="inlineStr">
        <is>
          <t>#KALK!</t>
        </is>
      </c>
      <c r="G7791" t="inlineStr">
        <is>
          <t>LASTSCHUETZ</t>
        </is>
      </c>
      <c r="H7791" t="inlineStr">
        <is>
          <t>4kW 1S</t>
        </is>
      </c>
      <c r="I7791">
        <v>471</v>
      </c>
      <c r="J7791">
        <f>GS25/347.7</f>
        <v>0</v>
      </c>
      <c r="M7791" t="inlineStr">
        <is>
          <t>-347K23.6</t>
        </is>
      </c>
    </row>
    <row r="7792">
      <c r="A7792">
        <v>7791</v>
      </c>
      <c r="B7792">
        <f>GS32</f>
        <v>0</v>
      </c>
      <c r="C7792" t="inlineStr">
        <is>
          <t>+LS8</t>
        </is>
      </c>
      <c r="D7792" t="inlineStr">
        <is>
          <t>-347K74.5</t>
        </is>
      </c>
      <c r="E7792" t="inlineStr">
        <is>
          <t>DIL_EM-10-G</t>
        </is>
      </c>
      <c r="F7792" t="inlineStr">
        <is>
          <t>#KALK!</t>
        </is>
      </c>
      <c r="G7792" t="inlineStr">
        <is>
          <t>LASTSCHUETZ</t>
        </is>
      </c>
      <c r="H7792" t="inlineStr">
        <is>
          <t>4kW 1S</t>
        </is>
      </c>
      <c r="I7792">
        <v>1230</v>
      </c>
      <c r="J7792">
        <f>GS32/347.7</f>
        <v>0</v>
      </c>
      <c r="M7792" t="inlineStr">
        <is>
          <t>-347K74.5</t>
        </is>
      </c>
    </row>
    <row r="7793">
      <c r="A7793">
        <v>7792</v>
      </c>
      <c r="B7793">
        <f>GS04</f>
        <v>0</v>
      </c>
      <c r="C7793" t="inlineStr">
        <is>
          <t>+LS8</t>
        </is>
      </c>
      <c r="D7793" t="inlineStr">
        <is>
          <t>-347K78.5</t>
        </is>
      </c>
      <c r="E7793" t="inlineStr">
        <is>
          <t>DIL_EM-10-G</t>
        </is>
      </c>
      <c r="F7793" t="inlineStr">
        <is>
          <t>#KALK!</t>
        </is>
      </c>
      <c r="G7793" t="inlineStr">
        <is>
          <t>LASTSCHUETZ</t>
        </is>
      </c>
      <c r="H7793" t="inlineStr">
        <is>
          <t>4kW 1S</t>
        </is>
      </c>
      <c r="I7793">
        <v>598</v>
      </c>
      <c r="J7793">
        <f>GS04/347.7</f>
        <v>0</v>
      </c>
      <c r="M7793" t="inlineStr">
        <is>
          <t>-347K78.5</t>
        </is>
      </c>
    </row>
    <row r="7794">
      <c r="A7794">
        <v>7793</v>
      </c>
      <c r="B7794">
        <f>GS53</f>
        <v>0</v>
      </c>
      <c r="C7794" t="inlineStr">
        <is>
          <t>+LS12</t>
        </is>
      </c>
      <c r="D7794" t="inlineStr">
        <is>
          <t>-347Q415.4</t>
        </is>
      </c>
      <c r="E7794" t="inlineStr">
        <is>
          <t>DILM-9-10</t>
        </is>
      </c>
      <c r="F7794" t="inlineStr">
        <is>
          <t>#KALK!</t>
        </is>
      </c>
      <c r="G7794" t="inlineStr">
        <is>
          <t>LASTSCHUETZ</t>
        </is>
      </c>
      <c r="H7794" t="inlineStr">
        <is>
          <t>4kW 1S Federzugkl.</t>
        </is>
      </c>
      <c r="I7794">
        <v>453</v>
      </c>
      <c r="J7794">
        <f>GS53/347.6</f>
        <v>0</v>
      </c>
      <c r="K7794" t="inlineStr">
        <is>
          <t>DIL MC9</t>
        </is>
      </c>
      <c r="M7794" t="inlineStr">
        <is>
          <t>-347Q415.4</t>
        </is>
      </c>
    </row>
    <row r="7795">
      <c r="A7795">
        <v>7794</v>
      </c>
      <c r="B7795">
        <f>GS93</f>
        <v>0</v>
      </c>
      <c r="C7795" t="inlineStr">
        <is>
          <t>+LS06</t>
        </is>
      </c>
      <c r="D7795" t="inlineStr">
        <is>
          <t>-347Q454.5</t>
        </is>
      </c>
      <c r="E7795" t="inlineStr">
        <is>
          <t>DILM-9-10</t>
        </is>
      </c>
      <c r="F7795" t="inlineStr">
        <is>
          <t>#KALK!</t>
        </is>
      </c>
      <c r="G7795" t="inlineStr">
        <is>
          <t>LASTSCHUETZ</t>
        </is>
      </c>
      <c r="H7795" t="inlineStr">
        <is>
          <t>4kW 1S Federzugkl.</t>
        </is>
      </c>
      <c r="I7795">
        <v>901</v>
      </c>
      <c r="J7795">
        <f>GS93/347.5</f>
        <v>0</v>
      </c>
      <c r="M7795" t="inlineStr">
        <is>
          <t>-347Q454.5</t>
        </is>
      </c>
    </row>
    <row r="7796">
      <c r="A7796">
        <v>7795</v>
      </c>
      <c r="B7796">
        <f>GS24</f>
        <v>0</v>
      </c>
      <c r="C7796" t="inlineStr">
        <is>
          <t>+LS7</t>
        </is>
      </c>
      <c r="D7796" t="inlineStr">
        <is>
          <t>-348K19.3</t>
        </is>
      </c>
      <c r="E7796" t="inlineStr">
        <is>
          <t>DIL_EM-01-G</t>
        </is>
      </c>
      <c r="F7796" t="inlineStr">
        <is>
          <t>#KALK!</t>
        </is>
      </c>
      <c r="G7796" t="inlineStr">
        <is>
          <t>LASTSCHUETZ</t>
        </is>
      </c>
      <c r="H7796" t="inlineStr">
        <is>
          <t>4kW 1OE</t>
        </is>
      </c>
      <c r="I7796">
        <v>739</v>
      </c>
      <c r="J7796">
        <f>GS24/348.7</f>
        <v>0</v>
      </c>
      <c r="M7796" t="inlineStr">
        <is>
          <t>-348K19.3</t>
        </is>
      </c>
    </row>
    <row r="7797">
      <c r="A7797">
        <v>7796</v>
      </c>
      <c r="B7797">
        <f>GS25</f>
        <v>0</v>
      </c>
      <c r="C7797" t="inlineStr">
        <is>
          <t>+LS7</t>
        </is>
      </c>
      <c r="D7797" t="inlineStr">
        <is>
          <t>-348K23.7</t>
        </is>
      </c>
      <c r="E7797" t="inlineStr">
        <is>
          <t>DIL_EM-10-G</t>
        </is>
      </c>
      <c r="F7797" t="inlineStr">
        <is>
          <t>#KALK!</t>
        </is>
      </c>
      <c r="G7797" t="inlineStr">
        <is>
          <t>LASTSCHUETZ</t>
        </is>
      </c>
      <c r="H7797" t="inlineStr">
        <is>
          <t>4kW 1S</t>
        </is>
      </c>
      <c r="I7797">
        <v>472</v>
      </c>
      <c r="J7797">
        <f>GS25/348.6</f>
        <v>0</v>
      </c>
      <c r="M7797" t="inlineStr">
        <is>
          <t>-348K23.7</t>
        </is>
      </c>
    </row>
    <row r="7798">
      <c r="A7798">
        <v>7797</v>
      </c>
      <c r="B7798">
        <f>GS25</f>
        <v>0</v>
      </c>
      <c r="C7798" t="inlineStr">
        <is>
          <t>+LS7</t>
        </is>
      </c>
      <c r="D7798" t="inlineStr">
        <is>
          <t>-348K24.0</t>
        </is>
      </c>
      <c r="E7798" t="inlineStr">
        <is>
          <t>DIL_EM-10-G</t>
        </is>
      </c>
      <c r="F7798" t="inlineStr">
        <is>
          <t>#KALK!</t>
        </is>
      </c>
      <c r="G7798" t="inlineStr">
        <is>
          <t>LASTSCHUETZ</t>
        </is>
      </c>
      <c r="H7798" t="inlineStr">
        <is>
          <t>4kW 1S</t>
        </is>
      </c>
      <c r="I7798">
        <v>472</v>
      </c>
      <c r="J7798">
        <f>GS25/348.6</f>
        <v>0</v>
      </c>
      <c r="M7798" t="inlineStr">
        <is>
          <t>-348K24.0</t>
        </is>
      </c>
    </row>
    <row r="7799">
      <c r="A7799">
        <v>7798</v>
      </c>
      <c r="B7799">
        <f>GS33</f>
        <v>0</v>
      </c>
      <c r="C7799" t="inlineStr">
        <is>
          <t>+LS8</t>
        </is>
      </c>
      <c r="D7799" t="inlineStr">
        <is>
          <t>-348K3803.7</t>
        </is>
      </c>
      <c r="E7799" t="inlineStr">
        <is>
          <t>DIL_EM-10-G</t>
        </is>
      </c>
      <c r="F7799" t="inlineStr">
        <is>
          <t>#KALK!</t>
        </is>
      </c>
      <c r="G7799" t="inlineStr">
        <is>
          <t>LASTSCHUETZ</t>
        </is>
      </c>
      <c r="H7799" t="inlineStr">
        <is>
          <t>4kW 1S</t>
        </is>
      </c>
      <c r="I7799">
        <v>797</v>
      </c>
      <c r="J7799">
        <f>GS33/348.7</f>
        <v>0</v>
      </c>
      <c r="M7799" t="inlineStr">
        <is>
          <t>-348K3803.7</t>
        </is>
      </c>
    </row>
    <row r="7800">
      <c r="A7800">
        <v>7799</v>
      </c>
      <c r="B7800">
        <f>GS33</f>
        <v>0</v>
      </c>
      <c r="C7800" t="inlineStr">
        <is>
          <t>+LS8</t>
        </is>
      </c>
      <c r="D7800" t="inlineStr">
        <is>
          <t>-348K3805.7</t>
        </is>
      </c>
      <c r="E7800" t="inlineStr">
        <is>
          <t>DIL_EM-10-G</t>
        </is>
      </c>
      <c r="F7800" t="inlineStr">
        <is>
          <t>#KALK!</t>
        </is>
      </c>
      <c r="G7800" t="inlineStr">
        <is>
          <t>LASTSCHUETZ</t>
        </is>
      </c>
      <c r="H7800" t="inlineStr">
        <is>
          <t>4kW 1S</t>
        </is>
      </c>
      <c r="I7800">
        <v>797</v>
      </c>
      <c r="J7800">
        <f>GS33/348.8</f>
        <v>0</v>
      </c>
      <c r="M7800" t="inlineStr">
        <is>
          <t>-348K3805.7</t>
        </is>
      </c>
    </row>
    <row r="7801">
      <c r="A7801">
        <v>7800</v>
      </c>
      <c r="B7801">
        <f>GS32</f>
        <v>0</v>
      </c>
      <c r="C7801" t="inlineStr">
        <is>
          <t>+LS8</t>
        </is>
      </c>
      <c r="D7801" t="inlineStr">
        <is>
          <t>-348K74.6</t>
        </is>
      </c>
      <c r="E7801" t="inlineStr">
        <is>
          <t>DIL_EM-10-G</t>
        </is>
      </c>
      <c r="F7801" t="inlineStr">
        <is>
          <t>#KALK!</t>
        </is>
      </c>
      <c r="G7801" t="inlineStr">
        <is>
          <t>LASTSCHUETZ</t>
        </is>
      </c>
      <c r="H7801" t="inlineStr">
        <is>
          <t>4kW 1S</t>
        </is>
      </c>
      <c r="I7801">
        <v>1229</v>
      </c>
      <c r="J7801">
        <f>GS32/348.6</f>
        <v>0</v>
      </c>
      <c r="M7801" t="inlineStr">
        <is>
          <t>-348K74.6</t>
        </is>
      </c>
    </row>
    <row r="7802">
      <c r="A7802">
        <v>7801</v>
      </c>
      <c r="B7802">
        <f>GS32</f>
        <v>0</v>
      </c>
      <c r="C7802" t="inlineStr">
        <is>
          <t>+LS8</t>
        </is>
      </c>
      <c r="D7802" t="inlineStr">
        <is>
          <t>-348K74.7</t>
        </is>
      </c>
      <c r="E7802" t="inlineStr">
        <is>
          <t>DIL_EM-10-G</t>
        </is>
      </c>
      <c r="F7802" t="inlineStr">
        <is>
          <t>#KALK!</t>
        </is>
      </c>
      <c r="G7802" t="inlineStr">
        <is>
          <t>LASTSCHUETZ</t>
        </is>
      </c>
      <c r="H7802" t="inlineStr">
        <is>
          <t>4kW 1S</t>
        </is>
      </c>
      <c r="I7802">
        <v>1229</v>
      </c>
      <c r="J7802">
        <f>GS32/348.6</f>
        <v>0</v>
      </c>
      <c r="M7802" t="inlineStr">
        <is>
          <t>-348K74.7</t>
        </is>
      </c>
    </row>
    <row r="7803">
      <c r="A7803">
        <v>7802</v>
      </c>
      <c r="B7803">
        <f>GS04</f>
        <v>0</v>
      </c>
      <c r="C7803" t="inlineStr">
        <is>
          <t>+LS8</t>
        </is>
      </c>
      <c r="D7803" t="inlineStr">
        <is>
          <t>-348K79.1</t>
        </is>
      </c>
      <c r="E7803" t="inlineStr">
        <is>
          <t>DIL_EM-10-G</t>
        </is>
      </c>
      <c r="F7803" t="inlineStr">
        <is>
          <t>#KALK!</t>
        </is>
      </c>
      <c r="G7803" t="inlineStr">
        <is>
          <t>LASTSCHUETZ</t>
        </is>
      </c>
      <c r="H7803" t="inlineStr">
        <is>
          <t>4kW 1S</t>
        </is>
      </c>
      <c r="I7803">
        <v>599</v>
      </c>
      <c r="J7803">
        <f>GS04/348.7</f>
        <v>0</v>
      </c>
      <c r="M7803" t="inlineStr">
        <is>
          <t>-348K79.1</t>
        </is>
      </c>
    </row>
    <row r="7804">
      <c r="A7804">
        <v>7803</v>
      </c>
      <c r="B7804">
        <f>GS37</f>
        <v>0</v>
      </c>
      <c r="C7804" t="inlineStr">
        <is>
          <t>+LS07</t>
        </is>
      </c>
      <c r="D7804" t="inlineStr">
        <is>
          <t>-348Q123.7</t>
        </is>
      </c>
      <c r="E7804" t="inlineStr">
        <is>
          <t>DILMC12-10(24VDC)</t>
        </is>
      </c>
      <c r="F7804" t="inlineStr">
        <is>
          <t>#KALK!</t>
        </is>
      </c>
      <c r="G7804" t="inlineStr">
        <is>
          <t>LASTSCHUETZ</t>
        </is>
      </c>
      <c r="H7804" t="inlineStr">
        <is>
          <t>5,5kW 1S Federzugkl.</t>
        </is>
      </c>
      <c r="I7804">
        <v>603</v>
      </c>
      <c r="J7804">
        <f>GS37/348.5</f>
        <v>0</v>
      </c>
      <c r="K7804" t="inlineStr">
        <is>
          <t>DILMC12</t>
        </is>
      </c>
      <c r="M7804" t="inlineStr">
        <is>
          <t>-348Q123.7</t>
        </is>
      </c>
    </row>
    <row r="7805">
      <c r="A7805">
        <v>7804</v>
      </c>
      <c r="B7805">
        <f>GS90</f>
        <v>0</v>
      </c>
      <c r="C7805" t="inlineStr">
        <is>
          <t>+LS06</t>
        </is>
      </c>
      <c r="D7805" t="inlineStr">
        <is>
          <t>-348Q193.1</t>
        </is>
      </c>
      <c r="E7805" t="inlineStr">
        <is>
          <t>DILM-9-10</t>
        </is>
      </c>
      <c r="F7805" t="inlineStr">
        <is>
          <t>#KALK!</t>
        </is>
      </c>
      <c r="G7805" t="inlineStr">
        <is>
          <t>LASTSCHUETZ</t>
        </is>
      </c>
      <c r="H7805" t="inlineStr">
        <is>
          <t>4kW 1S Federzugkl.</t>
        </is>
      </c>
      <c r="I7805">
        <v>921</v>
      </c>
      <c r="J7805">
        <f>GS90/348.5</f>
        <v>0</v>
      </c>
      <c r="M7805" t="inlineStr">
        <is>
          <t>-348Q193.1</t>
        </is>
      </c>
    </row>
    <row r="7806">
      <c r="A7806">
        <v>7805</v>
      </c>
      <c r="B7806">
        <f>GS93</f>
        <v>0</v>
      </c>
      <c r="C7806" t="inlineStr">
        <is>
          <t>+LS06</t>
        </is>
      </c>
      <c r="D7806" t="inlineStr">
        <is>
          <t>-348Q454.6</t>
        </is>
      </c>
      <c r="E7806" t="inlineStr">
        <is>
          <t>DILM-9-10</t>
        </is>
      </c>
      <c r="F7806" t="inlineStr">
        <is>
          <t>#KALK!</t>
        </is>
      </c>
      <c r="G7806" t="inlineStr">
        <is>
          <t>LASTSCHUETZ</t>
        </is>
      </c>
      <c r="H7806" t="inlineStr">
        <is>
          <t>4kW 1S Federzugkl.</t>
        </is>
      </c>
      <c r="I7806">
        <v>902</v>
      </c>
      <c r="J7806">
        <f>GS93/348.5</f>
        <v>0</v>
      </c>
      <c r="M7806" t="inlineStr">
        <is>
          <t>-348Q454.6</t>
        </is>
      </c>
    </row>
    <row r="7807">
      <c r="A7807">
        <v>7806</v>
      </c>
      <c r="B7807">
        <f>GS24</f>
        <v>0</v>
      </c>
      <c r="C7807" t="inlineStr">
        <is>
          <t>+LS7</t>
        </is>
      </c>
      <c r="D7807" t="inlineStr">
        <is>
          <t>-349K20.7</t>
        </is>
      </c>
      <c r="E7807" t="inlineStr">
        <is>
          <t>DIL_EM-10-G</t>
        </is>
      </c>
      <c r="F7807" t="inlineStr">
        <is>
          <t>#KALK!</t>
        </is>
      </c>
      <c r="G7807" t="inlineStr">
        <is>
          <t>LASTSCHUETZ</t>
        </is>
      </c>
      <c r="H7807" t="inlineStr">
        <is>
          <t>4kW 1S</t>
        </is>
      </c>
      <c r="I7807">
        <v>738</v>
      </c>
      <c r="J7807">
        <f>GS24/349.6</f>
        <v>0</v>
      </c>
      <c r="M7807" t="inlineStr">
        <is>
          <t>-349K20.7</t>
        </is>
      </c>
    </row>
    <row r="7808">
      <c r="A7808">
        <v>7807</v>
      </c>
      <c r="B7808">
        <f>GS25</f>
        <v>0</v>
      </c>
      <c r="C7808" t="inlineStr">
        <is>
          <t>+LS7</t>
        </is>
      </c>
      <c r="D7808" t="inlineStr">
        <is>
          <t>-349K24.1</t>
        </is>
      </c>
      <c r="E7808" t="inlineStr">
        <is>
          <t>DIL_EM-10-G</t>
        </is>
      </c>
      <c r="F7808" t="inlineStr">
        <is>
          <t>#KALK!</t>
        </is>
      </c>
      <c r="G7808" t="inlineStr">
        <is>
          <t>LASTSCHUETZ</t>
        </is>
      </c>
      <c r="H7808" t="inlineStr">
        <is>
          <t>4kW 1S</t>
        </is>
      </c>
      <c r="I7808">
        <v>473</v>
      </c>
      <c r="J7808">
        <f>GS25/349.6</f>
        <v>0</v>
      </c>
      <c r="M7808" t="inlineStr">
        <is>
          <t>-349K24.1</t>
        </is>
      </c>
    </row>
    <row r="7809">
      <c r="A7809">
        <v>7808</v>
      </c>
      <c r="B7809">
        <f>GS25</f>
        <v>0</v>
      </c>
      <c r="C7809" t="inlineStr">
        <is>
          <t>+LS7</t>
        </is>
      </c>
      <c r="D7809" t="inlineStr">
        <is>
          <t>-349K24.2</t>
        </is>
      </c>
      <c r="E7809" t="inlineStr">
        <is>
          <t>DIL_EM-10-G</t>
        </is>
      </c>
      <c r="F7809" t="inlineStr">
        <is>
          <t>#KALK!</t>
        </is>
      </c>
      <c r="G7809" t="inlineStr">
        <is>
          <t>LASTSCHUETZ</t>
        </is>
      </c>
      <c r="H7809" t="inlineStr">
        <is>
          <t>4kW 1S</t>
        </is>
      </c>
      <c r="I7809">
        <v>473</v>
      </c>
      <c r="J7809">
        <f>GS25/349.6</f>
        <v>0</v>
      </c>
      <c r="M7809" t="inlineStr">
        <is>
          <t>-349K24.2</t>
        </is>
      </c>
    </row>
    <row r="7810">
      <c r="A7810">
        <v>7809</v>
      </c>
      <c r="B7810">
        <f>GS33</f>
        <v>0</v>
      </c>
      <c r="C7810" t="inlineStr">
        <is>
          <t>+LS8</t>
        </is>
      </c>
      <c r="D7810" t="inlineStr">
        <is>
          <t>-349K3803.5</t>
        </is>
      </c>
      <c r="E7810" t="inlineStr">
        <is>
          <t>DIL_EM-10-G</t>
        </is>
      </c>
      <c r="F7810" t="inlineStr">
        <is>
          <t>#KALK!</t>
        </is>
      </c>
      <c r="G7810" t="inlineStr">
        <is>
          <t>LASTSCHUETZ</t>
        </is>
      </c>
      <c r="H7810" t="inlineStr">
        <is>
          <t>4kW 1S</t>
        </is>
      </c>
      <c r="I7810">
        <v>798</v>
      </c>
      <c r="J7810">
        <f>GS33/349.7</f>
        <v>0</v>
      </c>
      <c r="M7810" t="inlineStr">
        <is>
          <t>-349K3803.5</t>
        </is>
      </c>
    </row>
    <row r="7811">
      <c r="A7811">
        <v>7810</v>
      </c>
      <c r="B7811">
        <f>GS32</f>
        <v>0</v>
      </c>
      <c r="C7811" t="inlineStr">
        <is>
          <t>+LS8</t>
        </is>
      </c>
      <c r="D7811" t="inlineStr">
        <is>
          <t>-349K75.3</t>
        </is>
      </c>
      <c r="E7811" t="inlineStr">
        <is>
          <t>DIL_EM-10-G</t>
        </is>
      </c>
      <c r="F7811" t="inlineStr">
        <is>
          <t>#KALK!</t>
        </is>
      </c>
      <c r="G7811" t="inlineStr">
        <is>
          <t>LASTSCHUETZ</t>
        </is>
      </c>
      <c r="H7811" t="inlineStr">
        <is>
          <t>4kW 1S</t>
        </is>
      </c>
      <c r="I7811">
        <v>1228</v>
      </c>
      <c r="J7811">
        <f>GS32/349.7</f>
        <v>0</v>
      </c>
      <c r="M7811" t="inlineStr">
        <is>
          <t>-349K75.3</t>
        </is>
      </c>
    </row>
    <row r="7812">
      <c r="A7812">
        <v>7811</v>
      </c>
      <c r="B7812">
        <f>GS04</f>
        <v>0</v>
      </c>
      <c r="C7812" t="inlineStr">
        <is>
          <t>+LS8</t>
        </is>
      </c>
      <c r="D7812" t="inlineStr">
        <is>
          <t>-349K79.5</t>
        </is>
      </c>
      <c r="E7812" t="inlineStr">
        <is>
          <t>DIL_EM-10-G</t>
        </is>
      </c>
      <c r="F7812" t="inlineStr">
        <is>
          <t>#KALK!</t>
        </is>
      </c>
      <c r="G7812" t="inlineStr">
        <is>
          <t>LASTSCHUETZ</t>
        </is>
      </c>
      <c r="H7812" t="inlineStr">
        <is>
          <t>4kW 1S</t>
        </is>
      </c>
      <c r="I7812">
        <v>600</v>
      </c>
      <c r="J7812">
        <f>GS04/349.7</f>
        <v>0</v>
      </c>
      <c r="M7812" t="inlineStr">
        <is>
          <t>-349K79.5</t>
        </is>
      </c>
    </row>
    <row r="7813">
      <c r="A7813">
        <v>7812</v>
      </c>
      <c r="B7813">
        <f>GS90</f>
        <v>0</v>
      </c>
      <c r="C7813" t="inlineStr">
        <is>
          <t>+LS06</t>
        </is>
      </c>
      <c r="D7813" t="inlineStr">
        <is>
          <t>-349Q193.2</t>
        </is>
      </c>
      <c r="E7813" t="inlineStr">
        <is>
          <t>DILM-9-10</t>
        </is>
      </c>
      <c r="F7813" t="inlineStr">
        <is>
          <t>#KALK!</t>
        </is>
      </c>
      <c r="G7813" t="inlineStr">
        <is>
          <t>LASTSCHUETZ</t>
        </is>
      </c>
      <c r="H7813" t="inlineStr">
        <is>
          <t>4kW 1S Federzugkl.</t>
        </is>
      </c>
      <c r="I7813">
        <v>920</v>
      </c>
      <c r="J7813">
        <f>GS90/349.5</f>
        <v>0</v>
      </c>
      <c r="M7813" t="inlineStr">
        <is>
          <t>-349Q193.2</t>
        </is>
      </c>
    </row>
    <row r="7814">
      <c r="A7814">
        <v>7813</v>
      </c>
      <c r="B7814">
        <f>GS94</f>
        <v>0</v>
      </c>
      <c r="C7814" t="inlineStr">
        <is>
          <t>+LS20</t>
        </is>
      </c>
      <c r="D7814" t="inlineStr">
        <is>
          <t>-349Q501.5</t>
        </is>
      </c>
      <c r="E7814" t="inlineStr">
        <is>
          <t>DILM-9-10</t>
        </is>
      </c>
      <c r="F7814" t="inlineStr">
        <is>
          <t>#KALK!</t>
        </is>
      </c>
      <c r="G7814" t="inlineStr">
        <is>
          <t>LASTSCHUETZ</t>
        </is>
      </c>
      <c r="H7814" t="inlineStr">
        <is>
          <t>4kW 1S Federzugkl.</t>
        </is>
      </c>
      <c r="I7814">
        <v>439</v>
      </c>
      <c r="J7814">
        <f>GS94/349.5</f>
        <v>0</v>
      </c>
      <c r="M7814" t="inlineStr">
        <is>
          <t>-349Q501.5</t>
        </is>
      </c>
    </row>
    <row r="7815">
      <c r="A7815">
        <v>7814</v>
      </c>
      <c r="B7815">
        <f>GS95</f>
        <v>0</v>
      </c>
      <c r="C7815" t="inlineStr">
        <is>
          <t>+LS20</t>
        </is>
      </c>
      <c r="D7815" t="inlineStr">
        <is>
          <t>-349Q501.5</t>
        </is>
      </c>
      <c r="E7815" t="inlineStr">
        <is>
          <t>DILM-9-10</t>
        </is>
      </c>
      <c r="F7815" t="inlineStr">
        <is>
          <t>#KALK!</t>
        </is>
      </c>
      <c r="G7815" t="inlineStr">
        <is>
          <t>LASTSCHUETZ</t>
        </is>
      </c>
      <c r="H7815" t="inlineStr">
        <is>
          <t>4kW 1S Federzugkl.</t>
        </is>
      </c>
      <c r="I7815">
        <v>439</v>
      </c>
      <c r="J7815">
        <f>GS95/349.5</f>
        <v>0</v>
      </c>
      <c r="M7815" t="inlineStr">
        <is>
          <t>-349Q501.5</t>
        </is>
      </c>
    </row>
    <row r="7816">
      <c r="A7816">
        <v>7815</v>
      </c>
      <c r="B7816">
        <f>GS96</f>
        <v>0</v>
      </c>
      <c r="C7816" t="inlineStr">
        <is>
          <t>+LS20</t>
        </is>
      </c>
      <c r="D7816" t="inlineStr">
        <is>
          <t>-349Q501.5</t>
        </is>
      </c>
      <c r="E7816" t="inlineStr">
        <is>
          <t>DILM-9-10</t>
        </is>
      </c>
      <c r="F7816" t="inlineStr">
        <is>
          <t>#KALK!</t>
        </is>
      </c>
      <c r="G7816" t="inlineStr">
        <is>
          <t>LASTSCHUETZ</t>
        </is>
      </c>
      <c r="H7816" t="inlineStr">
        <is>
          <t>4kW 1S Federzugkl.</t>
        </is>
      </c>
      <c r="I7816">
        <v>439</v>
      </c>
      <c r="J7816">
        <f>GS96/349.5</f>
        <v>0</v>
      </c>
      <c r="M7816" t="inlineStr">
        <is>
          <t>-349Q501.5</t>
        </is>
      </c>
    </row>
    <row r="7817">
      <c r="A7817">
        <v>7816</v>
      </c>
      <c r="B7817">
        <f>GS97</f>
        <v>0</v>
      </c>
      <c r="C7817" t="inlineStr">
        <is>
          <t>+LS20</t>
        </is>
      </c>
      <c r="D7817" t="inlineStr">
        <is>
          <t>-349Q501.5</t>
        </is>
      </c>
      <c r="E7817" t="inlineStr">
        <is>
          <t>DILM-9-10</t>
        </is>
      </c>
      <c r="F7817" t="inlineStr">
        <is>
          <t>#KALK!</t>
        </is>
      </c>
      <c r="G7817" t="inlineStr">
        <is>
          <t>LASTSCHUETZ</t>
        </is>
      </c>
      <c r="H7817" t="inlineStr">
        <is>
          <t>4kW 1S Federzugkl.</t>
        </is>
      </c>
      <c r="I7817">
        <v>439</v>
      </c>
      <c r="J7817">
        <f>GS97/349.5</f>
        <v>0</v>
      </c>
      <c r="M7817" t="inlineStr">
        <is>
          <t>-349Q501.5</t>
        </is>
      </c>
    </row>
    <row r="7818">
      <c r="A7818">
        <v>7817</v>
      </c>
      <c r="B7818">
        <f>EPP</f>
        <v>0</v>
      </c>
      <c r="C7818" t="inlineStr">
        <is>
          <t>+LS</t>
        </is>
      </c>
      <c r="D7818" t="inlineStr">
        <is>
          <t>-34K4</t>
        </is>
      </c>
      <c r="E7818" t="inlineStr">
        <is>
          <t>DIL_EM-10-G</t>
        </is>
      </c>
      <c r="F7818" t="inlineStr">
        <is>
          <t>22_DIL-E</t>
        </is>
      </c>
      <c r="G7818" t="inlineStr">
        <is>
          <t>LASTSCHUETZ</t>
        </is>
      </c>
      <c r="H7818" t="inlineStr">
        <is>
          <t>4kW 1S</t>
        </is>
      </c>
      <c r="I7818">
        <v>132</v>
      </c>
      <c r="J7818">
        <f>EPP/34.4</f>
        <v>0</v>
      </c>
      <c r="M7818" t="inlineStr">
        <is>
          <t>-34K4</t>
        </is>
      </c>
    </row>
    <row r="7819">
      <c r="A7819">
        <v>7818</v>
      </c>
      <c r="B7819">
        <f>EPP</f>
        <v>0</v>
      </c>
      <c r="C7819" t="inlineStr">
        <is>
          <t>+LS</t>
        </is>
      </c>
      <c r="D7819" t="inlineStr">
        <is>
          <t>-34K4</t>
        </is>
      </c>
      <c r="E7819" t="inlineStr">
        <is>
          <t>22_DIL-E</t>
        </is>
      </c>
      <c r="F7819" t="inlineStr">
        <is>
          <t>22_DIL-E</t>
        </is>
      </c>
      <c r="G7819" t="inlineStr">
        <is>
          <t>HILFSKONTAKTBLOCK</t>
        </is>
      </c>
      <c r="H7819" t="inlineStr">
        <is>
          <t>2S 2OE Last+Hilfsschuetz</t>
        </is>
      </c>
      <c r="I7819">
        <v>132</v>
      </c>
      <c r="J7819">
        <f>EPP/34.4</f>
        <v>0</v>
      </c>
      <c r="M7819" t="inlineStr">
        <is>
          <t>-34K4</t>
        </is>
      </c>
    </row>
    <row r="7820">
      <c r="A7820">
        <v>7819</v>
      </c>
      <c r="B7820">
        <f>EPP</f>
        <v>0</v>
      </c>
      <c r="C7820" t="inlineStr">
        <is>
          <t>+LS</t>
        </is>
      </c>
      <c r="D7820" t="inlineStr">
        <is>
          <t>-34K5</t>
        </is>
      </c>
      <c r="E7820" t="inlineStr">
        <is>
          <t>DIL_EM-10-G</t>
        </is>
      </c>
      <c r="F7820" t="inlineStr">
        <is>
          <t>#KALK!</t>
        </is>
      </c>
      <c r="G7820" t="inlineStr">
        <is>
          <t>LASTSCHUETZ</t>
        </is>
      </c>
      <c r="H7820" t="inlineStr">
        <is>
          <t>4kW 1S</t>
        </is>
      </c>
      <c r="I7820">
        <v>132</v>
      </c>
      <c r="J7820">
        <f>EPP/34.5</f>
        <v>0</v>
      </c>
      <c r="M7820" t="inlineStr">
        <is>
          <t>-34K5</t>
        </is>
      </c>
    </row>
    <row r="7821">
      <c r="A7821">
        <v>7820</v>
      </c>
      <c r="B7821">
        <f>EPP</f>
        <v>0</v>
      </c>
      <c r="C7821" t="inlineStr">
        <is>
          <t>+LS</t>
        </is>
      </c>
      <c r="D7821" t="inlineStr">
        <is>
          <t>-34K6</t>
        </is>
      </c>
      <c r="E7821" t="inlineStr">
        <is>
          <t>DIL_EM-10-G</t>
        </is>
      </c>
      <c r="F7821" t="inlineStr">
        <is>
          <t>#KALK!</t>
        </is>
      </c>
      <c r="G7821" t="inlineStr">
        <is>
          <t>LASTSCHUETZ</t>
        </is>
      </c>
      <c r="H7821" t="inlineStr">
        <is>
          <t>4kW 1S</t>
        </is>
      </c>
      <c r="I7821">
        <v>132</v>
      </c>
      <c r="J7821">
        <f>EPP/34.6</f>
        <v>0</v>
      </c>
      <c r="M7821" t="inlineStr">
        <is>
          <t>-34K6</t>
        </is>
      </c>
    </row>
    <row r="7822">
      <c r="A7822">
        <v>7821</v>
      </c>
      <c r="B7822">
        <f>EPP</f>
        <v>0</v>
      </c>
      <c r="C7822" t="inlineStr">
        <is>
          <t>+LS</t>
        </is>
      </c>
      <c r="D7822" t="inlineStr">
        <is>
          <t>-34K7</t>
        </is>
      </c>
      <c r="E7822" t="inlineStr">
        <is>
          <t>DIL_EM-10-G</t>
        </is>
      </c>
      <c r="F7822" t="inlineStr">
        <is>
          <t>#KALK!</t>
        </is>
      </c>
      <c r="G7822" t="inlineStr">
        <is>
          <t>LASTSCHUETZ</t>
        </is>
      </c>
      <c r="H7822" t="inlineStr">
        <is>
          <t>4kW 1S</t>
        </is>
      </c>
      <c r="I7822">
        <v>132</v>
      </c>
      <c r="J7822">
        <f>EPP/34.8</f>
        <v>0</v>
      </c>
      <c r="M7822" t="inlineStr">
        <is>
          <t>-34K7</t>
        </is>
      </c>
    </row>
    <row r="7823">
      <c r="A7823">
        <v>7822</v>
      </c>
      <c r="B7823">
        <f>GS80</f>
        <v>0</v>
      </c>
      <c r="C7823" t="inlineStr">
        <is>
          <t>+KKFW03</t>
        </is>
      </c>
      <c r="D7823" t="inlineStr">
        <is>
          <t>-34Q3</t>
        </is>
      </c>
      <c r="E7823" t="inlineStr">
        <is>
          <t>DILM-9-10</t>
        </is>
      </c>
      <c r="F7823" t="inlineStr">
        <is>
          <t>#KALK!</t>
        </is>
      </c>
      <c r="G7823" t="inlineStr">
        <is>
          <t>LASTSCHUETZ</t>
        </is>
      </c>
      <c r="H7823" t="inlineStr">
        <is>
          <t>4kW 1S Federzugkl.</t>
        </is>
      </c>
      <c r="I7823">
        <v>172</v>
      </c>
      <c r="J7823">
        <f>GS80/34.7</f>
        <v>0</v>
      </c>
      <c r="M7823" t="inlineStr">
        <is>
          <t>-34Q3</t>
        </is>
      </c>
    </row>
    <row r="7824">
      <c r="A7824">
        <v>7823</v>
      </c>
      <c r="B7824">
        <f>GS80</f>
        <v>0</v>
      </c>
      <c r="C7824" t="inlineStr">
        <is>
          <t>+KKFW01</t>
        </is>
      </c>
      <c r="D7824" t="inlineStr">
        <is>
          <t>-34Q3</t>
        </is>
      </c>
      <c r="E7824" t="inlineStr">
        <is>
          <t>DILM-9-10</t>
        </is>
      </c>
      <c r="F7824" t="inlineStr">
        <is>
          <t>#KALK!</t>
        </is>
      </c>
      <c r="G7824" t="inlineStr">
        <is>
          <t>LASTSCHUETZ</t>
        </is>
      </c>
      <c r="H7824" t="inlineStr">
        <is>
          <t>4kW 1S Federzugkl.</t>
        </is>
      </c>
      <c r="I7824">
        <v>179</v>
      </c>
      <c r="J7824">
        <f>GS80/34.7</f>
        <v>0</v>
      </c>
      <c r="M7824" t="inlineStr">
        <is>
          <t>-34Q3</t>
        </is>
      </c>
    </row>
    <row r="7825">
      <c r="A7825">
        <v>7824</v>
      </c>
      <c r="B7825">
        <f>GS80</f>
        <v>0</v>
      </c>
      <c r="C7825" t="inlineStr">
        <is>
          <t>+KKFW02</t>
        </is>
      </c>
      <c r="D7825" t="inlineStr">
        <is>
          <t>-34Q3</t>
        </is>
      </c>
      <c r="E7825" t="inlineStr">
        <is>
          <t>DILM-9-10</t>
        </is>
      </c>
      <c r="F7825" t="inlineStr">
        <is>
          <t>#KALK!</t>
        </is>
      </c>
      <c r="G7825" t="inlineStr">
        <is>
          <t>LASTSCHUETZ</t>
        </is>
      </c>
      <c r="H7825" t="inlineStr">
        <is>
          <t>4kW 1S Federzugkl.</t>
        </is>
      </c>
      <c r="I7825">
        <v>172</v>
      </c>
      <c r="J7825">
        <f>GS80/34.7</f>
        <v>0</v>
      </c>
      <c r="M7825" t="inlineStr">
        <is>
          <t>-34Q3</t>
        </is>
      </c>
    </row>
    <row r="7826">
      <c r="A7826">
        <v>7825</v>
      </c>
      <c r="B7826">
        <f>GS32</f>
        <v>0</v>
      </c>
      <c r="C7826" t="inlineStr">
        <is>
          <t>+LS8</t>
        </is>
      </c>
      <c r="D7826" t="inlineStr">
        <is>
          <t>-350.2K102.1</t>
        </is>
      </c>
      <c r="E7826" t="inlineStr">
        <is>
          <t>DILMC12-10(24VDC)</t>
        </is>
      </c>
      <c r="F7826" t="inlineStr">
        <is>
          <t>#KALK!</t>
        </is>
      </c>
      <c r="G7826" t="inlineStr">
        <is>
          <t>LASTSCHUETZ</t>
        </is>
      </c>
      <c r="H7826" t="inlineStr">
        <is>
          <t>5,5kW 1S Federzugkl.</t>
        </is>
      </c>
      <c r="I7826">
        <v>1225</v>
      </c>
      <c r="J7826">
        <f>GS32/350.2.5</f>
        <v>0</v>
      </c>
      <c r="K7826" t="inlineStr">
        <is>
          <t>DIL MC12</t>
        </is>
      </c>
      <c r="M7826" t="inlineStr">
        <is>
          <t>-350.2K102.1</t>
        </is>
      </c>
    </row>
    <row r="7827">
      <c r="A7827">
        <v>7826</v>
      </c>
      <c r="B7827">
        <f>GS13</f>
        <v>0</v>
      </c>
      <c r="C7827" t="inlineStr">
        <is>
          <t>+LS8</t>
        </is>
      </c>
      <c r="D7827" t="inlineStr">
        <is>
          <t>-3504</t>
        </is>
      </c>
      <c r="E7827" t="inlineStr">
        <is>
          <t>DILA-40</t>
        </is>
      </c>
      <c r="F7827" t="inlineStr">
        <is>
          <t>#KALK!</t>
        </is>
      </c>
      <c r="G7827" t="inlineStr">
        <is>
          <t>HILFSSCHUETZ</t>
        </is>
      </c>
      <c r="H7827" t="inlineStr">
        <is>
          <t>4S Federzugkl.</t>
        </is>
      </c>
      <c r="I7827">
        <v>594</v>
      </c>
      <c r="J7827">
        <f>GS13/350.5</f>
        <v>0</v>
      </c>
      <c r="M7827" t="inlineStr">
        <is>
          <t>-3504</t>
        </is>
      </c>
    </row>
    <row r="7828">
      <c r="A7828">
        <v>7827</v>
      </c>
      <c r="B7828">
        <f>GS13</f>
        <v>0</v>
      </c>
      <c r="C7828" t="inlineStr">
        <is>
          <t>+LS8</t>
        </is>
      </c>
      <c r="D7828" t="inlineStr">
        <is>
          <t>-3505</t>
        </is>
      </c>
      <c r="E7828" t="inlineStr">
        <is>
          <t>DILA-40</t>
        </is>
      </c>
      <c r="F7828" t="inlineStr">
        <is>
          <t>#KALK!</t>
        </is>
      </c>
      <c r="G7828" t="inlineStr">
        <is>
          <t>HILFSSCHUETZ</t>
        </is>
      </c>
      <c r="H7828" t="inlineStr">
        <is>
          <t>4S Federzugkl.</t>
        </is>
      </c>
      <c r="I7828">
        <v>594</v>
      </c>
      <c r="J7828">
        <f>GS13/350.6</f>
        <v>0</v>
      </c>
      <c r="M7828" t="inlineStr">
        <is>
          <t>-3505</t>
        </is>
      </c>
    </row>
    <row r="7829">
      <c r="A7829">
        <v>7828</v>
      </c>
      <c r="B7829">
        <f>GS13</f>
        <v>0</v>
      </c>
      <c r="C7829" t="inlineStr">
        <is>
          <t>+LS8</t>
        </is>
      </c>
      <c r="D7829" t="inlineStr">
        <is>
          <t>-350K1</t>
        </is>
      </c>
      <c r="E7829" t="inlineStr">
        <is>
          <t>DIL_2AM</t>
        </is>
      </c>
      <c r="F7829" t="inlineStr">
        <is>
          <t>22_DIL-M</t>
        </is>
      </c>
      <c r="G7829" t="inlineStr">
        <is>
          <t>LASTSCHUETZ</t>
        </is>
      </c>
      <c r="H7829" t="inlineStr">
        <is>
          <t>30 kW</t>
        </is>
      </c>
      <c r="I7829">
        <v>594</v>
      </c>
      <c r="J7829">
        <f>GS13/350.2</f>
        <v>0</v>
      </c>
      <c r="K7829" t="inlineStr">
        <is>
          <t>DIL2AM</t>
        </is>
      </c>
      <c r="M7829" t="inlineStr">
        <is>
          <t>-350K1</t>
        </is>
      </c>
    </row>
    <row r="7830">
      <c r="A7830">
        <v>7829</v>
      </c>
      <c r="B7830">
        <f>GS13</f>
        <v>0</v>
      </c>
      <c r="C7830" t="inlineStr">
        <is>
          <t>+LS8</t>
        </is>
      </c>
      <c r="D7830" t="inlineStr">
        <is>
          <t>-350K1</t>
        </is>
      </c>
      <c r="E7830" t="inlineStr">
        <is>
          <t>22_DIL-M</t>
        </is>
      </c>
      <c r="F7830" t="inlineStr">
        <is>
          <t>22_DIL-M</t>
        </is>
      </c>
      <c r="G7830" t="inlineStr">
        <is>
          <t>HILFSKONTAKTBLOCK</t>
        </is>
      </c>
      <c r="H7830" t="inlineStr">
        <is>
          <t>2S 2OE Lastschuetz DIL M</t>
        </is>
      </c>
      <c r="I7830">
        <v>594</v>
      </c>
      <c r="J7830">
        <f>GS13/350.2</f>
        <v>0</v>
      </c>
      <c r="K7830" t="inlineStr">
        <is>
          <t>DIL2AM</t>
        </is>
      </c>
      <c r="M7830" t="inlineStr">
        <is>
          <t>-350K1</t>
        </is>
      </c>
    </row>
    <row r="7831">
      <c r="A7831">
        <v>7830</v>
      </c>
      <c r="B7831">
        <f>GS15</f>
        <v>0</v>
      </c>
      <c r="C7831" t="inlineStr">
        <is>
          <t>+LS7</t>
        </is>
      </c>
      <c r="D7831" t="inlineStr">
        <is>
          <t>-350K1</t>
        </is>
      </c>
      <c r="E7831" t="inlineStr">
        <is>
          <t>22_DIL-M</t>
        </is>
      </c>
      <c r="F7831" t="inlineStr">
        <is>
          <t>22_DIL-M</t>
        </is>
      </c>
      <c r="G7831" t="inlineStr">
        <is>
          <t>HILFSKONTAKTBLOCK</t>
        </is>
      </c>
      <c r="H7831" t="inlineStr">
        <is>
          <t>2S 2OE Lastschuetz DIL M</t>
        </is>
      </c>
      <c r="I7831">
        <v>849</v>
      </c>
      <c r="J7831">
        <f>GS15/350.2</f>
        <v>0</v>
      </c>
      <c r="K7831" t="inlineStr">
        <is>
          <t>DIL0AM</t>
        </is>
      </c>
      <c r="M7831" t="inlineStr">
        <is>
          <t>-350K1</t>
        </is>
      </c>
    </row>
    <row r="7832">
      <c r="A7832">
        <v>7831</v>
      </c>
      <c r="B7832">
        <f>GS15</f>
        <v>0</v>
      </c>
      <c r="C7832" t="inlineStr">
        <is>
          <t>+LS7</t>
        </is>
      </c>
      <c r="D7832" t="inlineStr">
        <is>
          <t>-350K1</t>
        </is>
      </c>
      <c r="E7832" t="inlineStr">
        <is>
          <t>DIL_0AM</t>
        </is>
      </c>
      <c r="F7832" t="inlineStr">
        <is>
          <t>22_DIL-M</t>
        </is>
      </c>
      <c r="G7832" t="inlineStr">
        <is>
          <t>LASTSCHUETZ</t>
        </is>
      </c>
      <c r="H7832" t="inlineStr">
        <is>
          <t>11 kW</t>
        </is>
      </c>
      <c r="I7832">
        <v>849</v>
      </c>
      <c r="J7832">
        <f>GS15/350.2</f>
        <v>0</v>
      </c>
      <c r="K7832" t="inlineStr">
        <is>
          <t>DIL0AM</t>
        </is>
      </c>
      <c r="M7832" t="inlineStr">
        <is>
          <t>-350K1</t>
        </is>
      </c>
    </row>
    <row r="7833">
      <c r="A7833">
        <v>7832</v>
      </c>
      <c r="B7833">
        <f>GS23</f>
        <v>0</v>
      </c>
      <c r="C7833" t="inlineStr">
        <is>
          <t>+LS8</t>
        </is>
      </c>
      <c r="D7833" t="inlineStr">
        <is>
          <t>-350K1</t>
        </is>
      </c>
      <c r="E7833" t="inlineStr">
        <is>
          <t>22_DIL-M</t>
        </is>
      </c>
      <c r="F7833" t="inlineStr">
        <is>
          <t>22_DIL-M</t>
        </is>
      </c>
      <c r="G7833" t="inlineStr">
        <is>
          <t>HILFSKONTAKTBLOCK</t>
        </is>
      </c>
      <c r="H7833" t="inlineStr">
        <is>
          <t>2S 2OE Lastschuetz DIL M</t>
        </is>
      </c>
      <c r="I7833">
        <v>651</v>
      </c>
      <c r="J7833">
        <f>GS23/350.2</f>
        <v>0</v>
      </c>
      <c r="K7833" t="inlineStr">
        <is>
          <t>DIL2AM</t>
        </is>
      </c>
      <c r="M7833" t="inlineStr">
        <is>
          <t>-350K1</t>
        </is>
      </c>
    </row>
    <row r="7834">
      <c r="A7834">
        <v>7833</v>
      </c>
      <c r="B7834">
        <f>GS23</f>
        <v>0</v>
      </c>
      <c r="C7834" t="inlineStr">
        <is>
          <t>+LS8</t>
        </is>
      </c>
      <c r="D7834" t="inlineStr">
        <is>
          <t>-350K1</t>
        </is>
      </c>
      <c r="E7834" t="inlineStr">
        <is>
          <t>DIL_2AM</t>
        </is>
      </c>
      <c r="F7834" t="inlineStr">
        <is>
          <t>22_DIL-M</t>
        </is>
      </c>
      <c r="G7834" t="inlineStr">
        <is>
          <t>LASTSCHUETZ</t>
        </is>
      </c>
      <c r="H7834" t="inlineStr">
        <is>
          <t>30 kW</t>
        </is>
      </c>
      <c r="I7834">
        <v>651</v>
      </c>
      <c r="J7834">
        <f>GS23/350.2</f>
        <v>0</v>
      </c>
      <c r="K7834" t="inlineStr">
        <is>
          <t>DIL2AM</t>
        </is>
      </c>
      <c r="M7834" t="inlineStr">
        <is>
          <t>-350K1</t>
        </is>
      </c>
    </row>
    <row r="7835">
      <c r="A7835">
        <v>7834</v>
      </c>
      <c r="B7835">
        <f>GS38</f>
        <v>0</v>
      </c>
      <c r="C7835" t="inlineStr">
        <is>
          <t>+LS07</t>
        </is>
      </c>
      <c r="D7835" t="inlineStr">
        <is>
          <t>-350K1</t>
        </is>
      </c>
      <c r="E7835" t="inlineStr">
        <is>
          <t>DILA-XHIC40</t>
        </is>
      </c>
      <c r="F7835" t="inlineStr">
        <is>
          <t>DILA-XHIC40</t>
        </is>
      </c>
      <c r="G7835" t="inlineStr">
        <is>
          <t>HILFSKONTAKTBLOCK</t>
        </is>
      </c>
      <c r="H7835" t="inlineStr">
        <is>
          <t>4S Last+Hilfssch. Cage</t>
        </is>
      </c>
      <c r="I7835">
        <v>515</v>
      </c>
      <c r="J7835">
        <f>GS38/350.5</f>
        <v>0</v>
      </c>
      <c r="M7835" t="inlineStr">
        <is>
          <t>-350K1</t>
        </is>
      </c>
    </row>
    <row r="7836">
      <c r="A7836">
        <v>7835</v>
      </c>
      <c r="B7836">
        <f>GS38</f>
        <v>0</v>
      </c>
      <c r="C7836" t="inlineStr">
        <is>
          <t>+LS07</t>
        </is>
      </c>
      <c r="D7836" t="inlineStr">
        <is>
          <t>-350K1</t>
        </is>
      </c>
      <c r="E7836" t="inlineStr">
        <is>
          <t>DILA-40</t>
        </is>
      </c>
      <c r="F7836" t="inlineStr">
        <is>
          <t>DILA-XHIC40</t>
        </is>
      </c>
      <c r="G7836" t="inlineStr">
        <is>
          <t>HILFSSCHUETZ</t>
        </is>
      </c>
      <c r="H7836" t="inlineStr">
        <is>
          <t>4S Federzugkl.</t>
        </is>
      </c>
      <c r="I7836">
        <v>515</v>
      </c>
      <c r="J7836">
        <f>GS38/350.5</f>
        <v>0</v>
      </c>
      <c r="M7836" t="inlineStr">
        <is>
          <t>-350K1</t>
        </is>
      </c>
    </row>
    <row r="7837">
      <c r="A7837">
        <v>7836</v>
      </c>
      <c r="B7837">
        <f>GS39</f>
        <v>0</v>
      </c>
      <c r="C7837" t="inlineStr">
        <is>
          <t>+LS07</t>
        </is>
      </c>
      <c r="D7837" t="inlineStr">
        <is>
          <t>-350K1</t>
        </is>
      </c>
      <c r="E7837" t="inlineStr">
        <is>
          <t>DILA-40</t>
        </is>
      </c>
      <c r="F7837" t="inlineStr">
        <is>
          <t>DILA-XHIC40</t>
        </is>
      </c>
      <c r="G7837" t="inlineStr">
        <is>
          <t>HILFSSCHUETZ</t>
        </is>
      </c>
      <c r="H7837" t="inlineStr">
        <is>
          <t>4S Federzugkl.</t>
        </is>
      </c>
      <c r="I7837">
        <v>518</v>
      </c>
      <c r="J7837">
        <f>GS39/350.5</f>
        <v>0</v>
      </c>
      <c r="M7837" t="inlineStr">
        <is>
          <t>-350K1</t>
        </is>
      </c>
    </row>
    <row r="7838">
      <c r="A7838">
        <v>7837</v>
      </c>
      <c r="B7838">
        <f>GS39</f>
        <v>0</v>
      </c>
      <c r="C7838" t="inlineStr">
        <is>
          <t>+LS07</t>
        </is>
      </c>
      <c r="D7838" t="inlineStr">
        <is>
          <t>-350K1</t>
        </is>
      </c>
      <c r="E7838" t="inlineStr">
        <is>
          <t>DILA-XHIC40</t>
        </is>
      </c>
      <c r="F7838" t="inlineStr">
        <is>
          <t>DILA-XHIC40</t>
        </is>
      </c>
      <c r="G7838" t="inlineStr">
        <is>
          <t>HILFSKONTAKTBLOCK</t>
        </is>
      </c>
      <c r="H7838" t="inlineStr">
        <is>
          <t>4S Last+Hilfssch. Cage</t>
        </is>
      </c>
      <c r="I7838">
        <v>518</v>
      </c>
      <c r="J7838">
        <f>GS39/350.5</f>
        <v>0</v>
      </c>
      <c r="M7838" t="inlineStr">
        <is>
          <t>-350K1</t>
        </is>
      </c>
    </row>
    <row r="7839">
      <c r="A7839">
        <v>7838</v>
      </c>
      <c r="B7839">
        <f>GS38</f>
        <v>0</v>
      </c>
      <c r="C7839" t="inlineStr">
        <is>
          <t>+LS07</t>
        </is>
      </c>
      <c r="D7839" t="inlineStr">
        <is>
          <t>-350K132.0</t>
        </is>
      </c>
      <c r="E7839" t="inlineStr">
        <is>
          <t>DILA-40</t>
        </is>
      </c>
      <c r="F7839" t="inlineStr">
        <is>
          <t>#KALK!</t>
        </is>
      </c>
      <c r="G7839" t="inlineStr">
        <is>
          <t>HILFSSCHUETZ</t>
        </is>
      </c>
      <c r="H7839" t="inlineStr">
        <is>
          <t>4S Federzugkl.</t>
        </is>
      </c>
      <c r="I7839">
        <v>515</v>
      </c>
      <c r="J7839">
        <f>GS38/350.6</f>
        <v>0</v>
      </c>
      <c r="M7839" t="inlineStr">
        <is>
          <t>-350K132.0</t>
        </is>
      </c>
    </row>
    <row r="7840">
      <c r="A7840">
        <v>7839</v>
      </c>
      <c r="B7840">
        <f>GS39</f>
        <v>0</v>
      </c>
      <c r="C7840" t="inlineStr">
        <is>
          <t>+LS07</t>
        </is>
      </c>
      <c r="D7840" t="inlineStr">
        <is>
          <t>-350K132.0</t>
        </is>
      </c>
      <c r="E7840" t="inlineStr">
        <is>
          <t>DILA-40</t>
        </is>
      </c>
      <c r="F7840" t="inlineStr">
        <is>
          <t>#KALK!</t>
        </is>
      </c>
      <c r="G7840" t="inlineStr">
        <is>
          <t>HILFSSCHUETZ</t>
        </is>
      </c>
      <c r="H7840" t="inlineStr">
        <is>
          <t>4S Federzugkl.</t>
        </is>
      </c>
      <c r="I7840">
        <v>518</v>
      </c>
      <c r="J7840">
        <f>GS39/350.6</f>
        <v>0</v>
      </c>
      <c r="M7840" t="inlineStr">
        <is>
          <t>-350K132.0</t>
        </is>
      </c>
    </row>
    <row r="7841">
      <c r="A7841">
        <v>7840</v>
      </c>
      <c r="B7841">
        <f>GS91</f>
        <v>0</v>
      </c>
      <c r="C7841" t="inlineStr">
        <is>
          <t>+LS05</t>
        </is>
      </c>
      <c r="D7841" t="inlineStr">
        <is>
          <t>-350K191.4</t>
        </is>
      </c>
      <c r="E7841" t="inlineStr">
        <is>
          <t>DILA-40</t>
        </is>
      </c>
      <c r="F7841" t="inlineStr">
        <is>
          <t>#KALK!</t>
        </is>
      </c>
      <c r="G7841" t="inlineStr">
        <is>
          <t>HILFSSCHUETZ</t>
        </is>
      </c>
      <c r="H7841" t="inlineStr">
        <is>
          <t>4S Federzugkl.</t>
        </is>
      </c>
      <c r="I7841">
        <v>498</v>
      </c>
      <c r="J7841">
        <f>GS91/350.7</f>
        <v>0</v>
      </c>
      <c r="M7841" t="inlineStr">
        <is>
          <t>-350K191.4</t>
        </is>
      </c>
    </row>
    <row r="7842">
      <c r="A7842">
        <v>7841</v>
      </c>
      <c r="B7842">
        <f>GS13</f>
        <v>0</v>
      </c>
      <c r="C7842" t="inlineStr">
        <is>
          <t>+LS8</t>
        </is>
      </c>
      <c r="D7842" t="inlineStr">
        <is>
          <t>-350K2</t>
        </is>
      </c>
      <c r="E7842" t="inlineStr">
        <is>
          <t>DIL_0AM</t>
        </is>
      </c>
      <c r="F7842" t="inlineStr">
        <is>
          <t>22_DIL-M</t>
        </is>
      </c>
      <c r="G7842" t="inlineStr">
        <is>
          <t>LASTSCHUETZ</t>
        </is>
      </c>
      <c r="H7842" t="inlineStr">
        <is>
          <t>11 kW</t>
        </is>
      </c>
      <c r="I7842">
        <v>594</v>
      </c>
      <c r="J7842">
        <f>GS13/350.3</f>
        <v>0</v>
      </c>
      <c r="K7842" t="inlineStr">
        <is>
          <t>DIL0AM</t>
        </is>
      </c>
      <c r="M7842" t="inlineStr">
        <is>
          <t>-350K2</t>
        </is>
      </c>
    </row>
    <row r="7843">
      <c r="A7843">
        <v>7842</v>
      </c>
      <c r="B7843">
        <f>GS13</f>
        <v>0</v>
      </c>
      <c r="C7843" t="inlineStr">
        <is>
          <t>+LS8</t>
        </is>
      </c>
      <c r="D7843" t="inlineStr">
        <is>
          <t>-350K2</t>
        </is>
      </c>
      <c r="E7843" t="inlineStr">
        <is>
          <t>22_DIL-M</t>
        </is>
      </c>
      <c r="F7843" t="inlineStr">
        <is>
          <t>22_DIL-M</t>
        </is>
      </c>
      <c r="G7843" t="inlineStr">
        <is>
          <t>HILFSKONTAKTBLOCK</t>
        </is>
      </c>
      <c r="H7843" t="inlineStr">
        <is>
          <t>2S 2OE Lastschuetz DIL M</t>
        </is>
      </c>
      <c r="I7843">
        <v>594</v>
      </c>
      <c r="J7843">
        <f>GS13/350.3</f>
        <v>0</v>
      </c>
      <c r="K7843" t="inlineStr">
        <is>
          <t>DIL0AM</t>
        </is>
      </c>
      <c r="M7843" t="inlineStr">
        <is>
          <t>-350K2</t>
        </is>
      </c>
    </row>
    <row r="7844">
      <c r="A7844">
        <v>7843</v>
      </c>
      <c r="B7844">
        <f>GS23</f>
        <v>0</v>
      </c>
      <c r="C7844" t="inlineStr">
        <is>
          <t>+LS8</t>
        </is>
      </c>
      <c r="D7844" t="inlineStr">
        <is>
          <t>-350K2</t>
        </is>
      </c>
      <c r="E7844" t="inlineStr">
        <is>
          <t>22_DIL-M</t>
        </is>
      </c>
      <c r="F7844" t="inlineStr">
        <is>
          <t>22_DIL-M</t>
        </is>
      </c>
      <c r="G7844" t="inlineStr">
        <is>
          <t>HILFSKONTAKTBLOCK</t>
        </is>
      </c>
      <c r="H7844" t="inlineStr">
        <is>
          <t>2S 2OE Lastschuetz DIL M</t>
        </is>
      </c>
      <c r="I7844">
        <v>651</v>
      </c>
      <c r="J7844">
        <f>GS23/350.3</f>
        <v>0</v>
      </c>
      <c r="K7844" t="inlineStr">
        <is>
          <t>DIL0AM</t>
        </is>
      </c>
      <c r="M7844" t="inlineStr">
        <is>
          <t>-350K2</t>
        </is>
      </c>
    </row>
    <row r="7845">
      <c r="A7845">
        <v>7844</v>
      </c>
      <c r="B7845">
        <f>GS23</f>
        <v>0</v>
      </c>
      <c r="C7845" t="inlineStr">
        <is>
          <t>+LS8</t>
        </is>
      </c>
      <c r="D7845" t="inlineStr">
        <is>
          <t>-350K2</t>
        </is>
      </c>
      <c r="E7845" t="inlineStr">
        <is>
          <t>DIL_0AM</t>
        </is>
      </c>
      <c r="F7845" t="inlineStr">
        <is>
          <t>22_DIL-M</t>
        </is>
      </c>
      <c r="G7845" t="inlineStr">
        <is>
          <t>LASTSCHUETZ</t>
        </is>
      </c>
      <c r="H7845" t="inlineStr">
        <is>
          <t>11 kW</t>
        </is>
      </c>
      <c r="I7845">
        <v>651</v>
      </c>
      <c r="J7845">
        <f>GS23/350.3</f>
        <v>0</v>
      </c>
      <c r="K7845" t="inlineStr">
        <is>
          <t>DIL0AM</t>
        </is>
      </c>
      <c r="M7845" t="inlineStr">
        <is>
          <t>-350K2</t>
        </is>
      </c>
    </row>
    <row r="7846">
      <c r="A7846">
        <v>7845</v>
      </c>
      <c r="B7846">
        <f>GS24</f>
        <v>0</v>
      </c>
      <c r="C7846" t="inlineStr">
        <is>
          <t>+LS7</t>
        </is>
      </c>
      <c r="D7846" t="inlineStr">
        <is>
          <t>-350K21.3</t>
        </is>
      </c>
      <c r="E7846" t="inlineStr">
        <is>
          <t>DIL_EM-01-G</t>
        </is>
      </c>
      <c r="F7846" t="inlineStr">
        <is>
          <t>#KALK!</t>
        </is>
      </c>
      <c r="G7846" t="inlineStr">
        <is>
          <t>LASTSCHUETZ</t>
        </is>
      </c>
      <c r="H7846" t="inlineStr">
        <is>
          <t>4kW 1OE</t>
        </is>
      </c>
      <c r="I7846">
        <v>737</v>
      </c>
      <c r="J7846">
        <f>GS24/350.7</f>
        <v>0</v>
      </c>
      <c r="M7846" t="inlineStr">
        <is>
          <t>-350K21.3</t>
        </is>
      </c>
    </row>
    <row r="7847">
      <c r="A7847">
        <v>7846</v>
      </c>
      <c r="B7847">
        <f>GS13</f>
        <v>0</v>
      </c>
      <c r="C7847" t="inlineStr">
        <is>
          <t>+LS8</t>
        </is>
      </c>
      <c r="D7847" t="inlineStr">
        <is>
          <t>-350K3</t>
        </is>
      </c>
      <c r="E7847" t="inlineStr">
        <is>
          <t>DIL_0AM</t>
        </is>
      </c>
      <c r="F7847" t="inlineStr">
        <is>
          <t>22_DIL-M</t>
        </is>
      </c>
      <c r="G7847" t="inlineStr">
        <is>
          <t>LASTSCHUETZ</t>
        </is>
      </c>
      <c r="H7847" t="inlineStr">
        <is>
          <t>11 kW</t>
        </is>
      </c>
      <c r="I7847">
        <v>594</v>
      </c>
      <c r="J7847">
        <f>GS13/350.4</f>
        <v>0</v>
      </c>
      <c r="K7847" t="inlineStr">
        <is>
          <t>DIL0AM</t>
        </is>
      </c>
      <c r="M7847" t="inlineStr">
        <is>
          <t>-350K3</t>
        </is>
      </c>
    </row>
    <row r="7848">
      <c r="A7848">
        <v>7847</v>
      </c>
      <c r="B7848">
        <f>GS13</f>
        <v>0</v>
      </c>
      <c r="C7848" t="inlineStr">
        <is>
          <t>+LS8</t>
        </is>
      </c>
      <c r="D7848" t="inlineStr">
        <is>
          <t>-350K3</t>
        </is>
      </c>
      <c r="E7848" t="inlineStr">
        <is>
          <t>22_DIL-M</t>
        </is>
      </c>
      <c r="F7848" t="inlineStr">
        <is>
          <t>22_DIL-M</t>
        </is>
      </c>
      <c r="G7848" t="inlineStr">
        <is>
          <t>HILFSKONTAKTBLOCK</t>
        </is>
      </c>
      <c r="H7848" t="inlineStr">
        <is>
          <t>2S 2OE Lastschuetz DIL M</t>
        </is>
      </c>
      <c r="I7848">
        <v>594</v>
      </c>
      <c r="J7848">
        <f>GS13/350.4</f>
        <v>0</v>
      </c>
      <c r="K7848" t="inlineStr">
        <is>
          <t>DIL0AM</t>
        </is>
      </c>
      <c r="M7848" t="inlineStr">
        <is>
          <t>-350K3</t>
        </is>
      </c>
    </row>
    <row r="7849">
      <c r="A7849">
        <v>7848</v>
      </c>
      <c r="B7849">
        <f>GS23</f>
        <v>0</v>
      </c>
      <c r="C7849" t="inlineStr">
        <is>
          <t>+LS8</t>
        </is>
      </c>
      <c r="D7849" t="inlineStr">
        <is>
          <t>-350K3</t>
        </is>
      </c>
      <c r="E7849" t="inlineStr">
        <is>
          <t>22_DIL-M</t>
        </is>
      </c>
      <c r="F7849" t="inlineStr">
        <is>
          <t>22_DIL-M</t>
        </is>
      </c>
      <c r="G7849" t="inlineStr">
        <is>
          <t>HILFSKONTAKTBLOCK</t>
        </is>
      </c>
      <c r="H7849" t="inlineStr">
        <is>
          <t>2S 2OE Lastschuetz DIL M</t>
        </is>
      </c>
      <c r="I7849">
        <v>651</v>
      </c>
      <c r="J7849">
        <f>GS23/350.4</f>
        <v>0</v>
      </c>
      <c r="K7849" t="inlineStr">
        <is>
          <t>DIL0AM</t>
        </is>
      </c>
      <c r="M7849" t="inlineStr">
        <is>
          <t>-350K3</t>
        </is>
      </c>
    </row>
    <row r="7850">
      <c r="A7850">
        <v>7849</v>
      </c>
      <c r="B7850">
        <f>GS23</f>
        <v>0</v>
      </c>
      <c r="C7850" t="inlineStr">
        <is>
          <t>+LS8</t>
        </is>
      </c>
      <c r="D7850" t="inlineStr">
        <is>
          <t>-350K3</t>
        </is>
      </c>
      <c r="E7850" t="inlineStr">
        <is>
          <t>DIL_0AM</t>
        </is>
      </c>
      <c r="F7850" t="inlineStr">
        <is>
          <t>22_DIL-M</t>
        </is>
      </c>
      <c r="G7850" t="inlineStr">
        <is>
          <t>LASTSCHUETZ</t>
        </is>
      </c>
      <c r="H7850" t="inlineStr">
        <is>
          <t>11 kW</t>
        </is>
      </c>
      <c r="I7850">
        <v>651</v>
      </c>
      <c r="J7850">
        <f>GS23/350.4</f>
        <v>0</v>
      </c>
      <c r="K7850" t="inlineStr">
        <is>
          <t>DIL0AM</t>
        </is>
      </c>
      <c r="M7850" t="inlineStr">
        <is>
          <t>-350K3</t>
        </is>
      </c>
    </row>
    <row r="7851">
      <c r="A7851">
        <v>7850</v>
      </c>
      <c r="B7851">
        <f>GS23</f>
        <v>0</v>
      </c>
      <c r="C7851" t="inlineStr">
        <is>
          <t>+LS8</t>
        </is>
      </c>
      <c r="D7851" t="inlineStr">
        <is>
          <t>-350K4</t>
        </is>
      </c>
      <c r="E7851" t="inlineStr">
        <is>
          <t>DILA-40</t>
        </is>
      </c>
      <c r="F7851" t="inlineStr">
        <is>
          <t>#KALK!</t>
        </is>
      </c>
      <c r="G7851" t="inlineStr">
        <is>
          <t>HILFSSCHUETZ</t>
        </is>
      </c>
      <c r="H7851" t="inlineStr">
        <is>
          <t>4S Federzugkl.</t>
        </is>
      </c>
      <c r="I7851">
        <v>651</v>
      </c>
      <c r="J7851">
        <f>GS23/350.5</f>
        <v>0</v>
      </c>
      <c r="M7851" t="inlineStr">
        <is>
          <t>-350K4</t>
        </is>
      </c>
    </row>
    <row r="7852">
      <c r="A7852">
        <v>7851</v>
      </c>
      <c r="B7852">
        <f>GS20</f>
        <v>0</v>
      </c>
      <c r="C7852" t="inlineStr">
        <is>
          <t>+LS08</t>
        </is>
      </c>
      <c r="D7852" t="inlineStr">
        <is>
          <t>-350K414.4</t>
        </is>
      </c>
      <c r="E7852" t="inlineStr">
        <is>
          <t>DILA-40</t>
        </is>
      </c>
      <c r="F7852" t="inlineStr">
        <is>
          <t>#KALK!</t>
        </is>
      </c>
      <c r="G7852" t="inlineStr">
        <is>
          <t>HILFSSCHUETZ</t>
        </is>
      </c>
      <c r="H7852" t="inlineStr">
        <is>
          <t>4S Federzugkl.</t>
        </is>
      </c>
      <c r="I7852">
        <v>2805</v>
      </c>
      <c r="J7852">
        <f>GS20/350.7</f>
        <v>0</v>
      </c>
      <c r="M7852" t="inlineStr">
        <is>
          <t>-350K414.4</t>
        </is>
      </c>
    </row>
    <row r="7853">
      <c r="A7853">
        <v>7852</v>
      </c>
      <c r="B7853">
        <f>GS92</f>
        <v>0</v>
      </c>
      <c r="C7853" t="inlineStr">
        <is>
          <t>+LS06</t>
        </is>
      </c>
      <c r="D7853" t="inlineStr">
        <is>
          <t>-350K456.0</t>
        </is>
      </c>
      <c r="E7853" t="inlineStr">
        <is>
          <t>DILA-40</t>
        </is>
      </c>
      <c r="F7853" t="inlineStr">
        <is>
          <t>#KALK!</t>
        </is>
      </c>
      <c r="G7853" t="inlineStr">
        <is>
          <t>HILFSSCHUETZ</t>
        </is>
      </c>
      <c r="H7853" t="inlineStr">
        <is>
          <t>4S Federzugkl.</t>
        </is>
      </c>
      <c r="I7853">
        <v>496</v>
      </c>
      <c r="J7853">
        <f>GS92/350.7</f>
        <v>0</v>
      </c>
      <c r="M7853" t="inlineStr">
        <is>
          <t>-350K456.0</t>
        </is>
      </c>
    </row>
    <row r="7854">
      <c r="A7854">
        <v>7853</v>
      </c>
      <c r="B7854">
        <f>GS23</f>
        <v>0</v>
      </c>
      <c r="C7854" t="inlineStr">
        <is>
          <t>+LS8</t>
        </is>
      </c>
      <c r="D7854" t="inlineStr">
        <is>
          <t>-350K5</t>
        </is>
      </c>
      <c r="E7854" t="inlineStr">
        <is>
          <t>DILA-40</t>
        </is>
      </c>
      <c r="F7854" t="inlineStr">
        <is>
          <t>#KALK!</t>
        </is>
      </c>
      <c r="G7854" t="inlineStr">
        <is>
          <t>HILFSSCHUETZ</t>
        </is>
      </c>
      <c r="H7854" t="inlineStr">
        <is>
          <t>4S Federzugkl.</t>
        </is>
      </c>
      <c r="I7854">
        <v>651</v>
      </c>
      <c r="J7854">
        <f>GS23/350.6</f>
        <v>0</v>
      </c>
      <c r="M7854" t="inlineStr">
        <is>
          <t>-350K5</t>
        </is>
      </c>
    </row>
    <row r="7855">
      <c r="A7855">
        <v>7854</v>
      </c>
      <c r="B7855">
        <f>GS20</f>
        <v>0</v>
      </c>
      <c r="C7855" t="inlineStr">
        <is>
          <t>+LS08</t>
        </is>
      </c>
      <c r="D7855" t="inlineStr">
        <is>
          <t>-350Q1</t>
        </is>
      </c>
      <c r="E7855" t="inlineStr">
        <is>
          <t>DILA-XHI22</t>
        </is>
      </c>
      <c r="F7855" t="inlineStr">
        <is>
          <t>DILA-XHI22</t>
        </is>
      </c>
      <c r="G7855" t="inlineStr">
        <is>
          <t>HILFSKONTAKTBLOCK</t>
        </is>
      </c>
      <c r="H7855" t="inlineStr">
        <is>
          <t>2S 2OE Last+Hilfssch. Cage</t>
        </is>
      </c>
      <c r="I7855">
        <v>2805</v>
      </c>
      <c r="J7855">
        <f>GS20/350.4</f>
        <v>0</v>
      </c>
      <c r="K7855" t="inlineStr">
        <is>
          <t>DIL MC25</t>
        </is>
      </c>
      <c r="M7855" t="inlineStr">
        <is>
          <t>-350Q1</t>
        </is>
      </c>
    </row>
    <row r="7856">
      <c r="A7856">
        <v>7855</v>
      </c>
      <c r="B7856">
        <f>GS20</f>
        <v>0</v>
      </c>
      <c r="C7856" t="inlineStr">
        <is>
          <t>+LS08</t>
        </is>
      </c>
      <c r="D7856" t="inlineStr">
        <is>
          <t>-350Q1</t>
        </is>
      </c>
      <c r="E7856" t="inlineStr">
        <is>
          <t>DILMC25-10(RDC24)</t>
        </is>
      </c>
      <c r="F7856" t="inlineStr">
        <is>
          <t>DILA-XHI22</t>
        </is>
      </c>
      <c r="G7856" t="inlineStr">
        <is>
          <t>LASTSCHUETZ</t>
        </is>
      </c>
      <c r="H7856" t="inlineStr">
        <is>
          <t>11kW 1S Federzugkl.</t>
        </is>
      </c>
      <c r="I7856">
        <v>2805</v>
      </c>
      <c r="J7856">
        <f>GS20/350.4</f>
        <v>0</v>
      </c>
      <c r="K7856" t="inlineStr">
        <is>
          <t>DIL MC25</t>
        </is>
      </c>
      <c r="M7856" t="inlineStr">
        <is>
          <t>-350Q1</t>
        </is>
      </c>
    </row>
    <row r="7857">
      <c r="A7857">
        <v>7856</v>
      </c>
      <c r="B7857">
        <f>GS38</f>
        <v>0</v>
      </c>
      <c r="C7857" t="inlineStr">
        <is>
          <t>+LS07</t>
        </is>
      </c>
      <c r="D7857" t="inlineStr">
        <is>
          <t>-350Q1</t>
        </is>
      </c>
      <c r="E7857" t="inlineStr">
        <is>
          <t>DILMC25-10(RDC24)</t>
        </is>
      </c>
      <c r="F7857" t="inlineStr">
        <is>
          <t>DILA-XHI22</t>
        </is>
      </c>
      <c r="G7857" t="inlineStr">
        <is>
          <t>LASTSCHUETZ</t>
        </is>
      </c>
      <c r="H7857" t="inlineStr">
        <is>
          <t>11kW 1S Federzugkl.</t>
        </is>
      </c>
      <c r="I7857">
        <v>515</v>
      </c>
      <c r="J7857">
        <f>GS38/350.3</f>
        <v>0</v>
      </c>
      <c r="K7857" t="inlineStr">
        <is>
          <t>DIL MC25</t>
        </is>
      </c>
      <c r="M7857" t="inlineStr">
        <is>
          <t>-350Q1</t>
        </is>
      </c>
    </row>
    <row r="7858">
      <c r="A7858">
        <v>7857</v>
      </c>
      <c r="B7858">
        <f>GS38</f>
        <v>0</v>
      </c>
      <c r="C7858" t="inlineStr">
        <is>
          <t>+LS07</t>
        </is>
      </c>
      <c r="D7858" t="inlineStr">
        <is>
          <t>-350Q1</t>
        </is>
      </c>
      <c r="E7858" t="inlineStr">
        <is>
          <t>DILA-XHI22</t>
        </is>
      </c>
      <c r="F7858" t="inlineStr">
        <is>
          <t>DILA-XHI22</t>
        </is>
      </c>
      <c r="G7858" t="inlineStr">
        <is>
          <t>HILFSKONTAKTBLOCK</t>
        </is>
      </c>
      <c r="H7858" t="inlineStr">
        <is>
          <t>2S 2OE Last+Hilfssch. Cage</t>
        </is>
      </c>
      <c r="I7858">
        <v>515</v>
      </c>
      <c r="J7858">
        <f>GS38/350.3</f>
        <v>0</v>
      </c>
      <c r="K7858" t="inlineStr">
        <is>
          <t>DIL MC25</t>
        </is>
      </c>
      <c r="M7858" t="inlineStr">
        <is>
          <t>-350Q1</t>
        </is>
      </c>
    </row>
    <row r="7859">
      <c r="A7859">
        <v>7858</v>
      </c>
      <c r="B7859">
        <f>GS39</f>
        <v>0</v>
      </c>
      <c r="C7859" t="inlineStr">
        <is>
          <t>+LS07</t>
        </is>
      </c>
      <c r="D7859" t="inlineStr">
        <is>
          <t>-350Q1</t>
        </is>
      </c>
      <c r="E7859" t="inlineStr">
        <is>
          <t>DILA-XHI22</t>
        </is>
      </c>
      <c r="F7859" t="inlineStr">
        <is>
          <t>DILA-XHI22</t>
        </is>
      </c>
      <c r="G7859" t="inlineStr">
        <is>
          <t>HILFSKONTAKTBLOCK</t>
        </is>
      </c>
      <c r="H7859" t="inlineStr">
        <is>
          <t>2S 2OE Last+Hilfssch. Cage</t>
        </is>
      </c>
      <c r="I7859">
        <v>518</v>
      </c>
      <c r="J7859">
        <f>GS39/350.3</f>
        <v>0</v>
      </c>
      <c r="K7859" t="inlineStr">
        <is>
          <t>DIL MC25</t>
        </is>
      </c>
      <c r="M7859" t="inlineStr">
        <is>
          <t>-350Q1</t>
        </is>
      </c>
    </row>
    <row r="7860">
      <c r="A7860">
        <v>7859</v>
      </c>
      <c r="B7860">
        <f>GS39</f>
        <v>0</v>
      </c>
      <c r="C7860" t="inlineStr">
        <is>
          <t>+LS07</t>
        </is>
      </c>
      <c r="D7860" t="inlineStr">
        <is>
          <t>-350Q1</t>
        </is>
      </c>
      <c r="E7860" t="inlineStr">
        <is>
          <t>DILMC25-10(RDC24)</t>
        </is>
      </c>
      <c r="F7860" t="inlineStr">
        <is>
          <t>DILA-XHI22</t>
        </is>
      </c>
      <c r="G7860" t="inlineStr">
        <is>
          <t>LASTSCHUETZ</t>
        </is>
      </c>
      <c r="H7860" t="inlineStr">
        <is>
          <t>11kW 1S Federzugkl.</t>
        </is>
      </c>
      <c r="I7860">
        <v>518</v>
      </c>
      <c r="J7860">
        <f>GS39/350.3</f>
        <v>0</v>
      </c>
      <c r="K7860" t="inlineStr">
        <is>
          <t>DIL MC25</t>
        </is>
      </c>
      <c r="M7860" t="inlineStr">
        <is>
          <t>-350Q1</t>
        </is>
      </c>
    </row>
    <row r="7861">
      <c r="A7861">
        <v>7860</v>
      </c>
      <c r="B7861">
        <f>GS91</f>
        <v>0</v>
      </c>
      <c r="C7861" t="inlineStr">
        <is>
          <t>+LS05</t>
        </is>
      </c>
      <c r="D7861" t="inlineStr">
        <is>
          <t>-350Q1</t>
        </is>
      </c>
      <c r="E7861" t="inlineStr">
        <is>
          <t>DILA-XHI22</t>
        </is>
      </c>
      <c r="F7861" t="inlineStr">
        <is>
          <t>DILA-XHI22</t>
        </is>
      </c>
      <c r="G7861" t="inlineStr">
        <is>
          <t>HILFSKONTAKTBLOCK</t>
        </is>
      </c>
      <c r="H7861" t="inlineStr">
        <is>
          <t>2S 2OE Last+Hilfssch. Cage</t>
        </is>
      </c>
      <c r="I7861">
        <v>498</v>
      </c>
      <c r="J7861">
        <f>GS91/350.4</f>
        <v>0</v>
      </c>
      <c r="K7861" t="inlineStr">
        <is>
          <t>DIL MC25</t>
        </is>
      </c>
      <c r="M7861" t="inlineStr">
        <is>
          <t>-350Q1</t>
        </is>
      </c>
    </row>
    <row r="7862">
      <c r="A7862">
        <v>7861</v>
      </c>
      <c r="B7862">
        <f>GS91</f>
        <v>0</v>
      </c>
      <c r="C7862" t="inlineStr">
        <is>
          <t>+LS05</t>
        </is>
      </c>
      <c r="D7862" t="inlineStr">
        <is>
          <t>-350Q1</t>
        </is>
      </c>
      <c r="E7862" t="inlineStr">
        <is>
          <t>DILMC25-10(RDC24)</t>
        </is>
      </c>
      <c r="F7862" t="inlineStr">
        <is>
          <t>DILA-XHI22</t>
        </is>
      </c>
      <c r="G7862" t="inlineStr">
        <is>
          <t>LASTSCHUETZ</t>
        </is>
      </c>
      <c r="H7862" t="inlineStr">
        <is>
          <t>11kW 1S Federzugkl.</t>
        </is>
      </c>
      <c r="I7862">
        <v>498</v>
      </c>
      <c r="J7862">
        <f>GS91/350.4</f>
        <v>0</v>
      </c>
      <c r="K7862" t="inlineStr">
        <is>
          <t>DIL MC25</t>
        </is>
      </c>
      <c r="M7862" t="inlineStr">
        <is>
          <t>-350Q1</t>
        </is>
      </c>
    </row>
    <row r="7863">
      <c r="A7863">
        <v>7862</v>
      </c>
      <c r="B7863">
        <f>GS92</f>
        <v>0</v>
      </c>
      <c r="C7863" t="inlineStr">
        <is>
          <t>+LS06</t>
        </is>
      </c>
      <c r="D7863" t="inlineStr">
        <is>
          <t>-350Q1</t>
        </is>
      </c>
      <c r="E7863" t="inlineStr">
        <is>
          <t>DILMC25-10(RDC24)</t>
        </is>
      </c>
      <c r="F7863" t="inlineStr">
        <is>
          <t>DILA-XHI22</t>
        </is>
      </c>
      <c r="G7863" t="inlineStr">
        <is>
          <t>LASTSCHUETZ</t>
        </is>
      </c>
      <c r="H7863" t="inlineStr">
        <is>
          <t>11kW 1S Federzugkl.</t>
        </is>
      </c>
      <c r="I7863">
        <v>496</v>
      </c>
      <c r="J7863">
        <f>GS92/350.4</f>
        <v>0</v>
      </c>
      <c r="K7863" t="inlineStr">
        <is>
          <t>DIL MC25</t>
        </is>
      </c>
      <c r="M7863" t="inlineStr">
        <is>
          <t>-350Q1</t>
        </is>
      </c>
    </row>
    <row r="7864">
      <c r="A7864">
        <v>7863</v>
      </c>
      <c r="B7864">
        <f>GS92</f>
        <v>0</v>
      </c>
      <c r="C7864" t="inlineStr">
        <is>
          <t>+LS06</t>
        </is>
      </c>
      <c r="D7864" t="inlineStr">
        <is>
          <t>-350Q1</t>
        </is>
      </c>
      <c r="E7864" t="inlineStr">
        <is>
          <t>DILA-XHI22</t>
        </is>
      </c>
      <c r="F7864" t="inlineStr">
        <is>
          <t>DILA-XHI22</t>
        </is>
      </c>
      <c r="G7864" t="inlineStr">
        <is>
          <t>HILFSKONTAKTBLOCK</t>
        </is>
      </c>
      <c r="H7864" t="inlineStr">
        <is>
          <t>2S 2OE Last+Hilfssch. Cage</t>
        </is>
      </c>
      <c r="I7864">
        <v>496</v>
      </c>
      <c r="J7864">
        <f>GS92/350.4</f>
        <v>0</v>
      </c>
      <c r="K7864" t="inlineStr">
        <is>
          <t>DIL MC25</t>
        </is>
      </c>
      <c r="M7864" t="inlineStr">
        <is>
          <t>-350Q1</t>
        </is>
      </c>
    </row>
    <row r="7865">
      <c r="A7865">
        <v>7864</v>
      </c>
      <c r="B7865">
        <f>GS37</f>
        <v>0</v>
      </c>
      <c r="C7865" t="inlineStr">
        <is>
          <t>+LS07</t>
        </is>
      </c>
      <c r="D7865" t="inlineStr">
        <is>
          <t>-350Q124.1</t>
        </is>
      </c>
      <c r="E7865" t="inlineStr">
        <is>
          <t>DILM-9-10</t>
        </is>
      </c>
      <c r="F7865" t="inlineStr">
        <is>
          <t>#KALK!</t>
        </is>
      </c>
      <c r="G7865" t="inlineStr">
        <is>
          <t>LASTSCHUETZ</t>
        </is>
      </c>
      <c r="H7865" t="inlineStr">
        <is>
          <t>4kW 1S Federzugkl.</t>
        </is>
      </c>
      <c r="I7865">
        <v>605</v>
      </c>
      <c r="J7865">
        <f>GS37/350.5</f>
        <v>0</v>
      </c>
      <c r="M7865" t="inlineStr">
        <is>
          <t>-350Q124.1</t>
        </is>
      </c>
    </row>
    <row r="7866">
      <c r="A7866">
        <v>7865</v>
      </c>
      <c r="B7866">
        <f>GS90</f>
        <v>0</v>
      </c>
      <c r="C7866" t="inlineStr">
        <is>
          <t>+LS06</t>
        </is>
      </c>
      <c r="D7866" t="inlineStr">
        <is>
          <t>-350Q193.3</t>
        </is>
      </c>
      <c r="E7866" t="inlineStr">
        <is>
          <t>DILM-9-10</t>
        </is>
      </c>
      <c r="F7866" t="inlineStr">
        <is>
          <t>#KALK!</t>
        </is>
      </c>
      <c r="G7866" t="inlineStr">
        <is>
          <t>LASTSCHUETZ</t>
        </is>
      </c>
      <c r="H7866" t="inlineStr">
        <is>
          <t>4kW 1S Federzugkl.</t>
        </is>
      </c>
      <c r="I7866">
        <v>919</v>
      </c>
      <c r="J7866">
        <f>GS90/350.5</f>
        <v>0</v>
      </c>
      <c r="M7866" t="inlineStr">
        <is>
          <t>-350Q193.3</t>
        </is>
      </c>
    </row>
    <row r="7867">
      <c r="A7867">
        <v>7866</v>
      </c>
      <c r="B7867">
        <f>GS55</f>
        <v>0</v>
      </c>
      <c r="C7867" t="inlineStr">
        <is>
          <t>+LS05</t>
        </is>
      </c>
      <c r="D7867" t="inlineStr">
        <is>
          <t>-351.1Q1</t>
        </is>
      </c>
      <c r="E7867" t="inlineStr">
        <is>
          <t>DILM-9-10</t>
        </is>
      </c>
      <c r="F7867" t="inlineStr">
        <is>
          <t>#KALK!</t>
        </is>
      </c>
      <c r="G7867" t="inlineStr">
        <is>
          <t>LASTSCHUETZ</t>
        </is>
      </c>
      <c r="H7867" t="inlineStr">
        <is>
          <t>4kW 1S Federzugkl.</t>
        </is>
      </c>
      <c r="I7867">
        <v>669</v>
      </c>
      <c r="J7867">
        <f>GS55/351.1.5</f>
        <v>0</v>
      </c>
      <c r="K7867" t="inlineStr">
        <is>
          <t>DIL MC9</t>
        </is>
      </c>
      <c r="M7867" t="inlineStr">
        <is>
          <t>-351.1Q1</t>
        </is>
      </c>
    </row>
    <row r="7868">
      <c r="A7868">
        <v>7867</v>
      </c>
      <c r="B7868">
        <f>GS32</f>
        <v>0</v>
      </c>
      <c r="C7868" t="inlineStr">
        <is>
          <t>+LS8</t>
        </is>
      </c>
      <c r="D7868" t="inlineStr">
        <is>
          <t>-351K1</t>
        </is>
      </c>
      <c r="E7868" t="inlineStr">
        <is>
          <t>DIL_EM-10-G</t>
        </is>
      </c>
      <c r="F7868" t="inlineStr">
        <is>
          <t>#KALK!</t>
        </is>
      </c>
      <c r="G7868" t="inlineStr">
        <is>
          <t>LASTSCHUETZ</t>
        </is>
      </c>
      <c r="H7868" t="inlineStr">
        <is>
          <t>4kW 1S</t>
        </is>
      </c>
      <c r="I7868">
        <v>1224</v>
      </c>
      <c r="J7868">
        <f>GS32/351.5</f>
        <v>0</v>
      </c>
      <c r="M7868" t="inlineStr">
        <is>
          <t>-351K1</t>
        </is>
      </c>
    </row>
    <row r="7869">
      <c r="A7869">
        <v>7868</v>
      </c>
      <c r="B7869">
        <f>GS24</f>
        <v>0</v>
      </c>
      <c r="C7869" t="inlineStr">
        <is>
          <t>+LS7</t>
        </is>
      </c>
      <c r="D7869" t="inlineStr">
        <is>
          <t>-351K21.4</t>
        </is>
      </c>
      <c r="E7869" t="inlineStr">
        <is>
          <t>DIL_EM-10-G</t>
        </is>
      </c>
      <c r="F7869" t="inlineStr">
        <is>
          <t>#KALK!</t>
        </is>
      </c>
      <c r="G7869" t="inlineStr">
        <is>
          <t>LASTSCHUETZ</t>
        </is>
      </c>
      <c r="H7869" t="inlineStr">
        <is>
          <t>4kW 1S</t>
        </is>
      </c>
      <c r="I7869">
        <v>736</v>
      </c>
      <c r="J7869">
        <f>GS24/351.6</f>
        <v>0</v>
      </c>
      <c r="M7869" t="inlineStr">
        <is>
          <t>-351K21.4</t>
        </is>
      </c>
    </row>
    <row r="7870">
      <c r="A7870">
        <v>7869</v>
      </c>
      <c r="B7870">
        <f>GS24</f>
        <v>0</v>
      </c>
      <c r="C7870" t="inlineStr">
        <is>
          <t>+LS7</t>
        </is>
      </c>
      <c r="D7870" t="inlineStr">
        <is>
          <t>-351K21.5</t>
        </is>
      </c>
      <c r="E7870" t="inlineStr">
        <is>
          <t>DIL_EM-10-G</t>
        </is>
      </c>
      <c r="F7870" t="inlineStr">
        <is>
          <t>#KALK!</t>
        </is>
      </c>
      <c r="G7870" t="inlineStr">
        <is>
          <t>LASTSCHUETZ</t>
        </is>
      </c>
      <c r="H7870" t="inlineStr">
        <is>
          <t>4kW 1S</t>
        </is>
      </c>
      <c r="I7870">
        <v>736</v>
      </c>
      <c r="J7870">
        <f>GS24/351.6</f>
        <v>0</v>
      </c>
      <c r="M7870" t="inlineStr">
        <is>
          <t>-351K21.5</t>
        </is>
      </c>
    </row>
    <row r="7871">
      <c r="A7871">
        <v>7870</v>
      </c>
      <c r="B7871">
        <f>GS14</f>
        <v>0</v>
      </c>
      <c r="C7871" t="inlineStr">
        <is>
          <t>+LS7</t>
        </is>
      </c>
      <c r="D7871" t="inlineStr">
        <is>
          <t>-351K28.0</t>
        </is>
      </c>
      <c r="E7871" t="inlineStr">
        <is>
          <t>DIL_ER-22-G</t>
        </is>
      </c>
      <c r="F7871" t="inlineStr">
        <is>
          <t>#KALK!</t>
        </is>
      </c>
      <c r="G7871" t="inlineStr">
        <is>
          <t>HILFSSCHUETZ</t>
        </is>
      </c>
      <c r="H7871" t="inlineStr">
        <is>
          <t>2S 2OE</t>
        </is>
      </c>
      <c r="I7871">
        <v>480</v>
      </c>
      <c r="J7871">
        <f>GS14/351.5</f>
        <v>0</v>
      </c>
      <c r="M7871" t="inlineStr">
        <is>
          <t>-351K28.0</t>
        </is>
      </c>
    </row>
    <row r="7872">
      <c r="A7872">
        <v>7871</v>
      </c>
      <c r="B7872">
        <f>GS14</f>
        <v>0</v>
      </c>
      <c r="C7872" t="inlineStr">
        <is>
          <t>+LS7</t>
        </is>
      </c>
      <c r="D7872" t="inlineStr">
        <is>
          <t>-351K28.1</t>
        </is>
      </c>
      <c r="E7872" t="inlineStr">
        <is>
          <t>DIL_ER-22-G</t>
        </is>
      </c>
      <c r="F7872" t="inlineStr">
        <is>
          <t>#KALK!</t>
        </is>
      </c>
      <c r="G7872" t="inlineStr">
        <is>
          <t>HILFSSCHUETZ</t>
        </is>
      </c>
      <c r="H7872" t="inlineStr">
        <is>
          <t>2S 2OE</t>
        </is>
      </c>
      <c r="I7872">
        <v>480</v>
      </c>
      <c r="J7872">
        <f>GS14/351.6</f>
        <v>0</v>
      </c>
      <c r="M7872" t="inlineStr">
        <is>
          <t>-351K28.1</t>
        </is>
      </c>
    </row>
    <row r="7873">
      <c r="A7873">
        <v>7872</v>
      </c>
      <c r="B7873">
        <f>GS14</f>
        <v>0</v>
      </c>
      <c r="C7873" t="inlineStr">
        <is>
          <t>+LS7</t>
        </is>
      </c>
      <c r="D7873" t="inlineStr">
        <is>
          <t>-351K28.2</t>
        </is>
      </c>
      <c r="E7873" t="inlineStr">
        <is>
          <t>DIL_ER-22-G</t>
        </is>
      </c>
      <c r="F7873" t="inlineStr">
        <is>
          <t>#KALK!</t>
        </is>
      </c>
      <c r="G7873" t="inlineStr">
        <is>
          <t>HILFSSCHUETZ</t>
        </is>
      </c>
      <c r="H7873" t="inlineStr">
        <is>
          <t>2S 2OE</t>
        </is>
      </c>
      <c r="I7873">
        <v>480</v>
      </c>
      <c r="J7873">
        <f>GS14/351.7</f>
        <v>0</v>
      </c>
      <c r="M7873" t="inlineStr">
        <is>
          <t>-351K28.2</t>
        </is>
      </c>
    </row>
    <row r="7874">
      <c r="A7874">
        <v>7873</v>
      </c>
      <c r="B7874">
        <f>GS14</f>
        <v>0</v>
      </c>
      <c r="C7874" t="inlineStr">
        <is>
          <t>+LS7</t>
        </is>
      </c>
      <c r="D7874" t="inlineStr">
        <is>
          <t>-351K28.4</t>
        </is>
      </c>
      <c r="E7874" t="inlineStr">
        <is>
          <t>DIL_EM-10-G</t>
        </is>
      </c>
      <c r="F7874" t="inlineStr">
        <is>
          <t>#KALK!</t>
        </is>
      </c>
      <c r="G7874" t="inlineStr">
        <is>
          <t>LASTSCHUETZ</t>
        </is>
      </c>
      <c r="H7874" t="inlineStr">
        <is>
          <t>4kW 1S</t>
        </is>
      </c>
      <c r="I7874">
        <v>480</v>
      </c>
      <c r="J7874">
        <f>GS14/351.7</f>
        <v>0</v>
      </c>
      <c r="M7874" t="inlineStr">
        <is>
          <t>-351K28.4</t>
        </is>
      </c>
    </row>
    <row r="7875">
      <c r="A7875">
        <v>7874</v>
      </c>
      <c r="B7875">
        <f>GS33</f>
        <v>0</v>
      </c>
      <c r="C7875" t="inlineStr">
        <is>
          <t>+LS8</t>
        </is>
      </c>
      <c r="D7875" t="inlineStr">
        <is>
          <t>-351K3804.7</t>
        </is>
      </c>
      <c r="E7875" t="inlineStr">
        <is>
          <t>DIL_EM-10-G</t>
        </is>
      </c>
      <c r="F7875" t="inlineStr">
        <is>
          <t>#KALK!</t>
        </is>
      </c>
      <c r="G7875" t="inlineStr">
        <is>
          <t>LASTSCHUETZ</t>
        </is>
      </c>
      <c r="H7875" t="inlineStr">
        <is>
          <t>4kW 1S</t>
        </is>
      </c>
      <c r="I7875">
        <v>800</v>
      </c>
      <c r="J7875">
        <f>GS33/351.7</f>
        <v>0</v>
      </c>
      <c r="M7875" t="inlineStr">
        <is>
          <t>-351K3804.7</t>
        </is>
      </c>
    </row>
    <row r="7876">
      <c r="A7876">
        <v>7875</v>
      </c>
      <c r="B7876">
        <f>GS37</f>
        <v>0</v>
      </c>
      <c r="C7876" t="inlineStr">
        <is>
          <t>+LS07</t>
        </is>
      </c>
      <c r="D7876" t="inlineStr">
        <is>
          <t>-351Q124.2</t>
        </is>
      </c>
      <c r="E7876" t="inlineStr">
        <is>
          <t>DILMC12-10(24VDC)</t>
        </is>
      </c>
      <c r="F7876" t="inlineStr">
        <is>
          <t>#KALK!</t>
        </is>
      </c>
      <c r="G7876" t="inlineStr">
        <is>
          <t>LASTSCHUETZ</t>
        </is>
      </c>
      <c r="H7876" t="inlineStr">
        <is>
          <t>5,5kW 1S Federzugkl.</t>
        </is>
      </c>
      <c r="I7876">
        <v>606</v>
      </c>
      <c r="J7876">
        <f>GS37/351.5</f>
        <v>0</v>
      </c>
      <c r="K7876" t="inlineStr">
        <is>
          <t>DILMC12</t>
        </is>
      </c>
      <c r="M7876" t="inlineStr">
        <is>
          <t>-351Q124.2</t>
        </is>
      </c>
    </row>
    <row r="7877">
      <c r="A7877">
        <v>7876</v>
      </c>
      <c r="B7877">
        <f>GS52</f>
        <v>0</v>
      </c>
      <c r="C7877" t="inlineStr">
        <is>
          <t>+LS05</t>
        </is>
      </c>
      <c r="D7877" t="inlineStr">
        <is>
          <t>-351Q149.3</t>
        </is>
      </c>
      <c r="E7877" t="inlineStr">
        <is>
          <t>DILM-9-10</t>
        </is>
      </c>
      <c r="F7877" t="inlineStr">
        <is>
          <t>#KALK!</t>
        </is>
      </c>
      <c r="G7877" t="inlineStr">
        <is>
          <t>LASTSCHUETZ</t>
        </is>
      </c>
      <c r="H7877" t="inlineStr">
        <is>
          <t>4kW 1S Federzugkl.</t>
        </is>
      </c>
      <c r="I7877">
        <v>948</v>
      </c>
      <c r="J7877">
        <f>GS52/351.6</f>
        <v>0</v>
      </c>
      <c r="K7877" t="inlineStr">
        <is>
          <t>DIL MC9</t>
        </is>
      </c>
      <c r="M7877" t="inlineStr">
        <is>
          <t>-351Q149.3</t>
        </is>
      </c>
    </row>
    <row r="7878">
      <c r="A7878">
        <v>7877</v>
      </c>
      <c r="B7878">
        <f>GS90</f>
        <v>0</v>
      </c>
      <c r="C7878" t="inlineStr">
        <is>
          <t>+LS06</t>
        </is>
      </c>
      <c r="D7878" t="inlineStr">
        <is>
          <t>-351Q193.4</t>
        </is>
      </c>
      <c r="E7878" t="inlineStr">
        <is>
          <t>DILM-9-10</t>
        </is>
      </c>
      <c r="F7878" t="inlineStr">
        <is>
          <t>#KALK!</t>
        </is>
      </c>
      <c r="G7878" t="inlineStr">
        <is>
          <t>LASTSCHUETZ</t>
        </is>
      </c>
      <c r="H7878" t="inlineStr">
        <is>
          <t>4kW 1S Federzugkl.</t>
        </is>
      </c>
      <c r="I7878">
        <v>890</v>
      </c>
      <c r="J7878">
        <f>GS90/351.5</f>
        <v>0</v>
      </c>
      <c r="M7878" t="inlineStr">
        <is>
          <t>-351Q193.4</t>
        </is>
      </c>
    </row>
    <row r="7879">
      <c r="A7879">
        <v>7878</v>
      </c>
      <c r="B7879">
        <f>GS92</f>
        <v>0</v>
      </c>
      <c r="C7879" t="inlineStr">
        <is>
          <t>+LS06</t>
        </is>
      </c>
      <c r="D7879" t="inlineStr">
        <is>
          <t>-351Q456.1</t>
        </is>
      </c>
      <c r="E7879" t="inlineStr">
        <is>
          <t>DILA-XHI22</t>
        </is>
      </c>
      <c r="F7879" t="inlineStr">
        <is>
          <t>DILA-XHI22</t>
        </is>
      </c>
      <c r="G7879" t="inlineStr">
        <is>
          <t>HILFSKONTAKTBLOCK</t>
        </is>
      </c>
      <c r="H7879" t="inlineStr">
        <is>
          <t>2S 2OE Last+Hilfssch. Cage</t>
        </is>
      </c>
      <c r="I7879">
        <v>497</v>
      </c>
      <c r="J7879">
        <f>GS92/351.5</f>
        <v>0</v>
      </c>
      <c r="M7879" t="inlineStr">
        <is>
          <t>-351Q456.1</t>
        </is>
      </c>
    </row>
    <row r="7880">
      <c r="A7880">
        <v>7879</v>
      </c>
      <c r="B7880">
        <f>GS92</f>
        <v>0</v>
      </c>
      <c r="C7880" t="inlineStr">
        <is>
          <t>+LS06</t>
        </is>
      </c>
      <c r="D7880" t="inlineStr">
        <is>
          <t>-351Q456.1</t>
        </is>
      </c>
      <c r="E7880" t="inlineStr">
        <is>
          <t>DILM-9-10</t>
        </is>
      </c>
      <c r="F7880" t="inlineStr">
        <is>
          <t>DILA-XHI22</t>
        </is>
      </c>
      <c r="G7880" t="inlineStr">
        <is>
          <t>LASTSCHUETZ</t>
        </is>
      </c>
      <c r="H7880" t="inlineStr">
        <is>
          <t>4kW 1S Federzugkl.</t>
        </is>
      </c>
      <c r="I7880">
        <v>497</v>
      </c>
      <c r="J7880">
        <f>GS92/351.5</f>
        <v>0</v>
      </c>
      <c r="M7880" t="inlineStr">
        <is>
          <t>-351Q456.1</t>
        </is>
      </c>
    </row>
    <row r="7881">
      <c r="A7881">
        <v>7880</v>
      </c>
      <c r="B7881">
        <f>GS92</f>
        <v>0</v>
      </c>
      <c r="C7881" t="inlineStr">
        <is>
          <t>+LS06</t>
        </is>
      </c>
      <c r="D7881" t="inlineStr">
        <is>
          <t>-351Q456.2</t>
        </is>
      </c>
      <c r="E7881" t="inlineStr">
        <is>
          <t>DILA-XHI22</t>
        </is>
      </c>
      <c r="F7881" t="inlineStr">
        <is>
          <t>DILA-XHI22</t>
        </is>
      </c>
      <c r="G7881" t="inlineStr">
        <is>
          <t>HILFSKONTAKTBLOCK</t>
        </is>
      </c>
      <c r="H7881" t="inlineStr">
        <is>
          <t>2S 2OE Last+Hilfssch. Cage</t>
        </is>
      </c>
      <c r="I7881">
        <v>497</v>
      </c>
      <c r="J7881">
        <f>GS92/351.6</f>
        <v>0</v>
      </c>
      <c r="M7881" t="inlineStr">
        <is>
          <t>-351Q456.2</t>
        </is>
      </c>
    </row>
    <row r="7882">
      <c r="A7882">
        <v>7881</v>
      </c>
      <c r="B7882">
        <f>GS92</f>
        <v>0</v>
      </c>
      <c r="C7882" t="inlineStr">
        <is>
          <t>+LS06</t>
        </is>
      </c>
      <c r="D7882" t="inlineStr">
        <is>
          <t>-351Q456.2</t>
        </is>
      </c>
      <c r="E7882" t="inlineStr">
        <is>
          <t>DILM-9-10</t>
        </is>
      </c>
      <c r="F7882" t="inlineStr">
        <is>
          <t>DILA-XHI22</t>
        </is>
      </c>
      <c r="G7882" t="inlineStr">
        <is>
          <t>LASTSCHUETZ</t>
        </is>
      </c>
      <c r="H7882" t="inlineStr">
        <is>
          <t>4kW 1S Federzugkl.</t>
        </is>
      </c>
      <c r="I7882">
        <v>497</v>
      </c>
      <c r="J7882">
        <f>GS92/351.6</f>
        <v>0</v>
      </c>
      <c r="M7882" t="inlineStr">
        <is>
          <t>-351Q456.2</t>
        </is>
      </c>
    </row>
    <row r="7883">
      <c r="A7883">
        <v>7882</v>
      </c>
      <c r="B7883">
        <f>GS24</f>
        <v>0</v>
      </c>
      <c r="C7883" t="inlineStr">
        <is>
          <t>+LS7</t>
        </is>
      </c>
      <c r="D7883" t="inlineStr">
        <is>
          <t>-352K21.6</t>
        </is>
      </c>
      <c r="E7883" t="inlineStr">
        <is>
          <t>DIL_EM-10-G</t>
        </is>
      </c>
      <c r="F7883" t="inlineStr">
        <is>
          <t>#KALK!</t>
        </is>
      </c>
      <c r="G7883" t="inlineStr">
        <is>
          <t>LASTSCHUETZ</t>
        </is>
      </c>
      <c r="H7883" t="inlineStr">
        <is>
          <t>4kW 1S</t>
        </is>
      </c>
      <c r="I7883">
        <v>735</v>
      </c>
      <c r="J7883">
        <f>GS24/352.6</f>
        <v>0</v>
      </c>
      <c r="M7883" t="inlineStr">
        <is>
          <t>-352K21.6</t>
        </is>
      </c>
    </row>
    <row r="7884">
      <c r="A7884">
        <v>7883</v>
      </c>
      <c r="B7884">
        <f>GS24</f>
        <v>0</v>
      </c>
      <c r="C7884" t="inlineStr">
        <is>
          <t>+LS7</t>
        </is>
      </c>
      <c r="D7884" t="inlineStr">
        <is>
          <t>-352K21.7</t>
        </is>
      </c>
      <c r="E7884" t="inlineStr">
        <is>
          <t>DIL_EM-10-G</t>
        </is>
      </c>
      <c r="F7884" t="inlineStr">
        <is>
          <t>#KALK!</t>
        </is>
      </c>
      <c r="G7884" t="inlineStr">
        <is>
          <t>LASTSCHUETZ</t>
        </is>
      </c>
      <c r="H7884" t="inlineStr">
        <is>
          <t>4kW 1S</t>
        </is>
      </c>
      <c r="I7884">
        <v>735</v>
      </c>
      <c r="J7884">
        <f>GS24/352.6</f>
        <v>0</v>
      </c>
      <c r="M7884" t="inlineStr">
        <is>
          <t>-352K21.7</t>
        </is>
      </c>
    </row>
    <row r="7885">
      <c r="A7885">
        <v>7884</v>
      </c>
      <c r="B7885">
        <f>GS15</f>
        <v>0</v>
      </c>
      <c r="C7885" t="inlineStr">
        <is>
          <t>+LS7</t>
        </is>
      </c>
      <c r="D7885" t="inlineStr">
        <is>
          <t>-352K22.0</t>
        </is>
      </c>
      <c r="E7885" t="inlineStr">
        <is>
          <t>DIL_EM-10-G</t>
        </is>
      </c>
      <c r="F7885" t="inlineStr">
        <is>
          <t>#KALK!</t>
        </is>
      </c>
      <c r="G7885" t="inlineStr">
        <is>
          <t>LASTSCHUETZ</t>
        </is>
      </c>
      <c r="H7885" t="inlineStr">
        <is>
          <t>4kW 1S</t>
        </is>
      </c>
      <c r="I7885">
        <v>851</v>
      </c>
      <c r="J7885">
        <f>GS15/352.6</f>
        <v>0</v>
      </c>
      <c r="M7885" t="inlineStr">
        <is>
          <t>-352K22.0</t>
        </is>
      </c>
    </row>
    <row r="7886">
      <c r="A7886">
        <v>7885</v>
      </c>
      <c r="B7886">
        <f>GS15</f>
        <v>0</v>
      </c>
      <c r="C7886" t="inlineStr">
        <is>
          <t>+LS7</t>
        </is>
      </c>
      <c r="D7886" t="inlineStr">
        <is>
          <t>-352K22.1</t>
        </is>
      </c>
      <c r="E7886" t="inlineStr">
        <is>
          <t>DIL_EM-10-G</t>
        </is>
      </c>
      <c r="F7886" t="inlineStr">
        <is>
          <t>#KALK!</t>
        </is>
      </c>
      <c r="G7886" t="inlineStr">
        <is>
          <t>LASTSCHUETZ</t>
        </is>
      </c>
      <c r="H7886" t="inlineStr">
        <is>
          <t>4kW 1S</t>
        </is>
      </c>
      <c r="I7886">
        <v>851</v>
      </c>
      <c r="J7886">
        <f>GS15/352.6</f>
        <v>0</v>
      </c>
      <c r="M7886" t="inlineStr">
        <is>
          <t>-352K22.1</t>
        </is>
      </c>
    </row>
    <row r="7887">
      <c r="A7887">
        <v>7886</v>
      </c>
      <c r="B7887">
        <f>GS33</f>
        <v>0</v>
      </c>
      <c r="C7887" t="inlineStr">
        <is>
          <t>+LS8</t>
        </is>
      </c>
      <c r="D7887" t="inlineStr">
        <is>
          <t>-352K3805.0</t>
        </is>
      </c>
      <c r="E7887" t="inlineStr">
        <is>
          <t>DIL_EM-10-G</t>
        </is>
      </c>
      <c r="F7887" t="inlineStr">
        <is>
          <t>#KALK!</t>
        </is>
      </c>
      <c r="G7887" t="inlineStr">
        <is>
          <t>LASTSCHUETZ</t>
        </is>
      </c>
      <c r="H7887" t="inlineStr">
        <is>
          <t>4kW 1S</t>
        </is>
      </c>
      <c r="I7887">
        <v>801</v>
      </c>
      <c r="J7887">
        <f>GS33/352.6</f>
        <v>0</v>
      </c>
      <c r="M7887" t="inlineStr">
        <is>
          <t>-352K3805.0</t>
        </is>
      </c>
    </row>
    <row r="7888">
      <c r="A7888">
        <v>7887</v>
      </c>
      <c r="B7888">
        <f>GS33</f>
        <v>0</v>
      </c>
      <c r="C7888" t="inlineStr">
        <is>
          <t>+LS8</t>
        </is>
      </c>
      <c r="D7888" t="inlineStr">
        <is>
          <t>-352K3805.5</t>
        </is>
      </c>
      <c r="E7888" t="inlineStr">
        <is>
          <t>DIL_EM-10-G</t>
        </is>
      </c>
      <c r="F7888" t="inlineStr">
        <is>
          <t>#KALK!</t>
        </is>
      </c>
      <c r="G7888" t="inlineStr">
        <is>
          <t>LASTSCHUETZ</t>
        </is>
      </c>
      <c r="H7888" t="inlineStr">
        <is>
          <t>4kW 1S</t>
        </is>
      </c>
      <c r="I7888">
        <v>801</v>
      </c>
      <c r="J7888">
        <f>GS33/352.6</f>
        <v>0</v>
      </c>
      <c r="M7888" t="inlineStr">
        <is>
          <t>-352K3805.5</t>
        </is>
      </c>
    </row>
    <row r="7889">
      <c r="A7889">
        <v>7888</v>
      </c>
      <c r="B7889">
        <f>GS52</f>
        <v>0</v>
      </c>
      <c r="C7889" t="inlineStr">
        <is>
          <t>+LS05</t>
        </is>
      </c>
      <c r="D7889" t="inlineStr">
        <is>
          <t>-352Q149.4</t>
        </is>
      </c>
      <c r="E7889" t="inlineStr">
        <is>
          <t>DILM-9-10</t>
        </is>
      </c>
      <c r="F7889" t="inlineStr">
        <is>
          <t>#KALK!</t>
        </is>
      </c>
      <c r="G7889" t="inlineStr">
        <is>
          <t>LASTSCHUETZ</t>
        </is>
      </c>
      <c r="H7889" t="inlineStr">
        <is>
          <t>4kW 1S Federzugkl.</t>
        </is>
      </c>
      <c r="I7889">
        <v>946</v>
      </c>
      <c r="J7889">
        <f>GS52/352.6</f>
        <v>0</v>
      </c>
      <c r="K7889" t="inlineStr">
        <is>
          <t>DIL MC9</t>
        </is>
      </c>
      <c r="M7889" t="inlineStr">
        <is>
          <t>-352Q149.4</t>
        </is>
      </c>
    </row>
    <row r="7890">
      <c r="A7890">
        <v>7889</v>
      </c>
      <c r="B7890">
        <f>GS90</f>
        <v>0</v>
      </c>
      <c r="C7890" t="inlineStr">
        <is>
          <t>+LS06</t>
        </is>
      </c>
      <c r="D7890" t="inlineStr">
        <is>
          <t>-352Q193.5</t>
        </is>
      </c>
      <c r="E7890" t="inlineStr">
        <is>
          <t>DILM-9-10</t>
        </is>
      </c>
      <c r="F7890" t="inlineStr">
        <is>
          <t>#KALK!</t>
        </is>
      </c>
      <c r="G7890" t="inlineStr">
        <is>
          <t>LASTSCHUETZ</t>
        </is>
      </c>
      <c r="H7890" t="inlineStr">
        <is>
          <t>4kW 1S Federzugkl.</t>
        </is>
      </c>
      <c r="I7890">
        <v>888</v>
      </c>
      <c r="J7890">
        <f>GS90/352.5</f>
        <v>0</v>
      </c>
      <c r="M7890" t="inlineStr">
        <is>
          <t>-352Q193.5</t>
        </is>
      </c>
    </row>
    <row r="7891">
      <c r="A7891">
        <v>7890</v>
      </c>
      <c r="B7891">
        <f>GS92</f>
        <v>0</v>
      </c>
      <c r="C7891" t="inlineStr">
        <is>
          <t>+LS06</t>
        </is>
      </c>
      <c r="D7891" t="inlineStr">
        <is>
          <t>-352Q456.3</t>
        </is>
      </c>
      <c r="E7891" t="inlineStr">
        <is>
          <t>DILM-9-10</t>
        </is>
      </c>
      <c r="F7891" t="inlineStr">
        <is>
          <t>#KALK!</t>
        </is>
      </c>
      <c r="G7891" t="inlineStr">
        <is>
          <t>LASTSCHUETZ</t>
        </is>
      </c>
      <c r="H7891" t="inlineStr">
        <is>
          <t>4kW 1S Federzugkl.</t>
        </is>
      </c>
      <c r="I7891">
        <v>498</v>
      </c>
      <c r="J7891">
        <f>GS92/352.5</f>
        <v>0</v>
      </c>
      <c r="M7891" t="inlineStr">
        <is>
          <t>-352Q456.3</t>
        </is>
      </c>
    </row>
    <row r="7892">
      <c r="A7892">
        <v>7891</v>
      </c>
      <c r="B7892">
        <f>GS36</f>
        <v>0</v>
      </c>
      <c r="C7892" t="inlineStr">
        <is>
          <t>+LS08</t>
        </is>
      </c>
      <c r="D7892" t="inlineStr">
        <is>
          <t>-373K1</t>
        </is>
      </c>
      <c r="E7892" t="inlineStr">
        <is>
          <t>DILM-9-01</t>
        </is>
      </c>
      <c r="F7892" t="inlineStr">
        <is>
          <t>#KALK!</t>
        </is>
      </c>
      <c r="G7892" t="inlineStr">
        <is>
          <t>LASTSCHUETZ</t>
        </is>
      </c>
      <c r="H7892" t="inlineStr">
        <is>
          <t>4kW 1Oe Federzugkl.</t>
        </is>
      </c>
      <c r="I7892">
        <v>546</v>
      </c>
      <c r="J7892">
        <f>GS36/373.6</f>
        <v>0</v>
      </c>
      <c r="L7892" t="inlineStr">
        <is>
          <t>Lichtvorhang KF</t>
        </is>
      </c>
      <c r="M7892" t="inlineStr">
        <is>
          <t>Lichtvorhang KF
-373K1</t>
        </is>
      </c>
    </row>
    <row r="7893">
      <c r="A7893">
        <v>7892</v>
      </c>
      <c r="B7893">
        <f>GS36</f>
        <v>0</v>
      </c>
      <c r="C7893" t="inlineStr">
        <is>
          <t>+LS08</t>
        </is>
      </c>
      <c r="D7893" t="inlineStr">
        <is>
          <t>-373K2</t>
        </is>
      </c>
      <c r="E7893" t="inlineStr">
        <is>
          <t>DILM-9-01</t>
        </is>
      </c>
      <c r="F7893" t="inlineStr">
        <is>
          <t>#KALK!</t>
        </is>
      </c>
      <c r="G7893" t="inlineStr">
        <is>
          <t>LASTSCHUETZ</t>
        </is>
      </c>
      <c r="H7893" t="inlineStr">
        <is>
          <t>4kW 1Oe Federzugkl.</t>
        </is>
      </c>
      <c r="I7893">
        <v>546</v>
      </c>
      <c r="J7893">
        <f>GS36/373.7</f>
        <v>0</v>
      </c>
      <c r="L7893" t="inlineStr">
        <is>
          <t>Lichtvorhang KF</t>
        </is>
      </c>
      <c r="M7893" t="inlineStr">
        <is>
          <t>Lichtvorhang KF
-373K2</t>
        </is>
      </c>
    </row>
    <row r="7894">
      <c r="A7894">
        <v>7893</v>
      </c>
      <c r="B7894">
        <f>GS15</f>
        <v>0</v>
      </c>
      <c r="C7894" t="inlineStr">
        <is>
          <t>+LS7</t>
        </is>
      </c>
      <c r="D7894" t="inlineStr">
        <is>
          <t>-353K22.2</t>
        </is>
      </c>
      <c r="E7894" t="inlineStr">
        <is>
          <t>DIL_EM-10-G</t>
        </is>
      </c>
      <c r="F7894" t="inlineStr">
        <is>
          <t>#KALK!</t>
        </is>
      </c>
      <c r="G7894" t="inlineStr">
        <is>
          <t>LASTSCHUETZ</t>
        </is>
      </c>
      <c r="H7894" t="inlineStr">
        <is>
          <t>4kW 1S</t>
        </is>
      </c>
      <c r="I7894">
        <v>852</v>
      </c>
      <c r="J7894">
        <f>GS15/353.6</f>
        <v>0</v>
      </c>
      <c r="M7894" t="inlineStr">
        <is>
          <t>-353K22.2</t>
        </is>
      </c>
    </row>
    <row r="7895">
      <c r="A7895">
        <v>7894</v>
      </c>
      <c r="B7895">
        <f>GS15</f>
        <v>0</v>
      </c>
      <c r="C7895" t="inlineStr">
        <is>
          <t>+LS7</t>
        </is>
      </c>
      <c r="D7895" t="inlineStr">
        <is>
          <t>-353K22.3</t>
        </is>
      </c>
      <c r="E7895" t="inlineStr">
        <is>
          <t>DIL_EM-10-G</t>
        </is>
      </c>
      <c r="F7895" t="inlineStr">
        <is>
          <t>#KALK!</t>
        </is>
      </c>
      <c r="G7895" t="inlineStr">
        <is>
          <t>LASTSCHUETZ</t>
        </is>
      </c>
      <c r="H7895" t="inlineStr">
        <is>
          <t>4kW 1S</t>
        </is>
      </c>
      <c r="I7895">
        <v>852</v>
      </c>
      <c r="J7895">
        <f>GS15/353.6</f>
        <v>0</v>
      </c>
      <c r="M7895" t="inlineStr">
        <is>
          <t>-353K22.3</t>
        </is>
      </c>
    </row>
    <row r="7896">
      <c r="A7896">
        <v>7895</v>
      </c>
      <c r="B7896">
        <f>GS33</f>
        <v>0</v>
      </c>
      <c r="C7896" t="inlineStr">
        <is>
          <t>+LS8</t>
        </is>
      </c>
      <c r="D7896" t="inlineStr">
        <is>
          <t>-353K3805.4</t>
        </is>
      </c>
      <c r="E7896" t="inlineStr">
        <is>
          <t>DIL_EM-10-G</t>
        </is>
      </c>
      <c r="F7896" t="inlineStr">
        <is>
          <t>#KALK!</t>
        </is>
      </c>
      <c r="G7896" t="inlineStr">
        <is>
          <t>LASTSCHUETZ</t>
        </is>
      </c>
      <c r="H7896" t="inlineStr">
        <is>
          <t>4kW 1S</t>
        </is>
      </c>
      <c r="I7896">
        <v>802</v>
      </c>
      <c r="J7896">
        <f>GS33/353.7</f>
        <v>0</v>
      </c>
      <c r="M7896" t="inlineStr">
        <is>
          <t>-353K3805.4</t>
        </is>
      </c>
    </row>
    <row r="7897">
      <c r="A7897">
        <v>7896</v>
      </c>
      <c r="B7897">
        <f>GS90</f>
        <v>0</v>
      </c>
      <c r="C7897" t="inlineStr">
        <is>
          <t>+LS06</t>
        </is>
      </c>
      <c r="D7897" t="inlineStr">
        <is>
          <t>-353Q193.6</t>
        </is>
      </c>
      <c r="E7897" t="inlineStr">
        <is>
          <t>DILM-9-10</t>
        </is>
      </c>
      <c r="F7897" t="inlineStr">
        <is>
          <t>#KALK!</t>
        </is>
      </c>
      <c r="G7897" t="inlineStr">
        <is>
          <t>LASTSCHUETZ</t>
        </is>
      </c>
      <c r="H7897" t="inlineStr">
        <is>
          <t>4kW 1S Federzugkl.</t>
        </is>
      </c>
      <c r="I7897">
        <v>889</v>
      </c>
      <c r="J7897">
        <f>GS90/353.5</f>
        <v>0</v>
      </c>
      <c r="M7897" t="inlineStr">
        <is>
          <t>-353Q193.6</t>
        </is>
      </c>
    </row>
    <row r="7898">
      <c r="A7898">
        <v>7897</v>
      </c>
      <c r="B7898">
        <f>GS92</f>
        <v>0</v>
      </c>
      <c r="C7898" t="inlineStr">
        <is>
          <t>+LS06</t>
        </is>
      </c>
      <c r="D7898" t="inlineStr">
        <is>
          <t>-353Q456.4</t>
        </is>
      </c>
      <c r="E7898" t="inlineStr">
        <is>
          <t>DILM-9-10</t>
        </is>
      </c>
      <c r="F7898" t="inlineStr">
        <is>
          <t>#KALK!</t>
        </is>
      </c>
      <c r="G7898" t="inlineStr">
        <is>
          <t>LASTSCHUETZ</t>
        </is>
      </c>
      <c r="H7898" t="inlineStr">
        <is>
          <t>4kW 1S Federzugkl.</t>
        </is>
      </c>
      <c r="I7898">
        <v>499</v>
      </c>
      <c r="J7898">
        <f>GS92/353.5</f>
        <v>0</v>
      </c>
      <c r="M7898" t="inlineStr">
        <is>
          <t>-353Q456.4</t>
        </is>
      </c>
    </row>
    <row r="7899">
      <c r="A7899">
        <v>7898</v>
      </c>
      <c r="B7899">
        <f>GS33</f>
        <v>0</v>
      </c>
      <c r="C7899" t="inlineStr">
        <is>
          <t>+LS8</t>
        </is>
      </c>
      <c r="D7899" t="inlineStr">
        <is>
          <t>-354.1K3812.5</t>
        </is>
      </c>
      <c r="E7899" t="inlineStr">
        <is>
          <t>DILMC12-10(24VDC)</t>
        </is>
      </c>
      <c r="F7899" t="inlineStr">
        <is>
          <t>#KALK!</t>
        </is>
      </c>
      <c r="G7899" t="inlineStr">
        <is>
          <t>LASTSCHUETZ</t>
        </is>
      </c>
      <c r="H7899" t="inlineStr">
        <is>
          <t>5,5kW 1S Federzugkl.</t>
        </is>
      </c>
      <c r="I7899">
        <v>804</v>
      </c>
      <c r="J7899">
        <f>GS33/354.1.5</f>
        <v>0</v>
      </c>
      <c r="K7899" t="inlineStr">
        <is>
          <t>DIL MC12</t>
        </is>
      </c>
      <c r="M7899" t="inlineStr">
        <is>
          <t>-354.1K3812.5</t>
        </is>
      </c>
    </row>
    <row r="7900">
      <c r="A7900">
        <v>7899</v>
      </c>
      <c r="B7900">
        <f>GS55</f>
        <v>0</v>
      </c>
      <c r="C7900" t="inlineStr">
        <is>
          <t>+LS05</t>
        </is>
      </c>
      <c r="D7900" t="inlineStr">
        <is>
          <t>-354K143.2</t>
        </is>
      </c>
      <c r="E7900" t="inlineStr">
        <is>
          <t>DILA-22</t>
        </is>
      </c>
      <c r="F7900" t="inlineStr">
        <is>
          <t>#KALK!</t>
        </is>
      </c>
      <c r="G7900" t="inlineStr">
        <is>
          <t>HILFSSCHUETZ</t>
        </is>
      </c>
      <c r="H7900" t="inlineStr">
        <is>
          <t>2S 2Oe Federzugkl.</t>
        </is>
      </c>
      <c r="I7900">
        <v>665</v>
      </c>
      <c r="J7900">
        <f>GS55/354.6</f>
        <v>0</v>
      </c>
      <c r="M7900" t="inlineStr">
        <is>
          <t>-354K143.2</t>
        </is>
      </c>
    </row>
    <row r="7901">
      <c r="A7901">
        <v>7900</v>
      </c>
      <c r="B7901">
        <f>GS15</f>
        <v>0</v>
      </c>
      <c r="C7901" t="inlineStr">
        <is>
          <t>+LS7</t>
        </is>
      </c>
      <c r="D7901" t="inlineStr">
        <is>
          <t>-354K22.4</t>
        </is>
      </c>
      <c r="E7901" t="inlineStr">
        <is>
          <t>DIL_EM-10-G</t>
        </is>
      </c>
      <c r="F7901" t="inlineStr">
        <is>
          <t>#KALK!</t>
        </is>
      </c>
      <c r="G7901" t="inlineStr">
        <is>
          <t>LASTSCHUETZ</t>
        </is>
      </c>
      <c r="H7901" t="inlineStr">
        <is>
          <t>4kW 1S</t>
        </is>
      </c>
      <c r="I7901">
        <v>853</v>
      </c>
      <c r="J7901">
        <f>GS15/354.6</f>
        <v>0</v>
      </c>
      <c r="M7901" t="inlineStr">
        <is>
          <t>-354K22.4</t>
        </is>
      </c>
    </row>
    <row r="7902">
      <c r="A7902">
        <v>7901</v>
      </c>
      <c r="B7902">
        <f>GS15</f>
        <v>0</v>
      </c>
      <c r="C7902" t="inlineStr">
        <is>
          <t>+LS7</t>
        </is>
      </c>
      <c r="D7902" t="inlineStr">
        <is>
          <t>-354K22.5</t>
        </is>
      </c>
      <c r="E7902" t="inlineStr">
        <is>
          <t>DIL_EM-10-G</t>
        </is>
      </c>
      <c r="F7902" t="inlineStr">
        <is>
          <t>#KALK!</t>
        </is>
      </c>
      <c r="G7902" t="inlineStr">
        <is>
          <t>LASTSCHUETZ</t>
        </is>
      </c>
      <c r="H7902" t="inlineStr">
        <is>
          <t>4kW 1S</t>
        </is>
      </c>
      <c r="I7902">
        <v>853</v>
      </c>
      <c r="J7902">
        <f>GS15/354.6</f>
        <v>0</v>
      </c>
      <c r="M7902" t="inlineStr">
        <is>
          <t>-354K22.5</t>
        </is>
      </c>
    </row>
    <row r="7903">
      <c r="A7903">
        <v>7902</v>
      </c>
      <c r="B7903">
        <f>GS13</f>
        <v>0</v>
      </c>
      <c r="C7903" t="inlineStr">
        <is>
          <t>+LS8</t>
        </is>
      </c>
      <c r="D7903" t="inlineStr">
        <is>
          <t>-354K3510.0</t>
        </is>
      </c>
      <c r="E7903" t="inlineStr">
        <is>
          <t>DIL_ER-22-G</t>
        </is>
      </c>
      <c r="F7903" t="inlineStr">
        <is>
          <t>#KALK!</t>
        </is>
      </c>
      <c r="G7903" t="inlineStr">
        <is>
          <t>HILFSSCHUETZ</t>
        </is>
      </c>
      <c r="H7903" t="inlineStr">
        <is>
          <t>2S 2OE</t>
        </is>
      </c>
      <c r="I7903">
        <v>598</v>
      </c>
      <c r="J7903">
        <f>GS13/354.5</f>
        <v>0</v>
      </c>
      <c r="M7903" t="inlineStr">
        <is>
          <t>-354K3510.0</t>
        </is>
      </c>
    </row>
    <row r="7904">
      <c r="A7904">
        <v>7903</v>
      </c>
      <c r="B7904">
        <f>GS23</f>
        <v>0</v>
      </c>
      <c r="C7904" t="inlineStr">
        <is>
          <t>+LS8</t>
        </is>
      </c>
      <c r="D7904" t="inlineStr">
        <is>
          <t>-354K3510.0</t>
        </is>
      </c>
      <c r="E7904" t="inlineStr">
        <is>
          <t>DIL_ER-22-G</t>
        </is>
      </c>
      <c r="F7904" t="inlineStr">
        <is>
          <t>#KALK!</t>
        </is>
      </c>
      <c r="G7904" t="inlineStr">
        <is>
          <t>HILFSSCHUETZ</t>
        </is>
      </c>
      <c r="H7904" t="inlineStr">
        <is>
          <t>2S 2OE</t>
        </is>
      </c>
      <c r="I7904">
        <v>655</v>
      </c>
      <c r="J7904">
        <f>GS23/354.5</f>
        <v>0</v>
      </c>
      <c r="M7904" t="inlineStr">
        <is>
          <t>-354K3510.0</t>
        </is>
      </c>
    </row>
    <row r="7905">
      <c r="A7905">
        <v>7904</v>
      </c>
      <c r="B7905">
        <f>GS13</f>
        <v>0</v>
      </c>
      <c r="C7905" t="inlineStr">
        <is>
          <t>+LS8</t>
        </is>
      </c>
      <c r="D7905" t="inlineStr">
        <is>
          <t>-354K3510.1</t>
        </is>
      </c>
      <c r="E7905" t="inlineStr">
        <is>
          <t>DIL_ER-22-G</t>
        </is>
      </c>
      <c r="F7905" t="inlineStr">
        <is>
          <t>#KALK!</t>
        </is>
      </c>
      <c r="G7905" t="inlineStr">
        <is>
          <t>HILFSSCHUETZ</t>
        </is>
      </c>
      <c r="H7905" t="inlineStr">
        <is>
          <t>2S 2OE</t>
        </is>
      </c>
      <c r="I7905">
        <v>598</v>
      </c>
      <c r="J7905">
        <f>GS13/354.6</f>
        <v>0</v>
      </c>
      <c r="M7905" t="inlineStr">
        <is>
          <t>-354K3510.1</t>
        </is>
      </c>
    </row>
    <row r="7906">
      <c r="A7906">
        <v>7905</v>
      </c>
      <c r="B7906">
        <f>GS23</f>
        <v>0</v>
      </c>
      <c r="C7906" t="inlineStr">
        <is>
          <t>+LS8</t>
        </is>
      </c>
      <c r="D7906" t="inlineStr">
        <is>
          <t>-354K3510.1</t>
        </is>
      </c>
      <c r="E7906" t="inlineStr">
        <is>
          <t>DIL_ER-22-G</t>
        </is>
      </c>
      <c r="F7906" t="inlineStr">
        <is>
          <t>#KALK!</t>
        </is>
      </c>
      <c r="G7906" t="inlineStr">
        <is>
          <t>HILFSSCHUETZ</t>
        </is>
      </c>
      <c r="H7906" t="inlineStr">
        <is>
          <t>2S 2OE</t>
        </is>
      </c>
      <c r="I7906">
        <v>655</v>
      </c>
      <c r="J7906">
        <f>GS23/354.6</f>
        <v>0</v>
      </c>
      <c r="M7906" t="inlineStr">
        <is>
          <t>-354K3510.1</t>
        </is>
      </c>
    </row>
    <row r="7907">
      <c r="A7907">
        <v>7906</v>
      </c>
      <c r="B7907">
        <f>GS13</f>
        <v>0</v>
      </c>
      <c r="C7907" t="inlineStr">
        <is>
          <t>+LS8</t>
        </is>
      </c>
      <c r="D7907" t="inlineStr">
        <is>
          <t>-354K3510.2</t>
        </is>
      </c>
      <c r="E7907" t="inlineStr">
        <is>
          <t>DIL_ER-22-G</t>
        </is>
      </c>
      <c r="F7907" t="inlineStr">
        <is>
          <t>#KALK!</t>
        </is>
      </c>
      <c r="G7907" t="inlineStr">
        <is>
          <t>HILFSSCHUETZ</t>
        </is>
      </c>
      <c r="H7907" t="inlineStr">
        <is>
          <t>2S 2OE</t>
        </is>
      </c>
      <c r="I7907">
        <v>598</v>
      </c>
      <c r="J7907">
        <f>GS13/354.7</f>
        <v>0</v>
      </c>
      <c r="M7907" t="inlineStr">
        <is>
          <t>-354K3510.2</t>
        </is>
      </c>
    </row>
    <row r="7908">
      <c r="A7908">
        <v>7907</v>
      </c>
      <c r="B7908">
        <f>GS23</f>
        <v>0</v>
      </c>
      <c r="C7908" t="inlineStr">
        <is>
          <t>+LS8</t>
        </is>
      </c>
      <c r="D7908" t="inlineStr">
        <is>
          <t>-354K3510.2</t>
        </is>
      </c>
      <c r="E7908" t="inlineStr">
        <is>
          <t>DIL_ER-22-G</t>
        </is>
      </c>
      <c r="F7908" t="inlineStr">
        <is>
          <t>#KALK!</t>
        </is>
      </c>
      <c r="G7908" t="inlineStr">
        <is>
          <t>HILFSSCHUETZ</t>
        </is>
      </c>
      <c r="H7908" t="inlineStr">
        <is>
          <t>2S 2OE</t>
        </is>
      </c>
      <c r="I7908">
        <v>655</v>
      </c>
      <c r="J7908">
        <f>GS23/354.7</f>
        <v>0</v>
      </c>
      <c r="M7908" t="inlineStr">
        <is>
          <t>-354K3510.2</t>
        </is>
      </c>
    </row>
    <row r="7909">
      <c r="A7909">
        <v>7908</v>
      </c>
      <c r="B7909">
        <f>GS13</f>
        <v>0</v>
      </c>
      <c r="C7909" t="inlineStr">
        <is>
          <t>+LS8</t>
        </is>
      </c>
      <c r="D7909" t="inlineStr">
        <is>
          <t>-354K3510.4</t>
        </is>
      </c>
      <c r="E7909" t="inlineStr">
        <is>
          <t>DIL_EM-10-G</t>
        </is>
      </c>
      <c r="F7909" t="inlineStr">
        <is>
          <t>#KALK!</t>
        </is>
      </c>
      <c r="G7909" t="inlineStr">
        <is>
          <t>LASTSCHUETZ</t>
        </is>
      </c>
      <c r="H7909" t="inlineStr">
        <is>
          <t>4kW 1S</t>
        </is>
      </c>
      <c r="I7909">
        <v>598</v>
      </c>
      <c r="J7909">
        <f>GS13/354.7</f>
        <v>0</v>
      </c>
      <c r="M7909" t="inlineStr">
        <is>
          <t>-354K3510.4</t>
        </is>
      </c>
    </row>
    <row r="7910">
      <c r="A7910">
        <v>7909</v>
      </c>
      <c r="B7910">
        <f>GS23</f>
        <v>0</v>
      </c>
      <c r="C7910" t="inlineStr">
        <is>
          <t>+LS8</t>
        </is>
      </c>
      <c r="D7910" t="inlineStr">
        <is>
          <t>-354K3510.4</t>
        </is>
      </c>
      <c r="E7910" t="inlineStr">
        <is>
          <t>DIL_EM-10-G</t>
        </is>
      </c>
      <c r="F7910" t="inlineStr">
        <is>
          <t>#KALK!</t>
        </is>
      </c>
      <c r="G7910" t="inlineStr">
        <is>
          <t>LASTSCHUETZ</t>
        </is>
      </c>
      <c r="H7910" t="inlineStr">
        <is>
          <t>4kW 1S</t>
        </is>
      </c>
      <c r="I7910">
        <v>655</v>
      </c>
      <c r="J7910">
        <f>GS23/354.7</f>
        <v>0</v>
      </c>
      <c r="M7910" t="inlineStr">
        <is>
          <t>-354K3510.4</t>
        </is>
      </c>
    </row>
    <row r="7911">
      <c r="A7911">
        <v>7910</v>
      </c>
      <c r="B7911">
        <f>GS55</f>
        <v>0</v>
      </c>
      <c r="C7911" t="inlineStr">
        <is>
          <t>+LS05</t>
        </is>
      </c>
      <c r="D7911" t="inlineStr">
        <is>
          <t>-354Q1</t>
        </is>
      </c>
      <c r="E7911" t="inlineStr">
        <is>
          <t>DILM-9-10</t>
        </is>
      </c>
      <c r="F7911" t="inlineStr">
        <is>
          <t>DILA-XHI22</t>
        </is>
      </c>
      <c r="G7911" t="inlineStr">
        <is>
          <t>LASTSCHUETZ</t>
        </is>
      </c>
      <c r="H7911" t="inlineStr">
        <is>
          <t>4kW 1S Federzugkl.</t>
        </is>
      </c>
      <c r="I7911">
        <v>665</v>
      </c>
      <c r="J7911">
        <f>GS55/354.4</f>
        <v>0</v>
      </c>
      <c r="K7911" t="inlineStr">
        <is>
          <t>DIL MC9</t>
        </is>
      </c>
      <c r="M7911" t="inlineStr">
        <is>
          <t>-354Q1</t>
        </is>
      </c>
    </row>
    <row r="7912">
      <c r="A7912">
        <v>7911</v>
      </c>
      <c r="B7912">
        <f>GS55</f>
        <v>0</v>
      </c>
      <c r="C7912" t="inlineStr">
        <is>
          <t>+LS05</t>
        </is>
      </c>
      <c r="D7912" t="inlineStr">
        <is>
          <t>-354Q1</t>
        </is>
      </c>
      <c r="E7912" t="inlineStr">
        <is>
          <t>DILA-XHI22</t>
        </is>
      </c>
      <c r="F7912" t="inlineStr">
        <is>
          <t>DILA-XHI22</t>
        </is>
      </c>
      <c r="G7912" t="inlineStr">
        <is>
          <t>HILFSKONTAKTBLOCK</t>
        </is>
      </c>
      <c r="H7912" t="inlineStr">
        <is>
          <t>2S 2OE Last+Hilfssch. Cage</t>
        </is>
      </c>
      <c r="I7912">
        <v>665</v>
      </c>
      <c r="J7912">
        <f>GS55/354.4</f>
        <v>0</v>
      </c>
      <c r="K7912" t="inlineStr">
        <is>
          <t>DIL MC9</t>
        </is>
      </c>
      <c r="M7912" t="inlineStr">
        <is>
          <t>-354Q1</t>
        </is>
      </c>
    </row>
    <row r="7913">
      <c r="A7913">
        <v>7912</v>
      </c>
      <c r="B7913">
        <f>GS90</f>
        <v>0</v>
      </c>
      <c r="C7913" t="inlineStr">
        <is>
          <t>+LS06</t>
        </is>
      </c>
      <c r="D7913" t="inlineStr">
        <is>
          <t>-354Q193.7</t>
        </is>
      </c>
      <c r="E7913" t="inlineStr">
        <is>
          <t>DILM-9-10</t>
        </is>
      </c>
      <c r="F7913" t="inlineStr">
        <is>
          <t>#KALK!</t>
        </is>
      </c>
      <c r="G7913" t="inlineStr">
        <is>
          <t>LASTSCHUETZ</t>
        </is>
      </c>
      <c r="H7913" t="inlineStr">
        <is>
          <t>4kW 1S Federzugkl.</t>
        </is>
      </c>
      <c r="I7913">
        <v>861</v>
      </c>
      <c r="J7913">
        <f>GS90/354.5</f>
        <v>0</v>
      </c>
      <c r="M7913" t="inlineStr">
        <is>
          <t>-354Q193.7</t>
        </is>
      </c>
    </row>
    <row r="7914">
      <c r="A7914">
        <v>7913</v>
      </c>
      <c r="B7914">
        <f>GS01</f>
        <v>0</v>
      </c>
      <c r="C7914" t="inlineStr">
        <is>
          <t>+LS8</t>
        </is>
      </c>
      <c r="D7914" t="inlineStr">
        <is>
          <t>-355K1</t>
        </is>
      </c>
      <c r="E7914" t="inlineStr">
        <is>
          <t>DIL_2AM</t>
        </is>
      </c>
      <c r="F7914" t="inlineStr">
        <is>
          <t>22_DIL-M</t>
        </is>
      </c>
      <c r="G7914" t="inlineStr">
        <is>
          <t>LASTSCHUETZ</t>
        </is>
      </c>
      <c r="H7914" t="inlineStr">
        <is>
          <t>30 kW</t>
        </is>
      </c>
      <c r="I7914">
        <v>518</v>
      </c>
      <c r="J7914">
        <f>GS01/355.2</f>
        <v>0</v>
      </c>
      <c r="K7914" t="inlineStr">
        <is>
          <t>DIL2AM</t>
        </is>
      </c>
      <c r="M7914" t="inlineStr">
        <is>
          <t>-355K1</t>
        </is>
      </c>
    </row>
    <row r="7915">
      <c r="A7915">
        <v>7914</v>
      </c>
      <c r="B7915">
        <f>GS01</f>
        <v>0</v>
      </c>
      <c r="C7915" t="inlineStr">
        <is>
          <t>+LS8</t>
        </is>
      </c>
      <c r="D7915" t="inlineStr">
        <is>
          <t>-355K1</t>
        </is>
      </c>
      <c r="E7915" t="inlineStr">
        <is>
          <t>22_DIL-M</t>
        </is>
      </c>
      <c r="F7915" t="inlineStr">
        <is>
          <t>22_DIL-M</t>
        </is>
      </c>
      <c r="G7915" t="inlineStr">
        <is>
          <t>HILFSKONTAKTBLOCK</t>
        </is>
      </c>
      <c r="H7915" t="inlineStr">
        <is>
          <t>2S 2OE Lastschuetz DIL M</t>
        </is>
      </c>
      <c r="I7915">
        <v>518</v>
      </c>
      <c r="J7915">
        <f>GS01/355.2</f>
        <v>0</v>
      </c>
      <c r="K7915" t="inlineStr">
        <is>
          <t>DIL2AM</t>
        </is>
      </c>
      <c r="M7915" t="inlineStr">
        <is>
          <t>-355K1</t>
        </is>
      </c>
    </row>
    <row r="7916">
      <c r="A7916">
        <v>7915</v>
      </c>
      <c r="B7916">
        <f>GS31</f>
        <v>0</v>
      </c>
      <c r="C7916" t="inlineStr">
        <is>
          <t>+LS7</t>
        </is>
      </c>
      <c r="D7916" t="inlineStr">
        <is>
          <t>-355K1</t>
        </is>
      </c>
      <c r="E7916" t="inlineStr">
        <is>
          <t>22_DIL-M</t>
        </is>
      </c>
      <c r="F7916" t="inlineStr">
        <is>
          <t>22_DIL-M</t>
        </is>
      </c>
      <c r="G7916" t="inlineStr">
        <is>
          <t>HILFSKONTAKTBLOCK</t>
        </is>
      </c>
      <c r="H7916" t="inlineStr">
        <is>
          <t>2S 2OE Lastschuetz DIL M</t>
        </is>
      </c>
      <c r="I7916">
        <v>646</v>
      </c>
      <c r="J7916">
        <f>GS31/355.2</f>
        <v>0</v>
      </c>
      <c r="K7916" t="inlineStr">
        <is>
          <t>DIL0AM</t>
        </is>
      </c>
      <c r="M7916" t="inlineStr">
        <is>
          <t>-355K1</t>
        </is>
      </c>
    </row>
    <row r="7917">
      <c r="A7917">
        <v>7916</v>
      </c>
      <c r="B7917">
        <f>GS31</f>
        <v>0</v>
      </c>
      <c r="C7917" t="inlineStr">
        <is>
          <t>+LS7</t>
        </is>
      </c>
      <c r="D7917" t="inlineStr">
        <is>
          <t>-355K1</t>
        </is>
      </c>
      <c r="E7917" t="inlineStr">
        <is>
          <t>DIL_0AM</t>
        </is>
      </c>
      <c r="F7917" t="inlineStr">
        <is>
          <t>22_DIL-M</t>
        </is>
      </c>
      <c r="G7917" t="inlineStr">
        <is>
          <t>LASTSCHUETZ</t>
        </is>
      </c>
      <c r="H7917" t="inlineStr">
        <is>
          <t>11 kW</t>
        </is>
      </c>
      <c r="I7917">
        <v>646</v>
      </c>
      <c r="J7917">
        <f>GS31/355.2</f>
        <v>0</v>
      </c>
      <c r="K7917" t="inlineStr">
        <is>
          <t>DIL0AM</t>
        </is>
      </c>
      <c r="M7917" t="inlineStr">
        <is>
          <t>-355K1</t>
        </is>
      </c>
    </row>
    <row r="7918">
      <c r="A7918">
        <v>7917</v>
      </c>
      <c r="B7918">
        <f>GS33</f>
        <v>0</v>
      </c>
      <c r="C7918" t="inlineStr">
        <is>
          <t>+LS8</t>
        </is>
      </c>
      <c r="D7918" t="inlineStr">
        <is>
          <t>-355K1</t>
        </is>
      </c>
      <c r="E7918" t="inlineStr">
        <is>
          <t>DIL_EM-10-G</t>
        </is>
      </c>
      <c r="F7918" t="inlineStr">
        <is>
          <t>#KALK!</t>
        </is>
      </c>
      <c r="G7918" t="inlineStr">
        <is>
          <t>LASTSCHUETZ</t>
        </is>
      </c>
      <c r="H7918" t="inlineStr">
        <is>
          <t>4kW 1S</t>
        </is>
      </c>
      <c r="I7918">
        <v>805</v>
      </c>
      <c r="J7918">
        <f>GS33/355.5</f>
        <v>0</v>
      </c>
      <c r="M7918" t="inlineStr">
        <is>
          <t>-355K1</t>
        </is>
      </c>
    </row>
    <row r="7919">
      <c r="A7919">
        <v>7918</v>
      </c>
      <c r="B7919">
        <f>GS35</f>
        <v>0</v>
      </c>
      <c r="C7919" t="inlineStr">
        <is>
          <t>+LS08</t>
        </is>
      </c>
      <c r="D7919" t="inlineStr">
        <is>
          <t>-355K138.0</t>
        </is>
      </c>
      <c r="E7919" t="inlineStr">
        <is>
          <t>DILA-40</t>
        </is>
      </c>
      <c r="F7919" t="inlineStr">
        <is>
          <t>#KALK!</t>
        </is>
      </c>
      <c r="G7919" t="inlineStr">
        <is>
          <t>HILFSSCHUETZ</t>
        </is>
      </c>
      <c r="H7919" t="inlineStr">
        <is>
          <t>4S Federzugkl.</t>
        </is>
      </c>
      <c r="I7919">
        <v>509</v>
      </c>
      <c r="J7919">
        <f>GS35/355.7</f>
        <v>0</v>
      </c>
      <c r="M7919" t="inlineStr">
        <is>
          <t>-355K138.0</t>
        </is>
      </c>
    </row>
    <row r="7920">
      <c r="A7920">
        <v>7919</v>
      </c>
      <c r="B7920">
        <f>GS15</f>
        <v>0</v>
      </c>
      <c r="C7920" t="inlineStr">
        <is>
          <t>+LS7</t>
        </is>
      </c>
      <c r="D7920" t="inlineStr">
        <is>
          <t>-355K23.3</t>
        </is>
      </c>
      <c r="E7920" t="inlineStr">
        <is>
          <t>DIL_EM-10-G</t>
        </is>
      </c>
      <c r="F7920" t="inlineStr">
        <is>
          <t>#KALK!</t>
        </is>
      </c>
      <c r="G7920" t="inlineStr">
        <is>
          <t>LASTSCHUETZ</t>
        </is>
      </c>
      <c r="H7920" t="inlineStr">
        <is>
          <t>4kW 1S</t>
        </is>
      </c>
      <c r="I7920">
        <v>854</v>
      </c>
      <c r="J7920">
        <f>GS15/355.7</f>
        <v>0</v>
      </c>
      <c r="M7920" t="inlineStr">
        <is>
          <t>-355K23.3</t>
        </is>
      </c>
    </row>
    <row r="7921">
      <c r="A7921">
        <v>7920</v>
      </c>
      <c r="B7921">
        <f>GS30</f>
        <v>0</v>
      </c>
      <c r="C7921" t="inlineStr">
        <is>
          <t>+LS10</t>
        </is>
      </c>
      <c r="D7921" t="inlineStr">
        <is>
          <t>-355K414.4</t>
        </is>
      </c>
      <c r="E7921" t="inlineStr">
        <is>
          <t>DILA-40</t>
        </is>
      </c>
      <c r="F7921" t="inlineStr">
        <is>
          <t>#KALK!</t>
        </is>
      </c>
      <c r="G7921" t="inlineStr">
        <is>
          <t>HILFSSCHUETZ</t>
        </is>
      </c>
      <c r="H7921" t="inlineStr">
        <is>
          <t>4S Federzugkl.</t>
        </is>
      </c>
      <c r="I7921">
        <v>852</v>
      </c>
      <c r="J7921">
        <f>GS30/355.7</f>
        <v>0</v>
      </c>
      <c r="M7921" t="inlineStr">
        <is>
          <t>-355K414.4</t>
        </is>
      </c>
    </row>
    <row r="7922">
      <c r="A7922">
        <v>7921</v>
      </c>
      <c r="B7922">
        <f>GS36</f>
        <v>0</v>
      </c>
      <c r="C7922" t="inlineStr">
        <is>
          <t>+LS08</t>
        </is>
      </c>
      <c r="D7922" t="inlineStr">
        <is>
          <t>-375K428.4</t>
        </is>
      </c>
      <c r="E7922" t="inlineStr">
        <is>
          <t>DILA-40</t>
        </is>
      </c>
      <c r="F7922" t="inlineStr">
        <is>
          <t>#KALK!</t>
        </is>
      </c>
      <c r="G7922" t="inlineStr">
        <is>
          <t>HILFSSCHUETZ</t>
        </is>
      </c>
      <c r="H7922" t="inlineStr">
        <is>
          <t>4S Federzugkl.</t>
        </is>
      </c>
      <c r="I7922">
        <v>548</v>
      </c>
      <c r="J7922">
        <f>GS36/375.7</f>
        <v>0</v>
      </c>
      <c r="M7922" t="inlineStr">
        <is>
          <t>-375K428.4</t>
        </is>
      </c>
    </row>
    <row r="7923">
      <c r="A7923">
        <v>7922</v>
      </c>
      <c r="B7923">
        <f>GS46</f>
        <v>0</v>
      </c>
      <c r="C7923" t="inlineStr">
        <is>
          <t>+LS06</t>
        </is>
      </c>
      <c r="D7923" t="inlineStr">
        <is>
          <t>-355K450.0</t>
        </is>
      </c>
      <c r="E7923" t="inlineStr">
        <is>
          <t>DILA-40</t>
        </is>
      </c>
      <c r="F7923" t="inlineStr">
        <is>
          <t>#KALK!</t>
        </is>
      </c>
      <c r="G7923" t="inlineStr">
        <is>
          <t>HILFSSCHUETZ</t>
        </is>
      </c>
      <c r="H7923" t="inlineStr">
        <is>
          <t>4S Federzugkl.</t>
        </is>
      </c>
      <c r="I7923">
        <v>702</v>
      </c>
      <c r="J7923">
        <f>GS46/355.7</f>
        <v>0</v>
      </c>
      <c r="M7923" t="inlineStr">
        <is>
          <t>-355K450.0</t>
        </is>
      </c>
    </row>
    <row r="7924">
      <c r="A7924">
        <v>7923</v>
      </c>
      <c r="B7924">
        <f>GS47</f>
        <v>0</v>
      </c>
      <c r="C7924" t="inlineStr">
        <is>
          <t>+LS06</t>
        </is>
      </c>
      <c r="D7924" t="inlineStr">
        <is>
          <t>-355K450.0</t>
        </is>
      </c>
      <c r="E7924" t="inlineStr">
        <is>
          <t>DILA-40</t>
        </is>
      </c>
      <c r="F7924" t="inlineStr">
        <is>
          <t>#KALK!</t>
        </is>
      </c>
      <c r="G7924" t="inlineStr">
        <is>
          <t>HILFSSCHUETZ</t>
        </is>
      </c>
      <c r="H7924" t="inlineStr">
        <is>
          <t>4S Federzugkl.</t>
        </is>
      </c>
      <c r="I7924">
        <v>702</v>
      </c>
      <c r="J7924">
        <f>GS47/355.7</f>
        <v>0</v>
      </c>
      <c r="M7924" t="inlineStr">
        <is>
          <t>-355K450.0</t>
        </is>
      </c>
    </row>
    <row r="7925">
      <c r="A7925">
        <v>7924</v>
      </c>
      <c r="B7925">
        <f>GS48</f>
        <v>0</v>
      </c>
      <c r="C7925" t="inlineStr">
        <is>
          <t>+LS06</t>
        </is>
      </c>
      <c r="D7925" t="inlineStr">
        <is>
          <t>-355K450.0</t>
        </is>
      </c>
      <c r="E7925" t="inlineStr">
        <is>
          <t>DILA-40</t>
        </is>
      </c>
      <c r="F7925" t="inlineStr">
        <is>
          <t>#KALK!</t>
        </is>
      </c>
      <c r="G7925" t="inlineStr">
        <is>
          <t>HILFSSCHUETZ</t>
        </is>
      </c>
      <c r="H7925" t="inlineStr">
        <is>
          <t>4S Federzugkl.</t>
        </is>
      </c>
      <c r="I7925">
        <v>487</v>
      </c>
      <c r="J7925">
        <f>GS48/355.7</f>
        <v>0</v>
      </c>
      <c r="M7925" t="inlineStr">
        <is>
          <t>-355K450.0</t>
        </is>
      </c>
    </row>
    <row r="7926">
      <c r="A7926">
        <v>7925</v>
      </c>
      <c r="B7926">
        <f>GS49</f>
        <v>0</v>
      </c>
      <c r="C7926" t="inlineStr">
        <is>
          <t>+LS06</t>
        </is>
      </c>
      <c r="D7926" t="inlineStr">
        <is>
          <t>-355K450.0</t>
        </is>
      </c>
      <c r="E7926" t="inlineStr">
        <is>
          <t>DILA-40</t>
        </is>
      </c>
      <c r="F7926" t="inlineStr">
        <is>
          <t>#KALK!</t>
        </is>
      </c>
      <c r="G7926" t="inlineStr">
        <is>
          <t>HILFSSCHUETZ</t>
        </is>
      </c>
      <c r="H7926" t="inlineStr">
        <is>
          <t>4S Federzugkl.</t>
        </is>
      </c>
      <c r="I7926">
        <v>486</v>
      </c>
      <c r="J7926">
        <f>GS49/355.7</f>
        <v>0</v>
      </c>
      <c r="M7926" t="inlineStr">
        <is>
          <t>-355K450.0</t>
        </is>
      </c>
    </row>
    <row r="7927">
      <c r="A7927">
        <v>7926</v>
      </c>
      <c r="B7927">
        <f>GS93</f>
        <v>0</v>
      </c>
      <c r="C7927" t="inlineStr">
        <is>
          <t>+LS06</t>
        </is>
      </c>
      <c r="D7927" t="inlineStr">
        <is>
          <t>-355K457.4</t>
        </is>
      </c>
      <c r="E7927" t="inlineStr">
        <is>
          <t>DILA-40</t>
        </is>
      </c>
      <c r="F7927" t="inlineStr">
        <is>
          <t>#KALK!</t>
        </is>
      </c>
      <c r="G7927" t="inlineStr">
        <is>
          <t>HILFSSCHUETZ</t>
        </is>
      </c>
      <c r="H7927" t="inlineStr">
        <is>
          <t>4S Federzugkl.</t>
        </is>
      </c>
      <c r="I7927">
        <v>909</v>
      </c>
      <c r="J7927">
        <f>GS93/355.7</f>
        <v>0</v>
      </c>
      <c r="M7927" t="inlineStr">
        <is>
          <t>-355K457.4</t>
        </is>
      </c>
    </row>
    <row r="7928">
      <c r="A7928">
        <v>7927</v>
      </c>
      <c r="B7928">
        <f>GS07</f>
        <v>0</v>
      </c>
      <c r="C7928" t="inlineStr">
        <is>
          <t>+LS05</t>
        </is>
      </c>
      <c r="D7928" t="inlineStr">
        <is>
          <t>-355Q1</t>
        </is>
      </c>
      <c r="E7928" t="inlineStr">
        <is>
          <t>DILMC25-10(RDC24)</t>
        </is>
      </c>
      <c r="F7928" t="inlineStr">
        <is>
          <t>DILA-XHI22</t>
        </is>
      </c>
      <c r="G7928" t="inlineStr">
        <is>
          <t>LASTSCHUETZ</t>
        </is>
      </c>
      <c r="H7928" t="inlineStr">
        <is>
          <t>11kW 1S Federzugkl.</t>
        </is>
      </c>
      <c r="I7928">
        <v>431</v>
      </c>
      <c r="J7928">
        <f>GS07/355.6</f>
        <v>0</v>
      </c>
      <c r="K7928" t="inlineStr">
        <is>
          <t>DIL MC25</t>
        </is>
      </c>
      <c r="M7928" t="inlineStr">
        <is>
          <t>-355Q1</t>
        </is>
      </c>
    </row>
    <row r="7929">
      <c r="A7929">
        <v>7928</v>
      </c>
      <c r="B7929">
        <f>GS07</f>
        <v>0</v>
      </c>
      <c r="C7929" t="inlineStr">
        <is>
          <t>+LS05</t>
        </is>
      </c>
      <c r="D7929" t="inlineStr">
        <is>
          <t>-355Q1</t>
        </is>
      </c>
      <c r="E7929" t="inlineStr">
        <is>
          <t>DILA-XHI22</t>
        </is>
      </c>
      <c r="F7929" t="inlineStr">
        <is>
          <t>DILA-XHI22</t>
        </is>
      </c>
      <c r="G7929" t="inlineStr">
        <is>
          <t>HILFSKONTAKTBLOCK</t>
        </is>
      </c>
      <c r="H7929" t="inlineStr">
        <is>
          <t>2S 2OE Last+Hilfssch. Cage</t>
        </is>
      </c>
      <c r="I7929">
        <v>431</v>
      </c>
      <c r="J7929">
        <f>GS07/355.6</f>
        <v>0</v>
      </c>
      <c r="K7929" t="inlineStr">
        <is>
          <t>DIL MC25</t>
        </is>
      </c>
      <c r="M7929" t="inlineStr">
        <is>
          <t>-355Q1</t>
        </is>
      </c>
    </row>
    <row r="7930">
      <c r="A7930">
        <v>7929</v>
      </c>
      <c r="B7930">
        <f>GS30</f>
        <v>0</v>
      </c>
      <c r="C7930" t="inlineStr">
        <is>
          <t>+LS10</t>
        </is>
      </c>
      <c r="D7930" t="inlineStr">
        <is>
          <t>-355Q1</t>
        </is>
      </c>
      <c r="E7930" t="inlineStr">
        <is>
          <t>DILA-XHI22</t>
        </is>
      </c>
      <c r="F7930" t="inlineStr">
        <is>
          <t>DILA-XHI22</t>
        </is>
      </c>
      <c r="G7930" t="inlineStr">
        <is>
          <t>HILFSKONTAKTBLOCK</t>
        </is>
      </c>
      <c r="H7930" t="inlineStr">
        <is>
          <t>2S 2OE Last+Hilfssch. Cage</t>
        </is>
      </c>
      <c r="I7930">
        <v>852</v>
      </c>
      <c r="J7930">
        <f>GS30/355.4</f>
        <v>0</v>
      </c>
      <c r="K7930" t="inlineStr">
        <is>
          <t>DIL MC25</t>
        </is>
      </c>
      <c r="M7930" t="inlineStr">
        <is>
          <t>-355Q1</t>
        </is>
      </c>
    </row>
    <row r="7931">
      <c r="A7931">
        <v>7930</v>
      </c>
      <c r="B7931">
        <f>GS30</f>
        <v>0</v>
      </c>
      <c r="C7931" t="inlineStr">
        <is>
          <t>+LS10</t>
        </is>
      </c>
      <c r="D7931" t="inlineStr">
        <is>
          <t>-355Q1</t>
        </is>
      </c>
      <c r="E7931" t="inlineStr">
        <is>
          <t>DILMC25-10(RDC24)</t>
        </is>
      </c>
      <c r="F7931" t="inlineStr">
        <is>
          <t>DILA-XHI22</t>
        </is>
      </c>
      <c r="G7931" t="inlineStr">
        <is>
          <t>LASTSCHUETZ</t>
        </is>
      </c>
      <c r="H7931" t="inlineStr">
        <is>
          <t>11kW 1S Federzugkl.</t>
        </is>
      </c>
      <c r="I7931">
        <v>852</v>
      </c>
      <c r="J7931">
        <f>GS30/355.4</f>
        <v>0</v>
      </c>
      <c r="K7931" t="inlineStr">
        <is>
          <t>DIL MC25</t>
        </is>
      </c>
      <c r="M7931" t="inlineStr">
        <is>
          <t>-355Q1</t>
        </is>
      </c>
    </row>
    <row r="7932">
      <c r="A7932">
        <v>7931</v>
      </c>
      <c r="B7932">
        <f>GS35</f>
        <v>0</v>
      </c>
      <c r="C7932" t="inlineStr">
        <is>
          <t>+LS08</t>
        </is>
      </c>
      <c r="D7932" t="inlineStr">
        <is>
          <t>-355Q1</t>
        </is>
      </c>
      <c r="E7932" t="inlineStr">
        <is>
          <t>DILM-25-10</t>
        </is>
      </c>
      <c r="F7932" t="inlineStr">
        <is>
          <t>DILA-XHI22</t>
        </is>
      </c>
      <c r="G7932" t="inlineStr">
        <is>
          <t>LASTSCHUETZ</t>
        </is>
      </c>
      <c r="H7932" t="inlineStr">
        <is>
          <t>11kW 1S Federzugkl.</t>
        </is>
      </c>
      <c r="I7932">
        <v>509</v>
      </c>
      <c r="J7932">
        <f>GS35/355.4</f>
        <v>0</v>
      </c>
      <c r="K7932" t="inlineStr">
        <is>
          <t>DIL MC25</t>
        </is>
      </c>
      <c r="M7932" t="inlineStr">
        <is>
          <t>-355Q1</t>
        </is>
      </c>
    </row>
    <row r="7933">
      <c r="A7933">
        <v>7932</v>
      </c>
      <c r="B7933">
        <f>GS35</f>
        <v>0</v>
      </c>
      <c r="C7933" t="inlineStr">
        <is>
          <t>+LS08</t>
        </is>
      </c>
      <c r="D7933" t="inlineStr">
        <is>
          <t>-355Q1</t>
        </is>
      </c>
      <c r="E7933" t="inlineStr">
        <is>
          <t>DILA-XHI22</t>
        </is>
      </c>
      <c r="F7933" t="inlineStr">
        <is>
          <t>DILA-XHI22</t>
        </is>
      </c>
      <c r="G7933" t="inlineStr">
        <is>
          <t>HILFSKONTAKTBLOCK</t>
        </is>
      </c>
      <c r="H7933" t="inlineStr">
        <is>
          <t>2S 2OE Last+Hilfssch. Cage</t>
        </is>
      </c>
      <c r="I7933">
        <v>509</v>
      </c>
      <c r="J7933">
        <f>GS35/355.4</f>
        <v>0</v>
      </c>
      <c r="K7933" t="inlineStr">
        <is>
          <t>DIL MC25</t>
        </is>
      </c>
      <c r="M7933" t="inlineStr">
        <is>
          <t>-355Q1</t>
        </is>
      </c>
    </row>
    <row r="7934">
      <c r="A7934">
        <v>7933</v>
      </c>
      <c r="B7934">
        <f>GS36</f>
        <v>0</v>
      </c>
      <c r="C7934" t="inlineStr">
        <is>
          <t>+LS07</t>
        </is>
      </c>
      <c r="D7934" t="inlineStr">
        <is>
          <t>-355Q1</t>
        </is>
      </c>
      <c r="E7934" t="inlineStr">
        <is>
          <t>DILMC25-10(RDC24)</t>
        </is>
      </c>
      <c r="F7934" t="inlineStr">
        <is>
          <t>DILA-XHI22</t>
        </is>
      </c>
      <c r="G7934" t="inlineStr">
        <is>
          <t>LASTSCHUETZ</t>
        </is>
      </c>
      <c r="H7934" t="inlineStr">
        <is>
          <t>11kW 1S Federzugkl.</t>
        </is>
      </c>
      <c r="I7934">
        <v>528</v>
      </c>
      <c r="J7934">
        <f>GS36/355.4</f>
        <v>0</v>
      </c>
      <c r="K7934" t="inlineStr">
        <is>
          <t>DIL MC25</t>
        </is>
      </c>
      <c r="L7934" t="inlineStr">
        <is>
          <t>HVO 01</t>
        </is>
      </c>
      <c r="M7934" t="inlineStr">
        <is>
          <t>HVO 01
-355Q1</t>
        </is>
      </c>
      <c r="N7934" t="inlineStr">
        <is>
          <t>P</t>
        </is>
      </c>
    </row>
    <row r="7935">
      <c r="A7935">
        <v>7934</v>
      </c>
      <c r="B7935">
        <f>GS36</f>
        <v>0</v>
      </c>
      <c r="C7935" t="inlineStr">
        <is>
          <t>+LS07</t>
        </is>
      </c>
      <c r="D7935" t="inlineStr">
        <is>
          <t>-355Q1</t>
        </is>
      </c>
      <c r="E7935" t="inlineStr">
        <is>
          <t>DILA-XHI22</t>
        </is>
      </c>
      <c r="F7935" t="inlineStr">
        <is>
          <t>DILA-XHI22</t>
        </is>
      </c>
      <c r="G7935" t="inlineStr">
        <is>
          <t>HILFSKONTAKTBLOCK</t>
        </is>
      </c>
      <c r="H7935" t="inlineStr">
        <is>
          <t>2S 2OE Last+Hilfssch. Cage</t>
        </is>
      </c>
      <c r="I7935">
        <v>528</v>
      </c>
      <c r="J7935">
        <f>GS36/355.4</f>
        <v>0</v>
      </c>
      <c r="K7935" t="inlineStr">
        <is>
          <t>DIL MC25</t>
        </is>
      </c>
      <c r="L7935" t="inlineStr">
        <is>
          <t>HVO 01</t>
        </is>
      </c>
      <c r="M7935" t="inlineStr">
        <is>
          <t>HVO 01
-355Q1</t>
        </is>
      </c>
      <c r="N7935" t="inlineStr">
        <is>
          <t>P</t>
        </is>
      </c>
    </row>
    <row r="7936">
      <c r="A7936">
        <v>7935</v>
      </c>
      <c r="B7936">
        <f>GS46</f>
        <v>0</v>
      </c>
      <c r="C7936" t="inlineStr">
        <is>
          <t>+LS06</t>
        </is>
      </c>
      <c r="D7936" t="inlineStr">
        <is>
          <t>-355Q1</t>
        </is>
      </c>
      <c r="E7936" t="inlineStr">
        <is>
          <t>DILM150-XHIC22</t>
        </is>
      </c>
      <c r="F7936" t="inlineStr">
        <is>
          <t>DILM150-XHIC22</t>
        </is>
      </c>
      <c r="G7936" t="inlineStr">
        <is>
          <t>HILFSKONTAKTBLOCK</t>
        </is>
      </c>
      <c r="H7936" t="inlineStr">
        <is>
          <t>2S 2OE ab DILMC40</t>
        </is>
      </c>
      <c r="I7936">
        <v>702</v>
      </c>
      <c r="J7936">
        <f>GS46/355.4</f>
        <v>0</v>
      </c>
      <c r="K7936" t="inlineStr">
        <is>
          <t>DIL MC40</t>
        </is>
      </c>
      <c r="M7936" t="inlineStr">
        <is>
          <t>-355Q1</t>
        </is>
      </c>
    </row>
    <row r="7937">
      <c r="A7937">
        <v>7936</v>
      </c>
      <c r="B7937">
        <f>GS46</f>
        <v>0</v>
      </c>
      <c r="C7937" t="inlineStr">
        <is>
          <t>+LS06</t>
        </is>
      </c>
      <c r="D7937" t="inlineStr">
        <is>
          <t>-355Q1</t>
        </is>
      </c>
      <c r="E7937" t="inlineStr">
        <is>
          <t>DILMC40(RDC24)</t>
        </is>
      </c>
      <c r="F7937" t="inlineStr">
        <is>
          <t>DILM150-XHIC22</t>
        </is>
      </c>
      <c r="G7937" t="inlineStr">
        <is>
          <t>LASTSCHUETZ</t>
        </is>
      </c>
      <c r="H7937" t="inlineStr">
        <is>
          <t>18,5kW Federzugkl.</t>
        </is>
      </c>
      <c r="I7937">
        <v>702</v>
      </c>
      <c r="J7937">
        <f>GS46/355.4</f>
        <v>0</v>
      </c>
      <c r="K7937" t="inlineStr">
        <is>
          <t>DIL MC40</t>
        </is>
      </c>
      <c r="M7937" t="inlineStr">
        <is>
          <t>-355Q1</t>
        </is>
      </c>
    </row>
    <row r="7938">
      <c r="A7938">
        <v>7937</v>
      </c>
      <c r="B7938">
        <f>GS47</f>
        <v>0</v>
      </c>
      <c r="C7938" t="inlineStr">
        <is>
          <t>+LS06</t>
        </is>
      </c>
      <c r="D7938" t="inlineStr">
        <is>
          <t>-355Q1</t>
        </is>
      </c>
      <c r="E7938" t="inlineStr">
        <is>
          <t>DILA-XHI22</t>
        </is>
      </c>
      <c r="F7938" t="inlineStr">
        <is>
          <t>DILA-XHI22</t>
        </is>
      </c>
      <c r="G7938" t="inlineStr">
        <is>
          <t>HILFSKONTAKTBLOCK</t>
        </is>
      </c>
      <c r="H7938" t="inlineStr">
        <is>
          <t>2S 2OE Last+Hilfssch. Cage</t>
        </is>
      </c>
      <c r="I7938">
        <v>702</v>
      </c>
      <c r="J7938">
        <f>GS47/355.4</f>
        <v>0</v>
      </c>
      <c r="K7938" t="inlineStr">
        <is>
          <t>DIL MC40</t>
        </is>
      </c>
      <c r="M7938" t="inlineStr">
        <is>
          <t>-355Q1</t>
        </is>
      </c>
    </row>
    <row r="7939">
      <c r="A7939">
        <v>7938</v>
      </c>
      <c r="B7939">
        <f>GS47</f>
        <v>0</v>
      </c>
      <c r="C7939" t="inlineStr">
        <is>
          <t>+LS06</t>
        </is>
      </c>
      <c r="D7939" t="inlineStr">
        <is>
          <t>-355Q1</t>
        </is>
      </c>
      <c r="E7939" t="inlineStr">
        <is>
          <t>DILMC40(RDC24)</t>
        </is>
      </c>
      <c r="F7939" t="inlineStr">
        <is>
          <t>DILA-XHI22</t>
        </is>
      </c>
      <c r="G7939" t="inlineStr">
        <is>
          <t>LASTSCHUETZ</t>
        </is>
      </c>
      <c r="H7939" t="inlineStr">
        <is>
          <t>18,5kW Federzugkl.</t>
        </is>
      </c>
      <c r="I7939">
        <v>702</v>
      </c>
      <c r="J7939">
        <f>GS47/355.4</f>
        <v>0</v>
      </c>
      <c r="K7939" t="inlineStr">
        <is>
          <t>DIL MC40</t>
        </is>
      </c>
      <c r="M7939" t="inlineStr">
        <is>
          <t>-355Q1</t>
        </is>
      </c>
    </row>
    <row r="7940">
      <c r="A7940">
        <v>7939</v>
      </c>
      <c r="B7940">
        <f>GS48</f>
        <v>0</v>
      </c>
      <c r="C7940" t="inlineStr">
        <is>
          <t>+LS06</t>
        </is>
      </c>
      <c r="D7940" t="inlineStr">
        <is>
          <t>-355Q1</t>
        </is>
      </c>
      <c r="E7940" t="inlineStr">
        <is>
          <t>DILA-XHI22</t>
        </is>
      </c>
      <c r="F7940" t="inlineStr">
        <is>
          <t>DILA-XHI22</t>
        </is>
      </c>
      <c r="G7940" t="inlineStr">
        <is>
          <t>HILFSKONTAKTBLOCK</t>
        </is>
      </c>
      <c r="H7940" t="inlineStr">
        <is>
          <t>2S 2OE Last+Hilfssch. Cage</t>
        </is>
      </c>
      <c r="I7940">
        <v>487</v>
      </c>
      <c r="J7940">
        <f>GS48/355.4</f>
        <v>0</v>
      </c>
      <c r="K7940" t="inlineStr">
        <is>
          <t>DIL MC40</t>
        </is>
      </c>
      <c r="M7940" t="inlineStr">
        <is>
          <t>-355Q1</t>
        </is>
      </c>
    </row>
    <row r="7941">
      <c r="A7941">
        <v>7940</v>
      </c>
      <c r="B7941">
        <f>GS48</f>
        <v>0</v>
      </c>
      <c r="C7941" t="inlineStr">
        <is>
          <t>+LS06</t>
        </is>
      </c>
      <c r="D7941" t="inlineStr">
        <is>
          <t>-355Q1</t>
        </is>
      </c>
      <c r="E7941" t="inlineStr">
        <is>
          <t>DILMC40(RDC24)</t>
        </is>
      </c>
      <c r="F7941" t="inlineStr">
        <is>
          <t>DILA-XHI22</t>
        </is>
      </c>
      <c r="G7941" t="inlineStr">
        <is>
          <t>LASTSCHUETZ</t>
        </is>
      </c>
      <c r="H7941" t="inlineStr">
        <is>
          <t>18,5kW Federzugkl.</t>
        </is>
      </c>
      <c r="I7941">
        <v>487</v>
      </c>
      <c r="J7941">
        <f>GS48/355.4</f>
        <v>0</v>
      </c>
      <c r="K7941" t="inlineStr">
        <is>
          <t>DIL MC40</t>
        </is>
      </c>
      <c r="M7941" t="inlineStr">
        <is>
          <t>-355Q1</t>
        </is>
      </c>
    </row>
    <row r="7942">
      <c r="A7942">
        <v>7941</v>
      </c>
      <c r="B7942">
        <f>GS49</f>
        <v>0</v>
      </c>
      <c r="C7942" t="inlineStr">
        <is>
          <t>+LS06</t>
        </is>
      </c>
      <c r="D7942" t="inlineStr">
        <is>
          <t>-355Q1</t>
        </is>
      </c>
      <c r="E7942" t="inlineStr">
        <is>
          <t>DILMC40(RDC24)</t>
        </is>
      </c>
      <c r="F7942" t="inlineStr">
        <is>
          <t>DILA-XHI22</t>
        </is>
      </c>
      <c r="G7942" t="inlineStr">
        <is>
          <t>LASTSCHUETZ</t>
        </is>
      </c>
      <c r="H7942" t="inlineStr">
        <is>
          <t>18,5kW Federzugkl.</t>
        </is>
      </c>
      <c r="I7942">
        <v>486</v>
      </c>
      <c r="J7942">
        <f>GS49/355.5</f>
        <v>0</v>
      </c>
      <c r="K7942" t="inlineStr">
        <is>
          <t>DIL MC40</t>
        </is>
      </c>
      <c r="M7942" t="inlineStr">
        <is>
          <t>-355Q1</t>
        </is>
      </c>
    </row>
    <row r="7943">
      <c r="A7943">
        <v>7942</v>
      </c>
      <c r="B7943">
        <f>GS49</f>
        <v>0</v>
      </c>
      <c r="C7943" t="inlineStr">
        <is>
          <t>+LS06</t>
        </is>
      </c>
      <c r="D7943" t="inlineStr">
        <is>
          <t>-355Q1</t>
        </is>
      </c>
      <c r="E7943" t="inlineStr">
        <is>
          <t>DILA-XHI22</t>
        </is>
      </c>
      <c r="F7943" t="inlineStr">
        <is>
          <t>DILA-XHI22</t>
        </is>
      </c>
      <c r="G7943" t="inlineStr">
        <is>
          <t>HILFSKONTAKTBLOCK</t>
        </is>
      </c>
      <c r="H7943" t="inlineStr">
        <is>
          <t>2S 2OE Last+Hilfssch. Cage</t>
        </is>
      </c>
      <c r="I7943">
        <v>486</v>
      </c>
      <c r="J7943">
        <f>GS49/355.5</f>
        <v>0</v>
      </c>
      <c r="K7943" t="inlineStr">
        <is>
          <t>DIL MC40</t>
        </is>
      </c>
      <c r="M7943" t="inlineStr">
        <is>
          <t>-355Q1</t>
        </is>
      </c>
    </row>
    <row r="7944">
      <c r="A7944">
        <v>7943</v>
      </c>
      <c r="B7944">
        <f>GS53</f>
        <v>0</v>
      </c>
      <c r="C7944" t="inlineStr">
        <is>
          <t>+LS12</t>
        </is>
      </c>
      <c r="D7944" t="inlineStr">
        <is>
          <t>-355Q1</t>
        </is>
      </c>
      <c r="E7944" t="inlineStr">
        <is>
          <t>DILA-XHI22</t>
        </is>
      </c>
      <c r="F7944" t="inlineStr">
        <is>
          <t>DILA-XHI22</t>
        </is>
      </c>
      <c r="G7944" t="inlineStr">
        <is>
          <t>HILFSKONTAKTBLOCK</t>
        </is>
      </c>
      <c r="H7944" t="inlineStr">
        <is>
          <t>2S 2OE Last+Hilfssch. Cage</t>
        </is>
      </c>
      <c r="I7944">
        <v>461</v>
      </c>
      <c r="J7944">
        <f>GS53/355.6</f>
        <v>0</v>
      </c>
      <c r="K7944" t="inlineStr">
        <is>
          <t>DIL MC25</t>
        </is>
      </c>
      <c r="M7944" t="inlineStr">
        <is>
          <t>-355Q1</t>
        </is>
      </c>
    </row>
    <row r="7945">
      <c r="A7945">
        <v>7944</v>
      </c>
      <c r="B7945">
        <f>GS53</f>
        <v>0</v>
      </c>
      <c r="C7945" t="inlineStr">
        <is>
          <t>+LS12</t>
        </is>
      </c>
      <c r="D7945" t="inlineStr">
        <is>
          <t>-355Q1</t>
        </is>
      </c>
      <c r="E7945" t="inlineStr">
        <is>
          <t>DILMC25-10(RDC24)</t>
        </is>
      </c>
      <c r="F7945" t="inlineStr">
        <is>
          <t>DILA-XHI22</t>
        </is>
      </c>
      <c r="G7945" t="inlineStr">
        <is>
          <t>LASTSCHUETZ</t>
        </is>
      </c>
      <c r="H7945" t="inlineStr">
        <is>
          <t>11kW 1S Federzugkl.</t>
        </is>
      </c>
      <c r="I7945">
        <v>461</v>
      </c>
      <c r="J7945">
        <f>GS53/355.6</f>
        <v>0</v>
      </c>
      <c r="K7945" t="inlineStr">
        <is>
          <t>DIL MC25</t>
        </is>
      </c>
      <c r="M7945" t="inlineStr">
        <is>
          <t>-355Q1</t>
        </is>
      </c>
    </row>
    <row r="7946">
      <c r="A7946">
        <v>7945</v>
      </c>
      <c r="B7946">
        <f>GS93</f>
        <v>0</v>
      </c>
      <c r="C7946" t="inlineStr">
        <is>
          <t>+LS06</t>
        </is>
      </c>
      <c r="D7946" t="inlineStr">
        <is>
          <t>-355Q1</t>
        </is>
      </c>
      <c r="E7946" t="inlineStr">
        <is>
          <t>DILMC25-10(RDC24)</t>
        </is>
      </c>
      <c r="F7946" t="inlineStr">
        <is>
          <t>DILA-XHI22</t>
        </is>
      </c>
      <c r="G7946" t="inlineStr">
        <is>
          <t>LASTSCHUETZ</t>
        </is>
      </c>
      <c r="H7946" t="inlineStr">
        <is>
          <t>11kW 1S Federzugkl.</t>
        </is>
      </c>
      <c r="I7946">
        <v>909</v>
      </c>
      <c r="J7946">
        <f>GS93/355.4</f>
        <v>0</v>
      </c>
      <c r="K7946" t="inlineStr">
        <is>
          <t>DIL MC25</t>
        </is>
      </c>
      <c r="M7946" t="inlineStr">
        <is>
          <t>-355Q1</t>
        </is>
      </c>
    </row>
    <row r="7947">
      <c r="A7947">
        <v>7946</v>
      </c>
      <c r="B7947">
        <f>GS93</f>
        <v>0</v>
      </c>
      <c r="C7947" t="inlineStr">
        <is>
          <t>+LS06</t>
        </is>
      </c>
      <c r="D7947" t="inlineStr">
        <is>
          <t>-355Q1</t>
        </is>
      </c>
      <c r="E7947" t="inlineStr">
        <is>
          <t>DILA-XHI22</t>
        </is>
      </c>
      <c r="F7947" t="inlineStr">
        <is>
          <t>DILA-XHI22</t>
        </is>
      </c>
      <c r="G7947" t="inlineStr">
        <is>
          <t>HILFSKONTAKTBLOCK</t>
        </is>
      </c>
      <c r="H7947" t="inlineStr">
        <is>
          <t>2S 2OE Last+Hilfssch. Cage</t>
        </is>
      </c>
      <c r="I7947">
        <v>909</v>
      </c>
      <c r="J7947">
        <f>GS93/355.4</f>
        <v>0</v>
      </c>
      <c r="K7947" t="inlineStr">
        <is>
          <t>DIL MC25</t>
        </is>
      </c>
      <c r="M7947" t="inlineStr">
        <is>
          <t>-355Q1</t>
        </is>
      </c>
    </row>
    <row r="7948">
      <c r="A7948">
        <v>7947</v>
      </c>
      <c r="B7948">
        <f>GS90</f>
        <v>0</v>
      </c>
      <c r="C7948" t="inlineStr">
        <is>
          <t>+LS06</t>
        </is>
      </c>
      <c r="D7948" t="inlineStr">
        <is>
          <t>-355Q194.0</t>
        </is>
      </c>
      <c r="E7948" t="inlineStr">
        <is>
          <t>DILM-9-10</t>
        </is>
      </c>
      <c r="F7948" t="inlineStr">
        <is>
          <t>#KALK!</t>
        </is>
      </c>
      <c r="G7948" t="inlineStr">
        <is>
          <t>LASTSCHUETZ</t>
        </is>
      </c>
      <c r="H7948" t="inlineStr">
        <is>
          <t>4kW 1S Federzugkl.</t>
        </is>
      </c>
      <c r="I7948">
        <v>860</v>
      </c>
      <c r="J7948">
        <f>GS90/355.5</f>
        <v>0</v>
      </c>
      <c r="M7948" t="inlineStr">
        <is>
          <t>-355Q194.0</t>
        </is>
      </c>
    </row>
    <row r="7949">
      <c r="A7949">
        <v>7948</v>
      </c>
      <c r="B7949">
        <f>GS36</f>
        <v>0</v>
      </c>
      <c r="C7949" t="inlineStr">
        <is>
          <t>+LS07</t>
        </is>
      </c>
      <c r="D7949" t="inlineStr">
        <is>
          <t>-355Q2</t>
        </is>
      </c>
      <c r="E7949" t="inlineStr">
        <is>
          <t>DILMC25-10(RDC24)</t>
        </is>
      </c>
      <c r="F7949" t="inlineStr">
        <is>
          <t>DILA-XHI22</t>
        </is>
      </c>
      <c r="G7949" t="inlineStr">
        <is>
          <t>LASTSCHUETZ</t>
        </is>
      </c>
      <c r="H7949" t="inlineStr">
        <is>
          <t>11kW 1S Federzugkl.</t>
        </is>
      </c>
      <c r="I7949">
        <v>528</v>
      </c>
      <c r="J7949">
        <f>GS36/355.4</f>
        <v>0</v>
      </c>
      <c r="K7949" t="inlineStr">
        <is>
          <t>DIL MC25</t>
        </is>
      </c>
      <c r="L7949" t="inlineStr">
        <is>
          <t>HVO 01</t>
        </is>
      </c>
      <c r="M7949" t="inlineStr">
        <is>
          <t>HVO 01
-355Q2</t>
        </is>
      </c>
      <c r="N7949" t="inlineStr">
        <is>
          <t>P</t>
        </is>
      </c>
    </row>
    <row r="7950">
      <c r="A7950">
        <v>7949</v>
      </c>
      <c r="B7950">
        <f>GS36</f>
        <v>0</v>
      </c>
      <c r="C7950" t="inlineStr">
        <is>
          <t>+LS07</t>
        </is>
      </c>
      <c r="D7950" t="inlineStr">
        <is>
          <t>-355Q2</t>
        </is>
      </c>
      <c r="E7950" t="inlineStr">
        <is>
          <t>DILA-XHI22</t>
        </is>
      </c>
      <c r="F7950" t="inlineStr">
        <is>
          <t>DILA-XHI22</t>
        </is>
      </c>
      <c r="G7950" t="inlineStr">
        <is>
          <t>HILFSKONTAKTBLOCK</t>
        </is>
      </c>
      <c r="H7950" t="inlineStr">
        <is>
          <t>2S 2OE Last+Hilfssch. Cage</t>
        </is>
      </c>
      <c r="I7950">
        <v>528</v>
      </c>
      <c r="J7950">
        <f>GS36/355.4</f>
        <v>0</v>
      </c>
      <c r="K7950" t="inlineStr">
        <is>
          <t>DIL MC25</t>
        </is>
      </c>
      <c r="L7950" t="inlineStr">
        <is>
          <t>HVO 01</t>
        </is>
      </c>
      <c r="M7950" t="inlineStr">
        <is>
          <t>HVO 01
-355Q2</t>
        </is>
      </c>
      <c r="N7950" t="inlineStr">
        <is>
          <t>P</t>
        </is>
      </c>
    </row>
    <row r="7951">
      <c r="A7951">
        <v>7950</v>
      </c>
      <c r="B7951">
        <f>GS02</f>
        <v>0</v>
      </c>
      <c r="C7951" t="inlineStr">
        <is>
          <t>+LS8</t>
        </is>
      </c>
      <c r="D7951" t="inlineStr">
        <is>
          <t>-356K1</t>
        </is>
      </c>
      <c r="E7951" t="inlineStr">
        <is>
          <t>22_DIL-M</t>
        </is>
      </c>
      <c r="F7951" t="inlineStr">
        <is>
          <t>22_DIL-M</t>
        </is>
      </c>
      <c r="G7951" t="inlineStr">
        <is>
          <t>HILFSKONTAKTBLOCK</t>
        </is>
      </c>
      <c r="H7951" t="inlineStr">
        <is>
          <t>2S 2OE Lastschuetz DIL M</t>
        </is>
      </c>
      <c r="I7951">
        <v>762</v>
      </c>
      <c r="J7951">
        <f>GS02/356.2</f>
        <v>0</v>
      </c>
      <c r="K7951" t="inlineStr">
        <is>
          <t>DIL0AM</t>
        </is>
      </c>
      <c r="M7951" t="inlineStr">
        <is>
          <t>-356K1</t>
        </is>
      </c>
    </row>
    <row r="7952">
      <c r="A7952">
        <v>7951</v>
      </c>
      <c r="B7952">
        <f>GS02</f>
        <v>0</v>
      </c>
      <c r="C7952" t="inlineStr">
        <is>
          <t>+LS8</t>
        </is>
      </c>
      <c r="D7952" t="inlineStr">
        <is>
          <t>-356K1</t>
        </is>
      </c>
      <c r="E7952" t="inlineStr">
        <is>
          <t>DIL_0AM</t>
        </is>
      </c>
      <c r="F7952" t="inlineStr">
        <is>
          <t>22_DIL-M</t>
        </is>
      </c>
      <c r="G7952" t="inlineStr">
        <is>
          <t>LASTSCHUETZ</t>
        </is>
      </c>
      <c r="H7952" t="inlineStr">
        <is>
          <t>11 kW</t>
        </is>
      </c>
      <c r="I7952">
        <v>762</v>
      </c>
      <c r="J7952">
        <f>GS02/356.2</f>
        <v>0</v>
      </c>
      <c r="K7952" t="inlineStr">
        <is>
          <t>DIL0AM</t>
        </is>
      </c>
      <c r="M7952" t="inlineStr">
        <is>
          <t>-356K1</t>
        </is>
      </c>
    </row>
    <row r="7953">
      <c r="A7953">
        <v>7952</v>
      </c>
      <c r="B7953">
        <f>GS11</f>
        <v>0</v>
      </c>
      <c r="C7953" t="inlineStr">
        <is>
          <t>+LS9</t>
        </is>
      </c>
      <c r="D7953" t="inlineStr">
        <is>
          <t>-356K1</t>
        </is>
      </c>
      <c r="E7953" t="inlineStr">
        <is>
          <t>22_DIL-M</t>
        </is>
      </c>
      <c r="F7953" t="inlineStr">
        <is>
          <t>22_DIL-M</t>
        </is>
      </c>
      <c r="G7953" t="inlineStr">
        <is>
          <t>HILFSKONTAKTBLOCK</t>
        </is>
      </c>
      <c r="H7953" t="inlineStr">
        <is>
          <t>2S 2OE Lastschuetz DIL M</t>
        </is>
      </c>
      <c r="I7953">
        <v>462</v>
      </c>
      <c r="J7953">
        <f>GS11/356.2</f>
        <v>0</v>
      </c>
      <c r="K7953" t="inlineStr">
        <is>
          <t>DIL0AM</t>
        </is>
      </c>
      <c r="M7953" t="inlineStr">
        <is>
          <t>-356K1</t>
        </is>
      </c>
    </row>
    <row r="7954">
      <c r="A7954">
        <v>7953</v>
      </c>
      <c r="B7954">
        <f>GS11</f>
        <v>0</v>
      </c>
      <c r="C7954" t="inlineStr">
        <is>
          <t>+LS9</t>
        </is>
      </c>
      <c r="D7954" t="inlineStr">
        <is>
          <t>-356K1</t>
        </is>
      </c>
      <c r="E7954" t="inlineStr">
        <is>
          <t>DIL_0AM</t>
        </is>
      </c>
      <c r="F7954" t="inlineStr">
        <is>
          <t>22_DIL-M</t>
        </is>
      </c>
      <c r="G7954" t="inlineStr">
        <is>
          <t>LASTSCHUETZ</t>
        </is>
      </c>
      <c r="H7954" t="inlineStr">
        <is>
          <t>11 kW</t>
        </is>
      </c>
      <c r="I7954">
        <v>462</v>
      </c>
      <c r="J7954">
        <f>GS11/356.2</f>
        <v>0</v>
      </c>
      <c r="K7954" t="inlineStr">
        <is>
          <t>DIL0AM</t>
        </is>
      </c>
      <c r="M7954" t="inlineStr">
        <is>
          <t>-356K1</t>
        </is>
      </c>
    </row>
    <row r="7955">
      <c r="A7955">
        <v>7954</v>
      </c>
      <c r="B7955">
        <f>GS21</f>
        <v>0</v>
      </c>
      <c r="C7955" t="inlineStr">
        <is>
          <t>+LS9</t>
        </is>
      </c>
      <c r="D7955" t="inlineStr">
        <is>
          <t>-356K1</t>
        </is>
      </c>
      <c r="E7955" t="inlineStr">
        <is>
          <t>DIL_0AM</t>
        </is>
      </c>
      <c r="F7955" t="inlineStr">
        <is>
          <t>22_DIL-M</t>
        </is>
      </c>
      <c r="G7955" t="inlineStr">
        <is>
          <t>LASTSCHUETZ</t>
        </is>
      </c>
      <c r="H7955" t="inlineStr">
        <is>
          <t>11 kW</t>
        </is>
      </c>
      <c r="I7955">
        <v>444</v>
      </c>
      <c r="J7955">
        <f>GS21/356.2</f>
        <v>0</v>
      </c>
      <c r="K7955" t="inlineStr">
        <is>
          <t>DIL0AM</t>
        </is>
      </c>
      <c r="M7955" t="inlineStr">
        <is>
          <t>-356K1</t>
        </is>
      </c>
    </row>
    <row r="7956">
      <c r="A7956">
        <v>7955</v>
      </c>
      <c r="B7956">
        <f>GS21</f>
        <v>0</v>
      </c>
      <c r="C7956" t="inlineStr">
        <is>
          <t>+LS9</t>
        </is>
      </c>
      <c r="D7956" t="inlineStr">
        <is>
          <t>-356K1</t>
        </is>
      </c>
      <c r="E7956" t="inlineStr">
        <is>
          <t>22_DIL-M</t>
        </is>
      </c>
      <c r="F7956" t="inlineStr">
        <is>
          <t>22_DIL-M</t>
        </is>
      </c>
      <c r="G7956" t="inlineStr">
        <is>
          <t>HILFSKONTAKTBLOCK</t>
        </is>
      </c>
      <c r="H7956" t="inlineStr">
        <is>
          <t>2S 2OE Lastschuetz DIL M</t>
        </is>
      </c>
      <c r="I7956">
        <v>444</v>
      </c>
      <c r="J7956">
        <f>GS21/356.2</f>
        <v>0</v>
      </c>
      <c r="K7956" t="inlineStr">
        <is>
          <t>DIL0AM</t>
        </is>
      </c>
      <c r="M7956" t="inlineStr">
        <is>
          <t>-356K1</t>
        </is>
      </c>
    </row>
    <row r="7957">
      <c r="A7957">
        <v>7956</v>
      </c>
      <c r="B7957">
        <f>GS25</f>
        <v>0</v>
      </c>
      <c r="C7957" t="inlineStr">
        <is>
          <t>+LS7</t>
        </is>
      </c>
      <c r="D7957" t="inlineStr">
        <is>
          <t>-356K1</t>
        </is>
      </c>
      <c r="E7957" t="inlineStr">
        <is>
          <t>DIL_0AM</t>
        </is>
      </c>
      <c r="F7957" t="inlineStr">
        <is>
          <t>22_DIL-M</t>
        </is>
      </c>
      <c r="G7957" t="inlineStr">
        <is>
          <t>LASTSCHUETZ</t>
        </is>
      </c>
      <c r="H7957" t="inlineStr">
        <is>
          <t>11 kW</t>
        </is>
      </c>
      <c r="I7957">
        <v>480</v>
      </c>
      <c r="J7957">
        <f>GS25/356.2</f>
        <v>0</v>
      </c>
      <c r="K7957" t="inlineStr">
        <is>
          <t>DIL0AM</t>
        </is>
      </c>
      <c r="M7957" t="inlineStr">
        <is>
          <t>-356K1</t>
        </is>
      </c>
    </row>
    <row r="7958">
      <c r="A7958">
        <v>7957</v>
      </c>
      <c r="B7958">
        <f>GS25</f>
        <v>0</v>
      </c>
      <c r="C7958" t="inlineStr">
        <is>
          <t>+LS7</t>
        </is>
      </c>
      <c r="D7958" t="inlineStr">
        <is>
          <t>-356K1</t>
        </is>
      </c>
      <c r="E7958" t="inlineStr">
        <is>
          <t>22_DIL-M</t>
        </is>
      </c>
      <c r="F7958" t="inlineStr">
        <is>
          <t>22_DIL-M</t>
        </is>
      </c>
      <c r="G7958" t="inlineStr">
        <is>
          <t>HILFSKONTAKTBLOCK</t>
        </is>
      </c>
      <c r="H7958" t="inlineStr">
        <is>
          <t>2S 2OE Lastschuetz DIL M</t>
        </is>
      </c>
      <c r="I7958">
        <v>480</v>
      </c>
      <c r="J7958">
        <f>GS25/356.2</f>
        <v>0</v>
      </c>
      <c r="K7958" t="inlineStr">
        <is>
          <t>DIL0AM</t>
        </is>
      </c>
      <c r="M7958" t="inlineStr">
        <is>
          <t>-356K1</t>
        </is>
      </c>
    </row>
    <row r="7959">
      <c r="A7959">
        <v>7958</v>
      </c>
      <c r="B7959">
        <f>GS15</f>
        <v>0</v>
      </c>
      <c r="C7959" t="inlineStr">
        <is>
          <t>+LS7</t>
        </is>
      </c>
      <c r="D7959" t="inlineStr">
        <is>
          <t>-356K23.4</t>
        </is>
      </c>
      <c r="E7959" t="inlineStr">
        <is>
          <t>DIL_EM-10-G</t>
        </is>
      </c>
      <c r="F7959" t="inlineStr">
        <is>
          <t>#KALK!</t>
        </is>
      </c>
      <c r="G7959" t="inlineStr">
        <is>
          <t>LASTSCHUETZ</t>
        </is>
      </c>
      <c r="H7959" t="inlineStr">
        <is>
          <t>4kW 1S</t>
        </is>
      </c>
      <c r="I7959">
        <v>855</v>
      </c>
      <c r="J7959">
        <f>GS15/356.6</f>
        <v>0</v>
      </c>
      <c r="M7959" t="inlineStr">
        <is>
          <t>-356K23.4</t>
        </is>
      </c>
    </row>
    <row r="7960">
      <c r="A7960">
        <v>7959</v>
      </c>
      <c r="B7960">
        <f>GS14</f>
        <v>0</v>
      </c>
      <c r="C7960" t="inlineStr">
        <is>
          <t>+LS7</t>
        </is>
      </c>
      <c r="D7960" t="inlineStr">
        <is>
          <t>-356K29.3</t>
        </is>
      </c>
      <c r="E7960" t="inlineStr">
        <is>
          <t>DIL_EM-10-G</t>
        </is>
      </c>
      <c r="F7960" t="inlineStr">
        <is>
          <t>#KALK!</t>
        </is>
      </c>
      <c r="G7960" t="inlineStr">
        <is>
          <t>LASTSCHUETZ</t>
        </is>
      </c>
      <c r="H7960" t="inlineStr">
        <is>
          <t>4kW 1S</t>
        </is>
      </c>
      <c r="I7960">
        <v>485</v>
      </c>
      <c r="J7960">
        <f>GS14/356.7</f>
        <v>0</v>
      </c>
      <c r="M7960" t="inlineStr">
        <is>
          <t>-356K29.3</t>
        </is>
      </c>
    </row>
    <row r="7961">
      <c r="A7961">
        <v>7960</v>
      </c>
      <c r="B7961">
        <f>GS36</f>
        <v>0</v>
      </c>
      <c r="C7961" t="inlineStr">
        <is>
          <t>+LS08</t>
        </is>
      </c>
      <c r="D7961" t="inlineStr">
        <is>
          <t>-383K1</t>
        </is>
      </c>
      <c r="E7961" t="inlineStr">
        <is>
          <t>DILM-9-01</t>
        </is>
      </c>
      <c r="F7961" t="inlineStr">
        <is>
          <t>DILA-XHIC40</t>
        </is>
      </c>
      <c r="G7961" t="inlineStr">
        <is>
          <t>LASTSCHUETZ</t>
        </is>
      </c>
      <c r="H7961" t="inlineStr">
        <is>
          <t>4kW 1Oe Federzugkl.</t>
        </is>
      </c>
      <c r="I7961">
        <v>556</v>
      </c>
      <c r="J7961">
        <f>GS36/383.6</f>
        <v>0</v>
      </c>
      <c r="L7961" t="inlineStr">
        <is>
          <t>Lichtvorhang KF</t>
        </is>
      </c>
      <c r="M7961" t="inlineStr">
        <is>
          <t>Lichtvorhang KF
-383K1</t>
        </is>
      </c>
    </row>
    <row r="7962">
      <c r="A7962">
        <v>7961</v>
      </c>
      <c r="B7962">
        <f>GS93</f>
        <v>0</v>
      </c>
      <c r="C7962" t="inlineStr">
        <is>
          <t>+LS06</t>
        </is>
      </c>
      <c r="D7962" t="inlineStr">
        <is>
          <t>-356Q457.5</t>
        </is>
      </c>
      <c r="E7962" t="inlineStr">
        <is>
          <t>DILM-9-10</t>
        </is>
      </c>
      <c r="F7962" t="inlineStr">
        <is>
          <t>#KALK!</t>
        </is>
      </c>
      <c r="G7962" t="inlineStr">
        <is>
          <t>LASTSCHUETZ</t>
        </is>
      </c>
      <c r="H7962" t="inlineStr">
        <is>
          <t>4kW 1S Federzugkl.</t>
        </is>
      </c>
      <c r="I7962">
        <v>910</v>
      </c>
      <c r="J7962">
        <f>GS93/356.5</f>
        <v>0</v>
      </c>
      <c r="M7962" t="inlineStr">
        <is>
          <t>-356Q457.5</t>
        </is>
      </c>
    </row>
    <row r="7963">
      <c r="A7963">
        <v>7962</v>
      </c>
      <c r="B7963">
        <f>GS13</f>
        <v>0</v>
      </c>
      <c r="C7963" t="inlineStr">
        <is>
          <t>+LS8</t>
        </is>
      </c>
      <c r="D7963" t="inlineStr">
        <is>
          <t>-3571</t>
        </is>
      </c>
      <c r="E7963" t="inlineStr">
        <is>
          <t>DILM-9-01</t>
        </is>
      </c>
      <c r="F7963" t="inlineStr">
        <is>
          <t>#KALK!</t>
        </is>
      </c>
      <c r="G7963" t="inlineStr">
        <is>
          <t>LASTSCHUETZ</t>
        </is>
      </c>
      <c r="H7963" t="inlineStr">
        <is>
          <t>4kW 1Oe Federzugkl.</t>
        </is>
      </c>
      <c r="I7963">
        <v>602</v>
      </c>
      <c r="J7963">
        <f>GS13/357.6</f>
        <v>0</v>
      </c>
      <c r="M7963" t="inlineStr">
        <is>
          <t>-3571</t>
        </is>
      </c>
    </row>
    <row r="7964">
      <c r="A7964">
        <v>7963</v>
      </c>
      <c r="B7964">
        <f>GS13</f>
        <v>0</v>
      </c>
      <c r="C7964" t="inlineStr">
        <is>
          <t>+LS8</t>
        </is>
      </c>
      <c r="D7964" t="inlineStr">
        <is>
          <t>-3572</t>
        </is>
      </c>
      <c r="E7964" t="inlineStr">
        <is>
          <t>DILM-9-01</t>
        </is>
      </c>
      <c r="F7964" t="inlineStr">
        <is>
          <t>#KALK!</t>
        </is>
      </c>
      <c r="G7964" t="inlineStr">
        <is>
          <t>LASTSCHUETZ</t>
        </is>
      </c>
      <c r="H7964" t="inlineStr">
        <is>
          <t>4kW 1Oe Federzugkl.</t>
        </is>
      </c>
      <c r="I7964">
        <v>602</v>
      </c>
      <c r="J7964">
        <f>GS13/357.7</f>
        <v>0</v>
      </c>
      <c r="M7964" t="inlineStr">
        <is>
          <t>-3572</t>
        </is>
      </c>
    </row>
    <row r="7965">
      <c r="A7965">
        <v>7964</v>
      </c>
      <c r="B7965">
        <f>GS23</f>
        <v>0</v>
      </c>
      <c r="C7965" t="inlineStr">
        <is>
          <t>+LS8</t>
        </is>
      </c>
      <c r="D7965" t="inlineStr">
        <is>
          <t>-357K1</t>
        </is>
      </c>
      <c r="E7965" t="inlineStr">
        <is>
          <t>DILM-9-01</t>
        </is>
      </c>
      <c r="F7965" t="inlineStr">
        <is>
          <t>#KALK!</t>
        </is>
      </c>
      <c r="G7965" t="inlineStr">
        <is>
          <t>LASTSCHUETZ</t>
        </is>
      </c>
      <c r="H7965" t="inlineStr">
        <is>
          <t>4kW 1Oe Federzugkl.</t>
        </is>
      </c>
      <c r="I7965">
        <v>658</v>
      </c>
      <c r="J7965">
        <f>GS23/357.6</f>
        <v>0</v>
      </c>
      <c r="M7965" t="inlineStr">
        <is>
          <t>-357K1</t>
        </is>
      </c>
    </row>
    <row r="7966">
      <c r="A7966">
        <v>7965</v>
      </c>
      <c r="B7966">
        <f>GS52</f>
        <v>0</v>
      </c>
      <c r="C7966" t="inlineStr">
        <is>
          <t>+LS05</t>
        </is>
      </c>
      <c r="D7966" t="inlineStr">
        <is>
          <t>-357K149.6</t>
        </is>
      </c>
      <c r="E7966" t="inlineStr">
        <is>
          <t>DILA-22</t>
        </is>
      </c>
      <c r="F7966" t="inlineStr">
        <is>
          <t>#KALK!</t>
        </is>
      </c>
      <c r="G7966" t="inlineStr">
        <is>
          <t>HILFSSCHUETZ</t>
        </is>
      </c>
      <c r="H7966" t="inlineStr">
        <is>
          <t>2S 2Oe Federzugkl.</t>
        </is>
      </c>
      <c r="I7966">
        <v>1613</v>
      </c>
      <c r="J7966">
        <f>GS52/357.5</f>
        <v>0</v>
      </c>
      <c r="M7966" t="inlineStr">
        <is>
          <t>-357K149.6</t>
        </is>
      </c>
    </row>
    <row r="7967">
      <c r="A7967">
        <v>7966</v>
      </c>
      <c r="B7967">
        <f>GS23</f>
        <v>0</v>
      </c>
      <c r="C7967" t="inlineStr">
        <is>
          <t>+LS8</t>
        </is>
      </c>
      <c r="D7967" t="inlineStr">
        <is>
          <t>-357K2</t>
        </is>
      </c>
      <c r="E7967" t="inlineStr">
        <is>
          <t>DILM-9-01</t>
        </is>
      </c>
      <c r="F7967" t="inlineStr">
        <is>
          <t>#KALK!</t>
        </is>
      </c>
      <c r="G7967" t="inlineStr">
        <is>
          <t>LASTSCHUETZ</t>
        </is>
      </c>
      <c r="H7967" t="inlineStr">
        <is>
          <t>4kW 1Oe Federzugkl.</t>
        </is>
      </c>
      <c r="I7967">
        <v>658</v>
      </c>
      <c r="J7967">
        <f>GS23/357.7</f>
        <v>0</v>
      </c>
      <c r="M7967" t="inlineStr">
        <is>
          <t>-357K2</t>
        </is>
      </c>
    </row>
    <row r="7968">
      <c r="A7968">
        <v>7967</v>
      </c>
      <c r="B7968">
        <f>GS15</f>
        <v>0</v>
      </c>
      <c r="C7968" t="inlineStr">
        <is>
          <t>+LS7</t>
        </is>
      </c>
      <c r="D7968" t="inlineStr">
        <is>
          <t>-357K24.0</t>
        </is>
      </c>
      <c r="E7968" t="inlineStr">
        <is>
          <t>DIL_EM-10-G</t>
        </is>
      </c>
      <c r="F7968" t="inlineStr">
        <is>
          <t>#KALK!</t>
        </is>
      </c>
      <c r="G7968" t="inlineStr">
        <is>
          <t>LASTSCHUETZ</t>
        </is>
      </c>
      <c r="H7968" t="inlineStr">
        <is>
          <t>4kW 1S</t>
        </is>
      </c>
      <c r="I7968">
        <v>856</v>
      </c>
      <c r="J7968">
        <f>GS15/357.7</f>
        <v>0</v>
      </c>
      <c r="M7968" t="inlineStr">
        <is>
          <t>-357K24.0</t>
        </is>
      </c>
    </row>
    <row r="7969">
      <c r="A7969">
        <v>7968</v>
      </c>
      <c r="B7969">
        <f>GS14</f>
        <v>0</v>
      </c>
      <c r="C7969" t="inlineStr">
        <is>
          <t>+LS7</t>
        </is>
      </c>
      <c r="D7969" t="inlineStr">
        <is>
          <t>-357K30.1</t>
        </is>
      </c>
      <c r="E7969" t="inlineStr">
        <is>
          <t>DIL_EM-10-G</t>
        </is>
      </c>
      <c r="F7969" t="inlineStr">
        <is>
          <t>#KALK!</t>
        </is>
      </c>
      <c r="G7969" t="inlineStr">
        <is>
          <t>LASTSCHUETZ</t>
        </is>
      </c>
      <c r="H7969" t="inlineStr">
        <is>
          <t>4kW 1S</t>
        </is>
      </c>
      <c r="I7969">
        <v>486</v>
      </c>
      <c r="J7969">
        <f>GS14/357.7</f>
        <v>0</v>
      </c>
      <c r="M7969" t="inlineStr">
        <is>
          <t>-357K30.1</t>
        </is>
      </c>
    </row>
    <row r="7970">
      <c r="A7970">
        <v>7969</v>
      </c>
      <c r="B7970">
        <f>GS31</f>
        <v>0</v>
      </c>
      <c r="C7970" t="inlineStr">
        <is>
          <t>+LS7</t>
        </is>
      </c>
      <c r="D7970" t="inlineStr">
        <is>
          <t>-357K46.0</t>
        </is>
      </c>
      <c r="E7970" t="inlineStr">
        <is>
          <t>DIL_EM-10-G</t>
        </is>
      </c>
      <c r="F7970" t="inlineStr">
        <is>
          <t>#KALK!</t>
        </is>
      </c>
      <c r="G7970" t="inlineStr">
        <is>
          <t>LASTSCHUETZ</t>
        </is>
      </c>
      <c r="H7970" t="inlineStr">
        <is>
          <t>4kW 1S</t>
        </is>
      </c>
      <c r="I7970">
        <v>648</v>
      </c>
      <c r="J7970">
        <f>GS31/357.6</f>
        <v>0</v>
      </c>
      <c r="M7970" t="inlineStr">
        <is>
          <t>-357K46.0</t>
        </is>
      </c>
    </row>
    <row r="7971">
      <c r="A7971">
        <v>7970</v>
      </c>
      <c r="B7971">
        <f>GS31</f>
        <v>0</v>
      </c>
      <c r="C7971" t="inlineStr">
        <is>
          <t>+LS7</t>
        </is>
      </c>
      <c r="D7971" t="inlineStr">
        <is>
          <t>-357K46.1</t>
        </is>
      </c>
      <c r="E7971" t="inlineStr">
        <is>
          <t>DIL_EM-10-G</t>
        </is>
      </c>
      <c r="F7971" t="inlineStr">
        <is>
          <t>#KALK!</t>
        </is>
      </c>
      <c r="G7971" t="inlineStr">
        <is>
          <t>LASTSCHUETZ</t>
        </is>
      </c>
      <c r="H7971" t="inlineStr">
        <is>
          <t>4kW 1S</t>
        </is>
      </c>
      <c r="I7971">
        <v>648</v>
      </c>
      <c r="J7971">
        <f>GS31/357.6</f>
        <v>0</v>
      </c>
      <c r="M7971" t="inlineStr">
        <is>
          <t>-357K46.1</t>
        </is>
      </c>
    </row>
    <row r="7972">
      <c r="A7972">
        <v>7971</v>
      </c>
      <c r="B7972">
        <f>GS02</f>
        <v>0</v>
      </c>
      <c r="C7972" t="inlineStr">
        <is>
          <t>+LS8</t>
        </is>
      </c>
      <c r="D7972" t="inlineStr">
        <is>
          <t>-357K60.0</t>
        </is>
      </c>
      <c r="E7972" t="inlineStr">
        <is>
          <t>DIL_EM-10-G</t>
        </is>
      </c>
      <c r="F7972" t="inlineStr">
        <is>
          <t>#KALK!</t>
        </is>
      </c>
      <c r="G7972" t="inlineStr">
        <is>
          <t>LASTSCHUETZ</t>
        </is>
      </c>
      <c r="H7972" t="inlineStr">
        <is>
          <t>4kW 1S</t>
        </is>
      </c>
      <c r="I7972">
        <v>763</v>
      </c>
      <c r="J7972">
        <f>GS02/357.6</f>
        <v>0</v>
      </c>
      <c r="M7972" t="inlineStr">
        <is>
          <t>-357K60.0</t>
        </is>
      </c>
    </row>
    <row r="7973">
      <c r="A7973">
        <v>7972</v>
      </c>
      <c r="B7973">
        <f>GS02</f>
        <v>0</v>
      </c>
      <c r="C7973" t="inlineStr">
        <is>
          <t>+LS8</t>
        </is>
      </c>
      <c r="D7973" t="inlineStr">
        <is>
          <t>-357K60.1</t>
        </is>
      </c>
      <c r="E7973" t="inlineStr">
        <is>
          <t>DIL_EM-10-G</t>
        </is>
      </c>
      <c r="F7973" t="inlineStr">
        <is>
          <t>#KALK!</t>
        </is>
      </c>
      <c r="G7973" t="inlineStr">
        <is>
          <t>LASTSCHUETZ</t>
        </is>
      </c>
      <c r="H7973" t="inlineStr">
        <is>
          <t>4kW 1S</t>
        </is>
      </c>
      <c r="I7973">
        <v>763</v>
      </c>
      <c r="J7973">
        <f>GS02/357.6</f>
        <v>0</v>
      </c>
      <c r="M7973" t="inlineStr">
        <is>
          <t>-357K60.1</t>
        </is>
      </c>
    </row>
    <row r="7974">
      <c r="A7974">
        <v>7973</v>
      </c>
      <c r="B7974">
        <f>GS52</f>
        <v>0</v>
      </c>
      <c r="C7974" t="inlineStr">
        <is>
          <t>+LS05</t>
        </is>
      </c>
      <c r="D7974" t="inlineStr">
        <is>
          <t>-357Q1</t>
        </is>
      </c>
      <c r="E7974" t="inlineStr">
        <is>
          <t>DILMC12-10(24VDC)</t>
        </is>
      </c>
      <c r="F7974" t="inlineStr">
        <is>
          <t>DILA-XHIC40</t>
        </is>
      </c>
      <c r="G7974" t="inlineStr">
        <is>
          <t>LASTSCHUETZ</t>
        </is>
      </c>
      <c r="H7974" t="inlineStr">
        <is>
          <t>5,5kW 1S Federzugkl.</t>
        </is>
      </c>
      <c r="I7974">
        <v>1613</v>
      </c>
      <c r="J7974">
        <f>GS52/357.4</f>
        <v>0</v>
      </c>
      <c r="K7974" t="inlineStr">
        <is>
          <t>DIL MC12</t>
        </is>
      </c>
      <c r="M7974" t="inlineStr">
        <is>
          <t>-357Q1</t>
        </is>
      </c>
    </row>
    <row r="7975">
      <c r="A7975">
        <v>7974</v>
      </c>
      <c r="B7975">
        <f>GS52</f>
        <v>0</v>
      </c>
      <c r="C7975" t="inlineStr">
        <is>
          <t>+LS05</t>
        </is>
      </c>
      <c r="D7975" t="inlineStr">
        <is>
          <t>-357Q1</t>
        </is>
      </c>
      <c r="E7975" t="inlineStr">
        <is>
          <t>DILA-XHIC40</t>
        </is>
      </c>
      <c r="F7975" t="inlineStr">
        <is>
          <t>DILA-XHIC40</t>
        </is>
      </c>
      <c r="G7975" t="inlineStr">
        <is>
          <t>HILFSKONTAKTBLOCK</t>
        </is>
      </c>
      <c r="H7975" t="inlineStr">
        <is>
          <t>4S Last+Hilfssch. Cage</t>
        </is>
      </c>
      <c r="I7975">
        <v>1613</v>
      </c>
      <c r="J7975">
        <f>GS52/357.4</f>
        <v>0</v>
      </c>
      <c r="K7975" t="inlineStr">
        <is>
          <t>DIL MC12</t>
        </is>
      </c>
      <c r="M7975" t="inlineStr">
        <is>
          <t>-357Q1</t>
        </is>
      </c>
    </row>
    <row r="7976">
      <c r="A7976">
        <v>7975</v>
      </c>
      <c r="B7976">
        <f>GS35</f>
        <v>0</v>
      </c>
      <c r="C7976" t="inlineStr">
        <is>
          <t>+LS08</t>
        </is>
      </c>
      <c r="D7976" t="inlineStr">
        <is>
          <t>-357Q138.2</t>
        </is>
      </c>
      <c r="E7976" t="inlineStr">
        <is>
          <t>DILM-12-10</t>
        </is>
      </c>
      <c r="F7976" t="inlineStr">
        <is>
          <t>#KALK!</t>
        </is>
      </c>
      <c r="G7976" t="inlineStr">
        <is>
          <t>LASTSCHUETZ</t>
        </is>
      </c>
      <c r="H7976" t="inlineStr">
        <is>
          <t>5,5kW 1S Federzugkl.</t>
        </is>
      </c>
      <c r="I7976">
        <v>511</v>
      </c>
      <c r="J7976">
        <f>GS35/357.5</f>
        <v>0</v>
      </c>
      <c r="K7976" t="inlineStr">
        <is>
          <t>DIL MC12</t>
        </is>
      </c>
      <c r="M7976" t="inlineStr">
        <is>
          <t>-357Q138.2</t>
        </is>
      </c>
    </row>
    <row r="7977">
      <c r="A7977">
        <v>7976</v>
      </c>
      <c r="B7977">
        <f>GS36</f>
        <v>0</v>
      </c>
      <c r="C7977" t="inlineStr">
        <is>
          <t>+LS08</t>
        </is>
      </c>
      <c r="D7977" t="inlineStr">
        <is>
          <t>-383K2</t>
        </is>
      </c>
      <c r="E7977" t="inlineStr">
        <is>
          <t>DILM-9-01</t>
        </is>
      </c>
      <c r="F7977" t="inlineStr">
        <is>
          <t>DILA-XHIC40</t>
        </is>
      </c>
      <c r="G7977" t="inlineStr">
        <is>
          <t>LASTSCHUETZ</t>
        </is>
      </c>
      <c r="H7977" t="inlineStr">
        <is>
          <t>4kW 1Oe Federzugkl.</t>
        </is>
      </c>
      <c r="I7977">
        <v>556</v>
      </c>
      <c r="J7977">
        <f>GS36/383.7</f>
        <v>0</v>
      </c>
      <c r="L7977" t="inlineStr">
        <is>
          <t>Lichtvorhang KF</t>
        </is>
      </c>
      <c r="M7977" t="inlineStr">
        <is>
          <t>Lichtvorhang KF
-383K2</t>
        </is>
      </c>
    </row>
    <row r="7978">
      <c r="A7978">
        <v>7977</v>
      </c>
      <c r="B7978">
        <f>GS92</f>
        <v>0</v>
      </c>
      <c r="C7978" t="inlineStr">
        <is>
          <t>+LS06</t>
        </is>
      </c>
      <c r="D7978" t="inlineStr">
        <is>
          <t>-357Q456.6</t>
        </is>
      </c>
      <c r="E7978" t="inlineStr">
        <is>
          <t>DILM-9-10</t>
        </is>
      </c>
      <c r="F7978" t="inlineStr">
        <is>
          <t>#KALK!</t>
        </is>
      </c>
      <c r="G7978" t="inlineStr">
        <is>
          <t>LASTSCHUETZ</t>
        </is>
      </c>
      <c r="H7978" t="inlineStr">
        <is>
          <t>4kW 1S Federzugkl.</t>
        </is>
      </c>
      <c r="I7978">
        <v>503</v>
      </c>
      <c r="J7978">
        <f>GS92/357.5</f>
        <v>0</v>
      </c>
      <c r="M7978" t="inlineStr">
        <is>
          <t>-357Q456.6</t>
        </is>
      </c>
    </row>
    <row r="7979">
      <c r="A7979">
        <v>7978</v>
      </c>
      <c r="B7979">
        <f>GS93</f>
        <v>0</v>
      </c>
      <c r="C7979" t="inlineStr">
        <is>
          <t>+LS06</t>
        </is>
      </c>
      <c r="D7979" t="inlineStr">
        <is>
          <t>-357Q457.6</t>
        </is>
      </c>
      <c r="E7979" t="inlineStr">
        <is>
          <t>DILM-9-10</t>
        </is>
      </c>
      <c r="F7979" t="inlineStr">
        <is>
          <t>#KALK!</t>
        </is>
      </c>
      <c r="G7979" t="inlineStr">
        <is>
          <t>LASTSCHUETZ</t>
        </is>
      </c>
      <c r="H7979" t="inlineStr">
        <is>
          <t>4kW 1S Federzugkl.</t>
        </is>
      </c>
      <c r="I7979">
        <v>911</v>
      </c>
      <c r="J7979">
        <f>GS93/357.5</f>
        <v>0</v>
      </c>
      <c r="M7979" t="inlineStr">
        <is>
          <t>-357Q457.6</t>
        </is>
      </c>
    </row>
    <row r="7980">
      <c r="A7980">
        <v>7979</v>
      </c>
      <c r="B7980">
        <f>GS13</f>
        <v>0</v>
      </c>
      <c r="C7980" t="inlineStr">
        <is>
          <t>+LS8</t>
        </is>
      </c>
      <c r="D7980" t="inlineStr">
        <is>
          <t>-3581</t>
        </is>
      </c>
      <c r="E7980" t="inlineStr">
        <is>
          <t>DILM-9-01</t>
        </is>
      </c>
      <c r="F7980" t="inlineStr">
        <is>
          <t>#KALK!</t>
        </is>
      </c>
      <c r="G7980" t="inlineStr">
        <is>
          <t>LASTSCHUETZ</t>
        </is>
      </c>
      <c r="H7980" t="inlineStr">
        <is>
          <t>4kW 1Oe Federzugkl.</t>
        </is>
      </c>
      <c r="I7980">
        <v>603</v>
      </c>
      <c r="J7980">
        <f>GS13/358.6</f>
        <v>0</v>
      </c>
      <c r="M7980" t="inlineStr">
        <is>
          <t>-3581</t>
        </is>
      </c>
    </row>
    <row r="7981">
      <c r="A7981">
        <v>7980</v>
      </c>
      <c r="B7981">
        <f>GS13</f>
        <v>0</v>
      </c>
      <c r="C7981" t="inlineStr">
        <is>
          <t>+LS8</t>
        </is>
      </c>
      <c r="D7981" t="inlineStr">
        <is>
          <t>-3582</t>
        </is>
      </c>
      <c r="E7981" t="inlineStr">
        <is>
          <t>DILM-9-01</t>
        </is>
      </c>
      <c r="F7981" t="inlineStr">
        <is>
          <t>#KALK!</t>
        </is>
      </c>
      <c r="G7981" t="inlineStr">
        <is>
          <t>LASTSCHUETZ</t>
        </is>
      </c>
      <c r="H7981" t="inlineStr">
        <is>
          <t>4kW 1Oe Federzugkl.</t>
        </is>
      </c>
      <c r="I7981">
        <v>603</v>
      </c>
      <c r="J7981">
        <f>GS13/358.7</f>
        <v>0</v>
      </c>
      <c r="M7981" t="inlineStr">
        <is>
          <t>-3582</t>
        </is>
      </c>
    </row>
    <row r="7982">
      <c r="A7982">
        <v>7981</v>
      </c>
      <c r="B7982">
        <f>GS25</f>
        <v>0</v>
      </c>
      <c r="C7982" t="inlineStr">
        <is>
          <t>+LS7</t>
        </is>
      </c>
      <c r="D7982" t="inlineStr">
        <is>
          <t>-35826.0</t>
        </is>
      </c>
      <c r="E7982" t="inlineStr">
        <is>
          <t>DIL_EM-10-G</t>
        </is>
      </c>
      <c r="F7982" t="inlineStr">
        <is>
          <t>#KALK!</t>
        </is>
      </c>
      <c r="G7982" t="inlineStr">
        <is>
          <t>LASTSCHUETZ</t>
        </is>
      </c>
      <c r="H7982" t="inlineStr">
        <is>
          <t>4kW 1S</t>
        </is>
      </c>
      <c r="I7982">
        <v>482</v>
      </c>
      <c r="J7982">
        <f>GS25/358.6</f>
        <v>0</v>
      </c>
      <c r="M7982" t="inlineStr">
        <is>
          <t>-35826.0</t>
        </is>
      </c>
    </row>
    <row r="7983">
      <c r="A7983">
        <v>7982</v>
      </c>
      <c r="B7983">
        <f>GS25</f>
        <v>0</v>
      </c>
      <c r="C7983" t="inlineStr">
        <is>
          <t>+LS7</t>
        </is>
      </c>
      <c r="D7983" t="inlineStr">
        <is>
          <t>-35826.1</t>
        </is>
      </c>
      <c r="E7983" t="inlineStr">
        <is>
          <t>DIL_EM-10-G</t>
        </is>
      </c>
      <c r="F7983" t="inlineStr">
        <is>
          <t>#KALK!</t>
        </is>
      </c>
      <c r="G7983" t="inlineStr">
        <is>
          <t>LASTSCHUETZ</t>
        </is>
      </c>
      <c r="H7983" t="inlineStr">
        <is>
          <t>4kW 1S</t>
        </is>
      </c>
      <c r="I7983">
        <v>482</v>
      </c>
      <c r="J7983">
        <f>GS25/358.6</f>
        <v>0</v>
      </c>
      <c r="M7983" t="inlineStr">
        <is>
          <t>-35826.1</t>
        </is>
      </c>
    </row>
    <row r="7984">
      <c r="A7984">
        <v>7983</v>
      </c>
      <c r="B7984">
        <f>GS23</f>
        <v>0</v>
      </c>
      <c r="C7984" t="inlineStr">
        <is>
          <t>+LS8</t>
        </is>
      </c>
      <c r="D7984" t="inlineStr">
        <is>
          <t>-358K1</t>
        </is>
      </c>
      <c r="E7984" t="inlineStr">
        <is>
          <t>DILM-9-01</t>
        </is>
      </c>
      <c r="F7984" t="inlineStr">
        <is>
          <t>#KALK!</t>
        </is>
      </c>
      <c r="G7984" t="inlineStr">
        <is>
          <t>LASTSCHUETZ</t>
        </is>
      </c>
      <c r="H7984" t="inlineStr">
        <is>
          <t>4kW 1Oe Federzugkl.</t>
        </is>
      </c>
      <c r="I7984">
        <v>659</v>
      </c>
      <c r="J7984">
        <f>GS23/358.6</f>
        <v>0</v>
      </c>
      <c r="M7984" t="inlineStr">
        <is>
          <t>-358K1</t>
        </is>
      </c>
    </row>
    <row r="7985">
      <c r="A7985">
        <v>7984</v>
      </c>
      <c r="B7985">
        <f>GS38</f>
        <v>0</v>
      </c>
      <c r="C7985" t="inlineStr">
        <is>
          <t>+LS07</t>
        </is>
      </c>
      <c r="D7985" t="inlineStr">
        <is>
          <t>-358K1</t>
        </is>
      </c>
      <c r="E7985" t="inlineStr">
        <is>
          <t>DILM-9-10</t>
        </is>
      </c>
      <c r="F7985" t="inlineStr">
        <is>
          <t>DILA-XHI22</t>
        </is>
      </c>
      <c r="G7985" t="inlineStr">
        <is>
          <t>LASTSCHUETZ</t>
        </is>
      </c>
      <c r="H7985" t="inlineStr">
        <is>
          <t>4kW 1S Federzugkl.</t>
        </is>
      </c>
      <c r="I7985">
        <v>523</v>
      </c>
      <c r="J7985">
        <f>GS38/358.5</f>
        <v>0</v>
      </c>
      <c r="M7985" t="inlineStr">
        <is>
          <t>-358K1</t>
        </is>
      </c>
    </row>
    <row r="7986">
      <c r="A7986">
        <v>7985</v>
      </c>
      <c r="B7986">
        <f>GS38</f>
        <v>0</v>
      </c>
      <c r="C7986" t="inlineStr">
        <is>
          <t>+LS07</t>
        </is>
      </c>
      <c r="D7986" t="inlineStr">
        <is>
          <t>-358K1</t>
        </is>
      </c>
      <c r="E7986" t="inlineStr">
        <is>
          <t>DILA-XHI22</t>
        </is>
      </c>
      <c r="F7986" t="inlineStr">
        <is>
          <t>DILA-XHI22</t>
        </is>
      </c>
      <c r="G7986" t="inlineStr">
        <is>
          <t>HILFSKONTAKTBLOCK</t>
        </is>
      </c>
      <c r="H7986" t="inlineStr">
        <is>
          <t>2S 2OE Last+Hilfssch. Cage</t>
        </is>
      </c>
      <c r="I7986">
        <v>523</v>
      </c>
      <c r="J7986">
        <f>GS38/358.5</f>
        <v>0</v>
      </c>
      <c r="M7986" t="inlineStr">
        <is>
          <t>-358K1</t>
        </is>
      </c>
    </row>
    <row r="7987">
      <c r="A7987">
        <v>7986</v>
      </c>
      <c r="B7987">
        <f>GS39</f>
        <v>0</v>
      </c>
      <c r="C7987" t="inlineStr">
        <is>
          <t>+LS07</t>
        </is>
      </c>
      <c r="D7987" t="inlineStr">
        <is>
          <t>-358K1</t>
        </is>
      </c>
      <c r="E7987" t="inlineStr">
        <is>
          <t>DILA-XHI22</t>
        </is>
      </c>
      <c r="F7987" t="inlineStr">
        <is>
          <t>DILA-XHI22</t>
        </is>
      </c>
      <c r="G7987" t="inlineStr">
        <is>
          <t>HILFSKONTAKTBLOCK</t>
        </is>
      </c>
      <c r="H7987" t="inlineStr">
        <is>
          <t>2S 2OE Last+Hilfssch. Cage</t>
        </is>
      </c>
      <c r="I7987">
        <v>526</v>
      </c>
      <c r="J7987">
        <f>GS39/358.5</f>
        <v>0</v>
      </c>
      <c r="M7987" t="inlineStr">
        <is>
          <t>-358K1</t>
        </is>
      </c>
    </row>
    <row r="7988">
      <c r="A7988">
        <v>7987</v>
      </c>
      <c r="B7988">
        <f>GS39</f>
        <v>0</v>
      </c>
      <c r="C7988" t="inlineStr">
        <is>
          <t>+LS07</t>
        </is>
      </c>
      <c r="D7988" t="inlineStr">
        <is>
          <t>-358K1</t>
        </is>
      </c>
      <c r="E7988" t="inlineStr">
        <is>
          <t>DILM-9-10</t>
        </is>
      </c>
      <c r="F7988" t="inlineStr">
        <is>
          <t>DILA-XHI22</t>
        </is>
      </c>
      <c r="G7988" t="inlineStr">
        <is>
          <t>LASTSCHUETZ</t>
        </is>
      </c>
      <c r="H7988" t="inlineStr">
        <is>
          <t>4kW 1S Federzugkl.</t>
        </is>
      </c>
      <c r="I7988">
        <v>526</v>
      </c>
      <c r="J7988">
        <f>GS39/358.5</f>
        <v>0</v>
      </c>
      <c r="M7988" t="inlineStr">
        <is>
          <t>-358K1</t>
        </is>
      </c>
    </row>
    <row r="7989">
      <c r="A7989">
        <v>7988</v>
      </c>
      <c r="B7989">
        <f>GS23</f>
        <v>0</v>
      </c>
      <c r="C7989" t="inlineStr">
        <is>
          <t>+LS8</t>
        </is>
      </c>
      <c r="D7989" t="inlineStr">
        <is>
          <t>-358K2</t>
        </is>
      </c>
      <c r="E7989" t="inlineStr">
        <is>
          <t>DILM-9-01</t>
        </is>
      </c>
      <c r="F7989" t="inlineStr">
        <is>
          <t>#KALK!</t>
        </is>
      </c>
      <c r="G7989" t="inlineStr">
        <is>
          <t>LASTSCHUETZ</t>
        </is>
      </c>
      <c r="H7989" t="inlineStr">
        <is>
          <t>4kW 1Oe Federzugkl.</t>
        </is>
      </c>
      <c r="I7989">
        <v>659</v>
      </c>
      <c r="J7989">
        <f>GS23/358.7</f>
        <v>0</v>
      </c>
      <c r="M7989" t="inlineStr">
        <is>
          <t>-358K2</t>
        </is>
      </c>
    </row>
    <row r="7990">
      <c r="A7990">
        <v>7989</v>
      </c>
      <c r="B7990">
        <f>GS38</f>
        <v>0</v>
      </c>
      <c r="C7990" t="inlineStr">
        <is>
          <t>+LS07</t>
        </is>
      </c>
      <c r="D7990" t="inlineStr">
        <is>
          <t>-358K2</t>
        </is>
      </c>
      <c r="E7990" t="inlineStr">
        <is>
          <t>DILM-9-10</t>
        </is>
      </c>
      <c r="F7990" t="inlineStr">
        <is>
          <t>DILA-XHI22</t>
        </is>
      </c>
      <c r="G7990" t="inlineStr">
        <is>
          <t>LASTSCHUETZ</t>
        </is>
      </c>
      <c r="H7990" t="inlineStr">
        <is>
          <t>4kW 1S Federzugkl.</t>
        </is>
      </c>
      <c r="I7990">
        <v>523</v>
      </c>
      <c r="J7990">
        <f>GS38/358.6</f>
        <v>0</v>
      </c>
      <c r="M7990" t="inlineStr">
        <is>
          <t>-358K2</t>
        </is>
      </c>
    </row>
    <row r="7991">
      <c r="A7991">
        <v>7990</v>
      </c>
      <c r="B7991">
        <f>GS38</f>
        <v>0</v>
      </c>
      <c r="C7991" t="inlineStr">
        <is>
          <t>+LS07</t>
        </is>
      </c>
      <c r="D7991" t="inlineStr">
        <is>
          <t>-358K2</t>
        </is>
      </c>
      <c r="E7991" t="inlineStr">
        <is>
          <t>DILA-XHI22</t>
        </is>
      </c>
      <c r="F7991" t="inlineStr">
        <is>
          <t>DILA-XHI22</t>
        </is>
      </c>
      <c r="G7991" t="inlineStr">
        <is>
          <t>HILFSKONTAKTBLOCK</t>
        </is>
      </c>
      <c r="H7991" t="inlineStr">
        <is>
          <t>2S 2OE Last+Hilfssch. Cage</t>
        </is>
      </c>
      <c r="I7991">
        <v>523</v>
      </c>
      <c r="J7991">
        <f>GS38/358.6</f>
        <v>0</v>
      </c>
      <c r="M7991" t="inlineStr">
        <is>
          <t>-358K2</t>
        </is>
      </c>
    </row>
    <row r="7992">
      <c r="A7992">
        <v>7991</v>
      </c>
      <c r="B7992">
        <f>GS39</f>
        <v>0</v>
      </c>
      <c r="C7992" t="inlineStr">
        <is>
          <t>+LS07</t>
        </is>
      </c>
      <c r="D7992" t="inlineStr">
        <is>
          <t>-358K2</t>
        </is>
      </c>
      <c r="E7992" t="inlineStr">
        <is>
          <t>DILA-XHI22</t>
        </is>
      </c>
      <c r="F7992" t="inlineStr">
        <is>
          <t>DILA-XHI22</t>
        </is>
      </c>
      <c r="G7992" t="inlineStr">
        <is>
          <t>HILFSKONTAKTBLOCK</t>
        </is>
      </c>
      <c r="H7992" t="inlineStr">
        <is>
          <t>2S 2OE Last+Hilfssch. Cage</t>
        </is>
      </c>
      <c r="I7992">
        <v>526</v>
      </c>
      <c r="J7992">
        <f>GS39/358.6</f>
        <v>0</v>
      </c>
      <c r="M7992" t="inlineStr">
        <is>
          <t>-358K2</t>
        </is>
      </c>
    </row>
    <row r="7993">
      <c r="A7993">
        <v>7992</v>
      </c>
      <c r="B7993">
        <f>GS39</f>
        <v>0</v>
      </c>
      <c r="C7993" t="inlineStr">
        <is>
          <t>+LS07</t>
        </is>
      </c>
      <c r="D7993" t="inlineStr">
        <is>
          <t>-358K2</t>
        </is>
      </c>
      <c r="E7993" t="inlineStr">
        <is>
          <t>DILM-9-10</t>
        </is>
      </c>
      <c r="F7993" t="inlineStr">
        <is>
          <t>DILA-XHI22</t>
        </is>
      </c>
      <c r="G7993" t="inlineStr">
        <is>
          <t>LASTSCHUETZ</t>
        </is>
      </c>
      <c r="H7993" t="inlineStr">
        <is>
          <t>4kW 1S Federzugkl.</t>
        </is>
      </c>
      <c r="I7993">
        <v>526</v>
      </c>
      <c r="J7993">
        <f>GS39/358.6</f>
        <v>0</v>
      </c>
      <c r="M7993" t="inlineStr">
        <is>
          <t>-358K2</t>
        </is>
      </c>
    </row>
    <row r="7994">
      <c r="A7994">
        <v>7993</v>
      </c>
      <c r="B7994">
        <f>GS15</f>
        <v>0</v>
      </c>
      <c r="C7994" t="inlineStr">
        <is>
          <t>+LS7</t>
        </is>
      </c>
      <c r="D7994" t="inlineStr">
        <is>
          <t>-358K24.1</t>
        </is>
      </c>
      <c r="E7994" t="inlineStr">
        <is>
          <t>DIL_EM-10-G</t>
        </is>
      </c>
      <c r="F7994" t="inlineStr">
        <is>
          <t>#KALK!</t>
        </is>
      </c>
      <c r="G7994" t="inlineStr">
        <is>
          <t>LASTSCHUETZ</t>
        </is>
      </c>
      <c r="H7994" t="inlineStr">
        <is>
          <t>4kW 1S</t>
        </is>
      </c>
      <c r="I7994">
        <v>857</v>
      </c>
      <c r="J7994">
        <f>GS15/358.6</f>
        <v>0</v>
      </c>
      <c r="M7994" t="inlineStr">
        <is>
          <t>-358K24.1</t>
        </is>
      </c>
    </row>
    <row r="7995">
      <c r="A7995">
        <v>7994</v>
      </c>
      <c r="B7995">
        <f>GS15</f>
        <v>0</v>
      </c>
      <c r="C7995" t="inlineStr">
        <is>
          <t>+LS7</t>
        </is>
      </c>
      <c r="D7995" t="inlineStr">
        <is>
          <t>-358K24.2</t>
        </is>
      </c>
      <c r="E7995" t="inlineStr">
        <is>
          <t>DIL_EM-10-G</t>
        </is>
      </c>
      <c r="F7995" t="inlineStr">
        <is>
          <t>#KALK!</t>
        </is>
      </c>
      <c r="G7995" t="inlineStr">
        <is>
          <t>LASTSCHUETZ</t>
        </is>
      </c>
      <c r="H7995" t="inlineStr">
        <is>
          <t>4kW 1S</t>
        </is>
      </c>
      <c r="I7995">
        <v>857</v>
      </c>
      <c r="J7995">
        <f>GS15/358.6</f>
        <v>0</v>
      </c>
      <c r="M7995" t="inlineStr">
        <is>
          <t>-358K24.2</t>
        </is>
      </c>
    </row>
    <row r="7996">
      <c r="A7996">
        <v>7995</v>
      </c>
      <c r="B7996">
        <f>GS31</f>
        <v>0</v>
      </c>
      <c r="C7996" t="inlineStr">
        <is>
          <t>+LS7</t>
        </is>
      </c>
      <c r="D7996" t="inlineStr">
        <is>
          <t>-358K46.5</t>
        </is>
      </c>
      <c r="E7996" t="inlineStr">
        <is>
          <t>DIL_EM-10-G</t>
        </is>
      </c>
      <c r="F7996" t="inlineStr">
        <is>
          <t>#KALK!</t>
        </is>
      </c>
      <c r="G7996" t="inlineStr">
        <is>
          <t>LASTSCHUETZ</t>
        </is>
      </c>
      <c r="H7996" t="inlineStr">
        <is>
          <t>4kW 1S</t>
        </is>
      </c>
      <c r="I7996">
        <v>649</v>
      </c>
      <c r="J7996">
        <f>GS31/358.7</f>
        <v>0</v>
      </c>
      <c r="M7996" t="inlineStr">
        <is>
          <t>-358K46.5</t>
        </is>
      </c>
    </row>
    <row r="7997">
      <c r="A7997">
        <v>7996</v>
      </c>
      <c r="B7997">
        <f>GS02</f>
        <v>0</v>
      </c>
      <c r="C7997" t="inlineStr">
        <is>
          <t>+LS8</t>
        </is>
      </c>
      <c r="D7997" t="inlineStr">
        <is>
          <t>-358K60.2</t>
        </is>
      </c>
      <c r="E7997" t="inlineStr">
        <is>
          <t>DIL_EM-10-G</t>
        </is>
      </c>
      <c r="F7997" t="inlineStr">
        <is>
          <t>#KALK!</t>
        </is>
      </c>
      <c r="G7997" t="inlineStr">
        <is>
          <t>LASTSCHUETZ</t>
        </is>
      </c>
      <c r="H7997" t="inlineStr">
        <is>
          <t>4kW 1S</t>
        </is>
      </c>
      <c r="I7997">
        <v>764</v>
      </c>
      <c r="J7997">
        <f>GS02/358.6</f>
        <v>0</v>
      </c>
      <c r="M7997" t="inlineStr">
        <is>
          <t>-358K60.2</t>
        </is>
      </c>
    </row>
    <row r="7998">
      <c r="A7998">
        <v>7997</v>
      </c>
      <c r="B7998">
        <f>GS02</f>
        <v>0</v>
      </c>
      <c r="C7998" t="inlineStr">
        <is>
          <t>+LS8</t>
        </is>
      </c>
      <c r="D7998" t="inlineStr">
        <is>
          <t>-358K60.3</t>
        </is>
      </c>
      <c r="E7998" t="inlineStr">
        <is>
          <t>DIL_EM-10-G</t>
        </is>
      </c>
      <c r="F7998" t="inlineStr">
        <is>
          <t>#KALK!</t>
        </is>
      </c>
      <c r="G7998" t="inlineStr">
        <is>
          <t>LASTSCHUETZ</t>
        </is>
      </c>
      <c r="H7998" t="inlineStr">
        <is>
          <t>4kW 1S</t>
        </is>
      </c>
      <c r="I7998">
        <v>764</v>
      </c>
      <c r="J7998">
        <f>GS02/358.6</f>
        <v>0</v>
      </c>
      <c r="M7998" t="inlineStr">
        <is>
          <t>-358K60.3</t>
        </is>
      </c>
    </row>
    <row r="7999">
      <c r="A7999">
        <v>7998</v>
      </c>
      <c r="B7999">
        <f>GS11</f>
        <v>0</v>
      </c>
      <c r="C7999" t="inlineStr">
        <is>
          <t>+LS9</t>
        </is>
      </c>
      <c r="D7999" t="inlineStr">
        <is>
          <t>-358K60.3</t>
        </is>
      </c>
      <c r="E7999" t="inlineStr">
        <is>
          <t>DIL_EM-10-G</t>
        </is>
      </c>
      <c r="F7999" t="inlineStr">
        <is>
          <t>#KALK!</t>
        </is>
      </c>
      <c r="G7999" t="inlineStr">
        <is>
          <t>LASTSCHUETZ</t>
        </is>
      </c>
      <c r="H7999" t="inlineStr">
        <is>
          <t>4kW 1S</t>
        </is>
      </c>
      <c r="I7999">
        <v>464</v>
      </c>
      <c r="J7999">
        <f>GS11/358.7</f>
        <v>0</v>
      </c>
      <c r="M7999" t="inlineStr">
        <is>
          <t>-358K60.3</t>
        </is>
      </c>
    </row>
    <row r="8000">
      <c r="A8000">
        <v>7999</v>
      </c>
      <c r="B8000">
        <f>GS21</f>
        <v>0</v>
      </c>
      <c r="C8000" t="inlineStr">
        <is>
          <t>+LS9</t>
        </is>
      </c>
      <c r="D8000" t="inlineStr">
        <is>
          <t>-358K60.3</t>
        </is>
      </c>
      <c r="E8000" t="inlineStr">
        <is>
          <t>DIL_EM-10-G</t>
        </is>
      </c>
      <c r="F8000" t="inlineStr">
        <is>
          <t>#KALK!</t>
        </is>
      </c>
      <c r="G8000" t="inlineStr">
        <is>
          <t>LASTSCHUETZ</t>
        </is>
      </c>
      <c r="H8000" t="inlineStr">
        <is>
          <t>4kW 1S</t>
        </is>
      </c>
      <c r="I8000">
        <v>446</v>
      </c>
      <c r="J8000">
        <f>GS21/358.7</f>
        <v>0</v>
      </c>
      <c r="M8000" t="inlineStr">
        <is>
          <t>-358K60.3</t>
        </is>
      </c>
    </row>
    <row r="8001">
      <c r="A8001">
        <v>8000</v>
      </c>
      <c r="B8001">
        <f>GS01</f>
        <v>0</v>
      </c>
      <c r="C8001" t="inlineStr">
        <is>
          <t>+LS8</t>
        </is>
      </c>
      <c r="D8001" t="inlineStr">
        <is>
          <t>-358K70.0</t>
        </is>
      </c>
      <c r="E8001" t="inlineStr">
        <is>
          <t>DIL_EM-10-G</t>
        </is>
      </c>
      <c r="F8001" t="inlineStr">
        <is>
          <t>#KALK!</t>
        </is>
      </c>
      <c r="G8001" t="inlineStr">
        <is>
          <t>LASTSCHUETZ</t>
        </is>
      </c>
      <c r="H8001" t="inlineStr">
        <is>
          <t>4kW 1S</t>
        </is>
      </c>
      <c r="I8001">
        <v>521</v>
      </c>
      <c r="J8001">
        <f>GS01/358.6</f>
        <v>0</v>
      </c>
      <c r="M8001" t="inlineStr">
        <is>
          <t>-358K70.0</t>
        </is>
      </c>
    </row>
    <row r="8002">
      <c r="A8002">
        <v>8001</v>
      </c>
      <c r="B8002">
        <f>GS01</f>
        <v>0</v>
      </c>
      <c r="C8002" t="inlineStr">
        <is>
          <t>+LS8</t>
        </is>
      </c>
      <c r="D8002" t="inlineStr">
        <is>
          <t>-358K70.1</t>
        </is>
      </c>
      <c r="E8002" t="inlineStr">
        <is>
          <t>DIL_EM-10-G</t>
        </is>
      </c>
      <c r="F8002" t="inlineStr">
        <is>
          <t>#KALK!</t>
        </is>
      </c>
      <c r="G8002" t="inlineStr">
        <is>
          <t>LASTSCHUETZ</t>
        </is>
      </c>
      <c r="H8002" t="inlineStr">
        <is>
          <t>4kW 1S</t>
        </is>
      </c>
      <c r="I8002">
        <v>521</v>
      </c>
      <c r="J8002">
        <f>GS01/358.6</f>
        <v>0</v>
      </c>
      <c r="M8002" t="inlineStr">
        <is>
          <t>-358K70.1</t>
        </is>
      </c>
    </row>
    <row r="8003">
      <c r="A8003">
        <v>8002</v>
      </c>
      <c r="B8003">
        <f>GS36</f>
        <v>0</v>
      </c>
      <c r="C8003" t="inlineStr">
        <is>
          <t>+LS08</t>
        </is>
      </c>
      <c r="D8003" t="inlineStr">
        <is>
          <t>-385K441.4</t>
        </is>
      </c>
      <c r="E8003" t="inlineStr">
        <is>
          <t>DILA-40</t>
        </is>
      </c>
      <c r="F8003" t="inlineStr">
        <is>
          <t>#KALK!</t>
        </is>
      </c>
      <c r="G8003" t="inlineStr">
        <is>
          <t>HILFSSCHUETZ</t>
        </is>
      </c>
      <c r="H8003" t="inlineStr">
        <is>
          <t>4S Federzugkl.</t>
        </is>
      </c>
      <c r="I8003">
        <v>558</v>
      </c>
      <c r="J8003">
        <f>GS36/385.7</f>
        <v>0</v>
      </c>
      <c r="M8003" t="inlineStr">
        <is>
          <t>-385K441.4</t>
        </is>
      </c>
    </row>
    <row r="8004">
      <c r="A8004">
        <v>8003</v>
      </c>
      <c r="B8004">
        <f>GS92</f>
        <v>0</v>
      </c>
      <c r="C8004" t="inlineStr">
        <is>
          <t>+LS06</t>
        </is>
      </c>
      <c r="D8004" t="inlineStr">
        <is>
          <t>-358Q456.7</t>
        </is>
      </c>
      <c r="E8004" t="inlineStr">
        <is>
          <t>DILM-9-10</t>
        </is>
      </c>
      <c r="F8004" t="inlineStr">
        <is>
          <t>#KALK!</t>
        </is>
      </c>
      <c r="G8004" t="inlineStr">
        <is>
          <t>LASTSCHUETZ</t>
        </is>
      </c>
      <c r="H8004" t="inlineStr">
        <is>
          <t>4kW 1S Federzugkl.</t>
        </is>
      </c>
      <c r="I8004">
        <v>504</v>
      </c>
      <c r="J8004">
        <f>GS92/358.5</f>
        <v>0</v>
      </c>
      <c r="M8004" t="inlineStr">
        <is>
          <t>-358Q456.7</t>
        </is>
      </c>
    </row>
    <row r="8005">
      <c r="A8005">
        <v>8004</v>
      </c>
      <c r="B8005">
        <f>GS36</f>
        <v>0</v>
      </c>
      <c r="C8005" t="inlineStr">
        <is>
          <t>+LS08</t>
        </is>
      </c>
      <c r="D8005" t="inlineStr">
        <is>
          <t>-387Q441.6</t>
        </is>
      </c>
      <c r="E8005" t="inlineStr">
        <is>
          <t>DILM-9-10</t>
        </is>
      </c>
      <c r="F8005" t="inlineStr">
        <is>
          <t>#KALK!</t>
        </is>
      </c>
      <c r="G8005" t="inlineStr">
        <is>
          <t>LASTSCHUETZ</t>
        </is>
      </c>
      <c r="H8005" t="inlineStr">
        <is>
          <t>4kW 1S Federzugkl.</t>
        </is>
      </c>
      <c r="I8005">
        <v>560</v>
      </c>
      <c r="J8005">
        <f>GS36/387.5</f>
        <v>0</v>
      </c>
      <c r="L8005" t="inlineStr">
        <is>
          <t>KF_3102</t>
        </is>
      </c>
      <c r="M8005" t="inlineStr">
        <is>
          <t>KF_3102
-387Q441.6</t>
        </is>
      </c>
      <c r="N8005" t="inlineStr">
        <is>
          <t>P</t>
        </is>
      </c>
    </row>
    <row r="8006">
      <c r="A8006">
        <v>8005</v>
      </c>
      <c r="B8006">
        <f>GS24</f>
        <v>0</v>
      </c>
      <c r="C8006" t="inlineStr">
        <is>
          <t>+LS7</t>
        </is>
      </c>
      <c r="D8006" t="inlineStr">
        <is>
          <t>-359K1</t>
        </is>
      </c>
      <c r="E8006" t="inlineStr">
        <is>
          <t>22_DIL-M</t>
        </is>
      </c>
      <c r="F8006" t="inlineStr">
        <is>
          <t>22_DIL-M</t>
        </is>
      </c>
      <c r="G8006" t="inlineStr">
        <is>
          <t>HILFSKONTAKTBLOCK</t>
        </is>
      </c>
      <c r="H8006" t="inlineStr">
        <is>
          <t>2S 2OE Lastschuetz DIL M</t>
        </is>
      </c>
      <c r="I8006">
        <v>728</v>
      </c>
      <c r="J8006">
        <f>GS24/359.2</f>
        <v>0</v>
      </c>
      <c r="K8006" t="inlineStr">
        <is>
          <t>DIL0AM</t>
        </is>
      </c>
      <c r="M8006" t="inlineStr">
        <is>
          <t>-359K1</t>
        </is>
      </c>
    </row>
    <row r="8007">
      <c r="A8007">
        <v>8006</v>
      </c>
      <c r="B8007">
        <f>GS24</f>
        <v>0</v>
      </c>
      <c r="C8007" t="inlineStr">
        <is>
          <t>+LS7</t>
        </is>
      </c>
      <c r="D8007" t="inlineStr">
        <is>
          <t>-359K1</t>
        </is>
      </c>
      <c r="E8007" t="inlineStr">
        <is>
          <t>DIL_0AM</t>
        </is>
      </c>
      <c r="F8007" t="inlineStr">
        <is>
          <t>22_DIL-M</t>
        </is>
      </c>
      <c r="G8007" t="inlineStr">
        <is>
          <t>LASTSCHUETZ</t>
        </is>
      </c>
      <c r="H8007" t="inlineStr">
        <is>
          <t>11 kW</t>
        </is>
      </c>
      <c r="I8007">
        <v>728</v>
      </c>
      <c r="J8007">
        <f>GS24/359.2</f>
        <v>0</v>
      </c>
      <c r="K8007" t="inlineStr">
        <is>
          <t>DIL0AM</t>
        </is>
      </c>
      <c r="M8007" t="inlineStr">
        <is>
          <t>-359K1</t>
        </is>
      </c>
    </row>
    <row r="8008">
      <c r="A8008">
        <v>8007</v>
      </c>
      <c r="B8008">
        <f>GS33</f>
        <v>0</v>
      </c>
      <c r="C8008" t="inlineStr">
        <is>
          <t>+LS8</t>
        </is>
      </c>
      <c r="D8008" t="inlineStr">
        <is>
          <t>-359K1</t>
        </is>
      </c>
      <c r="E8008" t="inlineStr">
        <is>
          <t>DIL_2AM</t>
        </is>
      </c>
      <c r="F8008" t="inlineStr">
        <is>
          <t>31 DIL M</t>
        </is>
      </c>
      <c r="G8008" t="inlineStr">
        <is>
          <t>LASTSCHUETZ</t>
        </is>
      </c>
      <c r="H8008" t="inlineStr">
        <is>
          <t>30 kW</t>
        </is>
      </c>
      <c r="I8008">
        <v>809</v>
      </c>
      <c r="J8008">
        <f>GS33/359.5</f>
        <v>0</v>
      </c>
      <c r="K8008" t="inlineStr">
        <is>
          <t>DIL2AM</t>
        </is>
      </c>
      <c r="M8008" t="inlineStr">
        <is>
          <t>-359K1</t>
        </is>
      </c>
    </row>
    <row r="8009">
      <c r="A8009">
        <v>8008</v>
      </c>
      <c r="B8009">
        <f>GS33</f>
        <v>0</v>
      </c>
      <c r="C8009" t="inlineStr">
        <is>
          <t>+LS8</t>
        </is>
      </c>
      <c r="D8009" t="inlineStr">
        <is>
          <t>-359K1</t>
        </is>
      </c>
      <c r="E8009" t="inlineStr">
        <is>
          <t>31 DIL M</t>
        </is>
      </c>
      <c r="F8009" t="inlineStr">
        <is>
          <t>31 DIL M</t>
        </is>
      </c>
      <c r="G8009" t="inlineStr">
        <is>
          <t>HILFSKONTAKTBLOCK</t>
        </is>
      </c>
      <c r="H8009" t="inlineStr">
        <is>
          <t>3S 1OE Lastschuetz DIL M</t>
        </is>
      </c>
      <c r="I8009">
        <v>809</v>
      </c>
      <c r="J8009">
        <f>GS33/359.5</f>
        <v>0</v>
      </c>
      <c r="K8009" t="inlineStr">
        <is>
          <t>DIL2AM</t>
        </is>
      </c>
      <c r="M8009" t="inlineStr">
        <is>
          <t>-359K1</t>
        </is>
      </c>
    </row>
    <row r="8010">
      <c r="A8010">
        <v>8009</v>
      </c>
      <c r="B8010">
        <f>GC03</f>
        <v>0</v>
      </c>
      <c r="C8010" t="inlineStr">
        <is>
          <t>+ES2</t>
        </is>
      </c>
      <c r="D8010" t="inlineStr">
        <is>
          <t>-359K106.0</t>
        </is>
      </c>
      <c r="E8010" t="inlineStr">
        <is>
          <t>DIL_ER-40-G</t>
        </is>
      </c>
      <c r="F8010" t="inlineStr">
        <is>
          <t>40_DIL-E</t>
        </is>
      </c>
      <c r="G8010" t="inlineStr">
        <is>
          <t>HILFSSCHUETZ</t>
        </is>
      </c>
      <c r="H8010" t="inlineStr">
        <is>
          <t>4S</t>
        </is>
      </c>
      <c r="I8010">
        <v>318</v>
      </c>
      <c r="J8010">
        <f>GC03/359.6</f>
        <v>0</v>
      </c>
      <c r="M8010" t="inlineStr">
        <is>
          <t>-359K106.0</t>
        </is>
      </c>
    </row>
    <row r="8011">
      <c r="A8011">
        <v>8010</v>
      </c>
      <c r="B8011">
        <f>GC03</f>
        <v>0</v>
      </c>
      <c r="C8011" t="inlineStr">
        <is>
          <t>+ES2</t>
        </is>
      </c>
      <c r="D8011" t="inlineStr">
        <is>
          <t>-359K106.0</t>
        </is>
      </c>
      <c r="E8011" t="inlineStr">
        <is>
          <t>40_DIL-E</t>
        </is>
      </c>
      <c r="F8011" t="inlineStr">
        <is>
          <t>40_DIL-E</t>
        </is>
      </c>
      <c r="G8011" t="inlineStr">
        <is>
          <t>HILFSKONTAKTBLOCK</t>
        </is>
      </c>
      <c r="H8011" t="inlineStr">
        <is>
          <t>4S Last+Hilfsschuetz</t>
        </is>
      </c>
      <c r="I8011">
        <v>318</v>
      </c>
      <c r="J8011">
        <f>GC03/359.6</f>
        <v>0</v>
      </c>
      <c r="M8011" t="inlineStr">
        <is>
          <t>-359K106.0</t>
        </is>
      </c>
    </row>
    <row r="8012">
      <c r="A8012">
        <v>8011</v>
      </c>
      <c r="B8012">
        <f>GC03</f>
        <v>0</v>
      </c>
      <c r="C8012" t="inlineStr">
        <is>
          <t>+ES2</t>
        </is>
      </c>
      <c r="D8012" t="inlineStr">
        <is>
          <t>-359K106.1</t>
        </is>
      </c>
      <c r="E8012" t="inlineStr">
        <is>
          <t>DIL_ER-40-G</t>
        </is>
      </c>
      <c r="F8012" t="inlineStr">
        <is>
          <t>40_DIL-E</t>
        </is>
      </c>
      <c r="G8012" t="inlineStr">
        <is>
          <t>HILFSSCHUETZ</t>
        </is>
      </c>
      <c r="H8012" t="inlineStr">
        <is>
          <t>4S</t>
        </is>
      </c>
      <c r="I8012">
        <v>318</v>
      </c>
      <c r="J8012">
        <f>GC03/359.7</f>
        <v>0</v>
      </c>
      <c r="M8012" t="inlineStr">
        <is>
          <t>-359K106.1</t>
        </is>
      </c>
    </row>
    <row r="8013">
      <c r="A8013">
        <v>8012</v>
      </c>
      <c r="B8013">
        <f>GC03</f>
        <v>0</v>
      </c>
      <c r="C8013" t="inlineStr">
        <is>
          <t>+ES2</t>
        </is>
      </c>
      <c r="D8013" t="inlineStr">
        <is>
          <t>-359K106.1</t>
        </is>
      </c>
      <c r="E8013" t="inlineStr">
        <is>
          <t>40_DIL-E</t>
        </is>
      </c>
      <c r="F8013" t="inlineStr">
        <is>
          <t>40_DIL-E</t>
        </is>
      </c>
      <c r="G8013" t="inlineStr">
        <is>
          <t>HILFSKONTAKTBLOCK</t>
        </is>
      </c>
      <c r="H8013" t="inlineStr">
        <is>
          <t>4S Last+Hilfsschuetz</t>
        </is>
      </c>
      <c r="I8013">
        <v>318</v>
      </c>
      <c r="J8013">
        <f>GC03/359.7</f>
        <v>0</v>
      </c>
      <c r="M8013" t="inlineStr">
        <is>
          <t>-359K106.1</t>
        </is>
      </c>
    </row>
    <row r="8014">
      <c r="A8014">
        <v>8013</v>
      </c>
      <c r="B8014">
        <f>GS15</f>
        <v>0</v>
      </c>
      <c r="C8014" t="inlineStr">
        <is>
          <t>+LS7</t>
        </is>
      </c>
      <c r="D8014" t="inlineStr">
        <is>
          <t>-359K24.6</t>
        </is>
      </c>
      <c r="E8014" t="inlineStr">
        <is>
          <t>DIL_EM-10-G</t>
        </is>
      </c>
      <c r="F8014" t="inlineStr">
        <is>
          <t>#KALK!</t>
        </is>
      </c>
      <c r="G8014" t="inlineStr">
        <is>
          <t>LASTSCHUETZ</t>
        </is>
      </c>
      <c r="H8014" t="inlineStr">
        <is>
          <t>4kW 1S</t>
        </is>
      </c>
      <c r="I8014">
        <v>858</v>
      </c>
      <c r="J8014">
        <f>GS15/359.7</f>
        <v>0</v>
      </c>
      <c r="M8014" t="inlineStr">
        <is>
          <t>-359K24.6</t>
        </is>
      </c>
    </row>
    <row r="8015">
      <c r="A8015">
        <v>8014</v>
      </c>
      <c r="B8015">
        <f>GS25</f>
        <v>0</v>
      </c>
      <c r="C8015" t="inlineStr">
        <is>
          <t>+LS7</t>
        </is>
      </c>
      <c r="D8015" t="inlineStr">
        <is>
          <t>-359K26.2</t>
        </is>
      </c>
      <c r="E8015" t="inlineStr">
        <is>
          <t>DIL_EM-10-G</t>
        </is>
      </c>
      <c r="F8015" t="inlineStr">
        <is>
          <t>#KALK!</t>
        </is>
      </c>
      <c r="G8015" t="inlineStr">
        <is>
          <t>LASTSCHUETZ</t>
        </is>
      </c>
      <c r="H8015" t="inlineStr">
        <is>
          <t>4kW 1S</t>
        </is>
      </c>
      <c r="I8015">
        <v>483</v>
      </c>
      <c r="J8015">
        <f>GS25/359.6</f>
        <v>0</v>
      </c>
      <c r="M8015" t="inlineStr">
        <is>
          <t>-359K26.2</t>
        </is>
      </c>
    </row>
    <row r="8016">
      <c r="A8016">
        <v>8015</v>
      </c>
      <c r="B8016">
        <f>GS25</f>
        <v>0</v>
      </c>
      <c r="C8016" t="inlineStr">
        <is>
          <t>+LS7</t>
        </is>
      </c>
      <c r="D8016" t="inlineStr">
        <is>
          <t>-359K26.3</t>
        </is>
      </c>
      <c r="E8016" t="inlineStr">
        <is>
          <t>DIL_EM-10-G</t>
        </is>
      </c>
      <c r="F8016" t="inlineStr">
        <is>
          <t>#KALK!</t>
        </is>
      </c>
      <c r="G8016" t="inlineStr">
        <is>
          <t>LASTSCHUETZ</t>
        </is>
      </c>
      <c r="H8016" t="inlineStr">
        <is>
          <t>4kW 1S</t>
        </is>
      </c>
      <c r="I8016">
        <v>483</v>
      </c>
      <c r="J8016">
        <f>GS25/359.6</f>
        <v>0</v>
      </c>
      <c r="M8016" t="inlineStr">
        <is>
          <t>-359K26.3</t>
        </is>
      </c>
    </row>
    <row r="8017">
      <c r="A8017">
        <v>8016</v>
      </c>
      <c r="B8017">
        <f>GS14</f>
        <v>0</v>
      </c>
      <c r="C8017" t="inlineStr">
        <is>
          <t>+LS7</t>
        </is>
      </c>
      <c r="D8017" t="inlineStr">
        <is>
          <t>-359K30.7</t>
        </is>
      </c>
      <c r="E8017" t="inlineStr">
        <is>
          <t>DIL_EM-10-G</t>
        </is>
      </c>
      <c r="F8017" t="inlineStr">
        <is>
          <t>#KALK!</t>
        </is>
      </c>
      <c r="G8017" t="inlineStr">
        <is>
          <t>LASTSCHUETZ</t>
        </is>
      </c>
      <c r="H8017" t="inlineStr">
        <is>
          <t>4kW 1S</t>
        </is>
      </c>
      <c r="I8017">
        <v>488</v>
      </c>
      <c r="J8017">
        <f>GS14/359.5</f>
        <v>0</v>
      </c>
      <c r="M8017" t="inlineStr">
        <is>
          <t>-359K30.7</t>
        </is>
      </c>
    </row>
    <row r="8018">
      <c r="A8018">
        <v>8017</v>
      </c>
      <c r="B8018">
        <f>GS14</f>
        <v>0</v>
      </c>
      <c r="C8018" t="inlineStr">
        <is>
          <t>+LS7</t>
        </is>
      </c>
      <c r="D8018" t="inlineStr">
        <is>
          <t>-359K31.0</t>
        </is>
      </c>
      <c r="E8018" t="inlineStr">
        <is>
          <t>DIL_EM-10-G</t>
        </is>
      </c>
      <c r="F8018" t="inlineStr">
        <is>
          <t>#KALK!</t>
        </is>
      </c>
      <c r="G8018" t="inlineStr">
        <is>
          <t>LASTSCHUETZ</t>
        </is>
      </c>
      <c r="H8018" t="inlineStr">
        <is>
          <t>4kW 1S</t>
        </is>
      </c>
      <c r="I8018">
        <v>488</v>
      </c>
      <c r="J8018">
        <f>GS14/359.6</f>
        <v>0</v>
      </c>
      <c r="M8018" t="inlineStr">
        <is>
          <t>-359K31.0</t>
        </is>
      </c>
    </row>
    <row r="8019">
      <c r="A8019">
        <v>8018</v>
      </c>
      <c r="B8019">
        <f>GS14</f>
        <v>0</v>
      </c>
      <c r="C8019" t="inlineStr">
        <is>
          <t>+LS7</t>
        </is>
      </c>
      <c r="D8019" t="inlineStr">
        <is>
          <t>-359K31.1</t>
        </is>
      </c>
      <c r="E8019" t="inlineStr">
        <is>
          <t>DIL_EM-01-G</t>
        </is>
      </c>
      <c r="F8019" t="inlineStr">
        <is>
          <t>#KALK!</t>
        </is>
      </c>
      <c r="G8019" t="inlineStr">
        <is>
          <t>LASTSCHUETZ</t>
        </is>
      </c>
      <c r="H8019" t="inlineStr">
        <is>
          <t>4kW 1OE</t>
        </is>
      </c>
      <c r="I8019">
        <v>488</v>
      </c>
      <c r="J8019">
        <f>GS14/359.7</f>
        <v>0</v>
      </c>
      <c r="M8019" t="inlineStr">
        <is>
          <t>-359K31.1</t>
        </is>
      </c>
    </row>
    <row r="8020">
      <c r="A8020">
        <v>8019</v>
      </c>
      <c r="B8020">
        <f>GS14</f>
        <v>0</v>
      </c>
      <c r="C8020" t="inlineStr">
        <is>
          <t>+LS7</t>
        </is>
      </c>
      <c r="D8020" t="inlineStr">
        <is>
          <t>-359K31.2</t>
        </is>
      </c>
      <c r="E8020" t="inlineStr">
        <is>
          <t>DIL_EM-01-G</t>
        </is>
      </c>
      <c r="F8020" t="inlineStr">
        <is>
          <t>#KALK!</t>
        </is>
      </c>
      <c r="G8020" t="inlineStr">
        <is>
          <t>LASTSCHUETZ</t>
        </is>
      </c>
      <c r="H8020" t="inlineStr">
        <is>
          <t>4kW 1OE</t>
        </is>
      </c>
      <c r="I8020">
        <v>488</v>
      </c>
      <c r="J8020">
        <f>GS14/359.8</f>
        <v>0</v>
      </c>
      <c r="M8020" t="inlineStr">
        <is>
          <t>-359K31.2</t>
        </is>
      </c>
    </row>
    <row r="8021">
      <c r="A8021">
        <v>8020</v>
      </c>
      <c r="B8021">
        <f>GS31</f>
        <v>0</v>
      </c>
      <c r="C8021" t="inlineStr">
        <is>
          <t>+LS7</t>
        </is>
      </c>
      <c r="D8021" t="inlineStr">
        <is>
          <t>-359K47.1</t>
        </is>
      </c>
      <c r="E8021" t="inlineStr">
        <is>
          <t>DIL_EM-10-G</t>
        </is>
      </c>
      <c r="F8021" t="inlineStr">
        <is>
          <t>#KALK!</t>
        </is>
      </c>
      <c r="G8021" t="inlineStr">
        <is>
          <t>LASTSCHUETZ</t>
        </is>
      </c>
      <c r="H8021" t="inlineStr">
        <is>
          <t>4kW 1S</t>
        </is>
      </c>
      <c r="I8021">
        <v>650</v>
      </c>
      <c r="J8021">
        <f>GS31/359.7</f>
        <v>0</v>
      </c>
      <c r="M8021" t="inlineStr">
        <is>
          <t>-359K47.1</t>
        </is>
      </c>
    </row>
    <row r="8022">
      <c r="A8022">
        <v>8021</v>
      </c>
      <c r="B8022">
        <f>GS11</f>
        <v>0</v>
      </c>
      <c r="C8022" t="inlineStr">
        <is>
          <t>+LS9</t>
        </is>
      </c>
      <c r="D8022" t="inlineStr">
        <is>
          <t>-359K60.4</t>
        </is>
      </c>
      <c r="E8022" t="inlineStr">
        <is>
          <t>DIL_EM-10-G</t>
        </is>
      </c>
      <c r="F8022" t="inlineStr">
        <is>
          <t>#KALK!</t>
        </is>
      </c>
      <c r="G8022" t="inlineStr">
        <is>
          <t>LASTSCHUETZ</t>
        </is>
      </c>
      <c r="H8022" t="inlineStr">
        <is>
          <t>4kW 1S</t>
        </is>
      </c>
      <c r="I8022">
        <v>465</v>
      </c>
      <c r="J8022">
        <f>GS11/359.6</f>
        <v>0</v>
      </c>
      <c r="M8022" t="inlineStr">
        <is>
          <t>-359K60.4</t>
        </is>
      </c>
    </row>
    <row r="8023">
      <c r="A8023">
        <v>8022</v>
      </c>
      <c r="B8023">
        <f>GS21</f>
        <v>0</v>
      </c>
      <c r="C8023" t="inlineStr">
        <is>
          <t>+LS9</t>
        </is>
      </c>
      <c r="D8023" t="inlineStr">
        <is>
          <t>-359K60.4</t>
        </is>
      </c>
      <c r="E8023" t="inlineStr">
        <is>
          <t>DIL_EM-10-G</t>
        </is>
      </c>
      <c r="F8023" t="inlineStr">
        <is>
          <t>#KALK!</t>
        </is>
      </c>
      <c r="G8023" t="inlineStr">
        <is>
          <t>LASTSCHUETZ</t>
        </is>
      </c>
      <c r="H8023" t="inlineStr">
        <is>
          <t>4kW 1S</t>
        </is>
      </c>
      <c r="I8023">
        <v>447</v>
      </c>
      <c r="J8023">
        <f>GS21/359.6</f>
        <v>0</v>
      </c>
      <c r="M8023" t="inlineStr">
        <is>
          <t>-359K60.4</t>
        </is>
      </c>
    </row>
    <row r="8024">
      <c r="A8024">
        <v>8023</v>
      </c>
      <c r="B8024">
        <f>GS02</f>
        <v>0</v>
      </c>
      <c r="C8024" t="inlineStr">
        <is>
          <t>+LS8</t>
        </is>
      </c>
      <c r="D8024" t="inlineStr">
        <is>
          <t>-359K60.7</t>
        </is>
      </c>
      <c r="E8024" t="inlineStr">
        <is>
          <t>DIL_EM-10-G</t>
        </is>
      </c>
      <c r="F8024" t="inlineStr">
        <is>
          <t>#KALK!</t>
        </is>
      </c>
      <c r="G8024" t="inlineStr">
        <is>
          <t>LASTSCHUETZ</t>
        </is>
      </c>
      <c r="H8024" t="inlineStr">
        <is>
          <t>4kW 1S</t>
        </is>
      </c>
      <c r="I8024">
        <v>765</v>
      </c>
      <c r="J8024">
        <f>GS02/359.7</f>
        <v>0</v>
      </c>
      <c r="M8024" t="inlineStr">
        <is>
          <t>-359K60.7</t>
        </is>
      </c>
    </row>
    <row r="8025">
      <c r="A8025">
        <v>8024</v>
      </c>
      <c r="B8025">
        <f>GS01</f>
        <v>0</v>
      </c>
      <c r="C8025" t="inlineStr">
        <is>
          <t>+LS8</t>
        </is>
      </c>
      <c r="D8025" t="inlineStr">
        <is>
          <t>-359K70.2</t>
        </is>
      </c>
      <c r="E8025" t="inlineStr">
        <is>
          <t>DIL_EM-10-G</t>
        </is>
      </c>
      <c r="F8025" t="inlineStr">
        <is>
          <t>#KALK!</t>
        </is>
      </c>
      <c r="G8025" t="inlineStr">
        <is>
          <t>LASTSCHUETZ</t>
        </is>
      </c>
      <c r="H8025" t="inlineStr">
        <is>
          <t>4kW 1S</t>
        </is>
      </c>
      <c r="I8025">
        <v>522</v>
      </c>
      <c r="J8025">
        <f>GS01/359.6</f>
        <v>0</v>
      </c>
      <c r="M8025" t="inlineStr">
        <is>
          <t>-359K70.2</t>
        </is>
      </c>
    </row>
    <row r="8026">
      <c r="A8026">
        <v>8025</v>
      </c>
      <c r="B8026">
        <f>GS01</f>
        <v>0</v>
      </c>
      <c r="C8026" t="inlineStr">
        <is>
          <t>+LS8</t>
        </is>
      </c>
      <c r="D8026" t="inlineStr">
        <is>
          <t>-359K70.3</t>
        </is>
      </c>
      <c r="E8026" t="inlineStr">
        <is>
          <t>DIL_EM-10-G</t>
        </is>
      </c>
      <c r="F8026" t="inlineStr">
        <is>
          <t>#KALK!</t>
        </is>
      </c>
      <c r="G8026" t="inlineStr">
        <is>
          <t>LASTSCHUETZ</t>
        </is>
      </c>
      <c r="H8026" t="inlineStr">
        <is>
          <t>4kW 1S</t>
        </is>
      </c>
      <c r="I8026">
        <v>522</v>
      </c>
      <c r="J8026">
        <f>GS01/359.6</f>
        <v>0</v>
      </c>
      <c r="M8026" t="inlineStr">
        <is>
          <t>-359K70.3</t>
        </is>
      </c>
    </row>
    <row r="8027">
      <c r="A8027">
        <v>8026</v>
      </c>
      <c r="B8027">
        <f>GS36</f>
        <v>0</v>
      </c>
      <c r="C8027" t="inlineStr">
        <is>
          <t>+LS08</t>
        </is>
      </c>
      <c r="D8027" t="inlineStr">
        <is>
          <t>-388Q441.7</t>
        </is>
      </c>
      <c r="E8027" t="inlineStr">
        <is>
          <t>DILMC12-10(24VDC)</t>
        </is>
      </c>
      <c r="F8027" t="inlineStr">
        <is>
          <t>#KALK!</t>
        </is>
      </c>
      <c r="G8027" t="inlineStr">
        <is>
          <t>LASTSCHUETZ</t>
        </is>
      </c>
      <c r="H8027" t="inlineStr">
        <is>
          <t>5,5kW 1S Federzugkl.</t>
        </is>
      </c>
      <c r="I8027">
        <v>561</v>
      </c>
      <c r="J8027">
        <f>GS36/388.5</f>
        <v>0</v>
      </c>
      <c r="K8027" t="inlineStr">
        <is>
          <t>DIL MC12</t>
        </is>
      </c>
      <c r="L8027" t="inlineStr">
        <is>
          <t>HT_3102</t>
        </is>
      </c>
      <c r="M8027" t="inlineStr">
        <is>
          <t>HT_3102
-388Q441.7</t>
        </is>
      </c>
      <c r="N8027" t="inlineStr">
        <is>
          <t>P</t>
        </is>
      </c>
    </row>
    <row r="8028">
      <c r="A8028">
        <v>8027</v>
      </c>
      <c r="B8028">
        <f>GS80</f>
        <v>0</v>
      </c>
      <c r="C8028" t="inlineStr">
        <is>
          <t>+LS04</t>
        </is>
      </c>
      <c r="D8028" t="inlineStr">
        <is>
          <t>-35Q1</t>
        </is>
      </c>
      <c r="E8028" t="inlineStr">
        <is>
          <t>DILM150-XHIC22</t>
        </is>
      </c>
      <c r="F8028" t="inlineStr">
        <is>
          <t>DILM150-XHIC22</t>
        </is>
      </c>
      <c r="G8028" t="inlineStr">
        <is>
          <t>HILFSKONTAKTBLOCK</t>
        </is>
      </c>
      <c r="H8028" t="inlineStr">
        <is>
          <t>2S 2OE ab DILMC40</t>
        </is>
      </c>
      <c r="I8028">
        <v>170</v>
      </c>
      <c r="J8028">
        <f>GS80/35.3</f>
        <v>0</v>
      </c>
      <c r="K8028" t="inlineStr">
        <is>
          <t>DILMC40</t>
        </is>
      </c>
      <c r="M8028" t="inlineStr">
        <is>
          <t>-35Q1</t>
        </is>
      </c>
    </row>
    <row r="8029">
      <c r="A8029">
        <v>8028</v>
      </c>
      <c r="B8029">
        <f>GS80</f>
        <v>0</v>
      </c>
      <c r="C8029" t="inlineStr">
        <is>
          <t>+LS05</t>
        </is>
      </c>
      <c r="D8029" t="inlineStr">
        <is>
          <t>-35Q1</t>
        </is>
      </c>
      <c r="E8029" t="inlineStr">
        <is>
          <t>DILMC40(RDC24)</t>
        </is>
      </c>
      <c r="F8029" t="inlineStr">
        <is>
          <t>DILM150-XHIC22</t>
        </is>
      </c>
      <c r="G8029" t="inlineStr">
        <is>
          <t>LASTSCHUETZ</t>
        </is>
      </c>
      <c r="H8029" t="inlineStr">
        <is>
          <t>18,5kW Federzugkl.</t>
        </is>
      </c>
      <c r="I8029">
        <v>173</v>
      </c>
      <c r="J8029">
        <f>GS80/35.3</f>
        <v>0</v>
      </c>
      <c r="K8029" t="inlineStr">
        <is>
          <t>DILMC40</t>
        </is>
      </c>
      <c r="M8029" t="inlineStr">
        <is>
          <t>-35Q1</t>
        </is>
      </c>
    </row>
    <row r="8030">
      <c r="A8030">
        <v>8029</v>
      </c>
      <c r="B8030">
        <f>GS80</f>
        <v>0</v>
      </c>
      <c r="C8030" t="inlineStr">
        <is>
          <t>+LS04</t>
        </is>
      </c>
      <c r="D8030" t="inlineStr">
        <is>
          <t>-35Q1</t>
        </is>
      </c>
      <c r="E8030" t="inlineStr">
        <is>
          <t>DILMC40(RDC24)</t>
        </is>
      </c>
      <c r="F8030" t="inlineStr">
        <is>
          <t>DILM150-XHIC22</t>
        </is>
      </c>
      <c r="G8030" t="inlineStr">
        <is>
          <t>LASTSCHUETZ</t>
        </is>
      </c>
      <c r="H8030" t="inlineStr">
        <is>
          <t>18,5kW Federzugkl.</t>
        </is>
      </c>
      <c r="I8030">
        <v>170</v>
      </c>
      <c r="J8030">
        <f>GS80/35.3</f>
        <v>0</v>
      </c>
      <c r="K8030" t="inlineStr">
        <is>
          <t>DILMC40</t>
        </is>
      </c>
      <c r="M8030" t="inlineStr">
        <is>
          <t>-35Q1</t>
        </is>
      </c>
    </row>
    <row r="8031">
      <c r="A8031">
        <v>8030</v>
      </c>
      <c r="B8031">
        <f>GS80</f>
        <v>0</v>
      </c>
      <c r="C8031" t="inlineStr">
        <is>
          <t>+LS05</t>
        </is>
      </c>
      <c r="D8031" t="inlineStr">
        <is>
          <t>-35Q1</t>
        </is>
      </c>
      <c r="E8031" t="inlineStr">
        <is>
          <t>DILM150-XHIC22</t>
        </is>
      </c>
      <c r="F8031" t="inlineStr">
        <is>
          <t>DILM150-XHIC22</t>
        </is>
      </c>
      <c r="G8031" t="inlineStr">
        <is>
          <t>HILFSKONTAKTBLOCK</t>
        </is>
      </c>
      <c r="H8031" t="inlineStr">
        <is>
          <t>2S 2OE ab DILMC40</t>
        </is>
      </c>
      <c r="I8031">
        <v>173</v>
      </c>
      <c r="J8031">
        <f>GS80/35.3</f>
        <v>0</v>
      </c>
      <c r="K8031" t="inlineStr">
        <is>
          <t>DILMC40</t>
        </is>
      </c>
      <c r="M8031" t="inlineStr">
        <is>
          <t>-35Q1</t>
        </is>
      </c>
    </row>
    <row r="8032">
      <c r="A8032">
        <v>8031</v>
      </c>
      <c r="B8032">
        <f>GS25</f>
        <v>0</v>
      </c>
      <c r="C8032" t="inlineStr">
        <is>
          <t>+LS7</t>
        </is>
      </c>
      <c r="D8032" t="inlineStr">
        <is>
          <t>-36027.7</t>
        </is>
      </c>
      <c r="E8032" t="inlineStr">
        <is>
          <t>DILM-9-10</t>
        </is>
      </c>
      <c r="F8032" t="inlineStr">
        <is>
          <t>#KALK!</t>
        </is>
      </c>
      <c r="G8032" t="inlineStr">
        <is>
          <t>LASTSCHUETZ</t>
        </is>
      </c>
      <c r="H8032" t="inlineStr">
        <is>
          <t>4kW 1S Federzugkl.</t>
        </is>
      </c>
      <c r="I8032">
        <v>484</v>
      </c>
      <c r="J8032">
        <f>GS25/360.8</f>
        <v>0</v>
      </c>
      <c r="M8032" t="inlineStr">
        <is>
          <t>-36027.7</t>
        </is>
      </c>
    </row>
    <row r="8033">
      <c r="A8033">
        <v>8032</v>
      </c>
      <c r="B8033">
        <f>GS13</f>
        <v>0</v>
      </c>
      <c r="C8033" t="inlineStr">
        <is>
          <t>+LS8</t>
        </is>
      </c>
      <c r="D8033" t="inlineStr">
        <is>
          <t>-3603502.0</t>
        </is>
      </c>
      <c r="E8033" t="inlineStr">
        <is>
          <t>DIL_EM-10-G</t>
        </is>
      </c>
      <c r="F8033" t="inlineStr">
        <is>
          <t>22_DIL-E</t>
        </is>
      </c>
      <c r="G8033" t="inlineStr">
        <is>
          <t>LASTSCHUETZ</t>
        </is>
      </c>
      <c r="H8033" t="inlineStr">
        <is>
          <t>4kW 1S</t>
        </is>
      </c>
      <c r="I8033">
        <v>605</v>
      </c>
      <c r="J8033">
        <f>GS13/360.2</f>
        <v>0</v>
      </c>
      <c r="M8033" t="inlineStr">
        <is>
          <t>-3603502.0</t>
        </is>
      </c>
    </row>
    <row r="8034">
      <c r="A8034">
        <v>8033</v>
      </c>
      <c r="B8034">
        <f>GS13</f>
        <v>0</v>
      </c>
      <c r="C8034" t="inlineStr">
        <is>
          <t>+LS8</t>
        </is>
      </c>
      <c r="D8034" t="inlineStr">
        <is>
          <t>-3603502.0</t>
        </is>
      </c>
      <c r="E8034" t="inlineStr">
        <is>
          <t>22_DIL-E</t>
        </is>
      </c>
      <c r="F8034" t="inlineStr">
        <is>
          <t>22_DIL-E</t>
        </is>
      </c>
      <c r="G8034" t="inlineStr">
        <is>
          <t>HILFSKONTAKTBLOCK</t>
        </is>
      </c>
      <c r="H8034" t="inlineStr">
        <is>
          <t>2S 2OE Last+Hilfsschuetz</t>
        </is>
      </c>
      <c r="I8034">
        <v>605</v>
      </c>
      <c r="J8034">
        <f>GS13/360.2</f>
        <v>0</v>
      </c>
      <c r="M8034" t="inlineStr">
        <is>
          <t>-3603502.0</t>
        </is>
      </c>
    </row>
    <row r="8035">
      <c r="A8035">
        <v>8034</v>
      </c>
      <c r="B8035">
        <f>GS13</f>
        <v>0</v>
      </c>
      <c r="C8035" t="inlineStr">
        <is>
          <t>+LS8</t>
        </is>
      </c>
      <c r="D8035" t="inlineStr">
        <is>
          <t>-3603502.1</t>
        </is>
      </c>
      <c r="E8035" t="inlineStr">
        <is>
          <t>DIL_EM-10-G</t>
        </is>
      </c>
      <c r="F8035" t="inlineStr">
        <is>
          <t>22_DIL-E</t>
        </is>
      </c>
      <c r="G8035" t="inlineStr">
        <is>
          <t>LASTSCHUETZ</t>
        </is>
      </c>
      <c r="H8035" t="inlineStr">
        <is>
          <t>4kW 1S</t>
        </is>
      </c>
      <c r="I8035">
        <v>605</v>
      </c>
      <c r="J8035">
        <f>GS13/360.3</f>
        <v>0</v>
      </c>
      <c r="M8035" t="inlineStr">
        <is>
          <t>-3603502.1</t>
        </is>
      </c>
    </row>
    <row r="8036">
      <c r="A8036">
        <v>8035</v>
      </c>
      <c r="B8036">
        <f>GS13</f>
        <v>0</v>
      </c>
      <c r="C8036" t="inlineStr">
        <is>
          <t>+LS8</t>
        </is>
      </c>
      <c r="D8036" t="inlineStr">
        <is>
          <t>-3603502.1</t>
        </is>
      </c>
      <c r="E8036" t="inlineStr">
        <is>
          <t>22_DIL-E</t>
        </is>
      </c>
      <c r="F8036" t="inlineStr">
        <is>
          <t>22_DIL-E</t>
        </is>
      </c>
      <c r="G8036" t="inlineStr">
        <is>
          <t>HILFSKONTAKTBLOCK</t>
        </is>
      </c>
      <c r="H8036" t="inlineStr">
        <is>
          <t>2S 2OE Last+Hilfsschuetz</t>
        </is>
      </c>
      <c r="I8036">
        <v>605</v>
      </c>
      <c r="J8036">
        <f>GS13/360.3</f>
        <v>0</v>
      </c>
      <c r="M8036" t="inlineStr">
        <is>
          <t>-3603502.1</t>
        </is>
      </c>
    </row>
    <row r="8037">
      <c r="A8037">
        <v>8036</v>
      </c>
      <c r="B8037">
        <f>GS13</f>
        <v>0</v>
      </c>
      <c r="C8037" t="inlineStr">
        <is>
          <t>+LS8</t>
        </is>
      </c>
      <c r="D8037" t="inlineStr">
        <is>
          <t>-360A2</t>
        </is>
      </c>
      <c r="E8037" t="inlineStr">
        <is>
          <t>DIL_ER-22-G</t>
        </is>
      </c>
      <c r="F8037" t="inlineStr">
        <is>
          <t>#KALK!</t>
        </is>
      </c>
      <c r="G8037" t="inlineStr">
        <is>
          <t>HILFSSCHUETZ</t>
        </is>
      </c>
      <c r="H8037" t="inlineStr">
        <is>
          <t>2S 2OE</t>
        </is>
      </c>
      <c r="I8037">
        <v>605</v>
      </c>
      <c r="J8037">
        <f>GS13/360.5</f>
        <v>0</v>
      </c>
      <c r="M8037" t="inlineStr">
        <is>
          <t>-360A2</t>
        </is>
      </c>
    </row>
    <row r="8038">
      <c r="A8038">
        <v>8037</v>
      </c>
      <c r="B8038">
        <f>GS90</f>
        <v>0</v>
      </c>
      <c r="C8038" t="inlineStr">
        <is>
          <t>+LS06</t>
        </is>
      </c>
      <c r="D8038" t="inlineStr">
        <is>
          <t>-360K195.0</t>
        </is>
      </c>
      <c r="E8038" t="inlineStr">
        <is>
          <t>DILA-40</t>
        </is>
      </c>
      <c r="F8038" t="inlineStr">
        <is>
          <t>#KALK!</t>
        </is>
      </c>
      <c r="G8038" t="inlineStr">
        <is>
          <t>HILFSSCHUETZ</t>
        </is>
      </c>
      <c r="H8038" t="inlineStr">
        <is>
          <t>4S Federzugkl.</t>
        </is>
      </c>
      <c r="I8038">
        <v>886</v>
      </c>
      <c r="J8038">
        <f>GS90/360.7</f>
        <v>0</v>
      </c>
      <c r="M8038" t="inlineStr">
        <is>
          <t>-360K195.0</t>
        </is>
      </c>
    </row>
    <row r="8039">
      <c r="A8039">
        <v>8038</v>
      </c>
      <c r="B8039">
        <f>GS15</f>
        <v>0</v>
      </c>
      <c r="C8039" t="inlineStr">
        <is>
          <t>+LS7</t>
        </is>
      </c>
      <c r="D8039" t="inlineStr">
        <is>
          <t>-360K24.7</t>
        </is>
      </c>
      <c r="E8039" t="inlineStr">
        <is>
          <t>DIL_EM-10-G</t>
        </is>
      </c>
      <c r="F8039" t="inlineStr">
        <is>
          <t>#KALK!</t>
        </is>
      </c>
      <c r="G8039" t="inlineStr">
        <is>
          <t>LASTSCHUETZ</t>
        </is>
      </c>
      <c r="H8039" t="inlineStr">
        <is>
          <t>4kW 1S</t>
        </is>
      </c>
      <c r="I8039">
        <v>859</v>
      </c>
      <c r="J8039">
        <f>GS15/360.6</f>
        <v>0</v>
      </c>
      <c r="M8039" t="inlineStr">
        <is>
          <t>-360K24.7</t>
        </is>
      </c>
    </row>
    <row r="8040">
      <c r="A8040">
        <v>8039</v>
      </c>
      <c r="B8040">
        <f>GS14</f>
        <v>0</v>
      </c>
      <c r="C8040" t="inlineStr">
        <is>
          <t>+LS7</t>
        </is>
      </c>
      <c r="D8040" t="inlineStr">
        <is>
          <t>-360K31.6</t>
        </is>
      </c>
      <c r="E8040" t="inlineStr">
        <is>
          <t>DIL_EM-10-G</t>
        </is>
      </c>
      <c r="F8040" t="inlineStr">
        <is>
          <t>#KALK!</t>
        </is>
      </c>
      <c r="G8040" t="inlineStr">
        <is>
          <t>LASTSCHUETZ</t>
        </is>
      </c>
      <c r="H8040" t="inlineStr">
        <is>
          <t>4kW 1S</t>
        </is>
      </c>
      <c r="I8040">
        <v>489</v>
      </c>
      <c r="J8040">
        <f>GS14/360.7</f>
        <v>0</v>
      </c>
      <c r="M8040" t="inlineStr">
        <is>
          <t>-360K31.6</t>
        </is>
      </c>
    </row>
    <row r="8041">
      <c r="A8041">
        <v>8040</v>
      </c>
      <c r="B8041">
        <f>GS23</f>
        <v>0</v>
      </c>
      <c r="C8041" t="inlineStr">
        <is>
          <t>+LS8</t>
        </is>
      </c>
      <c r="D8041" t="inlineStr">
        <is>
          <t>-360K3502.0</t>
        </is>
      </c>
      <c r="E8041" t="inlineStr">
        <is>
          <t>DIL_EM-10-G</t>
        </is>
      </c>
      <c r="F8041" t="inlineStr">
        <is>
          <t>22_DIL-E</t>
        </is>
      </c>
      <c r="G8041" t="inlineStr">
        <is>
          <t>LASTSCHUETZ</t>
        </is>
      </c>
      <c r="H8041" t="inlineStr">
        <is>
          <t>4kW 1S</t>
        </is>
      </c>
      <c r="I8041">
        <v>661</v>
      </c>
      <c r="J8041">
        <f>GS23/360.2</f>
        <v>0</v>
      </c>
      <c r="M8041" t="inlineStr">
        <is>
          <t>-360K3502.0</t>
        </is>
      </c>
    </row>
    <row r="8042">
      <c r="A8042">
        <v>8041</v>
      </c>
      <c r="B8042">
        <f>GS23</f>
        <v>0</v>
      </c>
      <c r="C8042" t="inlineStr">
        <is>
          <t>+LS8</t>
        </is>
      </c>
      <c r="D8042" t="inlineStr">
        <is>
          <t>-360K3502.0</t>
        </is>
      </c>
      <c r="E8042" t="inlineStr">
        <is>
          <t>22_DIL-E</t>
        </is>
      </c>
      <c r="F8042" t="inlineStr">
        <is>
          <t>22_DIL-E</t>
        </is>
      </c>
      <c r="G8042" t="inlineStr">
        <is>
          <t>HILFSKONTAKTBLOCK</t>
        </is>
      </c>
      <c r="H8042" t="inlineStr">
        <is>
          <t>2S 2OE Last+Hilfsschuetz</t>
        </is>
      </c>
      <c r="I8042">
        <v>661</v>
      </c>
      <c r="J8042">
        <f>GS23/360.2</f>
        <v>0</v>
      </c>
      <c r="M8042" t="inlineStr">
        <is>
          <t>-360K3502.0</t>
        </is>
      </c>
    </row>
    <row r="8043">
      <c r="A8043">
        <v>8042</v>
      </c>
      <c r="B8043">
        <f>GS23</f>
        <v>0</v>
      </c>
      <c r="C8043" t="inlineStr">
        <is>
          <t>+LS8</t>
        </is>
      </c>
      <c r="D8043" t="inlineStr">
        <is>
          <t>-360K3502.1</t>
        </is>
      </c>
      <c r="E8043" t="inlineStr">
        <is>
          <t>DIL_EM-10-G</t>
        </is>
      </c>
      <c r="F8043" t="inlineStr">
        <is>
          <t>22_DIL-E</t>
        </is>
      </c>
      <c r="G8043" t="inlineStr">
        <is>
          <t>LASTSCHUETZ</t>
        </is>
      </c>
      <c r="H8043" t="inlineStr">
        <is>
          <t>4kW 1S</t>
        </is>
      </c>
      <c r="I8043">
        <v>661</v>
      </c>
      <c r="J8043">
        <f>GS23/360.3</f>
        <v>0</v>
      </c>
      <c r="M8043" t="inlineStr">
        <is>
          <t>-360K3502.1</t>
        </is>
      </c>
    </row>
    <row r="8044">
      <c r="A8044">
        <v>8043</v>
      </c>
      <c r="B8044">
        <f>GS23</f>
        <v>0</v>
      </c>
      <c r="C8044" t="inlineStr">
        <is>
          <t>+LS8</t>
        </is>
      </c>
      <c r="D8044" t="inlineStr">
        <is>
          <t>-360K3502.1</t>
        </is>
      </c>
      <c r="E8044" t="inlineStr">
        <is>
          <t>22_DIL-E</t>
        </is>
      </c>
      <c r="F8044" t="inlineStr">
        <is>
          <t>22_DIL-E</t>
        </is>
      </c>
      <c r="G8044" t="inlineStr">
        <is>
          <t>HILFSKONTAKTBLOCK</t>
        </is>
      </c>
      <c r="H8044" t="inlineStr">
        <is>
          <t>2S 2OE Last+Hilfsschuetz</t>
        </is>
      </c>
      <c r="I8044">
        <v>661</v>
      </c>
      <c r="J8044">
        <f>GS23/360.3</f>
        <v>0</v>
      </c>
      <c r="M8044" t="inlineStr">
        <is>
          <t>-360K3502.1</t>
        </is>
      </c>
    </row>
    <row r="8045">
      <c r="A8045">
        <v>8044</v>
      </c>
      <c r="B8045">
        <f>GS92</f>
        <v>0</v>
      </c>
      <c r="C8045" t="inlineStr">
        <is>
          <t>+LS06</t>
        </is>
      </c>
      <c r="D8045" t="inlineStr">
        <is>
          <t>-360K457.0</t>
        </is>
      </c>
      <c r="E8045" t="inlineStr">
        <is>
          <t>DILA-22</t>
        </is>
      </c>
      <c r="F8045" t="inlineStr">
        <is>
          <t>#KALK!</t>
        </is>
      </c>
      <c r="G8045" t="inlineStr">
        <is>
          <t>HILFSSCHUETZ</t>
        </is>
      </c>
      <c r="H8045" t="inlineStr">
        <is>
          <t>2S 2Oe Federzugkl.</t>
        </is>
      </c>
      <c r="I8045">
        <v>506</v>
      </c>
      <c r="J8045">
        <f>GS92/360.6</f>
        <v>0</v>
      </c>
      <c r="M8045" t="inlineStr">
        <is>
          <t>-360K457.0</t>
        </is>
      </c>
    </row>
    <row r="8046">
      <c r="A8046">
        <v>8045</v>
      </c>
      <c r="B8046">
        <f>GS31</f>
        <v>0</v>
      </c>
      <c r="C8046" t="inlineStr">
        <is>
          <t>+LS7</t>
        </is>
      </c>
      <c r="D8046" t="inlineStr">
        <is>
          <t>-360K47.2</t>
        </is>
      </c>
      <c r="E8046" t="inlineStr">
        <is>
          <t>DIL_EM-10-G</t>
        </is>
      </c>
      <c r="F8046" t="inlineStr">
        <is>
          <t>#KALK!</t>
        </is>
      </c>
      <c r="G8046" t="inlineStr">
        <is>
          <t>LASTSCHUETZ</t>
        </is>
      </c>
      <c r="H8046" t="inlineStr">
        <is>
          <t>4kW 1S</t>
        </is>
      </c>
      <c r="I8046">
        <v>651</v>
      </c>
      <c r="J8046">
        <f>GS31/360.6</f>
        <v>0</v>
      </c>
      <c r="M8046" t="inlineStr">
        <is>
          <t>-360K47.2</t>
        </is>
      </c>
    </row>
    <row r="8047">
      <c r="A8047">
        <v>8046</v>
      </c>
      <c r="B8047">
        <f>GS11</f>
        <v>0</v>
      </c>
      <c r="C8047" t="inlineStr">
        <is>
          <t>+LS9</t>
        </is>
      </c>
      <c r="D8047" t="inlineStr">
        <is>
          <t>-360K61.1</t>
        </is>
      </c>
      <c r="E8047" t="inlineStr">
        <is>
          <t>DIL_EM-10-G</t>
        </is>
      </c>
      <c r="F8047" t="inlineStr">
        <is>
          <t>#KALK!</t>
        </is>
      </c>
      <c r="G8047" t="inlineStr">
        <is>
          <t>LASTSCHUETZ</t>
        </is>
      </c>
      <c r="H8047" t="inlineStr">
        <is>
          <t>4kW 1S</t>
        </is>
      </c>
      <c r="I8047">
        <v>466</v>
      </c>
      <c r="J8047">
        <f>GS11/360.7</f>
        <v>0</v>
      </c>
      <c r="M8047" t="inlineStr">
        <is>
          <t>-360K61.1</t>
        </is>
      </c>
    </row>
    <row r="8048">
      <c r="A8048">
        <v>8047</v>
      </c>
      <c r="B8048">
        <f>GS21</f>
        <v>0</v>
      </c>
      <c r="C8048" t="inlineStr">
        <is>
          <t>+LS9</t>
        </is>
      </c>
      <c r="D8048" t="inlineStr">
        <is>
          <t>-360K61.1</t>
        </is>
      </c>
      <c r="E8048" t="inlineStr">
        <is>
          <t>DIL_EM-10-G</t>
        </is>
      </c>
      <c r="F8048" t="inlineStr">
        <is>
          <t>#KALK!</t>
        </is>
      </c>
      <c r="G8048" t="inlineStr">
        <is>
          <t>LASTSCHUETZ</t>
        </is>
      </c>
      <c r="H8048" t="inlineStr">
        <is>
          <t>4kW 1S</t>
        </is>
      </c>
      <c r="I8048">
        <v>448</v>
      </c>
      <c r="J8048">
        <f>GS21/360.7</f>
        <v>0</v>
      </c>
      <c r="M8048" t="inlineStr">
        <is>
          <t>-360K61.1</t>
        </is>
      </c>
    </row>
    <row r="8049">
      <c r="A8049">
        <v>8048</v>
      </c>
      <c r="B8049">
        <f>GS01</f>
        <v>0</v>
      </c>
      <c r="C8049" t="inlineStr">
        <is>
          <t>+LS8</t>
        </is>
      </c>
      <c r="D8049" t="inlineStr">
        <is>
          <t>-360K70.4</t>
        </is>
      </c>
      <c r="E8049" t="inlineStr">
        <is>
          <t>DIL_EM-10-G</t>
        </is>
      </c>
      <c r="F8049" t="inlineStr">
        <is>
          <t>#KALK!</t>
        </is>
      </c>
      <c r="G8049" t="inlineStr">
        <is>
          <t>LASTSCHUETZ</t>
        </is>
      </c>
      <c r="H8049" t="inlineStr">
        <is>
          <t>4kW 1S</t>
        </is>
      </c>
      <c r="I8049">
        <v>523</v>
      </c>
      <c r="J8049">
        <f>GS01/360.6</f>
        <v>0</v>
      </c>
      <c r="M8049" t="inlineStr">
        <is>
          <t>-360K70.4</t>
        </is>
      </c>
    </row>
    <row r="8050">
      <c r="A8050">
        <v>8049</v>
      </c>
      <c r="B8050">
        <f>GS01</f>
        <v>0</v>
      </c>
      <c r="C8050" t="inlineStr">
        <is>
          <t>+LS8</t>
        </is>
      </c>
      <c r="D8050" t="inlineStr">
        <is>
          <t>-360K70.5</t>
        </is>
      </c>
      <c r="E8050" t="inlineStr">
        <is>
          <t>DIL_EM-10-G</t>
        </is>
      </c>
      <c r="F8050" t="inlineStr">
        <is>
          <t>#KALK!</t>
        </is>
      </c>
      <c r="G8050" t="inlineStr">
        <is>
          <t>LASTSCHUETZ</t>
        </is>
      </c>
      <c r="H8050" t="inlineStr">
        <is>
          <t>4kW 1S</t>
        </is>
      </c>
      <c r="I8050">
        <v>523</v>
      </c>
      <c r="J8050">
        <f>GS01/360.6</f>
        <v>0</v>
      </c>
      <c r="M8050" t="inlineStr">
        <is>
          <t>-360K70.5</t>
        </is>
      </c>
    </row>
    <row r="8051">
      <c r="A8051">
        <v>8050</v>
      </c>
      <c r="B8051">
        <f>GS13</f>
        <v>0</v>
      </c>
      <c r="C8051" t="inlineStr">
        <is>
          <t>+LS8</t>
        </is>
      </c>
      <c r="D8051" t="inlineStr">
        <is>
          <t>-360KA1</t>
        </is>
      </c>
      <c r="E8051" t="inlineStr">
        <is>
          <t>31_DIL-E</t>
        </is>
      </c>
      <c r="F8051" t="inlineStr">
        <is>
          <t>31_DIL-E</t>
        </is>
      </c>
      <c r="G8051" t="inlineStr">
        <is>
          <t>HILFSKONTAKTBLOCK</t>
        </is>
      </c>
      <c r="H8051" t="inlineStr">
        <is>
          <t>3S 1OE Last+Hilsschuetz</t>
        </is>
      </c>
      <c r="I8051">
        <v>605</v>
      </c>
      <c r="J8051">
        <f>GS13/360.4</f>
        <v>0</v>
      </c>
      <c r="M8051" t="inlineStr">
        <is>
          <t>-360KA1</t>
        </is>
      </c>
    </row>
    <row r="8052">
      <c r="A8052">
        <v>8051</v>
      </c>
      <c r="B8052">
        <f>GS13</f>
        <v>0</v>
      </c>
      <c r="C8052" t="inlineStr">
        <is>
          <t>+LS8</t>
        </is>
      </c>
      <c r="D8052" t="inlineStr">
        <is>
          <t>-360KA1</t>
        </is>
      </c>
      <c r="E8052" t="inlineStr">
        <is>
          <t>DIL_ER-31-G</t>
        </is>
      </c>
      <c r="F8052" t="inlineStr">
        <is>
          <t>31_DIL-E</t>
        </is>
      </c>
      <c r="G8052" t="inlineStr">
        <is>
          <t>HILFSSCHUETZ</t>
        </is>
      </c>
      <c r="H8052" t="inlineStr">
        <is>
          <t>3S 1OE</t>
        </is>
      </c>
      <c r="I8052">
        <v>605</v>
      </c>
      <c r="J8052">
        <f>GS13/360.4</f>
        <v>0</v>
      </c>
      <c r="M8052" t="inlineStr">
        <is>
          <t>-360KA1</t>
        </is>
      </c>
    </row>
    <row r="8053">
      <c r="A8053">
        <v>8052</v>
      </c>
      <c r="B8053">
        <f>GS23</f>
        <v>0</v>
      </c>
      <c r="C8053" t="inlineStr">
        <is>
          <t>+LS8</t>
        </is>
      </c>
      <c r="D8053" t="inlineStr">
        <is>
          <t>-360KA1</t>
        </is>
      </c>
      <c r="E8053" t="inlineStr">
        <is>
          <t>DIL_ER-31-G</t>
        </is>
      </c>
      <c r="F8053" t="inlineStr">
        <is>
          <t>31_DIL-E</t>
        </is>
      </c>
      <c r="G8053" t="inlineStr">
        <is>
          <t>HILFSSCHUETZ</t>
        </is>
      </c>
      <c r="H8053" t="inlineStr">
        <is>
          <t>3S 1OE</t>
        </is>
      </c>
      <c r="I8053">
        <v>661</v>
      </c>
      <c r="J8053">
        <f>GS23/360.4</f>
        <v>0</v>
      </c>
      <c r="M8053" t="inlineStr">
        <is>
          <t>-360KA1</t>
        </is>
      </c>
    </row>
    <row r="8054">
      <c r="A8054">
        <v>8053</v>
      </c>
      <c r="B8054">
        <f>GS23</f>
        <v>0</v>
      </c>
      <c r="C8054" t="inlineStr">
        <is>
          <t>+LS8</t>
        </is>
      </c>
      <c r="D8054" t="inlineStr">
        <is>
          <t>-360KA1</t>
        </is>
      </c>
      <c r="E8054" t="inlineStr">
        <is>
          <t>31_DIL-E</t>
        </is>
      </c>
      <c r="F8054" t="inlineStr">
        <is>
          <t>31_DIL-E</t>
        </is>
      </c>
      <c r="G8054" t="inlineStr">
        <is>
          <t>HILFSKONTAKTBLOCK</t>
        </is>
      </c>
      <c r="H8054" t="inlineStr">
        <is>
          <t>3S 1OE Last+Hilsschuetz</t>
        </is>
      </c>
      <c r="I8054">
        <v>661</v>
      </c>
      <c r="J8054">
        <f>GS23/360.4</f>
        <v>0</v>
      </c>
      <c r="M8054" t="inlineStr">
        <is>
          <t>-360KA1</t>
        </is>
      </c>
    </row>
    <row r="8055">
      <c r="A8055">
        <v>8054</v>
      </c>
      <c r="B8055">
        <f>GS23</f>
        <v>0</v>
      </c>
      <c r="C8055" t="inlineStr">
        <is>
          <t>+LS8</t>
        </is>
      </c>
      <c r="D8055" t="inlineStr">
        <is>
          <t>-360KA2</t>
        </is>
      </c>
      <c r="E8055" t="inlineStr">
        <is>
          <t>DIL_ER-22-G</t>
        </is>
      </c>
      <c r="F8055" t="inlineStr">
        <is>
          <t>#KALK!</t>
        </is>
      </c>
      <c r="G8055" t="inlineStr">
        <is>
          <t>HILFSSCHUETZ</t>
        </is>
      </c>
      <c r="H8055" t="inlineStr">
        <is>
          <t>2S 2OE</t>
        </is>
      </c>
      <c r="I8055">
        <v>661</v>
      </c>
      <c r="J8055">
        <f>GS23/360.5</f>
        <v>0</v>
      </c>
      <c r="M8055" t="inlineStr">
        <is>
          <t>-360KA2</t>
        </is>
      </c>
    </row>
    <row r="8056">
      <c r="A8056">
        <v>8055</v>
      </c>
      <c r="B8056">
        <f>GS13</f>
        <v>0</v>
      </c>
      <c r="C8056" t="inlineStr">
        <is>
          <t>+LS8</t>
        </is>
      </c>
      <c r="D8056" t="inlineStr">
        <is>
          <t>-360KA3</t>
        </is>
      </c>
      <c r="E8056" t="inlineStr">
        <is>
          <t>DIL_ER-40-G</t>
        </is>
      </c>
      <c r="F8056" t="inlineStr">
        <is>
          <t>#KALK!</t>
        </is>
      </c>
      <c r="G8056" t="inlineStr">
        <is>
          <t>HILFSSCHUETZ</t>
        </is>
      </c>
      <c r="H8056" t="inlineStr">
        <is>
          <t>4S</t>
        </is>
      </c>
      <c r="I8056">
        <v>605</v>
      </c>
      <c r="J8056">
        <f>GS13/360.6</f>
        <v>0</v>
      </c>
      <c r="M8056" t="inlineStr">
        <is>
          <t>-360KA3</t>
        </is>
      </c>
    </row>
    <row r="8057">
      <c r="A8057">
        <v>8056</v>
      </c>
      <c r="B8057">
        <f>GS23</f>
        <v>0</v>
      </c>
      <c r="C8057" t="inlineStr">
        <is>
          <t>+LS8</t>
        </is>
      </c>
      <c r="D8057" t="inlineStr">
        <is>
          <t>-360KA3</t>
        </is>
      </c>
      <c r="E8057" t="inlineStr">
        <is>
          <t>DIL_ER-40-G</t>
        </is>
      </c>
      <c r="F8057" t="inlineStr">
        <is>
          <t>#KALK!</t>
        </is>
      </c>
      <c r="G8057" t="inlineStr">
        <is>
          <t>HILFSSCHUETZ</t>
        </is>
      </c>
      <c r="H8057" t="inlineStr">
        <is>
          <t>4S</t>
        </is>
      </c>
      <c r="I8057">
        <v>661</v>
      </c>
      <c r="J8057">
        <f>GS23/360.6</f>
        <v>0</v>
      </c>
      <c r="M8057" t="inlineStr">
        <is>
          <t>-360KA3</t>
        </is>
      </c>
    </row>
    <row r="8058">
      <c r="A8058">
        <v>8057</v>
      </c>
      <c r="B8058">
        <f>GS55</f>
        <v>0</v>
      </c>
      <c r="C8058" t="inlineStr">
        <is>
          <t>+LS05</t>
        </is>
      </c>
      <c r="D8058" t="inlineStr">
        <is>
          <t>-360Q1</t>
        </is>
      </c>
      <c r="E8058" t="inlineStr">
        <is>
          <t>DILA-XHI22</t>
        </is>
      </c>
      <c r="F8058" t="inlineStr">
        <is>
          <t>DILA-XHI22</t>
        </is>
      </c>
      <c r="G8058" t="inlineStr">
        <is>
          <t>HILFSKONTAKTBLOCK</t>
        </is>
      </c>
      <c r="H8058" t="inlineStr">
        <is>
          <t>2S 2OE Last+Hilfssch. Cage</t>
        </is>
      </c>
      <c r="I8058">
        <v>659</v>
      </c>
      <c r="J8058">
        <f>GS55/360.6</f>
        <v>0</v>
      </c>
      <c r="K8058" t="inlineStr">
        <is>
          <t>DIL MC25</t>
        </is>
      </c>
      <c r="M8058" t="inlineStr">
        <is>
          <t>-360Q1</t>
        </is>
      </c>
    </row>
    <row r="8059">
      <c r="A8059">
        <v>8058</v>
      </c>
      <c r="B8059">
        <f>GS55</f>
        <v>0</v>
      </c>
      <c r="C8059" t="inlineStr">
        <is>
          <t>+LS05</t>
        </is>
      </c>
      <c r="D8059" t="inlineStr">
        <is>
          <t>-360Q1</t>
        </is>
      </c>
      <c r="E8059" t="inlineStr">
        <is>
          <t>DILMC25-10(RDC24)</t>
        </is>
      </c>
      <c r="F8059" t="inlineStr">
        <is>
          <t>DILA-XHI22</t>
        </is>
      </c>
      <c r="G8059" t="inlineStr">
        <is>
          <t>LASTSCHUETZ</t>
        </is>
      </c>
      <c r="H8059" t="inlineStr">
        <is>
          <t>11kW 1S Federzugkl.</t>
        </is>
      </c>
      <c r="I8059">
        <v>659</v>
      </c>
      <c r="J8059">
        <f>GS55/360.6</f>
        <v>0</v>
      </c>
      <c r="K8059" t="inlineStr">
        <is>
          <t>DIL MC25</t>
        </is>
      </c>
      <c r="M8059" t="inlineStr">
        <is>
          <t>-360Q1</t>
        </is>
      </c>
    </row>
    <row r="8060">
      <c r="A8060">
        <v>8059</v>
      </c>
      <c r="B8060">
        <f>GS90</f>
        <v>0</v>
      </c>
      <c r="C8060" t="inlineStr">
        <is>
          <t>+LS06</t>
        </is>
      </c>
      <c r="D8060" t="inlineStr">
        <is>
          <t>-360Q1</t>
        </is>
      </c>
      <c r="E8060" t="inlineStr">
        <is>
          <t>DILMC25-10(RDC24)</t>
        </is>
      </c>
      <c r="F8060" t="inlineStr">
        <is>
          <t>DILA-XHI22</t>
        </is>
      </c>
      <c r="G8060" t="inlineStr">
        <is>
          <t>LASTSCHUETZ</t>
        </is>
      </c>
      <c r="H8060" t="inlineStr">
        <is>
          <t>11kW 1S Federzugkl.</t>
        </is>
      </c>
      <c r="I8060">
        <v>886</v>
      </c>
      <c r="J8060">
        <f>GS90/360.4</f>
        <v>0</v>
      </c>
      <c r="K8060" t="inlineStr">
        <is>
          <t>DIL MC25</t>
        </is>
      </c>
      <c r="M8060" t="inlineStr">
        <is>
          <t>-360Q1</t>
        </is>
      </c>
    </row>
    <row r="8061">
      <c r="A8061">
        <v>8060</v>
      </c>
      <c r="B8061">
        <f>GS90</f>
        <v>0</v>
      </c>
      <c r="C8061" t="inlineStr">
        <is>
          <t>+LS06</t>
        </is>
      </c>
      <c r="D8061" t="inlineStr">
        <is>
          <t>-360Q1</t>
        </is>
      </c>
      <c r="E8061" t="inlineStr">
        <is>
          <t>DILA-XHI22</t>
        </is>
      </c>
      <c r="F8061" t="inlineStr">
        <is>
          <t>DILA-XHI22</t>
        </is>
      </c>
      <c r="G8061" t="inlineStr">
        <is>
          <t>HILFSKONTAKTBLOCK</t>
        </is>
      </c>
      <c r="H8061" t="inlineStr">
        <is>
          <t>2S 2OE Last+Hilfssch. Cage</t>
        </is>
      </c>
      <c r="I8061">
        <v>886</v>
      </c>
      <c r="J8061">
        <f>GS90/360.4</f>
        <v>0</v>
      </c>
      <c r="K8061" t="inlineStr">
        <is>
          <t>DIL MC25</t>
        </is>
      </c>
      <c r="M8061" t="inlineStr">
        <is>
          <t>-360Q1</t>
        </is>
      </c>
    </row>
    <row r="8062">
      <c r="A8062">
        <v>8061</v>
      </c>
      <c r="B8062">
        <f>GS92</f>
        <v>0</v>
      </c>
      <c r="C8062" t="inlineStr">
        <is>
          <t>+LS06</t>
        </is>
      </c>
      <c r="D8062" t="inlineStr">
        <is>
          <t>-360Q1</t>
        </is>
      </c>
      <c r="E8062" t="inlineStr">
        <is>
          <t>DILMC25-10(RDC24)</t>
        </is>
      </c>
      <c r="F8062" t="inlineStr">
        <is>
          <t>DILA-XHIC31</t>
        </is>
      </c>
      <c r="G8062" t="inlineStr">
        <is>
          <t>LASTSCHUETZ</t>
        </is>
      </c>
      <c r="H8062" t="inlineStr">
        <is>
          <t>11kW 1S Federzugkl.</t>
        </is>
      </c>
      <c r="I8062">
        <v>506</v>
      </c>
      <c r="J8062">
        <f>GS92/360.2</f>
        <v>0</v>
      </c>
      <c r="M8062" t="inlineStr">
        <is>
          <t>-360Q1</t>
        </is>
      </c>
    </row>
    <row r="8063">
      <c r="A8063">
        <v>8062</v>
      </c>
      <c r="B8063">
        <f>GS92</f>
        <v>0</v>
      </c>
      <c r="C8063" t="inlineStr">
        <is>
          <t>+LS06</t>
        </is>
      </c>
      <c r="D8063" t="inlineStr">
        <is>
          <t>-360Q1</t>
        </is>
      </c>
      <c r="E8063" t="inlineStr">
        <is>
          <t>DILA-XHIC31</t>
        </is>
      </c>
      <c r="F8063" t="inlineStr">
        <is>
          <t>DILA-XHIC31</t>
        </is>
      </c>
      <c r="G8063" t="inlineStr">
        <is>
          <t>HILFSKONTAKTBLOCK</t>
        </is>
      </c>
      <c r="H8063" t="inlineStr">
        <is>
          <t>3S 1OE Last+Hilfssch. Cage</t>
        </is>
      </c>
      <c r="I8063">
        <v>506</v>
      </c>
      <c r="J8063">
        <f>GS92/360.2</f>
        <v>0</v>
      </c>
      <c r="M8063" t="inlineStr">
        <is>
          <t>-360Q1</t>
        </is>
      </c>
    </row>
    <row r="8064">
      <c r="A8064">
        <v>8063</v>
      </c>
      <c r="B8064">
        <f>GS24</f>
        <v>0</v>
      </c>
      <c r="C8064" t="inlineStr">
        <is>
          <t>+LS7</t>
        </is>
      </c>
      <c r="D8064" t="inlineStr">
        <is>
          <t>-361K22.0</t>
        </is>
      </c>
      <c r="E8064" t="inlineStr">
        <is>
          <t>DIL_EM-01-G</t>
        </is>
      </c>
      <c r="F8064" t="inlineStr">
        <is>
          <t>#KALK!</t>
        </is>
      </c>
      <c r="G8064" t="inlineStr">
        <is>
          <t>LASTSCHUETZ</t>
        </is>
      </c>
      <c r="H8064" t="inlineStr">
        <is>
          <t>4kW 1OE</t>
        </is>
      </c>
      <c r="I8064">
        <v>726</v>
      </c>
      <c r="J8064">
        <f>GS24/361.6</f>
        <v>0</v>
      </c>
      <c r="M8064" t="inlineStr">
        <is>
          <t>-361K22.0</t>
        </is>
      </c>
    </row>
    <row r="8065">
      <c r="A8065">
        <v>8064</v>
      </c>
      <c r="B8065">
        <f>GS24</f>
        <v>0</v>
      </c>
      <c r="C8065" t="inlineStr">
        <is>
          <t>+LS7</t>
        </is>
      </c>
      <c r="D8065" t="inlineStr">
        <is>
          <t>-361K22.1</t>
        </is>
      </c>
      <c r="E8065" t="inlineStr">
        <is>
          <t>DIL_EM-10-G</t>
        </is>
      </c>
      <c r="F8065" t="inlineStr">
        <is>
          <t>#KALK!</t>
        </is>
      </c>
      <c r="G8065" t="inlineStr">
        <is>
          <t>LASTSCHUETZ</t>
        </is>
      </c>
      <c r="H8065" t="inlineStr">
        <is>
          <t>4kW 1S</t>
        </is>
      </c>
      <c r="I8065">
        <v>726</v>
      </c>
      <c r="J8065">
        <f>GS24/361.6</f>
        <v>0</v>
      </c>
      <c r="M8065" t="inlineStr">
        <is>
          <t>-361K22.1</t>
        </is>
      </c>
    </row>
    <row r="8066">
      <c r="A8066">
        <v>8065</v>
      </c>
      <c r="B8066">
        <f>GS15</f>
        <v>0</v>
      </c>
      <c r="C8066" t="inlineStr">
        <is>
          <t>+LS7</t>
        </is>
      </c>
      <c r="D8066" t="inlineStr">
        <is>
          <t>-361K25.3</t>
        </is>
      </c>
      <c r="E8066" t="inlineStr">
        <is>
          <t>DIL_EM-10-G</t>
        </is>
      </c>
      <c r="F8066" t="inlineStr">
        <is>
          <t>#KALK!</t>
        </is>
      </c>
      <c r="G8066" t="inlineStr">
        <is>
          <t>LASTSCHUETZ</t>
        </is>
      </c>
      <c r="H8066" t="inlineStr">
        <is>
          <t>4kW 1S</t>
        </is>
      </c>
      <c r="I8066">
        <v>860</v>
      </c>
      <c r="J8066">
        <f>GS15/361.7</f>
        <v>0</v>
      </c>
      <c r="M8066" t="inlineStr">
        <is>
          <t>-361K25.3</t>
        </is>
      </c>
    </row>
    <row r="8067">
      <c r="A8067">
        <v>8066</v>
      </c>
      <c r="B8067">
        <f>GS25</f>
        <v>0</v>
      </c>
      <c r="C8067" t="inlineStr">
        <is>
          <t>+LS7</t>
        </is>
      </c>
      <c r="D8067" t="inlineStr">
        <is>
          <t>-361K26.6</t>
        </is>
      </c>
      <c r="E8067" t="inlineStr">
        <is>
          <t>DIL_EM-10-G</t>
        </is>
      </c>
      <c r="F8067" t="inlineStr">
        <is>
          <t>#KALK!</t>
        </is>
      </c>
      <c r="G8067" t="inlineStr">
        <is>
          <t>LASTSCHUETZ</t>
        </is>
      </c>
      <c r="H8067" t="inlineStr">
        <is>
          <t>4kW 1S</t>
        </is>
      </c>
      <c r="I8067">
        <v>485</v>
      </c>
      <c r="J8067">
        <f>GS25/361.6</f>
        <v>0</v>
      </c>
      <c r="M8067" t="inlineStr">
        <is>
          <t>-361K26.6</t>
        </is>
      </c>
    </row>
    <row r="8068">
      <c r="A8068">
        <v>8067</v>
      </c>
      <c r="B8068">
        <f>GS31</f>
        <v>0</v>
      </c>
      <c r="C8068" t="inlineStr">
        <is>
          <t>+LS7</t>
        </is>
      </c>
      <c r="D8068" t="inlineStr">
        <is>
          <t>-361K47.3</t>
        </is>
      </c>
      <c r="E8068" t="inlineStr">
        <is>
          <t>DIL_EM-10-G</t>
        </is>
      </c>
      <c r="F8068" t="inlineStr">
        <is>
          <t>#KALK!</t>
        </is>
      </c>
      <c r="G8068" t="inlineStr">
        <is>
          <t>LASTSCHUETZ</t>
        </is>
      </c>
      <c r="H8068" t="inlineStr">
        <is>
          <t>4kW 1S</t>
        </is>
      </c>
      <c r="I8068">
        <v>652</v>
      </c>
      <c r="J8068">
        <f>GS31/361.6</f>
        <v>0</v>
      </c>
      <c r="M8068" t="inlineStr">
        <is>
          <t>-361K47.3</t>
        </is>
      </c>
    </row>
    <row r="8069">
      <c r="A8069">
        <v>8068</v>
      </c>
      <c r="B8069">
        <f>GS31</f>
        <v>0</v>
      </c>
      <c r="C8069" t="inlineStr">
        <is>
          <t>+LS7</t>
        </is>
      </c>
      <c r="D8069" t="inlineStr">
        <is>
          <t>-361K47.4</t>
        </is>
      </c>
      <c r="E8069" t="inlineStr">
        <is>
          <t>DIL_EM-10-G</t>
        </is>
      </c>
      <c r="F8069" t="inlineStr">
        <is>
          <t>#KALK!</t>
        </is>
      </c>
      <c r="G8069" t="inlineStr">
        <is>
          <t>LASTSCHUETZ</t>
        </is>
      </c>
      <c r="H8069" t="inlineStr">
        <is>
          <t>4kW 1S</t>
        </is>
      </c>
      <c r="I8069">
        <v>652</v>
      </c>
      <c r="J8069">
        <f>GS31/361.6</f>
        <v>0</v>
      </c>
      <c r="M8069" t="inlineStr">
        <is>
          <t>-361K47.4</t>
        </is>
      </c>
    </row>
    <row r="8070">
      <c r="A8070">
        <v>8069</v>
      </c>
      <c r="B8070">
        <f>GS11</f>
        <v>0</v>
      </c>
      <c r="C8070" t="inlineStr">
        <is>
          <t>+LS9</t>
        </is>
      </c>
      <c r="D8070" t="inlineStr">
        <is>
          <t>-361K61.5</t>
        </is>
      </c>
      <c r="E8070" t="inlineStr">
        <is>
          <t>DIL_EM-10-G</t>
        </is>
      </c>
      <c r="F8070" t="inlineStr">
        <is>
          <t>#KALK!</t>
        </is>
      </c>
      <c r="G8070" t="inlineStr">
        <is>
          <t>LASTSCHUETZ</t>
        </is>
      </c>
      <c r="H8070" t="inlineStr">
        <is>
          <t>4kW 1S</t>
        </is>
      </c>
      <c r="I8070">
        <v>467</v>
      </c>
      <c r="J8070">
        <f>GS11/361.7</f>
        <v>0</v>
      </c>
      <c r="M8070" t="inlineStr">
        <is>
          <t>-361K61.5</t>
        </is>
      </c>
    </row>
    <row r="8071">
      <c r="A8071">
        <v>8070</v>
      </c>
      <c r="B8071">
        <f>GS21</f>
        <v>0</v>
      </c>
      <c r="C8071" t="inlineStr">
        <is>
          <t>+LS9</t>
        </is>
      </c>
      <c r="D8071" t="inlineStr">
        <is>
          <t>-361K61.5</t>
        </is>
      </c>
      <c r="E8071" t="inlineStr">
        <is>
          <t>DIL_EM-10-G</t>
        </is>
      </c>
      <c r="F8071" t="inlineStr">
        <is>
          <t>#KALK!</t>
        </is>
      </c>
      <c r="G8071" t="inlineStr">
        <is>
          <t>LASTSCHUETZ</t>
        </is>
      </c>
      <c r="H8071" t="inlineStr">
        <is>
          <t>4kW 1S</t>
        </is>
      </c>
      <c r="I8071">
        <v>449</v>
      </c>
      <c r="J8071">
        <f>GS21/361.7</f>
        <v>0</v>
      </c>
      <c r="M8071" t="inlineStr">
        <is>
          <t>-361K61.5</t>
        </is>
      </c>
    </row>
    <row r="8072">
      <c r="A8072">
        <v>8071</v>
      </c>
      <c r="B8072">
        <f>GS01</f>
        <v>0</v>
      </c>
      <c r="C8072" t="inlineStr">
        <is>
          <t>+LS8</t>
        </is>
      </c>
      <c r="D8072" t="inlineStr">
        <is>
          <t>-361K70.6</t>
        </is>
      </c>
      <c r="E8072" t="inlineStr">
        <is>
          <t>DIL_EM-10-G</t>
        </is>
      </c>
      <c r="F8072" t="inlineStr">
        <is>
          <t>#KALK!</t>
        </is>
      </c>
      <c r="G8072" t="inlineStr">
        <is>
          <t>LASTSCHUETZ</t>
        </is>
      </c>
      <c r="H8072" t="inlineStr">
        <is>
          <t>4kW 1S</t>
        </is>
      </c>
      <c r="I8072">
        <v>524</v>
      </c>
      <c r="J8072">
        <f>GS01/361.6</f>
        <v>0</v>
      </c>
      <c r="M8072" t="inlineStr">
        <is>
          <t>-361K70.6</t>
        </is>
      </c>
    </row>
    <row r="8073">
      <c r="A8073">
        <v>8072</v>
      </c>
      <c r="B8073">
        <f>GS01</f>
        <v>0</v>
      </c>
      <c r="C8073" t="inlineStr">
        <is>
          <t>+LS8</t>
        </is>
      </c>
      <c r="D8073" t="inlineStr">
        <is>
          <t>-361K70.7</t>
        </is>
      </c>
      <c r="E8073" t="inlineStr">
        <is>
          <t>DIL_EM-10-G</t>
        </is>
      </c>
      <c r="F8073" t="inlineStr">
        <is>
          <t>#KALK!</t>
        </is>
      </c>
      <c r="G8073" t="inlineStr">
        <is>
          <t>LASTSCHUETZ</t>
        </is>
      </c>
      <c r="H8073" t="inlineStr">
        <is>
          <t>4kW 1S</t>
        </is>
      </c>
      <c r="I8073">
        <v>524</v>
      </c>
      <c r="J8073">
        <f>GS01/361.6</f>
        <v>0</v>
      </c>
      <c r="M8073" t="inlineStr">
        <is>
          <t>-361K70.7</t>
        </is>
      </c>
    </row>
    <row r="8074">
      <c r="A8074">
        <v>8073</v>
      </c>
      <c r="B8074">
        <f>GS93</f>
        <v>0</v>
      </c>
      <c r="C8074" t="inlineStr">
        <is>
          <t>+LS06</t>
        </is>
      </c>
      <c r="D8074" t="inlineStr">
        <is>
          <t>-361Q458.0</t>
        </is>
      </c>
      <c r="E8074" t="inlineStr">
        <is>
          <t>DILM-9-10</t>
        </is>
      </c>
      <c r="F8074" t="inlineStr">
        <is>
          <t>#KALK!</t>
        </is>
      </c>
      <c r="G8074" t="inlineStr">
        <is>
          <t>LASTSCHUETZ</t>
        </is>
      </c>
      <c r="H8074" t="inlineStr">
        <is>
          <t>4kW 1S Federzugkl.</t>
        </is>
      </c>
      <c r="I8074">
        <v>915</v>
      </c>
      <c r="J8074">
        <f>GS93/361.5</f>
        <v>0</v>
      </c>
      <c r="M8074" t="inlineStr">
        <is>
          <t>-361Q458.0</t>
        </is>
      </c>
    </row>
    <row r="8075">
      <c r="A8075">
        <v>8074</v>
      </c>
      <c r="B8075">
        <f>GS13</f>
        <v>0</v>
      </c>
      <c r="C8075" t="inlineStr">
        <is>
          <t>+LS8</t>
        </is>
      </c>
      <c r="D8075" t="inlineStr">
        <is>
          <t>-3623502.7</t>
        </is>
      </c>
      <c r="E8075" t="inlineStr">
        <is>
          <t>DIL_EM-10-G</t>
        </is>
      </c>
      <c r="F8075" t="inlineStr">
        <is>
          <t>#KALK!</t>
        </is>
      </c>
      <c r="G8075" t="inlineStr">
        <is>
          <t>LASTSCHUETZ</t>
        </is>
      </c>
      <c r="H8075" t="inlineStr">
        <is>
          <t>4kW 1S</t>
        </is>
      </c>
      <c r="I8075">
        <v>607</v>
      </c>
      <c r="J8075">
        <f>GS13/362.7</f>
        <v>0</v>
      </c>
      <c r="M8075" t="inlineStr">
        <is>
          <t>-3623502.7</t>
        </is>
      </c>
    </row>
    <row r="8076">
      <c r="A8076">
        <v>8075</v>
      </c>
      <c r="B8076">
        <f>GS14</f>
        <v>0</v>
      </c>
      <c r="C8076" t="inlineStr">
        <is>
          <t>+LS7</t>
        </is>
      </c>
      <c r="D8076" t="inlineStr">
        <is>
          <t>-362K1</t>
        </is>
      </c>
      <c r="E8076" t="inlineStr">
        <is>
          <t>DIL_EM-10-G</t>
        </is>
      </c>
      <c r="F8076" t="inlineStr">
        <is>
          <t>#KALK!</t>
        </is>
      </c>
      <c r="G8076" t="inlineStr">
        <is>
          <t>LASTSCHUETZ</t>
        </is>
      </c>
      <c r="H8076" t="inlineStr">
        <is>
          <t>4kW 1S</t>
        </is>
      </c>
      <c r="I8076">
        <v>491</v>
      </c>
      <c r="J8076">
        <f>GS14/362.5</f>
        <v>0</v>
      </c>
      <c r="M8076" t="inlineStr">
        <is>
          <t>-362K1</t>
        </is>
      </c>
    </row>
    <row r="8077">
      <c r="A8077">
        <v>8076</v>
      </c>
      <c r="B8077">
        <f>GS24</f>
        <v>0</v>
      </c>
      <c r="C8077" t="inlineStr">
        <is>
          <t>+LS7</t>
        </is>
      </c>
      <c r="D8077" t="inlineStr">
        <is>
          <t>-362K22.2</t>
        </is>
      </c>
      <c r="E8077" t="inlineStr">
        <is>
          <t>DIL_EM-10-G</t>
        </is>
      </c>
      <c r="F8077" t="inlineStr">
        <is>
          <t>#KALK!</t>
        </is>
      </c>
      <c r="G8077" t="inlineStr">
        <is>
          <t>LASTSCHUETZ</t>
        </is>
      </c>
      <c r="H8077" t="inlineStr">
        <is>
          <t>4kW 1S</t>
        </is>
      </c>
      <c r="I8077">
        <v>725</v>
      </c>
      <c r="J8077">
        <f>GS24/362.6</f>
        <v>0</v>
      </c>
      <c r="M8077" t="inlineStr">
        <is>
          <t>-362K22.2</t>
        </is>
      </c>
    </row>
    <row r="8078">
      <c r="A8078">
        <v>8077</v>
      </c>
      <c r="B8078">
        <f>GS24</f>
        <v>0</v>
      </c>
      <c r="C8078" t="inlineStr">
        <is>
          <t>+LS7</t>
        </is>
      </c>
      <c r="D8078" t="inlineStr">
        <is>
          <t>-362K22.3</t>
        </is>
      </c>
      <c r="E8078" t="inlineStr">
        <is>
          <t>DIL_EM-10-G</t>
        </is>
      </c>
      <c r="F8078" t="inlineStr">
        <is>
          <t>#KALK!</t>
        </is>
      </c>
      <c r="G8078" t="inlineStr">
        <is>
          <t>LASTSCHUETZ</t>
        </is>
      </c>
      <c r="H8078" t="inlineStr">
        <is>
          <t>4kW 1S</t>
        </is>
      </c>
      <c r="I8078">
        <v>725</v>
      </c>
      <c r="J8078">
        <f>GS24/362.6</f>
        <v>0</v>
      </c>
      <c r="M8078" t="inlineStr">
        <is>
          <t>-362K22.3</t>
        </is>
      </c>
    </row>
    <row r="8079">
      <c r="A8079">
        <v>8078</v>
      </c>
      <c r="B8079">
        <f>GS15</f>
        <v>0</v>
      </c>
      <c r="C8079" t="inlineStr">
        <is>
          <t>+LS7</t>
        </is>
      </c>
      <c r="D8079" t="inlineStr">
        <is>
          <t>-362K25.4</t>
        </is>
      </c>
      <c r="E8079" t="inlineStr">
        <is>
          <t>DIL_EM-10-G</t>
        </is>
      </c>
      <c r="F8079" t="inlineStr">
        <is>
          <t>#KALK!</t>
        </is>
      </c>
      <c r="G8079" t="inlineStr">
        <is>
          <t>LASTSCHUETZ</t>
        </is>
      </c>
      <c r="H8079" t="inlineStr">
        <is>
          <t>4kW 1S</t>
        </is>
      </c>
      <c r="I8079">
        <v>861</v>
      </c>
      <c r="J8079">
        <f>GS15/362.6</f>
        <v>0</v>
      </c>
      <c r="M8079" t="inlineStr">
        <is>
          <t>-362K25.4</t>
        </is>
      </c>
    </row>
    <row r="8080">
      <c r="A8080">
        <v>8079</v>
      </c>
      <c r="B8080">
        <f>GS15</f>
        <v>0</v>
      </c>
      <c r="C8080" t="inlineStr">
        <is>
          <t>+LS7</t>
        </is>
      </c>
      <c r="D8080" t="inlineStr">
        <is>
          <t>-362K25.5</t>
        </is>
      </c>
      <c r="E8080" t="inlineStr">
        <is>
          <t>DIL_EM-10-G</t>
        </is>
      </c>
      <c r="F8080" t="inlineStr">
        <is>
          <t>#KALK!</t>
        </is>
      </c>
      <c r="G8080" t="inlineStr">
        <is>
          <t>LASTSCHUETZ</t>
        </is>
      </c>
      <c r="H8080" t="inlineStr">
        <is>
          <t>4kW 1S</t>
        </is>
      </c>
      <c r="I8080">
        <v>861</v>
      </c>
      <c r="J8080">
        <f>GS15/362.6</f>
        <v>0</v>
      </c>
      <c r="M8080" t="inlineStr">
        <is>
          <t>-362K25.5</t>
        </is>
      </c>
    </row>
    <row r="8081">
      <c r="A8081">
        <v>8080</v>
      </c>
      <c r="B8081">
        <f>GS25</f>
        <v>0</v>
      </c>
      <c r="C8081" t="inlineStr">
        <is>
          <t>+LS7</t>
        </is>
      </c>
      <c r="D8081" t="inlineStr">
        <is>
          <t>-362K27.2</t>
        </is>
      </c>
      <c r="E8081" t="inlineStr">
        <is>
          <t>DIL_EM-10-G</t>
        </is>
      </c>
      <c r="F8081" t="inlineStr">
        <is>
          <t>#KALK!</t>
        </is>
      </c>
      <c r="G8081" t="inlineStr">
        <is>
          <t>LASTSCHUETZ</t>
        </is>
      </c>
      <c r="H8081" t="inlineStr">
        <is>
          <t>4kW 1S</t>
        </is>
      </c>
      <c r="I8081">
        <v>486</v>
      </c>
      <c r="J8081">
        <f>GS25/362.7</f>
        <v>0</v>
      </c>
      <c r="M8081" t="inlineStr">
        <is>
          <t>-362K27.2</t>
        </is>
      </c>
    </row>
    <row r="8082">
      <c r="A8082">
        <v>8081</v>
      </c>
      <c r="B8082">
        <f>GS23</f>
        <v>0</v>
      </c>
      <c r="C8082" t="inlineStr">
        <is>
          <t>+LS8</t>
        </is>
      </c>
      <c r="D8082" t="inlineStr">
        <is>
          <t>-362K3502.7</t>
        </is>
      </c>
      <c r="E8082" t="inlineStr">
        <is>
          <t>DIL_EM-10-G</t>
        </is>
      </c>
      <c r="F8082" t="inlineStr">
        <is>
          <t>#KALK!</t>
        </is>
      </c>
      <c r="G8082" t="inlineStr">
        <is>
          <t>LASTSCHUETZ</t>
        </is>
      </c>
      <c r="H8082" t="inlineStr">
        <is>
          <t>4kW 1S</t>
        </is>
      </c>
      <c r="I8082">
        <v>663</v>
      </c>
      <c r="J8082">
        <f>GS23/362.7</f>
        <v>0</v>
      </c>
      <c r="M8082" t="inlineStr">
        <is>
          <t>-362K3502.7</t>
        </is>
      </c>
    </row>
    <row r="8083">
      <c r="A8083">
        <v>8082</v>
      </c>
      <c r="B8083">
        <f>GS31</f>
        <v>0</v>
      </c>
      <c r="C8083" t="inlineStr">
        <is>
          <t>+LS7</t>
        </is>
      </c>
      <c r="D8083" t="inlineStr">
        <is>
          <t>-362K48.0</t>
        </is>
      </c>
      <c r="E8083" t="inlineStr">
        <is>
          <t>DIL_EM-10-G</t>
        </is>
      </c>
      <c r="F8083" t="inlineStr">
        <is>
          <t>#KALK!</t>
        </is>
      </c>
      <c r="G8083" t="inlineStr">
        <is>
          <t>LASTSCHUETZ</t>
        </is>
      </c>
      <c r="H8083" t="inlineStr">
        <is>
          <t>4kW 1S</t>
        </is>
      </c>
      <c r="I8083">
        <v>653</v>
      </c>
      <c r="J8083">
        <f>GS31/362.7</f>
        <v>0</v>
      </c>
      <c r="M8083" t="inlineStr">
        <is>
          <t>-362K48.0</t>
        </is>
      </c>
    </row>
    <row r="8084">
      <c r="A8084">
        <v>8083</v>
      </c>
      <c r="B8084">
        <f>GS11</f>
        <v>0</v>
      </c>
      <c r="C8084" t="inlineStr">
        <is>
          <t>+LS9</t>
        </is>
      </c>
      <c r="D8084" t="inlineStr">
        <is>
          <t>-362K61.6</t>
        </is>
      </c>
      <c r="E8084" t="inlineStr">
        <is>
          <t>DIL_EM-10-G</t>
        </is>
      </c>
      <c r="F8084" t="inlineStr">
        <is>
          <t>#KALK!</t>
        </is>
      </c>
      <c r="G8084" t="inlineStr">
        <is>
          <t>LASTSCHUETZ</t>
        </is>
      </c>
      <c r="H8084" t="inlineStr">
        <is>
          <t>4kW 1S</t>
        </is>
      </c>
      <c r="I8084">
        <v>468</v>
      </c>
      <c r="J8084">
        <f>GS11/362.6</f>
        <v>0</v>
      </c>
      <c r="M8084" t="inlineStr">
        <is>
          <t>-362K61.6</t>
        </is>
      </c>
    </row>
    <row r="8085">
      <c r="A8085">
        <v>8084</v>
      </c>
      <c r="B8085">
        <f>GS21</f>
        <v>0</v>
      </c>
      <c r="C8085" t="inlineStr">
        <is>
          <t>+LS9</t>
        </is>
      </c>
      <c r="D8085" t="inlineStr">
        <is>
          <t>-362K61.6</t>
        </is>
      </c>
      <c r="E8085" t="inlineStr">
        <is>
          <t>DIL_EM-10-G</t>
        </is>
      </c>
      <c r="F8085" t="inlineStr">
        <is>
          <t>#KALK!</t>
        </is>
      </c>
      <c r="G8085" t="inlineStr">
        <is>
          <t>LASTSCHUETZ</t>
        </is>
      </c>
      <c r="H8085" t="inlineStr">
        <is>
          <t>4kW 1S</t>
        </is>
      </c>
      <c r="I8085">
        <v>450</v>
      </c>
      <c r="J8085">
        <f>GS21/362.6</f>
        <v>0</v>
      </c>
      <c r="M8085" t="inlineStr">
        <is>
          <t>-362K61.6</t>
        </is>
      </c>
    </row>
    <row r="8086">
      <c r="A8086">
        <v>8085</v>
      </c>
      <c r="B8086">
        <f>GS11</f>
        <v>0</v>
      </c>
      <c r="C8086" t="inlineStr">
        <is>
          <t>+LS9</t>
        </is>
      </c>
      <c r="D8086" t="inlineStr">
        <is>
          <t>-362K63.2</t>
        </is>
      </c>
      <c r="E8086" t="inlineStr">
        <is>
          <t>DIL_EM-10-G</t>
        </is>
      </c>
      <c r="F8086" t="inlineStr">
        <is>
          <t>#KALK!</t>
        </is>
      </c>
      <c r="G8086" t="inlineStr">
        <is>
          <t>LASTSCHUETZ</t>
        </is>
      </c>
      <c r="H8086" t="inlineStr">
        <is>
          <t>4kW 1S</t>
        </is>
      </c>
      <c r="I8086">
        <v>468</v>
      </c>
      <c r="J8086">
        <f>GS11/362.6</f>
        <v>0</v>
      </c>
      <c r="M8086" t="inlineStr">
        <is>
          <t>-362K63.2</t>
        </is>
      </c>
    </row>
    <row r="8087">
      <c r="A8087">
        <v>8086</v>
      </c>
      <c r="B8087">
        <f>GS21</f>
        <v>0</v>
      </c>
      <c r="C8087" t="inlineStr">
        <is>
          <t>+LS9</t>
        </is>
      </c>
      <c r="D8087" t="inlineStr">
        <is>
          <t>-362K63.2</t>
        </is>
      </c>
      <c r="E8087" t="inlineStr">
        <is>
          <t>DIL_EM-10-G</t>
        </is>
      </c>
      <c r="F8087" t="inlineStr">
        <is>
          <t>#KALK!</t>
        </is>
      </c>
      <c r="G8087" t="inlineStr">
        <is>
          <t>LASTSCHUETZ</t>
        </is>
      </c>
      <c r="H8087" t="inlineStr">
        <is>
          <t>4kW 1S</t>
        </is>
      </c>
      <c r="I8087">
        <v>450</v>
      </c>
      <c r="J8087">
        <f>GS21/362.6</f>
        <v>0</v>
      </c>
      <c r="M8087" t="inlineStr">
        <is>
          <t>-362K63.2</t>
        </is>
      </c>
    </row>
    <row r="8088">
      <c r="A8088">
        <v>8087</v>
      </c>
      <c r="B8088">
        <f>GS01</f>
        <v>0</v>
      </c>
      <c r="C8088" t="inlineStr">
        <is>
          <t>+LS8</t>
        </is>
      </c>
      <c r="D8088" t="inlineStr">
        <is>
          <t>-362K71.3</t>
        </is>
      </c>
      <c r="E8088" t="inlineStr">
        <is>
          <t>DIL_EM-10-G</t>
        </is>
      </c>
      <c r="F8088" t="inlineStr">
        <is>
          <t>#KALK!</t>
        </is>
      </c>
      <c r="G8088" t="inlineStr">
        <is>
          <t>LASTSCHUETZ</t>
        </is>
      </c>
      <c r="H8088" t="inlineStr">
        <is>
          <t>4kW 1S</t>
        </is>
      </c>
      <c r="I8088">
        <v>525</v>
      </c>
      <c r="J8088">
        <f>GS01/362.7</f>
        <v>0</v>
      </c>
      <c r="M8088" t="inlineStr">
        <is>
          <t>-362K71.3</t>
        </is>
      </c>
    </row>
    <row r="8089">
      <c r="A8089">
        <v>8088</v>
      </c>
      <c r="B8089">
        <f>GS55</f>
        <v>0</v>
      </c>
      <c r="C8089" t="inlineStr">
        <is>
          <t>+LS05</t>
        </is>
      </c>
      <c r="D8089" t="inlineStr">
        <is>
          <t>-362Q149.2</t>
        </is>
      </c>
      <c r="E8089" t="inlineStr">
        <is>
          <t>DILM-9-10</t>
        </is>
      </c>
      <c r="F8089" t="inlineStr">
        <is>
          <t>#KALK!</t>
        </is>
      </c>
      <c r="G8089" t="inlineStr">
        <is>
          <t>LASTSCHUETZ</t>
        </is>
      </c>
      <c r="H8089" t="inlineStr">
        <is>
          <t>4kW 1S Federzugkl.</t>
        </is>
      </c>
      <c r="I8089">
        <v>657</v>
      </c>
      <c r="J8089">
        <f>GS55/362.6</f>
        <v>0</v>
      </c>
      <c r="K8089" t="inlineStr">
        <is>
          <t>DIL MC9</t>
        </is>
      </c>
      <c r="M8089" t="inlineStr">
        <is>
          <t>-362Q149.2</t>
        </is>
      </c>
    </row>
    <row r="8090">
      <c r="A8090">
        <v>8089</v>
      </c>
      <c r="B8090">
        <f>GS53</f>
        <v>0</v>
      </c>
      <c r="C8090" t="inlineStr">
        <is>
          <t>+LS12</t>
        </is>
      </c>
      <c r="D8090" t="inlineStr">
        <is>
          <t>-362Q418.4</t>
        </is>
      </c>
      <c r="E8090" t="inlineStr">
        <is>
          <t>DILM-9-10</t>
        </is>
      </c>
      <c r="F8090" t="inlineStr">
        <is>
          <t>#KALK!</t>
        </is>
      </c>
      <c r="G8090" t="inlineStr">
        <is>
          <t>LASTSCHUETZ</t>
        </is>
      </c>
      <c r="H8090" t="inlineStr">
        <is>
          <t>4kW 1S Federzugkl.</t>
        </is>
      </c>
      <c r="I8090">
        <v>468</v>
      </c>
      <c r="J8090">
        <f>GS53/362.6</f>
        <v>0</v>
      </c>
      <c r="K8090" t="inlineStr">
        <is>
          <t>DIL MC9</t>
        </is>
      </c>
      <c r="M8090" t="inlineStr">
        <is>
          <t>-362Q418.4</t>
        </is>
      </c>
    </row>
    <row r="8091">
      <c r="A8091">
        <v>8090</v>
      </c>
      <c r="B8091">
        <f>GS93</f>
        <v>0</v>
      </c>
      <c r="C8091" t="inlineStr">
        <is>
          <t>+LS06</t>
        </is>
      </c>
      <c r="D8091" t="inlineStr">
        <is>
          <t>-362Q458.1</t>
        </is>
      </c>
      <c r="E8091" t="inlineStr">
        <is>
          <t>DILM-9-10</t>
        </is>
      </c>
      <c r="F8091" t="inlineStr">
        <is>
          <t>#KALK!</t>
        </is>
      </c>
      <c r="G8091" t="inlineStr">
        <is>
          <t>LASTSCHUETZ</t>
        </is>
      </c>
      <c r="H8091" t="inlineStr">
        <is>
          <t>4kW 1S Federzugkl.</t>
        </is>
      </c>
      <c r="I8091">
        <v>916</v>
      </c>
      <c r="J8091">
        <f>GS93/362.5</f>
        <v>0</v>
      </c>
      <c r="M8091" t="inlineStr">
        <is>
          <t>-362Q458.1</t>
        </is>
      </c>
    </row>
    <row r="8092">
      <c r="A8092">
        <v>8091</v>
      </c>
      <c r="B8092">
        <f>GS07</f>
        <v>0</v>
      </c>
      <c r="C8092" t="inlineStr">
        <is>
          <t>+LS05</t>
        </is>
      </c>
      <c r="D8092" t="inlineStr">
        <is>
          <t>-363.1K1</t>
        </is>
      </c>
      <c r="E8092" t="inlineStr">
        <is>
          <t>DILM-9-01</t>
        </is>
      </c>
      <c r="F8092" t="inlineStr">
        <is>
          <t>31_DIL-E</t>
        </is>
      </c>
      <c r="G8092" t="inlineStr">
        <is>
          <t>LASTSCHUETZ</t>
        </is>
      </c>
      <c r="H8092" t="inlineStr">
        <is>
          <t>4kW 1Oe Federzugkl.</t>
        </is>
      </c>
      <c r="I8092">
        <v>960</v>
      </c>
      <c r="J8092">
        <f>GS07/363.1.6</f>
        <v>0</v>
      </c>
      <c r="M8092" t="inlineStr">
        <is>
          <t>-363.1K1</t>
        </is>
      </c>
    </row>
    <row r="8093">
      <c r="A8093">
        <v>8092</v>
      </c>
      <c r="B8093">
        <f>GS07</f>
        <v>0</v>
      </c>
      <c r="C8093" t="inlineStr">
        <is>
          <t>+LS05</t>
        </is>
      </c>
      <c r="D8093" t="inlineStr">
        <is>
          <t>-363.1K1</t>
        </is>
      </c>
      <c r="E8093" t="inlineStr">
        <is>
          <t>31_DIL-E</t>
        </is>
      </c>
      <c r="F8093" t="inlineStr">
        <is>
          <t>31_DIL-E</t>
        </is>
      </c>
      <c r="G8093" t="inlineStr">
        <is>
          <t>HILFSKONTAKTBLOCK</t>
        </is>
      </c>
      <c r="H8093" t="inlineStr">
        <is>
          <t>3S 1OE Last+Hilsschuetz</t>
        </is>
      </c>
      <c r="I8093">
        <v>960</v>
      </c>
      <c r="J8093">
        <f>GS07/363.1.6</f>
        <v>0</v>
      </c>
      <c r="M8093" t="inlineStr">
        <is>
          <t>-363.1K1</t>
        </is>
      </c>
    </row>
    <row r="8094">
      <c r="A8094">
        <v>8093</v>
      </c>
      <c r="B8094">
        <f>GS07</f>
        <v>0</v>
      </c>
      <c r="C8094" t="inlineStr">
        <is>
          <t>+LS05</t>
        </is>
      </c>
      <c r="D8094" t="inlineStr">
        <is>
          <t>-363.1K2</t>
        </is>
      </c>
      <c r="E8094" t="inlineStr">
        <is>
          <t>DILM-9-01</t>
        </is>
      </c>
      <c r="F8094" t="inlineStr">
        <is>
          <t>31_DIL-E</t>
        </is>
      </c>
      <c r="G8094" t="inlineStr">
        <is>
          <t>LASTSCHUETZ</t>
        </is>
      </c>
      <c r="H8094" t="inlineStr">
        <is>
          <t>4kW 1Oe Federzugkl.</t>
        </is>
      </c>
      <c r="I8094">
        <v>960</v>
      </c>
      <c r="J8094">
        <f>GS07/363.1.7</f>
        <v>0</v>
      </c>
      <c r="M8094" t="inlineStr">
        <is>
          <t>-363.1K2</t>
        </is>
      </c>
    </row>
    <row r="8095">
      <c r="A8095">
        <v>8094</v>
      </c>
      <c r="B8095">
        <f>GS07</f>
        <v>0</v>
      </c>
      <c r="C8095" t="inlineStr">
        <is>
          <t>+LS05</t>
        </is>
      </c>
      <c r="D8095" t="inlineStr">
        <is>
          <t>-363.1K2</t>
        </is>
      </c>
      <c r="E8095" t="inlineStr">
        <is>
          <t>31_DIL-E</t>
        </is>
      </c>
      <c r="F8095" t="inlineStr">
        <is>
          <t>31_DIL-E</t>
        </is>
      </c>
      <c r="G8095" t="inlineStr">
        <is>
          <t>HILFSKONTAKTBLOCK</t>
        </is>
      </c>
      <c r="H8095" t="inlineStr">
        <is>
          <t>3S 1OE Last+Hilsschuetz</t>
        </is>
      </c>
      <c r="I8095">
        <v>960</v>
      </c>
      <c r="J8095">
        <f>GS07/363.1.7</f>
        <v>0</v>
      </c>
      <c r="M8095" t="inlineStr">
        <is>
          <t>-363.1K2</t>
        </is>
      </c>
    </row>
    <row r="8096">
      <c r="A8096">
        <v>8095</v>
      </c>
      <c r="B8096">
        <f>GS13</f>
        <v>0</v>
      </c>
      <c r="C8096" t="inlineStr">
        <is>
          <t>+LS8</t>
        </is>
      </c>
      <c r="D8096" t="inlineStr">
        <is>
          <t>-3633503.5</t>
        </is>
      </c>
      <c r="E8096" t="inlineStr">
        <is>
          <t>DIL_EM-10-G</t>
        </is>
      </c>
      <c r="F8096" t="inlineStr">
        <is>
          <t>#KALK!</t>
        </is>
      </c>
      <c r="G8096" t="inlineStr">
        <is>
          <t>LASTSCHUETZ</t>
        </is>
      </c>
      <c r="H8096" t="inlineStr">
        <is>
          <t>4kW 1S</t>
        </is>
      </c>
      <c r="I8096">
        <v>608</v>
      </c>
      <c r="J8096">
        <f>GS13/363.7</f>
        <v>0</v>
      </c>
      <c r="M8096" t="inlineStr">
        <is>
          <t>-3633503.5</t>
        </is>
      </c>
    </row>
    <row r="8097">
      <c r="A8097">
        <v>8096</v>
      </c>
      <c r="B8097">
        <f>GS07</f>
        <v>0</v>
      </c>
      <c r="C8097" t="inlineStr">
        <is>
          <t>+LS05</t>
        </is>
      </c>
      <c r="D8097" t="inlineStr">
        <is>
          <t>-363K1</t>
        </is>
      </c>
      <c r="E8097" t="inlineStr">
        <is>
          <t>DILM-9-01</t>
        </is>
      </c>
      <c r="F8097" t="inlineStr">
        <is>
          <t>31_DIL-E</t>
        </is>
      </c>
      <c r="G8097" t="inlineStr">
        <is>
          <t>LASTSCHUETZ</t>
        </is>
      </c>
      <c r="H8097" t="inlineStr">
        <is>
          <t>4kW 1Oe Federzugkl.</t>
        </is>
      </c>
      <c r="I8097">
        <v>420</v>
      </c>
      <c r="J8097">
        <f>GS07/363.6</f>
        <v>0</v>
      </c>
      <c r="M8097" t="inlineStr">
        <is>
          <t>-363K1</t>
        </is>
      </c>
    </row>
    <row r="8098">
      <c r="A8098">
        <v>8097</v>
      </c>
      <c r="B8098">
        <f>GS07</f>
        <v>0</v>
      </c>
      <c r="C8098" t="inlineStr">
        <is>
          <t>+LS05</t>
        </is>
      </c>
      <c r="D8098" t="inlineStr">
        <is>
          <t>-363K1</t>
        </is>
      </c>
      <c r="E8098" t="inlineStr">
        <is>
          <t>31_DIL-E</t>
        </is>
      </c>
      <c r="F8098" t="inlineStr">
        <is>
          <t>31_DIL-E</t>
        </is>
      </c>
      <c r="G8098" t="inlineStr">
        <is>
          <t>HILFSKONTAKTBLOCK</t>
        </is>
      </c>
      <c r="H8098" t="inlineStr">
        <is>
          <t>3S 1OE Last+Hilsschuetz</t>
        </is>
      </c>
      <c r="I8098">
        <v>420</v>
      </c>
      <c r="J8098">
        <f>GS07/363.6</f>
        <v>0</v>
      </c>
      <c r="M8098" t="inlineStr">
        <is>
          <t>-363K1</t>
        </is>
      </c>
    </row>
    <row r="8099">
      <c r="A8099">
        <v>8098</v>
      </c>
      <c r="B8099">
        <f>GS07</f>
        <v>0</v>
      </c>
      <c r="C8099" t="inlineStr">
        <is>
          <t>+LS05</t>
        </is>
      </c>
      <c r="D8099" t="inlineStr">
        <is>
          <t>-363K2</t>
        </is>
      </c>
      <c r="E8099" t="inlineStr">
        <is>
          <t>DILM-9-01</t>
        </is>
      </c>
      <c r="F8099" t="inlineStr">
        <is>
          <t>31_DIL-E</t>
        </is>
      </c>
      <c r="G8099" t="inlineStr">
        <is>
          <t>LASTSCHUETZ</t>
        </is>
      </c>
      <c r="H8099" t="inlineStr">
        <is>
          <t>4kW 1Oe Federzugkl.</t>
        </is>
      </c>
      <c r="I8099">
        <v>420</v>
      </c>
      <c r="J8099">
        <f>GS07/363.7</f>
        <v>0</v>
      </c>
      <c r="M8099" t="inlineStr">
        <is>
          <t>-363K2</t>
        </is>
      </c>
    </row>
    <row r="8100">
      <c r="A8100">
        <v>8099</v>
      </c>
      <c r="B8100">
        <f>GS07</f>
        <v>0</v>
      </c>
      <c r="C8100" t="inlineStr">
        <is>
          <t>+LS05</t>
        </is>
      </c>
      <c r="D8100" t="inlineStr">
        <is>
          <t>-363K2</t>
        </is>
      </c>
      <c r="E8100" t="inlineStr">
        <is>
          <t>31_DIL-E</t>
        </is>
      </c>
      <c r="F8100" t="inlineStr">
        <is>
          <t>31_DIL-E</t>
        </is>
      </c>
      <c r="G8100" t="inlineStr">
        <is>
          <t>HILFSKONTAKTBLOCK</t>
        </is>
      </c>
      <c r="H8100" t="inlineStr">
        <is>
          <t>3S 1OE Last+Hilsschuetz</t>
        </is>
      </c>
      <c r="I8100">
        <v>420</v>
      </c>
      <c r="J8100">
        <f>GS07/363.7</f>
        <v>0</v>
      </c>
      <c r="M8100" t="inlineStr">
        <is>
          <t>-363K2</t>
        </is>
      </c>
    </row>
    <row r="8101">
      <c r="A8101">
        <v>8100</v>
      </c>
      <c r="B8101">
        <f>GS24</f>
        <v>0</v>
      </c>
      <c r="C8101" t="inlineStr">
        <is>
          <t>+LS7</t>
        </is>
      </c>
      <c r="D8101" t="inlineStr">
        <is>
          <t>-363K23.0</t>
        </is>
      </c>
      <c r="E8101" t="inlineStr">
        <is>
          <t>DIL_EM-10-G</t>
        </is>
      </c>
      <c r="F8101" t="inlineStr">
        <is>
          <t>#KALK!</t>
        </is>
      </c>
      <c r="G8101" t="inlineStr">
        <is>
          <t>LASTSCHUETZ</t>
        </is>
      </c>
      <c r="H8101" t="inlineStr">
        <is>
          <t>4kW 1S</t>
        </is>
      </c>
      <c r="I8101">
        <v>724</v>
      </c>
      <c r="J8101">
        <f>GS24/363.6</f>
        <v>0</v>
      </c>
      <c r="M8101" t="inlineStr">
        <is>
          <t>-363K23.0</t>
        </is>
      </c>
    </row>
    <row r="8102">
      <c r="A8102">
        <v>8101</v>
      </c>
      <c r="B8102">
        <f>GS24</f>
        <v>0</v>
      </c>
      <c r="C8102" t="inlineStr">
        <is>
          <t>+LS7</t>
        </is>
      </c>
      <c r="D8102" t="inlineStr">
        <is>
          <t>-363K23.1</t>
        </is>
      </c>
      <c r="E8102" t="inlineStr">
        <is>
          <t>DIL_EM-10-G</t>
        </is>
      </c>
      <c r="F8102" t="inlineStr">
        <is>
          <t>#KALK!</t>
        </is>
      </c>
      <c r="G8102" t="inlineStr">
        <is>
          <t>LASTSCHUETZ</t>
        </is>
      </c>
      <c r="H8102" t="inlineStr">
        <is>
          <t>4kW 1S</t>
        </is>
      </c>
      <c r="I8102">
        <v>724</v>
      </c>
      <c r="J8102">
        <f>GS24/363.6</f>
        <v>0</v>
      </c>
      <c r="M8102" t="inlineStr">
        <is>
          <t>-363K23.1</t>
        </is>
      </c>
    </row>
    <row r="8103">
      <c r="A8103">
        <v>8102</v>
      </c>
      <c r="B8103">
        <f>GS15</f>
        <v>0</v>
      </c>
      <c r="C8103" t="inlineStr">
        <is>
          <t>+LS7</t>
        </is>
      </c>
      <c r="D8103" t="inlineStr">
        <is>
          <t>-363K25.6</t>
        </is>
      </c>
      <c r="E8103" t="inlineStr">
        <is>
          <t>DIL_EM-10-G</t>
        </is>
      </c>
      <c r="F8103" t="inlineStr">
        <is>
          <t>#KALK!</t>
        </is>
      </c>
      <c r="G8103" t="inlineStr">
        <is>
          <t>LASTSCHUETZ</t>
        </is>
      </c>
      <c r="H8103" t="inlineStr">
        <is>
          <t>4kW 1S</t>
        </is>
      </c>
      <c r="I8103">
        <v>862</v>
      </c>
      <c r="J8103">
        <f>GS15/363.6</f>
        <v>0</v>
      </c>
      <c r="M8103" t="inlineStr">
        <is>
          <t>-363K25.6</t>
        </is>
      </c>
    </row>
    <row r="8104">
      <c r="A8104">
        <v>8103</v>
      </c>
      <c r="B8104">
        <f>GS15</f>
        <v>0</v>
      </c>
      <c r="C8104" t="inlineStr">
        <is>
          <t>+LS7</t>
        </is>
      </c>
      <c r="D8104" t="inlineStr">
        <is>
          <t>-363K25.7</t>
        </is>
      </c>
      <c r="E8104" t="inlineStr">
        <is>
          <t>DIL_EM-10-G</t>
        </is>
      </c>
      <c r="F8104" t="inlineStr">
        <is>
          <t>#KALK!</t>
        </is>
      </c>
      <c r="G8104" t="inlineStr">
        <is>
          <t>LASTSCHUETZ</t>
        </is>
      </c>
      <c r="H8104" t="inlineStr">
        <is>
          <t>4kW 1S</t>
        </is>
      </c>
      <c r="I8104">
        <v>862</v>
      </c>
      <c r="J8104">
        <f>GS15/363.6</f>
        <v>0</v>
      </c>
      <c r="M8104" t="inlineStr">
        <is>
          <t>-363K25.7</t>
        </is>
      </c>
    </row>
    <row r="8105">
      <c r="A8105">
        <v>8104</v>
      </c>
      <c r="B8105">
        <f>GS25</f>
        <v>0</v>
      </c>
      <c r="C8105" t="inlineStr">
        <is>
          <t>+LS7</t>
        </is>
      </c>
      <c r="D8105" t="inlineStr">
        <is>
          <t>-363K27.3</t>
        </is>
      </c>
      <c r="E8105" t="inlineStr">
        <is>
          <t>DIL_EM-10-G</t>
        </is>
      </c>
      <c r="F8105" t="inlineStr">
        <is>
          <t>#KALK!</t>
        </is>
      </c>
      <c r="G8105" t="inlineStr">
        <is>
          <t>LASTSCHUETZ</t>
        </is>
      </c>
      <c r="H8105" t="inlineStr">
        <is>
          <t>4kW 1S</t>
        </is>
      </c>
      <c r="I8105">
        <v>487</v>
      </c>
      <c r="J8105">
        <f>GS25/363.6</f>
        <v>0</v>
      </c>
      <c r="M8105" t="inlineStr">
        <is>
          <t>-363K27.3</t>
        </is>
      </c>
    </row>
    <row r="8106">
      <c r="A8106">
        <v>8105</v>
      </c>
      <c r="B8106">
        <f>GS25</f>
        <v>0</v>
      </c>
      <c r="C8106" t="inlineStr">
        <is>
          <t>+LS7</t>
        </is>
      </c>
      <c r="D8106" t="inlineStr">
        <is>
          <t>-363K27.4</t>
        </is>
      </c>
      <c r="E8106" t="inlineStr">
        <is>
          <t>DIL_EM-10-G</t>
        </is>
      </c>
      <c r="F8106" t="inlineStr">
        <is>
          <t>#KALK!</t>
        </is>
      </c>
      <c r="G8106" t="inlineStr">
        <is>
          <t>LASTSCHUETZ</t>
        </is>
      </c>
      <c r="H8106" t="inlineStr">
        <is>
          <t>4kW 1S</t>
        </is>
      </c>
      <c r="I8106">
        <v>487</v>
      </c>
      <c r="J8106">
        <f>GS25/363.6</f>
        <v>0</v>
      </c>
      <c r="M8106" t="inlineStr">
        <is>
          <t>-363K27.4</t>
        </is>
      </c>
    </row>
    <row r="8107">
      <c r="A8107">
        <v>8106</v>
      </c>
      <c r="B8107">
        <f>GS23</f>
        <v>0</v>
      </c>
      <c r="C8107" t="inlineStr">
        <is>
          <t>+LS8</t>
        </is>
      </c>
      <c r="D8107" t="inlineStr">
        <is>
          <t>-363K3503.5</t>
        </is>
      </c>
      <c r="E8107" t="inlineStr">
        <is>
          <t>DIL_EM-10-G</t>
        </is>
      </c>
      <c r="F8107" t="inlineStr">
        <is>
          <t>#KALK!</t>
        </is>
      </c>
      <c r="G8107" t="inlineStr">
        <is>
          <t>LASTSCHUETZ</t>
        </is>
      </c>
      <c r="H8107" t="inlineStr">
        <is>
          <t>4kW 1S</t>
        </is>
      </c>
      <c r="I8107">
        <v>664</v>
      </c>
      <c r="J8107">
        <f>GS23/363.7</f>
        <v>0</v>
      </c>
      <c r="M8107" t="inlineStr">
        <is>
          <t>-363K3503.5</t>
        </is>
      </c>
    </row>
    <row r="8108">
      <c r="A8108">
        <v>8107</v>
      </c>
      <c r="B8108">
        <f>GS11</f>
        <v>0</v>
      </c>
      <c r="C8108" t="inlineStr">
        <is>
          <t>+LS9</t>
        </is>
      </c>
      <c r="D8108" t="inlineStr">
        <is>
          <t>-363K61.7</t>
        </is>
      </c>
      <c r="E8108" t="inlineStr">
        <is>
          <t>DIL_EM-10-G</t>
        </is>
      </c>
      <c r="F8108" t="inlineStr">
        <is>
          <t>#KALK!</t>
        </is>
      </c>
      <c r="G8108" t="inlineStr">
        <is>
          <t>LASTSCHUETZ</t>
        </is>
      </c>
      <c r="H8108" t="inlineStr">
        <is>
          <t>4kW 1S</t>
        </is>
      </c>
      <c r="I8108">
        <v>469</v>
      </c>
      <c r="J8108">
        <f>GS11/363.6</f>
        <v>0</v>
      </c>
      <c r="M8108" t="inlineStr">
        <is>
          <t>-363K61.7</t>
        </is>
      </c>
    </row>
    <row r="8109">
      <c r="A8109">
        <v>8108</v>
      </c>
      <c r="B8109">
        <f>GS21</f>
        <v>0</v>
      </c>
      <c r="C8109" t="inlineStr">
        <is>
          <t>+LS9</t>
        </is>
      </c>
      <c r="D8109" t="inlineStr">
        <is>
          <t>-363K61.7</t>
        </is>
      </c>
      <c r="E8109" t="inlineStr">
        <is>
          <t>DIL_EM-10-G</t>
        </is>
      </c>
      <c r="F8109" t="inlineStr">
        <is>
          <t>#KALK!</t>
        </is>
      </c>
      <c r="G8109" t="inlineStr">
        <is>
          <t>LASTSCHUETZ</t>
        </is>
      </c>
      <c r="H8109" t="inlineStr">
        <is>
          <t>4kW 1S</t>
        </is>
      </c>
      <c r="I8109">
        <v>451</v>
      </c>
      <c r="J8109">
        <f>GS21/363.6</f>
        <v>0</v>
      </c>
      <c r="M8109" t="inlineStr">
        <is>
          <t>-363K61.7</t>
        </is>
      </c>
    </row>
    <row r="8110">
      <c r="A8110">
        <v>8109</v>
      </c>
      <c r="B8110">
        <f>GS11</f>
        <v>0</v>
      </c>
      <c r="C8110" t="inlineStr">
        <is>
          <t>+LS9</t>
        </is>
      </c>
      <c r="D8110" t="inlineStr">
        <is>
          <t>-363K63.3</t>
        </is>
      </c>
      <c r="E8110" t="inlineStr">
        <is>
          <t>DIL_EM-10-G</t>
        </is>
      </c>
      <c r="F8110" t="inlineStr">
        <is>
          <t>#KALK!</t>
        </is>
      </c>
      <c r="G8110" t="inlineStr">
        <is>
          <t>LASTSCHUETZ</t>
        </is>
      </c>
      <c r="H8110" t="inlineStr">
        <is>
          <t>4kW 1S</t>
        </is>
      </c>
      <c r="I8110">
        <v>469</v>
      </c>
      <c r="J8110">
        <f>GS11/363.6</f>
        <v>0</v>
      </c>
      <c r="M8110" t="inlineStr">
        <is>
          <t>-363K63.3</t>
        </is>
      </c>
    </row>
    <row r="8111">
      <c r="A8111">
        <v>8110</v>
      </c>
      <c r="B8111">
        <f>GS21</f>
        <v>0</v>
      </c>
      <c r="C8111" t="inlineStr">
        <is>
          <t>+LS9</t>
        </is>
      </c>
      <c r="D8111" t="inlineStr">
        <is>
          <t>-363K63.3</t>
        </is>
      </c>
      <c r="E8111" t="inlineStr">
        <is>
          <t>DIL_EM-10-G</t>
        </is>
      </c>
      <c r="F8111" t="inlineStr">
        <is>
          <t>#KALK!</t>
        </is>
      </c>
      <c r="G8111" t="inlineStr">
        <is>
          <t>LASTSCHUETZ</t>
        </is>
      </c>
      <c r="H8111" t="inlineStr">
        <is>
          <t>4kW 1S</t>
        </is>
      </c>
      <c r="I8111">
        <v>451</v>
      </c>
      <c r="J8111">
        <f>GS21/363.6</f>
        <v>0</v>
      </c>
      <c r="M8111" t="inlineStr">
        <is>
          <t>-363K63.3</t>
        </is>
      </c>
    </row>
    <row r="8112">
      <c r="A8112">
        <v>8111</v>
      </c>
      <c r="B8112">
        <f>GS01</f>
        <v>0</v>
      </c>
      <c r="C8112" t="inlineStr">
        <is>
          <t>+LS8</t>
        </is>
      </c>
      <c r="D8112" t="inlineStr">
        <is>
          <t>-363K74.1</t>
        </is>
      </c>
      <c r="E8112" t="inlineStr">
        <is>
          <t>DIL_EM-10-G</t>
        </is>
      </c>
      <c r="F8112" t="inlineStr">
        <is>
          <t>#KALK!</t>
        </is>
      </c>
      <c r="G8112" t="inlineStr">
        <is>
          <t>LASTSCHUETZ</t>
        </is>
      </c>
      <c r="H8112" t="inlineStr">
        <is>
          <t>4kW 1S</t>
        </is>
      </c>
      <c r="I8112">
        <v>526</v>
      </c>
      <c r="J8112">
        <f>GS01/363.6</f>
        <v>0</v>
      </c>
      <c r="M8112" t="inlineStr">
        <is>
          <t>-363K74.1</t>
        </is>
      </c>
    </row>
    <row r="8113">
      <c r="A8113">
        <v>8112</v>
      </c>
      <c r="B8113">
        <f>GS15</f>
        <v>0</v>
      </c>
      <c r="C8113" t="inlineStr">
        <is>
          <t>+LS7</t>
        </is>
      </c>
      <c r="D8113" t="inlineStr">
        <is>
          <t>-364.1K32.1</t>
        </is>
      </c>
      <c r="E8113" t="inlineStr">
        <is>
          <t>DIL_EM-10-G</t>
        </is>
      </c>
      <c r="F8113" t="inlineStr">
        <is>
          <t>#KALK!</t>
        </is>
      </c>
      <c r="G8113" t="inlineStr">
        <is>
          <t>LASTSCHUETZ</t>
        </is>
      </c>
      <c r="H8113" t="inlineStr">
        <is>
          <t>4kW 1S</t>
        </is>
      </c>
      <c r="I8113">
        <v>864</v>
      </c>
      <c r="J8113">
        <f>GS15/364.1.6</f>
        <v>0</v>
      </c>
      <c r="M8113" t="inlineStr">
        <is>
          <t>-364.1K32.1</t>
        </is>
      </c>
    </row>
    <row r="8114">
      <c r="A8114">
        <v>8113</v>
      </c>
      <c r="B8114">
        <f>GS15</f>
        <v>0</v>
      </c>
      <c r="C8114" t="inlineStr">
        <is>
          <t>+LS7</t>
        </is>
      </c>
      <c r="D8114" t="inlineStr">
        <is>
          <t>-364.1K32.2</t>
        </is>
      </c>
      <c r="E8114" t="inlineStr">
        <is>
          <t>DIL_EM-10-G</t>
        </is>
      </c>
      <c r="F8114" t="inlineStr">
        <is>
          <t>#KALK!</t>
        </is>
      </c>
      <c r="G8114" t="inlineStr">
        <is>
          <t>LASTSCHUETZ</t>
        </is>
      </c>
      <c r="H8114" t="inlineStr">
        <is>
          <t>4kW 1S</t>
        </is>
      </c>
      <c r="I8114">
        <v>864</v>
      </c>
      <c r="J8114">
        <f>GS15/364.1.7</f>
        <v>0</v>
      </c>
      <c r="M8114" t="inlineStr">
        <is>
          <t>-364.1K32.2</t>
        </is>
      </c>
    </row>
    <row r="8115">
      <c r="A8115">
        <v>8114</v>
      </c>
      <c r="B8115">
        <f>GS13</f>
        <v>0</v>
      </c>
      <c r="C8115" t="inlineStr">
        <is>
          <t>+LS8</t>
        </is>
      </c>
      <c r="D8115" t="inlineStr">
        <is>
          <t>-3643504.3</t>
        </is>
      </c>
      <c r="E8115" t="inlineStr">
        <is>
          <t>DIL_EM-10-G</t>
        </is>
      </c>
      <c r="F8115" t="inlineStr">
        <is>
          <t>#KALK!</t>
        </is>
      </c>
      <c r="G8115" t="inlineStr">
        <is>
          <t>LASTSCHUETZ</t>
        </is>
      </c>
      <c r="H8115" t="inlineStr">
        <is>
          <t>4kW 1S</t>
        </is>
      </c>
      <c r="I8115">
        <v>609</v>
      </c>
      <c r="J8115">
        <f>GS13/364.7</f>
        <v>0</v>
      </c>
      <c r="M8115" t="inlineStr">
        <is>
          <t>-3643504.3</t>
        </is>
      </c>
    </row>
    <row r="8116">
      <c r="A8116">
        <v>8115</v>
      </c>
      <c r="B8116">
        <f>GS24</f>
        <v>0</v>
      </c>
      <c r="C8116" t="inlineStr">
        <is>
          <t>+LS7</t>
        </is>
      </c>
      <c r="D8116" t="inlineStr">
        <is>
          <t>-364K23.2</t>
        </is>
      </c>
      <c r="E8116" t="inlineStr">
        <is>
          <t>DIL_EM-10-G</t>
        </is>
      </c>
      <c r="F8116" t="inlineStr">
        <is>
          <t>#KALK!</t>
        </is>
      </c>
      <c r="G8116" t="inlineStr">
        <is>
          <t>LASTSCHUETZ</t>
        </is>
      </c>
      <c r="H8116" t="inlineStr">
        <is>
          <t>4kW 1S</t>
        </is>
      </c>
      <c r="I8116">
        <v>723</v>
      </c>
      <c r="J8116">
        <f>GS24/364.6</f>
        <v>0</v>
      </c>
      <c r="M8116" t="inlineStr">
        <is>
          <t>-364K23.2</t>
        </is>
      </c>
    </row>
    <row r="8117">
      <c r="A8117">
        <v>8116</v>
      </c>
      <c r="B8117">
        <f>GS15</f>
        <v>0</v>
      </c>
      <c r="C8117" t="inlineStr">
        <is>
          <t>+LS7</t>
        </is>
      </c>
      <c r="D8117" t="inlineStr">
        <is>
          <t>-364K32.0</t>
        </is>
      </c>
      <c r="E8117" t="inlineStr">
        <is>
          <t>DIL_EM-10-G</t>
        </is>
      </c>
      <c r="F8117" t="inlineStr">
        <is>
          <t>#KALK!</t>
        </is>
      </c>
      <c r="G8117" t="inlineStr">
        <is>
          <t>LASTSCHUETZ</t>
        </is>
      </c>
      <c r="H8117" t="inlineStr">
        <is>
          <t>4kW 1S</t>
        </is>
      </c>
      <c r="I8117">
        <v>863</v>
      </c>
      <c r="J8117">
        <f>GS15/364.6</f>
        <v>0</v>
      </c>
      <c r="M8117" t="inlineStr">
        <is>
          <t>-364K32.0</t>
        </is>
      </c>
    </row>
    <row r="8118">
      <c r="A8118">
        <v>8117</v>
      </c>
      <c r="B8118">
        <f>GS23</f>
        <v>0</v>
      </c>
      <c r="C8118" t="inlineStr">
        <is>
          <t>+LS8</t>
        </is>
      </c>
      <c r="D8118" t="inlineStr">
        <is>
          <t>-364K3504.3</t>
        </is>
      </c>
      <c r="E8118" t="inlineStr">
        <is>
          <t>DIL_EM-10-G</t>
        </is>
      </c>
      <c r="F8118" t="inlineStr">
        <is>
          <t>#KALK!</t>
        </is>
      </c>
      <c r="G8118" t="inlineStr">
        <is>
          <t>LASTSCHUETZ</t>
        </is>
      </c>
      <c r="H8118" t="inlineStr">
        <is>
          <t>4kW 1S</t>
        </is>
      </c>
      <c r="I8118">
        <v>665</v>
      </c>
      <c r="J8118">
        <f>GS23/364.7</f>
        <v>0</v>
      </c>
      <c r="M8118" t="inlineStr">
        <is>
          <t>-364K3504.3</t>
        </is>
      </c>
    </row>
    <row r="8119">
      <c r="A8119">
        <v>8118</v>
      </c>
      <c r="B8119">
        <f>GS93</f>
        <v>0</v>
      </c>
      <c r="C8119" t="inlineStr">
        <is>
          <t>+LS06</t>
        </is>
      </c>
      <c r="D8119" t="inlineStr">
        <is>
          <t>-364K458.2</t>
        </is>
      </c>
      <c r="E8119" t="inlineStr">
        <is>
          <t>DILA-22</t>
        </is>
      </c>
      <c r="F8119" t="inlineStr">
        <is>
          <t>#KALK!</t>
        </is>
      </c>
      <c r="G8119" t="inlineStr">
        <is>
          <t>HILFSSCHUETZ</t>
        </is>
      </c>
      <c r="H8119" t="inlineStr">
        <is>
          <t>2S 2Oe Federzugkl.</t>
        </is>
      </c>
      <c r="I8119">
        <v>918</v>
      </c>
      <c r="J8119">
        <f>GS93/364.6</f>
        <v>0</v>
      </c>
      <c r="M8119" t="inlineStr">
        <is>
          <t>-364K458.2</t>
        </is>
      </c>
    </row>
    <row r="8120">
      <c r="A8120">
        <v>8119</v>
      </c>
      <c r="B8120">
        <f>GS11</f>
        <v>0</v>
      </c>
      <c r="C8120" t="inlineStr">
        <is>
          <t>+LS9</t>
        </is>
      </c>
      <c r="D8120" t="inlineStr">
        <is>
          <t>-364K62.3</t>
        </is>
      </c>
      <c r="E8120" t="inlineStr">
        <is>
          <t>DIL_EM-10-G</t>
        </is>
      </c>
      <c r="F8120" t="inlineStr">
        <is>
          <t>#KALK!</t>
        </is>
      </c>
      <c r="G8120" t="inlineStr">
        <is>
          <t>LASTSCHUETZ</t>
        </is>
      </c>
      <c r="H8120" t="inlineStr">
        <is>
          <t>4kW 1S</t>
        </is>
      </c>
      <c r="I8120">
        <v>470</v>
      </c>
      <c r="J8120">
        <f>GS11/364.7</f>
        <v>0</v>
      </c>
      <c r="M8120" t="inlineStr">
        <is>
          <t>-364K62.3</t>
        </is>
      </c>
    </row>
    <row r="8121">
      <c r="A8121">
        <v>8120</v>
      </c>
      <c r="B8121">
        <f>GS21</f>
        <v>0</v>
      </c>
      <c r="C8121" t="inlineStr">
        <is>
          <t>+LS9</t>
        </is>
      </c>
      <c r="D8121" t="inlineStr">
        <is>
          <t>-364K62.3</t>
        </is>
      </c>
      <c r="E8121" t="inlineStr">
        <is>
          <t>DIL_EM-10-G</t>
        </is>
      </c>
      <c r="F8121" t="inlineStr">
        <is>
          <t>#KALK!</t>
        </is>
      </c>
      <c r="G8121" t="inlineStr">
        <is>
          <t>LASTSCHUETZ</t>
        </is>
      </c>
      <c r="H8121" t="inlineStr">
        <is>
          <t>4kW 1S</t>
        </is>
      </c>
      <c r="I8121">
        <v>452</v>
      </c>
      <c r="J8121">
        <f>GS21/364.7</f>
        <v>0</v>
      </c>
      <c r="M8121" t="inlineStr">
        <is>
          <t>-364K62.3</t>
        </is>
      </c>
    </row>
    <row r="8122">
      <c r="A8122">
        <v>8121</v>
      </c>
      <c r="B8122">
        <f>GS01</f>
        <v>0</v>
      </c>
      <c r="C8122" t="inlineStr">
        <is>
          <t>+LS8</t>
        </is>
      </c>
      <c r="D8122" t="inlineStr">
        <is>
          <t>-364K71.4</t>
        </is>
      </c>
      <c r="E8122" t="inlineStr">
        <is>
          <t>DIL_EM-10-G</t>
        </is>
      </c>
      <c r="F8122" t="inlineStr">
        <is>
          <t>#KALK!</t>
        </is>
      </c>
      <c r="G8122" t="inlineStr">
        <is>
          <t>LASTSCHUETZ</t>
        </is>
      </c>
      <c r="H8122" t="inlineStr">
        <is>
          <t>4kW 1S</t>
        </is>
      </c>
      <c r="I8122">
        <v>527</v>
      </c>
      <c r="J8122">
        <f>GS01/364.6</f>
        <v>0</v>
      </c>
      <c r="M8122" t="inlineStr">
        <is>
          <t>-364K71.4</t>
        </is>
      </c>
    </row>
    <row r="8123">
      <c r="A8123">
        <v>8122</v>
      </c>
      <c r="B8123">
        <f>GS01</f>
        <v>0</v>
      </c>
      <c r="C8123" t="inlineStr">
        <is>
          <t>+LS8</t>
        </is>
      </c>
      <c r="D8123" t="inlineStr">
        <is>
          <t>-364K71.5</t>
        </is>
      </c>
      <c r="E8123" t="inlineStr">
        <is>
          <t>DIL_EM-10-G</t>
        </is>
      </c>
      <c r="F8123" t="inlineStr">
        <is>
          <t>#KALK!</t>
        </is>
      </c>
      <c r="G8123" t="inlineStr">
        <is>
          <t>LASTSCHUETZ</t>
        </is>
      </c>
      <c r="H8123" t="inlineStr">
        <is>
          <t>4kW 1S</t>
        </is>
      </c>
      <c r="I8123">
        <v>527</v>
      </c>
      <c r="J8123">
        <f>GS01/364.6</f>
        <v>0</v>
      </c>
      <c r="M8123" t="inlineStr">
        <is>
          <t>-364K71.5</t>
        </is>
      </c>
    </row>
    <row r="8124">
      <c r="A8124">
        <v>8123</v>
      </c>
      <c r="B8124">
        <f>GS93</f>
        <v>0</v>
      </c>
      <c r="C8124" t="inlineStr">
        <is>
          <t>+LS06</t>
        </is>
      </c>
      <c r="D8124" t="inlineStr">
        <is>
          <t>-364Q1</t>
        </is>
      </c>
      <c r="E8124" t="inlineStr">
        <is>
          <t>DILMC25-10(RDC24)</t>
        </is>
      </c>
      <c r="F8124" t="inlineStr">
        <is>
          <t>DILA-XHIC31</t>
        </is>
      </c>
      <c r="G8124" t="inlineStr">
        <is>
          <t>LASTSCHUETZ</t>
        </is>
      </c>
      <c r="H8124" t="inlineStr">
        <is>
          <t>11kW 1S Federzugkl.</t>
        </is>
      </c>
      <c r="I8124">
        <v>918</v>
      </c>
      <c r="J8124">
        <f>GS93/364.2</f>
        <v>0</v>
      </c>
      <c r="M8124" t="inlineStr">
        <is>
          <t>-364Q1</t>
        </is>
      </c>
    </row>
    <row r="8125">
      <c r="A8125">
        <v>8124</v>
      </c>
      <c r="B8125">
        <f>GS93</f>
        <v>0</v>
      </c>
      <c r="C8125" t="inlineStr">
        <is>
          <t>+LS06</t>
        </is>
      </c>
      <c r="D8125" t="inlineStr">
        <is>
          <t>-364Q1</t>
        </is>
      </c>
      <c r="E8125" t="inlineStr">
        <is>
          <t>DILA-XHIC31</t>
        </is>
      </c>
      <c r="F8125" t="inlineStr">
        <is>
          <t>DILA-XHIC31</t>
        </is>
      </c>
      <c r="G8125" t="inlineStr">
        <is>
          <t>HILFSKONTAKTBLOCK</t>
        </is>
      </c>
      <c r="H8125" t="inlineStr">
        <is>
          <t>3S 1OE Last+Hilfssch. Cage</t>
        </is>
      </c>
      <c r="I8125">
        <v>918</v>
      </c>
      <c r="J8125">
        <f>GS93/364.2</f>
        <v>0</v>
      </c>
      <c r="M8125" t="inlineStr">
        <is>
          <t>-364Q1</t>
        </is>
      </c>
    </row>
    <row r="8126">
      <c r="A8126">
        <v>8125</v>
      </c>
      <c r="B8126">
        <f>GS55</f>
        <v>0</v>
      </c>
      <c r="C8126" t="inlineStr">
        <is>
          <t>+LS05</t>
        </is>
      </c>
      <c r="D8126" t="inlineStr">
        <is>
          <t>-364Q149.4</t>
        </is>
      </c>
      <c r="E8126" t="inlineStr">
        <is>
          <t>DILM-9-10</t>
        </is>
      </c>
      <c r="F8126" t="inlineStr">
        <is>
          <t>#KALK!</t>
        </is>
      </c>
      <c r="G8126" t="inlineStr">
        <is>
          <t>LASTSCHUETZ</t>
        </is>
      </c>
      <c r="H8126" t="inlineStr">
        <is>
          <t>4kW 1S Federzugkl.</t>
        </is>
      </c>
      <c r="I8126">
        <v>675</v>
      </c>
      <c r="J8126">
        <f>GS55/364.6</f>
        <v>0</v>
      </c>
      <c r="K8126" t="inlineStr">
        <is>
          <t>DIL MC9</t>
        </is>
      </c>
      <c r="M8126" t="inlineStr">
        <is>
          <t>-364Q149.4</t>
        </is>
      </c>
    </row>
    <row r="8127">
      <c r="A8127">
        <v>8126</v>
      </c>
      <c r="B8127">
        <f>GS15</f>
        <v>0</v>
      </c>
      <c r="C8127" t="inlineStr">
        <is>
          <t>+LS8</t>
        </is>
      </c>
      <c r="D8127" t="inlineStr">
        <is>
          <t>-365.1K33.4</t>
        </is>
      </c>
      <c r="E8127" t="inlineStr">
        <is>
          <t>DIL_EM-10-G</t>
        </is>
      </c>
      <c r="F8127" t="inlineStr">
        <is>
          <t>#KALK!</t>
        </is>
      </c>
      <c r="G8127" t="inlineStr">
        <is>
          <t>LASTSCHUETZ</t>
        </is>
      </c>
      <c r="H8127" t="inlineStr">
        <is>
          <t>4kW 1S</t>
        </is>
      </c>
      <c r="I8127">
        <v>866</v>
      </c>
      <c r="J8127">
        <f>GS15/365.1.7</f>
        <v>0</v>
      </c>
      <c r="M8127" t="inlineStr">
        <is>
          <t>-365.1K33.4</t>
        </is>
      </c>
    </row>
    <row r="8128">
      <c r="A8128">
        <v>8127</v>
      </c>
      <c r="B8128">
        <f>GS13</f>
        <v>0</v>
      </c>
      <c r="C8128" t="inlineStr">
        <is>
          <t>+LS8</t>
        </is>
      </c>
      <c r="D8128" t="inlineStr">
        <is>
          <t>-3653504.7</t>
        </is>
      </c>
      <c r="E8128" t="inlineStr">
        <is>
          <t>DIL_EM-10-G</t>
        </is>
      </c>
      <c r="F8128" t="inlineStr">
        <is>
          <t>#KALK!</t>
        </is>
      </c>
      <c r="G8128" t="inlineStr">
        <is>
          <t>LASTSCHUETZ</t>
        </is>
      </c>
      <c r="H8128" t="inlineStr">
        <is>
          <t>4kW 1S</t>
        </is>
      </c>
      <c r="I8128">
        <v>610</v>
      </c>
      <c r="J8128">
        <f>GS13/365.7</f>
        <v>0</v>
      </c>
      <c r="M8128" t="inlineStr">
        <is>
          <t>-3653504.7</t>
        </is>
      </c>
    </row>
    <row r="8129">
      <c r="A8129">
        <v>8128</v>
      </c>
      <c r="B8129">
        <f>GS36</f>
        <v>0</v>
      </c>
      <c r="C8129" t="inlineStr">
        <is>
          <t>+LS08</t>
        </is>
      </c>
      <c r="D8129" t="inlineStr">
        <is>
          <t>-389Q442.1</t>
        </is>
      </c>
      <c r="E8129" t="inlineStr">
        <is>
          <t>DILM-9-10</t>
        </is>
      </c>
      <c r="F8129" t="inlineStr">
        <is>
          <t>#KALK!</t>
        </is>
      </c>
      <c r="G8129" t="inlineStr">
        <is>
          <t>LASTSCHUETZ</t>
        </is>
      </c>
      <c r="H8129" t="inlineStr">
        <is>
          <t>4kW 1S Federzugkl.</t>
        </is>
      </c>
      <c r="I8129">
        <v>562</v>
      </c>
      <c r="J8129">
        <f>GS36/389.6</f>
        <v>0</v>
      </c>
      <c r="L8129" t="inlineStr">
        <is>
          <t>KF_3103</t>
        </is>
      </c>
      <c r="M8129" t="inlineStr">
        <is>
          <t>KF_3103
-389Q442.1</t>
        </is>
      </c>
      <c r="N8129" t="inlineStr">
        <is>
          <t>P</t>
        </is>
      </c>
    </row>
    <row r="8130">
      <c r="A8130">
        <v>8129</v>
      </c>
      <c r="B8130">
        <f>GS35</f>
        <v>0</v>
      </c>
      <c r="C8130" t="inlineStr">
        <is>
          <t>+LS08</t>
        </is>
      </c>
      <c r="D8130" t="inlineStr">
        <is>
          <t>-365K135.2</t>
        </is>
      </c>
      <c r="E8130" t="inlineStr">
        <is>
          <t>DILA-40</t>
        </is>
      </c>
      <c r="F8130" t="inlineStr">
        <is>
          <t>#KALK!</t>
        </is>
      </c>
      <c r="G8130" t="inlineStr">
        <is>
          <t>HILFSSCHUETZ</t>
        </is>
      </c>
      <c r="H8130" t="inlineStr">
        <is>
          <t>4S Federzugkl.</t>
        </is>
      </c>
      <c r="I8130">
        <v>523</v>
      </c>
      <c r="J8130">
        <f>GS35/365.7</f>
        <v>0</v>
      </c>
      <c r="M8130" t="inlineStr">
        <is>
          <t>-365K135.2</t>
        </is>
      </c>
    </row>
    <row r="8131">
      <c r="A8131">
        <v>8130</v>
      </c>
      <c r="B8131">
        <f>GS91</f>
        <v>0</v>
      </c>
      <c r="C8131" t="inlineStr">
        <is>
          <t>+LS06</t>
        </is>
      </c>
      <c r="D8131" t="inlineStr">
        <is>
          <t>-365K193.0</t>
        </is>
      </c>
      <c r="E8131" t="inlineStr">
        <is>
          <t>DILA-40</t>
        </is>
      </c>
      <c r="F8131" t="inlineStr">
        <is>
          <t>#KALK!</t>
        </is>
      </c>
      <c r="G8131" t="inlineStr">
        <is>
          <t>HILFSSCHUETZ</t>
        </is>
      </c>
      <c r="H8131" t="inlineStr">
        <is>
          <t>4S Federzugkl.</t>
        </is>
      </c>
      <c r="I8131">
        <v>513</v>
      </c>
      <c r="J8131">
        <f>GS91/365.7</f>
        <v>0</v>
      </c>
      <c r="M8131" t="inlineStr">
        <is>
          <t>-365K193.0</t>
        </is>
      </c>
    </row>
    <row r="8132">
      <c r="A8132">
        <v>8131</v>
      </c>
      <c r="B8132">
        <f>GS90</f>
        <v>0</v>
      </c>
      <c r="C8132" t="inlineStr">
        <is>
          <t>+LS06</t>
        </is>
      </c>
      <c r="D8132" t="inlineStr">
        <is>
          <t>-365K196.0</t>
        </is>
      </c>
      <c r="E8132" t="inlineStr">
        <is>
          <t>DILA-40</t>
        </is>
      </c>
      <c r="F8132" t="inlineStr">
        <is>
          <t>#KALK!</t>
        </is>
      </c>
      <c r="G8132" t="inlineStr">
        <is>
          <t>HILFSSCHUETZ</t>
        </is>
      </c>
      <c r="H8132" t="inlineStr">
        <is>
          <t>4S Federzugkl.</t>
        </is>
      </c>
      <c r="I8132">
        <v>864</v>
      </c>
      <c r="J8132">
        <f>GS90/365.7</f>
        <v>0</v>
      </c>
      <c r="M8132" t="inlineStr">
        <is>
          <t>-365K196.0</t>
        </is>
      </c>
    </row>
    <row r="8133">
      <c r="A8133">
        <v>8132</v>
      </c>
      <c r="B8133">
        <f>GS24</f>
        <v>0</v>
      </c>
      <c r="C8133" t="inlineStr">
        <is>
          <t>+LS7</t>
        </is>
      </c>
      <c r="D8133" t="inlineStr">
        <is>
          <t>-365K23.6</t>
        </is>
      </c>
      <c r="E8133" t="inlineStr">
        <is>
          <t>DIL_EM-01-G</t>
        </is>
      </c>
      <c r="F8133" t="inlineStr">
        <is>
          <t>#KALK!</t>
        </is>
      </c>
      <c r="G8133" t="inlineStr">
        <is>
          <t>LASTSCHUETZ</t>
        </is>
      </c>
      <c r="H8133" t="inlineStr">
        <is>
          <t>4kW 1OE</t>
        </is>
      </c>
      <c r="I8133">
        <v>722</v>
      </c>
      <c r="J8133">
        <f>GS24/365.7</f>
        <v>0</v>
      </c>
      <c r="M8133" t="inlineStr">
        <is>
          <t>-365K23.6</t>
        </is>
      </c>
    </row>
    <row r="8134">
      <c r="A8134">
        <v>8133</v>
      </c>
      <c r="B8134">
        <f>GS15</f>
        <v>0</v>
      </c>
      <c r="C8134" t="inlineStr">
        <is>
          <t>+LS8</t>
        </is>
      </c>
      <c r="D8134" t="inlineStr">
        <is>
          <t>-365K32.6</t>
        </is>
      </c>
      <c r="E8134" t="inlineStr">
        <is>
          <t>DIL_EM-10-G</t>
        </is>
      </c>
      <c r="F8134" t="inlineStr">
        <is>
          <t>#KALK!</t>
        </is>
      </c>
      <c r="G8134" t="inlineStr">
        <is>
          <t>LASTSCHUETZ</t>
        </is>
      </c>
      <c r="H8134" t="inlineStr">
        <is>
          <t>4kW 1S</t>
        </is>
      </c>
      <c r="I8134">
        <v>865</v>
      </c>
      <c r="J8134">
        <f>GS15/365.7</f>
        <v>0</v>
      </c>
      <c r="M8134" t="inlineStr">
        <is>
          <t>-365K32.6</t>
        </is>
      </c>
    </row>
    <row r="8135">
      <c r="A8135">
        <v>8134</v>
      </c>
      <c r="B8135">
        <f>GS23</f>
        <v>0</v>
      </c>
      <c r="C8135" t="inlineStr">
        <is>
          <t>+LS8</t>
        </is>
      </c>
      <c r="D8135" t="inlineStr">
        <is>
          <t>-365K3504.7</t>
        </is>
      </c>
      <c r="E8135" t="inlineStr">
        <is>
          <t>DIL_EM-10-G</t>
        </is>
      </c>
      <c r="F8135" t="inlineStr">
        <is>
          <t>#KALK!</t>
        </is>
      </c>
      <c r="G8135" t="inlineStr">
        <is>
          <t>LASTSCHUETZ</t>
        </is>
      </c>
      <c r="H8135" t="inlineStr">
        <is>
          <t>4kW 1S</t>
        </is>
      </c>
      <c r="I8135">
        <v>666</v>
      </c>
      <c r="J8135">
        <f>GS23/365.7</f>
        <v>0</v>
      </c>
      <c r="M8135" t="inlineStr">
        <is>
          <t>-365K3504.7</t>
        </is>
      </c>
    </row>
    <row r="8136">
      <c r="A8136">
        <v>8135</v>
      </c>
      <c r="B8136">
        <f>GS36</f>
        <v>0</v>
      </c>
      <c r="C8136" t="inlineStr">
        <is>
          <t>+LS09</t>
        </is>
      </c>
      <c r="D8136" t="inlineStr">
        <is>
          <t>-405K1</t>
        </is>
      </c>
      <c r="E8136" t="inlineStr">
        <is>
          <t>DILA-40</t>
        </is>
      </c>
      <c r="F8136" t="inlineStr">
        <is>
          <t>#KALK!</t>
        </is>
      </c>
      <c r="G8136" t="inlineStr">
        <is>
          <t>HILFSSCHUETZ</t>
        </is>
      </c>
      <c r="H8136" t="inlineStr">
        <is>
          <t>4S Federzugkl.</t>
        </is>
      </c>
      <c r="I8136">
        <v>578</v>
      </c>
      <c r="J8136">
        <f>GS36/405.5</f>
        <v>0</v>
      </c>
      <c r="M8136" t="inlineStr">
        <is>
          <t>-405K1</t>
        </is>
      </c>
    </row>
    <row r="8137">
      <c r="A8137">
        <v>8136</v>
      </c>
      <c r="B8137">
        <f>GS92</f>
        <v>0</v>
      </c>
      <c r="C8137" t="inlineStr">
        <is>
          <t>+LS06</t>
        </is>
      </c>
      <c r="D8137" t="inlineStr">
        <is>
          <t>-365K458.4</t>
        </is>
      </c>
      <c r="E8137" t="inlineStr">
        <is>
          <t>DILA-40</t>
        </is>
      </c>
      <c r="F8137" t="inlineStr">
        <is>
          <t>#KALK!</t>
        </is>
      </c>
      <c r="G8137" t="inlineStr">
        <is>
          <t>HILFSSCHUETZ</t>
        </is>
      </c>
      <c r="H8137" t="inlineStr">
        <is>
          <t>4S Federzugkl.</t>
        </is>
      </c>
      <c r="I8137">
        <v>511</v>
      </c>
      <c r="J8137">
        <f>GS92/365.7</f>
        <v>0</v>
      </c>
      <c r="M8137" t="inlineStr">
        <is>
          <t>-365K458.4</t>
        </is>
      </c>
    </row>
    <row r="8138">
      <c r="A8138">
        <v>8137</v>
      </c>
      <c r="B8138">
        <f>GS11</f>
        <v>0</v>
      </c>
      <c r="C8138" t="inlineStr">
        <is>
          <t>+LS9</t>
        </is>
      </c>
      <c r="D8138" t="inlineStr">
        <is>
          <t>-365K62.4</t>
        </is>
      </c>
      <c r="E8138" t="inlineStr">
        <is>
          <t>DIL_EM-10-G</t>
        </is>
      </c>
      <c r="F8138" t="inlineStr">
        <is>
          <t>#KALK!</t>
        </is>
      </c>
      <c r="G8138" t="inlineStr">
        <is>
          <t>LASTSCHUETZ</t>
        </is>
      </c>
      <c r="H8138" t="inlineStr">
        <is>
          <t>4kW 1S</t>
        </is>
      </c>
      <c r="I8138">
        <v>471</v>
      </c>
      <c r="J8138">
        <f>GS11/365.6</f>
        <v>0</v>
      </c>
      <c r="M8138" t="inlineStr">
        <is>
          <t>-365K62.4</t>
        </is>
      </c>
    </row>
    <row r="8139">
      <c r="A8139">
        <v>8138</v>
      </c>
      <c r="B8139">
        <f>GS21</f>
        <v>0</v>
      </c>
      <c r="C8139" t="inlineStr">
        <is>
          <t>+LS9</t>
        </is>
      </c>
      <c r="D8139" t="inlineStr">
        <is>
          <t>-365K62.4</t>
        </is>
      </c>
      <c r="E8139" t="inlineStr">
        <is>
          <t>DIL_EM-10-G</t>
        </is>
      </c>
      <c r="F8139" t="inlineStr">
        <is>
          <t>#KALK!</t>
        </is>
      </c>
      <c r="G8139" t="inlineStr">
        <is>
          <t>LASTSCHUETZ</t>
        </is>
      </c>
      <c r="H8139" t="inlineStr">
        <is>
          <t>4kW 1S</t>
        </is>
      </c>
      <c r="I8139">
        <v>453</v>
      </c>
      <c r="J8139">
        <f>GS21/365.6</f>
        <v>0</v>
      </c>
      <c r="M8139" t="inlineStr">
        <is>
          <t>-365K62.4</t>
        </is>
      </c>
    </row>
    <row r="8140">
      <c r="A8140">
        <v>8139</v>
      </c>
      <c r="B8140">
        <f>GS01</f>
        <v>0</v>
      </c>
      <c r="C8140" t="inlineStr">
        <is>
          <t>+LS8</t>
        </is>
      </c>
      <c r="D8140" t="inlineStr">
        <is>
          <t>-365K71.6</t>
        </is>
      </c>
      <c r="E8140" t="inlineStr">
        <is>
          <t>DIL_EM-10-G</t>
        </is>
      </c>
      <c r="F8140" t="inlineStr">
        <is>
          <t>#KALK!</t>
        </is>
      </c>
      <c r="G8140" t="inlineStr">
        <is>
          <t>LASTSCHUETZ</t>
        </is>
      </c>
      <c r="H8140" t="inlineStr">
        <is>
          <t>4kW 1S</t>
        </is>
      </c>
      <c r="I8140">
        <v>528</v>
      </c>
      <c r="J8140">
        <f>GS01/365.6</f>
        <v>0</v>
      </c>
      <c r="M8140" t="inlineStr">
        <is>
          <t>-365K71.6</t>
        </is>
      </c>
    </row>
    <row r="8141">
      <c r="A8141">
        <v>8140</v>
      </c>
      <c r="B8141">
        <f>GS01</f>
        <v>0</v>
      </c>
      <c r="C8141" t="inlineStr">
        <is>
          <t>+LS8</t>
        </is>
      </c>
      <c r="D8141" t="inlineStr">
        <is>
          <t>-365K71.7</t>
        </is>
      </c>
      <c r="E8141" t="inlineStr">
        <is>
          <t>DIL_EM-10-G</t>
        </is>
      </c>
      <c r="F8141" t="inlineStr">
        <is>
          <t>#KALK!</t>
        </is>
      </c>
      <c r="G8141" t="inlineStr">
        <is>
          <t>LASTSCHUETZ</t>
        </is>
      </c>
      <c r="H8141" t="inlineStr">
        <is>
          <t>4kW 1S</t>
        </is>
      </c>
      <c r="I8141">
        <v>528</v>
      </c>
      <c r="J8141">
        <f>GS01/365.6</f>
        <v>0</v>
      </c>
      <c r="M8141" t="inlineStr">
        <is>
          <t>-365K71.7</t>
        </is>
      </c>
    </row>
    <row r="8142">
      <c r="A8142">
        <v>8141</v>
      </c>
      <c r="B8142">
        <f>GS37</f>
        <v>0</v>
      </c>
      <c r="C8142" t="inlineStr">
        <is>
          <t>+LS08</t>
        </is>
      </c>
      <c r="D8142" t="inlineStr">
        <is>
          <t>-365K730.6</t>
        </is>
      </c>
      <c r="E8142" t="inlineStr">
        <is>
          <t>DILA-40</t>
        </is>
      </c>
      <c r="F8142" t="inlineStr">
        <is>
          <t>#KALK!</t>
        </is>
      </c>
      <c r="G8142" t="inlineStr">
        <is>
          <t>HILFSSCHUETZ</t>
        </is>
      </c>
      <c r="H8142" t="inlineStr">
        <is>
          <t>4S Federzugkl.</t>
        </is>
      </c>
      <c r="I8142">
        <v>588</v>
      </c>
      <c r="J8142">
        <f>GS37/365.7</f>
        <v>0</v>
      </c>
      <c r="M8142" t="inlineStr">
        <is>
          <t>-365K730.6</t>
        </is>
      </c>
    </row>
    <row r="8143">
      <c r="A8143">
        <v>8142</v>
      </c>
      <c r="B8143">
        <f>GS35</f>
        <v>0</v>
      </c>
      <c r="C8143" t="inlineStr">
        <is>
          <t>+LS08</t>
        </is>
      </c>
      <c r="D8143" t="inlineStr">
        <is>
          <t>-365Q1</t>
        </is>
      </c>
      <c r="E8143" t="inlineStr">
        <is>
          <t>DILM-25-10</t>
        </is>
      </c>
      <c r="F8143" t="inlineStr">
        <is>
          <t>DILA-XHI22</t>
        </is>
      </c>
      <c r="G8143" t="inlineStr">
        <is>
          <t>LASTSCHUETZ</t>
        </is>
      </c>
      <c r="H8143" t="inlineStr">
        <is>
          <t>11kW 1S Federzugkl.</t>
        </is>
      </c>
      <c r="I8143">
        <v>523</v>
      </c>
      <c r="J8143">
        <f>GS35/365.4</f>
        <v>0</v>
      </c>
      <c r="K8143" t="inlineStr">
        <is>
          <t>DIL MC25</t>
        </is>
      </c>
      <c r="M8143" t="inlineStr">
        <is>
          <t>-365Q1</t>
        </is>
      </c>
    </row>
    <row r="8144">
      <c r="A8144">
        <v>8143</v>
      </c>
      <c r="B8144">
        <f>GS35</f>
        <v>0</v>
      </c>
      <c r="C8144" t="inlineStr">
        <is>
          <t>+LS08</t>
        </is>
      </c>
      <c r="D8144" t="inlineStr">
        <is>
          <t>-365Q1</t>
        </is>
      </c>
      <c r="E8144" t="inlineStr">
        <is>
          <t>DILA-XHI22</t>
        </is>
      </c>
      <c r="F8144" t="inlineStr">
        <is>
          <t>DILA-XHI22</t>
        </is>
      </c>
      <c r="G8144" t="inlineStr">
        <is>
          <t>HILFSKONTAKTBLOCK</t>
        </is>
      </c>
      <c r="H8144" t="inlineStr">
        <is>
          <t>2S 2OE Last+Hilfssch. Cage</t>
        </is>
      </c>
      <c r="I8144">
        <v>523</v>
      </c>
      <c r="J8144">
        <f>GS35/365.4</f>
        <v>0</v>
      </c>
      <c r="K8144" t="inlineStr">
        <is>
          <t>DIL MC25</t>
        </is>
      </c>
      <c r="M8144" t="inlineStr">
        <is>
          <t>-365Q1</t>
        </is>
      </c>
    </row>
    <row r="8145">
      <c r="A8145">
        <v>8144</v>
      </c>
      <c r="B8145">
        <f>GS36</f>
        <v>0</v>
      </c>
      <c r="C8145" t="inlineStr">
        <is>
          <t>+LS08</t>
        </is>
      </c>
      <c r="D8145" t="inlineStr">
        <is>
          <t>-365Q1</t>
        </is>
      </c>
      <c r="E8145" t="inlineStr">
        <is>
          <t>DILA-XHI22</t>
        </is>
      </c>
      <c r="F8145" t="inlineStr">
        <is>
          <t>DILA-XHI22</t>
        </is>
      </c>
      <c r="G8145" t="inlineStr">
        <is>
          <t>HILFSKONTAKTBLOCK</t>
        </is>
      </c>
      <c r="H8145" t="inlineStr">
        <is>
          <t>2S 2OE Last+Hilfssch. Cage</t>
        </is>
      </c>
      <c r="I8145">
        <v>538</v>
      </c>
      <c r="J8145">
        <f>GS36/365.3</f>
        <v>0</v>
      </c>
      <c r="K8145" t="inlineStr">
        <is>
          <t>DIL MC25</t>
        </is>
      </c>
      <c r="L8145" t="inlineStr">
        <is>
          <t>HVO 15</t>
        </is>
      </c>
      <c r="M8145" t="inlineStr">
        <is>
          <t>HVO 15
-365Q1</t>
        </is>
      </c>
      <c r="N8145" t="inlineStr">
        <is>
          <t>P</t>
        </is>
      </c>
    </row>
    <row r="8146">
      <c r="A8146">
        <v>8145</v>
      </c>
      <c r="B8146">
        <f>GS36</f>
        <v>0</v>
      </c>
      <c r="C8146" t="inlineStr">
        <is>
          <t>+LS08</t>
        </is>
      </c>
      <c r="D8146" t="inlineStr">
        <is>
          <t>-365Q1</t>
        </is>
      </c>
      <c r="E8146" t="inlineStr">
        <is>
          <t>DILMC25-10(RDC24)</t>
        </is>
      </c>
      <c r="F8146" t="inlineStr">
        <is>
          <t>DILA-XHI22</t>
        </is>
      </c>
      <c r="G8146" t="inlineStr">
        <is>
          <t>LASTSCHUETZ</t>
        </is>
      </c>
      <c r="H8146" t="inlineStr">
        <is>
          <t>11kW 1S Federzugkl.</t>
        </is>
      </c>
      <c r="I8146">
        <v>538</v>
      </c>
      <c r="J8146">
        <f>GS36/365.3</f>
        <v>0</v>
      </c>
      <c r="K8146" t="inlineStr">
        <is>
          <t>DIL MC25</t>
        </is>
      </c>
      <c r="L8146" t="inlineStr">
        <is>
          <t>HVO 15</t>
        </is>
      </c>
      <c r="M8146" t="inlineStr">
        <is>
          <t>HVO 15
-365Q1</t>
        </is>
      </c>
      <c r="N8146" t="inlineStr">
        <is>
          <t>P</t>
        </is>
      </c>
    </row>
    <row r="8147">
      <c r="A8147">
        <v>8146</v>
      </c>
      <c r="B8147">
        <f>GS37</f>
        <v>0</v>
      </c>
      <c r="C8147" t="inlineStr">
        <is>
          <t>+LS08</t>
        </is>
      </c>
      <c r="D8147" t="inlineStr">
        <is>
          <t>-365Q1</t>
        </is>
      </c>
      <c r="E8147" t="inlineStr">
        <is>
          <t>DILMC40(RDC24)</t>
        </is>
      </c>
      <c r="F8147" t="inlineStr">
        <is>
          <t>DILM150-XHIC22</t>
        </is>
      </c>
      <c r="G8147" t="inlineStr">
        <is>
          <t>LASTSCHUETZ</t>
        </is>
      </c>
      <c r="H8147" t="inlineStr">
        <is>
          <t>18,5kW Federzugkl.</t>
        </is>
      </c>
      <c r="I8147">
        <v>588</v>
      </c>
      <c r="J8147">
        <f>GS37/365.4</f>
        <v>0</v>
      </c>
      <c r="K8147" t="inlineStr">
        <is>
          <t>DIL MC 40</t>
        </is>
      </c>
      <c r="M8147" t="inlineStr">
        <is>
          <t>-365Q1</t>
        </is>
      </c>
    </row>
    <row r="8148">
      <c r="A8148">
        <v>8147</v>
      </c>
      <c r="B8148">
        <f>GS37</f>
        <v>0</v>
      </c>
      <c r="C8148" t="inlineStr">
        <is>
          <t>+LS08</t>
        </is>
      </c>
      <c r="D8148" t="inlineStr">
        <is>
          <t>-365Q1</t>
        </is>
      </c>
      <c r="E8148" t="inlineStr">
        <is>
          <t>DILM150-XHIC22</t>
        </is>
      </c>
      <c r="F8148" t="inlineStr">
        <is>
          <t>DILM150-XHIC22</t>
        </is>
      </c>
      <c r="G8148" t="inlineStr">
        <is>
          <t>HILFSKONTAKTBLOCK</t>
        </is>
      </c>
      <c r="H8148" t="inlineStr">
        <is>
          <t>2S 2OE ab DILMC40</t>
        </is>
      </c>
      <c r="I8148">
        <v>588</v>
      </c>
      <c r="J8148">
        <f>GS37/365.4</f>
        <v>0</v>
      </c>
      <c r="K8148" t="inlineStr">
        <is>
          <t>DIL MC 40</t>
        </is>
      </c>
      <c r="M8148" t="inlineStr">
        <is>
          <t>-365Q1</t>
        </is>
      </c>
    </row>
    <row r="8149">
      <c r="A8149">
        <v>8148</v>
      </c>
      <c r="B8149">
        <f>GS90</f>
        <v>0</v>
      </c>
      <c r="C8149" t="inlineStr">
        <is>
          <t>+LS06</t>
        </is>
      </c>
      <c r="D8149" t="inlineStr">
        <is>
          <t>-365Q1</t>
        </is>
      </c>
      <c r="E8149" t="inlineStr">
        <is>
          <t>DILMC25-10(RDC24)</t>
        </is>
      </c>
      <c r="F8149" t="inlineStr">
        <is>
          <t>DILA-XHI22</t>
        </is>
      </c>
      <c r="G8149" t="inlineStr">
        <is>
          <t>LASTSCHUETZ</t>
        </is>
      </c>
      <c r="H8149" t="inlineStr">
        <is>
          <t>11kW 1S Federzugkl.</t>
        </is>
      </c>
      <c r="I8149">
        <v>864</v>
      </c>
      <c r="J8149">
        <f>GS90/365.4</f>
        <v>0</v>
      </c>
      <c r="K8149" t="inlineStr">
        <is>
          <t>DIL MC25</t>
        </is>
      </c>
      <c r="M8149" t="inlineStr">
        <is>
          <t>-365Q1</t>
        </is>
      </c>
    </row>
    <row r="8150">
      <c r="A8150">
        <v>8149</v>
      </c>
      <c r="B8150">
        <f>GS90</f>
        <v>0</v>
      </c>
      <c r="C8150" t="inlineStr">
        <is>
          <t>+LS06</t>
        </is>
      </c>
      <c r="D8150" t="inlineStr">
        <is>
          <t>-365Q1</t>
        </is>
      </c>
      <c r="E8150" t="inlineStr">
        <is>
          <t>DILA-XHI22</t>
        </is>
      </c>
      <c r="F8150" t="inlineStr">
        <is>
          <t>DILA-XHI22</t>
        </is>
      </c>
      <c r="G8150" t="inlineStr">
        <is>
          <t>HILFSKONTAKTBLOCK</t>
        </is>
      </c>
      <c r="H8150" t="inlineStr">
        <is>
          <t>2S 2OE Last+Hilfssch. Cage</t>
        </is>
      </c>
      <c r="I8150">
        <v>864</v>
      </c>
      <c r="J8150">
        <f>GS90/365.4</f>
        <v>0</v>
      </c>
      <c r="K8150" t="inlineStr">
        <is>
          <t>DIL MC25</t>
        </is>
      </c>
      <c r="M8150" t="inlineStr">
        <is>
          <t>-365Q1</t>
        </is>
      </c>
    </row>
    <row r="8151">
      <c r="A8151">
        <v>8150</v>
      </c>
      <c r="B8151">
        <f>GS91</f>
        <v>0</v>
      </c>
      <c r="C8151" t="inlineStr">
        <is>
          <t>+LS06</t>
        </is>
      </c>
      <c r="D8151" t="inlineStr">
        <is>
          <t>-365Q1</t>
        </is>
      </c>
      <c r="E8151" t="inlineStr">
        <is>
          <t>DILA-XHI22</t>
        </is>
      </c>
      <c r="F8151" t="inlineStr">
        <is>
          <t>DILA-XHI22</t>
        </is>
      </c>
      <c r="G8151" t="inlineStr">
        <is>
          <t>HILFSKONTAKTBLOCK</t>
        </is>
      </c>
      <c r="H8151" t="inlineStr">
        <is>
          <t>2S 2OE Last+Hilfssch. Cage</t>
        </is>
      </c>
      <c r="I8151">
        <v>513</v>
      </c>
      <c r="J8151">
        <f>GS91/365.4</f>
        <v>0</v>
      </c>
      <c r="K8151" t="inlineStr">
        <is>
          <t>DIL MC25</t>
        </is>
      </c>
      <c r="M8151" t="inlineStr">
        <is>
          <t>-365Q1</t>
        </is>
      </c>
    </row>
    <row r="8152">
      <c r="A8152">
        <v>8151</v>
      </c>
      <c r="B8152">
        <f>GS91</f>
        <v>0</v>
      </c>
      <c r="C8152" t="inlineStr">
        <is>
          <t>+LS06</t>
        </is>
      </c>
      <c r="D8152" t="inlineStr">
        <is>
          <t>-365Q1</t>
        </is>
      </c>
      <c r="E8152" t="inlineStr">
        <is>
          <t>DILMC25-10(RDC24)</t>
        </is>
      </c>
      <c r="F8152" t="inlineStr">
        <is>
          <t>DILA-XHI22</t>
        </is>
      </c>
      <c r="G8152" t="inlineStr">
        <is>
          <t>LASTSCHUETZ</t>
        </is>
      </c>
      <c r="H8152" t="inlineStr">
        <is>
          <t>11kW 1S Federzugkl.</t>
        </is>
      </c>
      <c r="I8152">
        <v>513</v>
      </c>
      <c r="J8152">
        <f>GS91/365.4</f>
        <v>0</v>
      </c>
      <c r="K8152" t="inlineStr">
        <is>
          <t>DIL MC25</t>
        </is>
      </c>
      <c r="M8152" t="inlineStr">
        <is>
          <t>-365Q1</t>
        </is>
      </c>
    </row>
    <row r="8153">
      <c r="A8153">
        <v>8152</v>
      </c>
      <c r="B8153">
        <f>GS92</f>
        <v>0</v>
      </c>
      <c r="C8153" t="inlineStr">
        <is>
          <t>+LS06</t>
        </is>
      </c>
      <c r="D8153" t="inlineStr">
        <is>
          <t>-365Q1</t>
        </is>
      </c>
      <c r="E8153" t="inlineStr">
        <is>
          <t>DILMC25-10(RDC24)</t>
        </is>
      </c>
      <c r="F8153" t="inlineStr">
        <is>
          <t>DILA-XHI22</t>
        </is>
      </c>
      <c r="G8153" t="inlineStr">
        <is>
          <t>LASTSCHUETZ</t>
        </is>
      </c>
      <c r="H8153" t="inlineStr">
        <is>
          <t>11kW 1S Federzugkl.</t>
        </is>
      </c>
      <c r="I8153">
        <v>511</v>
      </c>
      <c r="J8153">
        <f>GS92/365.4</f>
        <v>0</v>
      </c>
      <c r="K8153" t="inlineStr">
        <is>
          <t>DIL MC25</t>
        </is>
      </c>
      <c r="M8153" t="inlineStr">
        <is>
          <t>-365Q1</t>
        </is>
      </c>
    </row>
    <row r="8154">
      <c r="A8154">
        <v>8153</v>
      </c>
      <c r="B8154">
        <f>GS92</f>
        <v>0</v>
      </c>
      <c r="C8154" t="inlineStr">
        <is>
          <t>+LS06</t>
        </is>
      </c>
      <c r="D8154" t="inlineStr">
        <is>
          <t>-365Q1</t>
        </is>
      </c>
      <c r="E8154" t="inlineStr">
        <is>
          <t>DILA-XHI22</t>
        </is>
      </c>
      <c r="F8154" t="inlineStr">
        <is>
          <t>DILA-XHI22</t>
        </is>
      </c>
      <c r="G8154" t="inlineStr">
        <is>
          <t>HILFSKONTAKTBLOCK</t>
        </is>
      </c>
      <c r="H8154" t="inlineStr">
        <is>
          <t>2S 2OE Last+Hilfssch. Cage</t>
        </is>
      </c>
      <c r="I8154">
        <v>511</v>
      </c>
      <c r="J8154">
        <f>GS92/365.4</f>
        <v>0</v>
      </c>
      <c r="K8154" t="inlineStr">
        <is>
          <t>DIL MC25</t>
        </is>
      </c>
      <c r="M8154" t="inlineStr">
        <is>
          <t>-365Q1</t>
        </is>
      </c>
    </row>
    <row r="8155">
      <c r="A8155">
        <v>8154</v>
      </c>
      <c r="B8155">
        <f>GS35</f>
        <v>0</v>
      </c>
      <c r="C8155" t="inlineStr">
        <is>
          <t>+LS08</t>
        </is>
      </c>
      <c r="D8155" t="inlineStr">
        <is>
          <t>-365Q2</t>
        </is>
      </c>
      <c r="E8155" t="inlineStr">
        <is>
          <t>DILM-25-10</t>
        </is>
      </c>
      <c r="F8155" t="inlineStr">
        <is>
          <t>DILA-XHI22</t>
        </is>
      </c>
      <c r="G8155" t="inlineStr">
        <is>
          <t>LASTSCHUETZ</t>
        </is>
      </c>
      <c r="H8155" t="inlineStr">
        <is>
          <t>11kW 1S Federzugkl.</t>
        </is>
      </c>
      <c r="I8155">
        <v>523</v>
      </c>
      <c r="J8155">
        <f>GS35/365.4</f>
        <v>0</v>
      </c>
      <c r="K8155" t="inlineStr">
        <is>
          <t>DIL MC25</t>
        </is>
      </c>
      <c r="M8155" t="inlineStr">
        <is>
          <t>-365Q2</t>
        </is>
      </c>
    </row>
    <row r="8156">
      <c r="A8156">
        <v>8155</v>
      </c>
      <c r="B8156">
        <f>GS35</f>
        <v>0</v>
      </c>
      <c r="C8156" t="inlineStr">
        <is>
          <t>+LS08</t>
        </is>
      </c>
      <c r="D8156" t="inlineStr">
        <is>
          <t>-365Q2</t>
        </is>
      </c>
      <c r="E8156" t="inlineStr">
        <is>
          <t>DILA-XHI22</t>
        </is>
      </c>
      <c r="F8156" t="inlineStr">
        <is>
          <t>DILA-XHI22</t>
        </is>
      </c>
      <c r="G8156" t="inlineStr">
        <is>
          <t>HILFSKONTAKTBLOCK</t>
        </is>
      </c>
      <c r="H8156" t="inlineStr">
        <is>
          <t>2S 2OE Last+Hilfssch. Cage</t>
        </is>
      </c>
      <c r="I8156">
        <v>523</v>
      </c>
      <c r="J8156">
        <f>GS35/365.4</f>
        <v>0</v>
      </c>
      <c r="K8156" t="inlineStr">
        <is>
          <t>DIL MC25</t>
        </is>
      </c>
      <c r="M8156" t="inlineStr">
        <is>
          <t>-365Q2</t>
        </is>
      </c>
    </row>
    <row r="8157">
      <c r="A8157">
        <v>8156</v>
      </c>
      <c r="B8157">
        <f>GS13</f>
        <v>0</v>
      </c>
      <c r="C8157" t="inlineStr">
        <is>
          <t>+LS8</t>
        </is>
      </c>
      <c r="D8157" t="inlineStr">
        <is>
          <t>-3663505.3</t>
        </is>
      </c>
      <c r="E8157" t="inlineStr">
        <is>
          <t>DIL_EM-10-G</t>
        </is>
      </c>
      <c r="F8157" t="inlineStr">
        <is>
          <t>#KALK!</t>
        </is>
      </c>
      <c r="G8157" t="inlineStr">
        <is>
          <t>LASTSCHUETZ</t>
        </is>
      </c>
      <c r="H8157" t="inlineStr">
        <is>
          <t>4kW 1S</t>
        </is>
      </c>
      <c r="I8157">
        <v>611</v>
      </c>
      <c r="J8157">
        <f>GS13/366.7</f>
        <v>0</v>
      </c>
      <c r="M8157" t="inlineStr">
        <is>
          <t>-3663505.3</t>
        </is>
      </c>
    </row>
    <row r="8158">
      <c r="A8158">
        <v>8157</v>
      </c>
      <c r="B8158">
        <f>GS02</f>
        <v>0</v>
      </c>
      <c r="C8158" t="inlineStr">
        <is>
          <t>+LS8</t>
        </is>
      </c>
      <c r="D8158" t="inlineStr">
        <is>
          <t>-366K1</t>
        </is>
      </c>
      <c r="E8158" t="inlineStr">
        <is>
          <t>22_DIL-M</t>
        </is>
      </c>
      <c r="F8158" t="inlineStr">
        <is>
          <t>22_DIL-M</t>
        </is>
      </c>
      <c r="G8158" t="inlineStr">
        <is>
          <t>HILFSKONTAKTBLOCK</t>
        </is>
      </c>
      <c r="H8158" t="inlineStr">
        <is>
          <t>2S 2OE Lastschuetz DIL M</t>
        </is>
      </c>
      <c r="I8158">
        <v>772</v>
      </c>
      <c r="J8158">
        <f>GS02/366.2</f>
        <v>0</v>
      </c>
      <c r="K8158" t="inlineStr">
        <is>
          <t>DIL0AM</t>
        </is>
      </c>
      <c r="M8158" t="inlineStr">
        <is>
          <t>-366K1</t>
        </is>
      </c>
    </row>
    <row r="8159">
      <c r="A8159">
        <v>8158</v>
      </c>
      <c r="B8159">
        <f>GS02</f>
        <v>0</v>
      </c>
      <c r="C8159" t="inlineStr">
        <is>
          <t>+LS8</t>
        </is>
      </c>
      <c r="D8159" t="inlineStr">
        <is>
          <t>-366K1</t>
        </is>
      </c>
      <c r="E8159" t="inlineStr">
        <is>
          <t>DIL_0AM</t>
        </is>
      </c>
      <c r="F8159" t="inlineStr">
        <is>
          <t>22_DIL-M</t>
        </is>
      </c>
      <c r="G8159" t="inlineStr">
        <is>
          <t>LASTSCHUETZ</t>
        </is>
      </c>
      <c r="H8159" t="inlineStr">
        <is>
          <t>11 kW</t>
        </is>
      </c>
      <c r="I8159">
        <v>772</v>
      </c>
      <c r="J8159">
        <f>GS02/366.2</f>
        <v>0</v>
      </c>
      <c r="K8159" t="inlineStr">
        <is>
          <t>DIL0AM</t>
        </is>
      </c>
      <c r="M8159" t="inlineStr">
        <is>
          <t>-366K1</t>
        </is>
      </c>
    </row>
    <row r="8160">
      <c r="A8160">
        <v>8159</v>
      </c>
      <c r="B8160">
        <f>GS24</f>
        <v>0</v>
      </c>
      <c r="C8160" t="inlineStr">
        <is>
          <t>+LS7</t>
        </is>
      </c>
      <c r="D8160" t="inlineStr">
        <is>
          <t>-366K24.0</t>
        </is>
      </c>
      <c r="E8160" t="inlineStr">
        <is>
          <t>DIL_EM-10-G</t>
        </is>
      </c>
      <c r="F8160" t="inlineStr">
        <is>
          <t>#KALK!</t>
        </is>
      </c>
      <c r="G8160" t="inlineStr">
        <is>
          <t>LASTSCHUETZ</t>
        </is>
      </c>
      <c r="H8160" t="inlineStr">
        <is>
          <t>4kW 1S</t>
        </is>
      </c>
      <c r="I8160">
        <v>721</v>
      </c>
      <c r="J8160">
        <f>GS24/366.6</f>
        <v>0</v>
      </c>
      <c r="M8160" t="inlineStr">
        <is>
          <t>-366K24.0</t>
        </is>
      </c>
    </row>
    <row r="8161">
      <c r="A8161">
        <v>8160</v>
      </c>
      <c r="B8161">
        <f>GS24</f>
        <v>0</v>
      </c>
      <c r="C8161" t="inlineStr">
        <is>
          <t>+LS7</t>
        </is>
      </c>
      <c r="D8161" t="inlineStr">
        <is>
          <t>-366K24.1</t>
        </is>
      </c>
      <c r="E8161" t="inlineStr">
        <is>
          <t>DIL_EM-10-G</t>
        </is>
      </c>
      <c r="F8161" t="inlineStr">
        <is>
          <t>#KALK!</t>
        </is>
      </c>
      <c r="G8161" t="inlineStr">
        <is>
          <t>LASTSCHUETZ</t>
        </is>
      </c>
      <c r="H8161" t="inlineStr">
        <is>
          <t>4kW 1S</t>
        </is>
      </c>
      <c r="I8161">
        <v>721</v>
      </c>
      <c r="J8161">
        <f>GS24/366.6</f>
        <v>0</v>
      </c>
      <c r="M8161" t="inlineStr">
        <is>
          <t>-366K24.1</t>
        </is>
      </c>
    </row>
    <row r="8162">
      <c r="A8162">
        <v>8161</v>
      </c>
      <c r="B8162">
        <f>GS23</f>
        <v>0</v>
      </c>
      <c r="C8162" t="inlineStr">
        <is>
          <t>+LS8</t>
        </is>
      </c>
      <c r="D8162" t="inlineStr">
        <is>
          <t>-366K3505.3</t>
        </is>
      </c>
      <c r="E8162" t="inlineStr">
        <is>
          <t>DIL_EM-10-G</t>
        </is>
      </c>
      <c r="F8162" t="inlineStr">
        <is>
          <t>#KALK!</t>
        </is>
      </c>
      <c r="G8162" t="inlineStr">
        <is>
          <t>LASTSCHUETZ</t>
        </is>
      </c>
      <c r="H8162" t="inlineStr">
        <is>
          <t>4kW 1S</t>
        </is>
      </c>
      <c r="I8162">
        <v>667</v>
      </c>
      <c r="J8162">
        <f>GS23/366.7</f>
        <v>0</v>
      </c>
      <c r="M8162" t="inlineStr">
        <is>
          <t>-366K3505.3</t>
        </is>
      </c>
    </row>
    <row r="8163">
      <c r="A8163">
        <v>8162</v>
      </c>
      <c r="B8163">
        <f>GS11</f>
        <v>0</v>
      </c>
      <c r="C8163" t="inlineStr">
        <is>
          <t>+LS9</t>
        </is>
      </c>
      <c r="D8163" t="inlineStr">
        <is>
          <t>-366K63.1</t>
        </is>
      </c>
      <c r="E8163" t="inlineStr">
        <is>
          <t>DIL_EM-10-G</t>
        </is>
      </c>
      <c r="F8163" t="inlineStr">
        <is>
          <t>#KALK!</t>
        </is>
      </c>
      <c r="G8163" t="inlineStr">
        <is>
          <t>LASTSCHUETZ</t>
        </is>
      </c>
      <c r="H8163" t="inlineStr">
        <is>
          <t>4kW 1S</t>
        </is>
      </c>
      <c r="I8163">
        <v>472</v>
      </c>
      <c r="J8163">
        <f>GS11/366.7</f>
        <v>0</v>
      </c>
      <c r="M8163" t="inlineStr">
        <is>
          <t>-366K63.1</t>
        </is>
      </c>
    </row>
    <row r="8164">
      <c r="A8164">
        <v>8163</v>
      </c>
      <c r="B8164">
        <f>GS21</f>
        <v>0</v>
      </c>
      <c r="C8164" t="inlineStr">
        <is>
          <t>+LS9</t>
        </is>
      </c>
      <c r="D8164" t="inlineStr">
        <is>
          <t>-366K63.1</t>
        </is>
      </c>
      <c r="E8164" t="inlineStr">
        <is>
          <t>DIL_EM-10-G</t>
        </is>
      </c>
      <c r="F8164" t="inlineStr">
        <is>
          <t>#KALK!</t>
        </is>
      </c>
      <c r="G8164" t="inlineStr">
        <is>
          <t>LASTSCHUETZ</t>
        </is>
      </c>
      <c r="H8164" t="inlineStr">
        <is>
          <t>4kW 1S</t>
        </is>
      </c>
      <c r="I8164">
        <v>454</v>
      </c>
      <c r="J8164">
        <f>GS21/366.7</f>
        <v>0</v>
      </c>
      <c r="M8164" t="inlineStr">
        <is>
          <t>-366K63.1</t>
        </is>
      </c>
    </row>
    <row r="8165">
      <c r="A8165">
        <v>8164</v>
      </c>
      <c r="B8165">
        <f>GS01</f>
        <v>0</v>
      </c>
      <c r="C8165" t="inlineStr">
        <is>
          <t>+LS8</t>
        </is>
      </c>
      <c r="D8165" t="inlineStr">
        <is>
          <t>-366K72.3</t>
        </is>
      </c>
      <c r="E8165" t="inlineStr">
        <is>
          <t>DIL_EM-10-G</t>
        </is>
      </c>
      <c r="F8165" t="inlineStr">
        <is>
          <t>#KALK!</t>
        </is>
      </c>
      <c r="G8165" t="inlineStr">
        <is>
          <t>LASTSCHUETZ</t>
        </is>
      </c>
      <c r="H8165" t="inlineStr">
        <is>
          <t>4kW 1S</t>
        </is>
      </c>
      <c r="I8165">
        <v>529</v>
      </c>
      <c r="J8165">
        <f>GS01/366.7</f>
        <v>0</v>
      </c>
      <c r="M8165" t="inlineStr">
        <is>
          <t>-366K72.3</t>
        </is>
      </c>
    </row>
    <row r="8166">
      <c r="A8166">
        <v>8165</v>
      </c>
      <c r="B8166">
        <f>GS35</f>
        <v>0</v>
      </c>
      <c r="C8166" t="inlineStr">
        <is>
          <t>+LS08</t>
        </is>
      </c>
      <c r="D8166" t="inlineStr">
        <is>
          <t>-366Q135.3</t>
        </is>
      </c>
      <c r="E8166" t="inlineStr">
        <is>
          <t>DILM-9-10</t>
        </is>
      </c>
      <c r="F8166" t="inlineStr">
        <is>
          <t>#KALK!</t>
        </is>
      </c>
      <c r="G8166" t="inlineStr">
        <is>
          <t>LASTSCHUETZ</t>
        </is>
      </c>
      <c r="H8166" t="inlineStr">
        <is>
          <t>4kW 1S Federzugkl.</t>
        </is>
      </c>
      <c r="I8166">
        <v>522</v>
      </c>
      <c r="J8166">
        <f>GS35/366.5</f>
        <v>0</v>
      </c>
      <c r="M8166" t="inlineStr">
        <is>
          <t>-366Q135.3</t>
        </is>
      </c>
    </row>
    <row r="8167">
      <c r="A8167">
        <v>8166</v>
      </c>
      <c r="B8167">
        <f>GS92</f>
        <v>0</v>
      </c>
      <c r="C8167" t="inlineStr">
        <is>
          <t>+LS06</t>
        </is>
      </c>
      <c r="D8167" t="inlineStr">
        <is>
          <t>-366Q458.5</t>
        </is>
      </c>
      <c r="E8167" t="inlineStr">
        <is>
          <t>DILA-XHI22</t>
        </is>
      </c>
      <c r="F8167" t="inlineStr">
        <is>
          <t>DILA-XHI22</t>
        </is>
      </c>
      <c r="G8167" t="inlineStr">
        <is>
          <t>HILFSKONTAKTBLOCK</t>
        </is>
      </c>
      <c r="H8167" t="inlineStr">
        <is>
          <t>2S 2OE Last+Hilfssch. Cage</t>
        </is>
      </c>
      <c r="I8167">
        <v>512</v>
      </c>
      <c r="J8167">
        <f>GS92/366.5</f>
        <v>0</v>
      </c>
      <c r="M8167" t="inlineStr">
        <is>
          <t>-366Q458.5</t>
        </is>
      </c>
    </row>
    <row r="8168">
      <c r="A8168">
        <v>8167</v>
      </c>
      <c r="B8168">
        <f>GS92</f>
        <v>0</v>
      </c>
      <c r="C8168" t="inlineStr">
        <is>
          <t>+LS06</t>
        </is>
      </c>
      <c r="D8168" t="inlineStr">
        <is>
          <t>-366Q458.5</t>
        </is>
      </c>
      <c r="E8168" t="inlineStr">
        <is>
          <t>DILM-9-10</t>
        </is>
      </c>
      <c r="F8168" t="inlineStr">
        <is>
          <t>DILA-XHI22</t>
        </is>
      </c>
      <c r="G8168" t="inlineStr">
        <is>
          <t>LASTSCHUETZ</t>
        </is>
      </c>
      <c r="H8168" t="inlineStr">
        <is>
          <t>4kW 1S Federzugkl.</t>
        </is>
      </c>
      <c r="I8168">
        <v>512</v>
      </c>
      <c r="J8168">
        <f>GS92/366.5</f>
        <v>0</v>
      </c>
      <c r="M8168" t="inlineStr">
        <is>
          <t>-366Q458.5</t>
        </is>
      </c>
    </row>
    <row r="8169">
      <c r="A8169">
        <v>8168</v>
      </c>
      <c r="B8169">
        <f>GS92</f>
        <v>0</v>
      </c>
      <c r="C8169" t="inlineStr">
        <is>
          <t>+LS06</t>
        </is>
      </c>
      <c r="D8169" t="inlineStr">
        <is>
          <t>-366Q458.6</t>
        </is>
      </c>
      <c r="E8169" t="inlineStr">
        <is>
          <t>DILA-XHI22</t>
        </is>
      </c>
      <c r="F8169" t="inlineStr">
        <is>
          <t>DILA-XHI22</t>
        </is>
      </c>
      <c r="G8169" t="inlineStr">
        <is>
          <t>HILFSKONTAKTBLOCK</t>
        </is>
      </c>
      <c r="H8169" t="inlineStr">
        <is>
          <t>2S 2OE Last+Hilfssch. Cage</t>
        </is>
      </c>
      <c r="I8169">
        <v>512</v>
      </c>
      <c r="J8169">
        <f>GS92/366.6</f>
        <v>0</v>
      </c>
      <c r="M8169" t="inlineStr">
        <is>
          <t>-366Q458.6</t>
        </is>
      </c>
    </row>
    <row r="8170">
      <c r="A8170">
        <v>8169</v>
      </c>
      <c r="B8170">
        <f>GS92</f>
        <v>0</v>
      </c>
      <c r="C8170" t="inlineStr">
        <is>
          <t>+LS06</t>
        </is>
      </c>
      <c r="D8170" t="inlineStr">
        <is>
          <t>-366Q458.6</t>
        </is>
      </c>
      <c r="E8170" t="inlineStr">
        <is>
          <t>DILM-9-10</t>
        </is>
      </c>
      <c r="F8170" t="inlineStr">
        <is>
          <t>DILA-XHI22</t>
        </is>
      </c>
      <c r="G8170" t="inlineStr">
        <is>
          <t>LASTSCHUETZ</t>
        </is>
      </c>
      <c r="H8170" t="inlineStr">
        <is>
          <t>4kW 1S Federzugkl.</t>
        </is>
      </c>
      <c r="I8170">
        <v>512</v>
      </c>
      <c r="J8170">
        <f>GS92/366.6</f>
        <v>0</v>
      </c>
      <c r="M8170" t="inlineStr">
        <is>
          <t>-366Q458.6</t>
        </is>
      </c>
    </row>
    <row r="8171">
      <c r="A8171">
        <v>8170</v>
      </c>
      <c r="B8171">
        <f>GS13</f>
        <v>0</v>
      </c>
      <c r="C8171" t="inlineStr">
        <is>
          <t>+LS8</t>
        </is>
      </c>
      <c r="D8171" t="inlineStr">
        <is>
          <t>-3673505.7</t>
        </is>
      </c>
      <c r="E8171" t="inlineStr">
        <is>
          <t>DIL_EM-10-G</t>
        </is>
      </c>
      <c r="F8171" t="inlineStr">
        <is>
          <t>#KALK!</t>
        </is>
      </c>
      <c r="G8171" t="inlineStr">
        <is>
          <t>LASTSCHUETZ</t>
        </is>
      </c>
      <c r="H8171" t="inlineStr">
        <is>
          <t>4kW 1S</t>
        </is>
      </c>
      <c r="I8171">
        <v>612</v>
      </c>
      <c r="J8171">
        <f>GS13/367.7</f>
        <v>0</v>
      </c>
      <c r="M8171" t="inlineStr">
        <is>
          <t>-3673505.7</t>
        </is>
      </c>
    </row>
    <row r="8172">
      <c r="A8172">
        <v>8171</v>
      </c>
      <c r="B8172">
        <f>GS24</f>
        <v>0</v>
      </c>
      <c r="C8172" t="inlineStr">
        <is>
          <t>+LS7</t>
        </is>
      </c>
      <c r="D8172" t="inlineStr">
        <is>
          <t>-367K24.2</t>
        </is>
      </c>
      <c r="E8172" t="inlineStr">
        <is>
          <t>DIL_EM-10-G</t>
        </is>
      </c>
      <c r="F8172" t="inlineStr">
        <is>
          <t>#KALK!</t>
        </is>
      </c>
      <c r="G8172" t="inlineStr">
        <is>
          <t>LASTSCHUETZ</t>
        </is>
      </c>
      <c r="H8172" t="inlineStr">
        <is>
          <t>4kW 1S</t>
        </is>
      </c>
      <c r="I8172">
        <v>720</v>
      </c>
      <c r="J8172">
        <f>GS24/367.6</f>
        <v>0</v>
      </c>
      <c r="M8172" t="inlineStr">
        <is>
          <t>-367K24.2</t>
        </is>
      </c>
    </row>
    <row r="8173">
      <c r="A8173">
        <v>8172</v>
      </c>
      <c r="B8173">
        <f>GS24</f>
        <v>0</v>
      </c>
      <c r="C8173" t="inlineStr">
        <is>
          <t>+LS7</t>
        </is>
      </c>
      <c r="D8173" t="inlineStr">
        <is>
          <t>-367K24.3</t>
        </is>
      </c>
      <c r="E8173" t="inlineStr">
        <is>
          <t>DIL_EM-10-G</t>
        </is>
      </c>
      <c r="F8173" t="inlineStr">
        <is>
          <t>#KALK!</t>
        </is>
      </c>
      <c r="G8173" t="inlineStr">
        <is>
          <t>LASTSCHUETZ</t>
        </is>
      </c>
      <c r="H8173" t="inlineStr">
        <is>
          <t>4kW 1S</t>
        </is>
      </c>
      <c r="I8173">
        <v>720</v>
      </c>
      <c r="J8173">
        <f>GS24/367.6</f>
        <v>0</v>
      </c>
      <c r="M8173" t="inlineStr">
        <is>
          <t>-367K24.3</t>
        </is>
      </c>
    </row>
    <row r="8174">
      <c r="A8174">
        <v>8173</v>
      </c>
      <c r="B8174">
        <f>GS23</f>
        <v>0</v>
      </c>
      <c r="C8174" t="inlineStr">
        <is>
          <t>+LS8</t>
        </is>
      </c>
      <c r="D8174" t="inlineStr">
        <is>
          <t>-367K3505.7</t>
        </is>
      </c>
      <c r="E8174" t="inlineStr">
        <is>
          <t>DIL_EM-10-G</t>
        </is>
      </c>
      <c r="F8174" t="inlineStr">
        <is>
          <t>#KALK!</t>
        </is>
      </c>
      <c r="G8174" t="inlineStr">
        <is>
          <t>LASTSCHUETZ</t>
        </is>
      </c>
      <c r="H8174" t="inlineStr">
        <is>
          <t>4kW 1S</t>
        </is>
      </c>
      <c r="I8174">
        <v>668</v>
      </c>
      <c r="J8174">
        <f>GS23/367.7</f>
        <v>0</v>
      </c>
      <c r="M8174" t="inlineStr">
        <is>
          <t>-367K3505.7</t>
        </is>
      </c>
    </row>
    <row r="8175">
      <c r="A8175">
        <v>8174</v>
      </c>
      <c r="B8175">
        <f>GS02</f>
        <v>0</v>
      </c>
      <c r="C8175" t="inlineStr">
        <is>
          <t>+LS8</t>
        </is>
      </c>
      <c r="D8175" t="inlineStr">
        <is>
          <t>-367K61.0</t>
        </is>
      </c>
      <c r="E8175" t="inlineStr">
        <is>
          <t>DIL_EM-10-G</t>
        </is>
      </c>
      <c r="F8175" t="inlineStr">
        <is>
          <t>#KALK!</t>
        </is>
      </c>
      <c r="G8175" t="inlineStr">
        <is>
          <t>LASTSCHUETZ</t>
        </is>
      </c>
      <c r="H8175" t="inlineStr">
        <is>
          <t>4kW 1S</t>
        </is>
      </c>
      <c r="I8175">
        <v>773</v>
      </c>
      <c r="J8175">
        <f>GS02/367.6</f>
        <v>0</v>
      </c>
      <c r="M8175" t="inlineStr">
        <is>
          <t>-367K61.0</t>
        </is>
      </c>
    </row>
    <row r="8176">
      <c r="A8176">
        <v>8175</v>
      </c>
      <c r="B8176">
        <f>GS02</f>
        <v>0</v>
      </c>
      <c r="C8176" t="inlineStr">
        <is>
          <t>+LS8</t>
        </is>
      </c>
      <c r="D8176" t="inlineStr">
        <is>
          <t>-367K61.1</t>
        </is>
      </c>
      <c r="E8176" t="inlineStr">
        <is>
          <t>DIL_EM-10-G</t>
        </is>
      </c>
      <c r="F8176" t="inlineStr">
        <is>
          <t>#KALK!</t>
        </is>
      </c>
      <c r="G8176" t="inlineStr">
        <is>
          <t>LASTSCHUETZ</t>
        </is>
      </c>
      <c r="H8176" t="inlineStr">
        <is>
          <t>4kW 1S</t>
        </is>
      </c>
      <c r="I8176">
        <v>773</v>
      </c>
      <c r="J8176">
        <f>GS02/367.6</f>
        <v>0</v>
      </c>
      <c r="M8176" t="inlineStr">
        <is>
          <t>-367K61.1</t>
        </is>
      </c>
    </row>
    <row r="8177">
      <c r="A8177">
        <v>8176</v>
      </c>
      <c r="B8177">
        <f>GS01</f>
        <v>0</v>
      </c>
      <c r="C8177" t="inlineStr">
        <is>
          <t>+LS8</t>
        </is>
      </c>
      <c r="D8177" t="inlineStr">
        <is>
          <t>-367K73.1</t>
        </is>
      </c>
      <c r="E8177" t="inlineStr">
        <is>
          <t>DIL_EM-10-G</t>
        </is>
      </c>
      <c r="F8177" t="inlineStr">
        <is>
          <t>#KALK!</t>
        </is>
      </c>
      <c r="G8177" t="inlineStr">
        <is>
          <t>LASTSCHUETZ</t>
        </is>
      </c>
      <c r="H8177" t="inlineStr">
        <is>
          <t>4kW 1S</t>
        </is>
      </c>
      <c r="I8177">
        <v>530</v>
      </c>
      <c r="J8177">
        <f>GS01/367.7</f>
        <v>0</v>
      </c>
      <c r="M8177" t="inlineStr">
        <is>
          <t>-367K73.1</t>
        </is>
      </c>
    </row>
    <row r="8178">
      <c r="A8178">
        <v>8177</v>
      </c>
      <c r="B8178">
        <f>GS35</f>
        <v>0</v>
      </c>
      <c r="C8178" t="inlineStr">
        <is>
          <t>+LS08</t>
        </is>
      </c>
      <c r="D8178" t="inlineStr">
        <is>
          <t>-367Q135.4</t>
        </is>
      </c>
      <c r="E8178" t="inlineStr">
        <is>
          <t>DILM-9-10</t>
        </is>
      </c>
      <c r="F8178" t="inlineStr">
        <is>
          <t>#KALK!</t>
        </is>
      </c>
      <c r="G8178" t="inlineStr">
        <is>
          <t>LASTSCHUETZ</t>
        </is>
      </c>
      <c r="H8178" t="inlineStr">
        <is>
          <t>4kW 1S Federzugkl.</t>
        </is>
      </c>
      <c r="I8178">
        <v>520</v>
      </c>
      <c r="J8178">
        <f>GS35/367.5</f>
        <v>0</v>
      </c>
      <c r="M8178" t="inlineStr">
        <is>
          <t>-367Q135.4</t>
        </is>
      </c>
    </row>
    <row r="8179">
      <c r="A8179">
        <v>8178</v>
      </c>
      <c r="B8179">
        <f>GS92</f>
        <v>0</v>
      </c>
      <c r="C8179" t="inlineStr">
        <is>
          <t>+LS06</t>
        </is>
      </c>
      <c r="D8179" t="inlineStr">
        <is>
          <t>-367Q458.7</t>
        </is>
      </c>
      <c r="E8179" t="inlineStr">
        <is>
          <t>DILM-9-10</t>
        </is>
      </c>
      <c r="F8179" t="inlineStr">
        <is>
          <t>#KALK!</t>
        </is>
      </c>
      <c r="G8179" t="inlineStr">
        <is>
          <t>LASTSCHUETZ</t>
        </is>
      </c>
      <c r="H8179" t="inlineStr">
        <is>
          <t>4kW 1S Federzugkl.</t>
        </is>
      </c>
      <c r="I8179">
        <v>513</v>
      </c>
      <c r="J8179">
        <f>GS92/367.5</f>
        <v>0</v>
      </c>
      <c r="M8179" t="inlineStr">
        <is>
          <t>-367Q458.7</t>
        </is>
      </c>
    </row>
    <row r="8180">
      <c r="A8180">
        <v>8179</v>
      </c>
      <c r="B8180">
        <f>GS13</f>
        <v>0</v>
      </c>
      <c r="C8180" t="inlineStr">
        <is>
          <t>+LS8</t>
        </is>
      </c>
      <c r="D8180" t="inlineStr">
        <is>
          <t>-3683506.3</t>
        </is>
      </c>
      <c r="E8180" t="inlineStr">
        <is>
          <t>DIL_EM-10-G</t>
        </is>
      </c>
      <c r="F8180" t="inlineStr">
        <is>
          <t>#KALK!</t>
        </is>
      </c>
      <c r="G8180" t="inlineStr">
        <is>
          <t>LASTSCHUETZ</t>
        </is>
      </c>
      <c r="H8180" t="inlineStr">
        <is>
          <t>4kW 1S</t>
        </is>
      </c>
      <c r="I8180">
        <v>613</v>
      </c>
      <c r="J8180">
        <f>GS13/368.7</f>
        <v>0</v>
      </c>
      <c r="M8180" t="inlineStr">
        <is>
          <t>-3683506.3</t>
        </is>
      </c>
    </row>
    <row r="8181">
      <c r="A8181">
        <v>8180</v>
      </c>
      <c r="B8181">
        <f>GS24</f>
        <v>0</v>
      </c>
      <c r="C8181" t="inlineStr">
        <is>
          <t>+LS7</t>
        </is>
      </c>
      <c r="D8181" t="inlineStr">
        <is>
          <t>-368K24.4</t>
        </is>
      </c>
      <c r="E8181" t="inlineStr">
        <is>
          <t>DIL_EM-10-G</t>
        </is>
      </c>
      <c r="F8181" t="inlineStr">
        <is>
          <t>#KALK!</t>
        </is>
      </c>
      <c r="G8181" t="inlineStr">
        <is>
          <t>LASTSCHUETZ</t>
        </is>
      </c>
      <c r="H8181" t="inlineStr">
        <is>
          <t>4kW 1S</t>
        </is>
      </c>
      <c r="I8181">
        <v>719</v>
      </c>
      <c r="J8181">
        <f>GS24/368.6</f>
        <v>0</v>
      </c>
      <c r="M8181" t="inlineStr">
        <is>
          <t>-368K24.4</t>
        </is>
      </c>
    </row>
    <row r="8182">
      <c r="A8182">
        <v>8181</v>
      </c>
      <c r="B8182">
        <f>GS24</f>
        <v>0</v>
      </c>
      <c r="C8182" t="inlineStr">
        <is>
          <t>+LS7</t>
        </is>
      </c>
      <c r="D8182" t="inlineStr">
        <is>
          <t>-368K24.5</t>
        </is>
      </c>
      <c r="E8182" t="inlineStr">
        <is>
          <t>DIL_EM-10-G</t>
        </is>
      </c>
      <c r="F8182" t="inlineStr">
        <is>
          <t>#KALK!</t>
        </is>
      </c>
      <c r="G8182" t="inlineStr">
        <is>
          <t>LASTSCHUETZ</t>
        </is>
      </c>
      <c r="H8182" t="inlineStr">
        <is>
          <t>4kW 1S</t>
        </is>
      </c>
      <c r="I8182">
        <v>719</v>
      </c>
      <c r="J8182">
        <f>GS24/368.6</f>
        <v>0</v>
      </c>
      <c r="M8182" t="inlineStr">
        <is>
          <t>-368K24.5</t>
        </is>
      </c>
    </row>
    <row r="8183">
      <c r="A8183">
        <v>8182</v>
      </c>
      <c r="B8183">
        <f>GS23</f>
        <v>0</v>
      </c>
      <c r="C8183" t="inlineStr">
        <is>
          <t>+LS8</t>
        </is>
      </c>
      <c r="D8183" t="inlineStr">
        <is>
          <t>-368K3506.3</t>
        </is>
      </c>
      <c r="E8183" t="inlineStr">
        <is>
          <t>DIL_EM-10-G</t>
        </is>
      </c>
      <c r="F8183" t="inlineStr">
        <is>
          <t>#KALK!</t>
        </is>
      </c>
      <c r="G8183" t="inlineStr">
        <is>
          <t>LASTSCHUETZ</t>
        </is>
      </c>
      <c r="H8183" t="inlineStr">
        <is>
          <t>4kW 1S</t>
        </is>
      </c>
      <c r="I8183">
        <v>669</v>
      </c>
      <c r="J8183">
        <f>GS23/368.7</f>
        <v>0</v>
      </c>
      <c r="M8183" t="inlineStr">
        <is>
          <t>-368K3506.3</t>
        </is>
      </c>
    </row>
    <row r="8184">
      <c r="A8184">
        <v>8183</v>
      </c>
      <c r="B8184">
        <f>GS02</f>
        <v>0</v>
      </c>
      <c r="C8184" t="inlineStr">
        <is>
          <t>+LS8</t>
        </is>
      </c>
      <c r="D8184" t="inlineStr">
        <is>
          <t>-368K61.2</t>
        </is>
      </c>
      <c r="E8184" t="inlineStr">
        <is>
          <t>DIL_EM-10-G</t>
        </is>
      </c>
      <c r="F8184" t="inlineStr">
        <is>
          <t>#KALK!</t>
        </is>
      </c>
      <c r="G8184" t="inlineStr">
        <is>
          <t>LASTSCHUETZ</t>
        </is>
      </c>
      <c r="H8184" t="inlineStr">
        <is>
          <t>4kW 1S</t>
        </is>
      </c>
      <c r="I8184">
        <v>774</v>
      </c>
      <c r="J8184">
        <f>GS02/368.6</f>
        <v>0</v>
      </c>
      <c r="M8184" t="inlineStr">
        <is>
          <t>-368K61.2</t>
        </is>
      </c>
    </row>
    <row r="8185">
      <c r="A8185">
        <v>8184</v>
      </c>
      <c r="B8185">
        <f>GS02</f>
        <v>0</v>
      </c>
      <c r="C8185" t="inlineStr">
        <is>
          <t>+LS8</t>
        </is>
      </c>
      <c r="D8185" t="inlineStr">
        <is>
          <t>-368K61.3</t>
        </is>
      </c>
      <c r="E8185" t="inlineStr">
        <is>
          <t>DIL_EM-10-G</t>
        </is>
      </c>
      <c r="F8185" t="inlineStr">
        <is>
          <t>#KALK!</t>
        </is>
      </c>
      <c r="G8185" t="inlineStr">
        <is>
          <t>LASTSCHUETZ</t>
        </is>
      </c>
      <c r="H8185" t="inlineStr">
        <is>
          <t>4kW 1S</t>
        </is>
      </c>
      <c r="I8185">
        <v>774</v>
      </c>
      <c r="J8185">
        <f>GS02/368.6</f>
        <v>0</v>
      </c>
      <c r="M8185" t="inlineStr">
        <is>
          <t>-368K61.3</t>
        </is>
      </c>
    </row>
    <row r="8186">
      <c r="A8186">
        <v>8185</v>
      </c>
      <c r="B8186">
        <f>GS01</f>
        <v>0</v>
      </c>
      <c r="C8186" t="inlineStr">
        <is>
          <t>+LS8</t>
        </is>
      </c>
      <c r="D8186" t="inlineStr">
        <is>
          <t>-368K73.2</t>
        </is>
      </c>
      <c r="E8186" t="inlineStr">
        <is>
          <t>DIL_EM-10-G</t>
        </is>
      </c>
      <c r="F8186" t="inlineStr">
        <is>
          <t>#KALK!</t>
        </is>
      </c>
      <c r="G8186" t="inlineStr">
        <is>
          <t>LASTSCHUETZ</t>
        </is>
      </c>
      <c r="H8186" t="inlineStr">
        <is>
          <t>4kW 1S</t>
        </is>
      </c>
      <c r="I8186">
        <v>531</v>
      </c>
      <c r="J8186">
        <f>GS01/368.6</f>
        <v>0</v>
      </c>
      <c r="M8186" t="inlineStr">
        <is>
          <t>-368K73.2</t>
        </is>
      </c>
    </row>
    <row r="8187">
      <c r="A8187">
        <v>8186</v>
      </c>
      <c r="B8187">
        <f>GS37</f>
        <v>0</v>
      </c>
      <c r="C8187" t="inlineStr">
        <is>
          <t>+LS08</t>
        </is>
      </c>
      <c r="D8187" t="inlineStr">
        <is>
          <t>-368K730.2</t>
        </is>
      </c>
      <c r="E8187" t="inlineStr">
        <is>
          <t>DILA-22</t>
        </is>
      </c>
      <c r="F8187" t="inlineStr">
        <is>
          <t>#KALK!</t>
        </is>
      </c>
      <c r="G8187" t="inlineStr">
        <is>
          <t>HILFSSCHUETZ</t>
        </is>
      </c>
      <c r="H8187" t="inlineStr">
        <is>
          <t>2S 2Oe Federzugkl.</t>
        </is>
      </c>
      <c r="I8187">
        <v>585</v>
      </c>
      <c r="J8187">
        <f>GS37/368.8</f>
        <v>0</v>
      </c>
      <c r="M8187" t="inlineStr">
        <is>
          <t>-368K730.2</t>
        </is>
      </c>
    </row>
    <row r="8188">
      <c r="A8188">
        <v>8187</v>
      </c>
      <c r="B8188">
        <f>GS35</f>
        <v>0</v>
      </c>
      <c r="C8188" t="inlineStr">
        <is>
          <t>+LS08</t>
        </is>
      </c>
      <c r="D8188" t="inlineStr">
        <is>
          <t>-368Q135.5</t>
        </is>
      </c>
      <c r="E8188" t="inlineStr">
        <is>
          <t>DILM-9-10</t>
        </is>
      </c>
      <c r="F8188" t="inlineStr">
        <is>
          <t>#KALK!</t>
        </is>
      </c>
      <c r="G8188" t="inlineStr">
        <is>
          <t>LASTSCHUETZ</t>
        </is>
      </c>
      <c r="H8188" t="inlineStr">
        <is>
          <t>4kW 1S Federzugkl.</t>
        </is>
      </c>
      <c r="I8188">
        <v>521</v>
      </c>
      <c r="J8188">
        <f>GS35/368.5</f>
        <v>0</v>
      </c>
      <c r="M8188" t="inlineStr">
        <is>
          <t>-368Q135.5</t>
        </is>
      </c>
    </row>
    <row r="8189">
      <c r="A8189">
        <v>8188</v>
      </c>
      <c r="B8189">
        <f>GS91</f>
        <v>0</v>
      </c>
      <c r="C8189" t="inlineStr">
        <is>
          <t>+LS06</t>
        </is>
      </c>
      <c r="D8189" t="inlineStr">
        <is>
          <t>-368Q193.1</t>
        </is>
      </c>
      <c r="E8189" t="inlineStr">
        <is>
          <t>DILM-9-10</t>
        </is>
      </c>
      <c r="F8189" t="inlineStr">
        <is>
          <t>#KALK!</t>
        </is>
      </c>
      <c r="G8189" t="inlineStr">
        <is>
          <t>LASTSCHUETZ</t>
        </is>
      </c>
      <c r="H8189" t="inlineStr">
        <is>
          <t>4kW 1S Federzugkl.</t>
        </is>
      </c>
      <c r="I8189">
        <v>516</v>
      </c>
      <c r="J8189">
        <f>GS91/368.5</f>
        <v>0</v>
      </c>
      <c r="M8189" t="inlineStr">
        <is>
          <t>-368Q193.1</t>
        </is>
      </c>
    </row>
    <row r="8190">
      <c r="A8190">
        <v>8189</v>
      </c>
      <c r="B8190">
        <f>GS36</f>
        <v>0</v>
      </c>
      <c r="C8190" t="inlineStr">
        <is>
          <t>+LS09</t>
        </is>
      </c>
      <c r="D8190" t="inlineStr">
        <is>
          <t>-405K133.0</t>
        </is>
      </c>
      <c r="E8190" t="inlineStr">
        <is>
          <t>DILA-40</t>
        </is>
      </c>
      <c r="F8190" t="inlineStr">
        <is>
          <t>#KALK!</t>
        </is>
      </c>
      <c r="G8190" t="inlineStr">
        <is>
          <t>HILFSSCHUETZ</t>
        </is>
      </c>
      <c r="H8190" t="inlineStr">
        <is>
          <t>4S Federzugkl.</t>
        </is>
      </c>
      <c r="I8190">
        <v>578</v>
      </c>
      <c r="J8190">
        <f>GS36/405.7</f>
        <v>0</v>
      </c>
      <c r="M8190" t="inlineStr">
        <is>
          <t>-405K133.0</t>
        </is>
      </c>
    </row>
    <row r="8191">
      <c r="A8191">
        <v>8190</v>
      </c>
      <c r="B8191">
        <f>GS92</f>
        <v>0</v>
      </c>
      <c r="C8191" t="inlineStr">
        <is>
          <t>+LS06</t>
        </is>
      </c>
      <c r="D8191" t="inlineStr">
        <is>
          <t>-368Q459.0</t>
        </is>
      </c>
      <c r="E8191" t="inlineStr">
        <is>
          <t>DILM-9-10</t>
        </is>
      </c>
      <c r="F8191" t="inlineStr">
        <is>
          <t>#KALK!</t>
        </is>
      </c>
      <c r="G8191" t="inlineStr">
        <is>
          <t>LASTSCHUETZ</t>
        </is>
      </c>
      <c r="H8191" t="inlineStr">
        <is>
          <t>4kW 1S Federzugkl.</t>
        </is>
      </c>
      <c r="I8191">
        <v>514</v>
      </c>
      <c r="J8191">
        <f>GS92/368.5</f>
        <v>0</v>
      </c>
      <c r="M8191" t="inlineStr">
        <is>
          <t>-368Q459.0</t>
        </is>
      </c>
    </row>
    <row r="8192">
      <c r="A8192">
        <v>8191</v>
      </c>
      <c r="B8192">
        <f>GS35</f>
        <v>0</v>
      </c>
      <c r="C8192" t="inlineStr">
        <is>
          <t>+LS08</t>
        </is>
      </c>
      <c r="D8192" t="inlineStr">
        <is>
          <t>-369.1Q135.7</t>
        </is>
      </c>
      <c r="E8192" t="inlineStr">
        <is>
          <t>DILM-9-10</t>
        </is>
      </c>
      <c r="F8192" t="inlineStr">
        <is>
          <t>#KALK!</t>
        </is>
      </c>
      <c r="G8192" t="inlineStr">
        <is>
          <t>LASTSCHUETZ</t>
        </is>
      </c>
      <c r="H8192" t="inlineStr">
        <is>
          <t>4kW 1S Federzugkl.</t>
        </is>
      </c>
      <c r="I8192">
        <v>1283</v>
      </c>
      <c r="J8192">
        <f>GS35/369.1.5</f>
        <v>0</v>
      </c>
      <c r="M8192" t="inlineStr">
        <is>
          <t>-369.1Q135.7</t>
        </is>
      </c>
    </row>
    <row r="8193">
      <c r="A8193">
        <v>8192</v>
      </c>
      <c r="B8193">
        <f>GS13</f>
        <v>0</v>
      </c>
      <c r="C8193" t="inlineStr">
        <is>
          <t>+LS8</t>
        </is>
      </c>
      <c r="D8193" t="inlineStr">
        <is>
          <t>-3693506.7</t>
        </is>
      </c>
      <c r="E8193" t="inlineStr">
        <is>
          <t>DIL_EM-10-G</t>
        </is>
      </c>
      <c r="F8193" t="inlineStr">
        <is>
          <t>#KALK!</t>
        </is>
      </c>
      <c r="G8193" t="inlineStr">
        <is>
          <t>LASTSCHUETZ</t>
        </is>
      </c>
      <c r="H8193" t="inlineStr">
        <is>
          <t>4kW 1S</t>
        </is>
      </c>
      <c r="I8193">
        <v>614</v>
      </c>
      <c r="J8193">
        <f>GS13/369.7</f>
        <v>0</v>
      </c>
      <c r="M8193" t="inlineStr">
        <is>
          <t>-3693506.7</t>
        </is>
      </c>
    </row>
    <row r="8194">
      <c r="A8194">
        <v>8193</v>
      </c>
      <c r="B8194">
        <f>GS31</f>
        <v>0</v>
      </c>
      <c r="C8194" t="inlineStr">
        <is>
          <t>+LS7</t>
        </is>
      </c>
      <c r="D8194" t="inlineStr">
        <is>
          <t>-369K1</t>
        </is>
      </c>
      <c r="E8194" t="inlineStr">
        <is>
          <t>22_DIL-M</t>
        </is>
      </c>
      <c r="F8194" t="inlineStr">
        <is>
          <t>22_DIL-M</t>
        </is>
      </c>
      <c r="G8194" t="inlineStr">
        <is>
          <t>HILFSKONTAKTBLOCK</t>
        </is>
      </c>
      <c r="H8194" t="inlineStr">
        <is>
          <t>2S 2OE Lastschuetz DIL M</t>
        </is>
      </c>
      <c r="I8194">
        <v>660</v>
      </c>
      <c r="J8194">
        <f>GS31/369.2</f>
        <v>0</v>
      </c>
      <c r="K8194" t="inlineStr">
        <is>
          <t>DIL0AM</t>
        </is>
      </c>
      <c r="M8194" t="inlineStr">
        <is>
          <t>-369K1</t>
        </is>
      </c>
    </row>
    <row r="8195">
      <c r="A8195">
        <v>8194</v>
      </c>
      <c r="B8195">
        <f>GS31</f>
        <v>0</v>
      </c>
      <c r="C8195" t="inlineStr">
        <is>
          <t>+LS7</t>
        </is>
      </c>
      <c r="D8195" t="inlineStr">
        <is>
          <t>-369K1</t>
        </is>
      </c>
      <c r="E8195" t="inlineStr">
        <is>
          <t>DIL_0AM</t>
        </is>
      </c>
      <c r="F8195" t="inlineStr">
        <is>
          <t>22_DIL-M</t>
        </is>
      </c>
      <c r="G8195" t="inlineStr">
        <is>
          <t>LASTSCHUETZ</t>
        </is>
      </c>
      <c r="H8195" t="inlineStr">
        <is>
          <t>11 kW</t>
        </is>
      </c>
      <c r="I8195">
        <v>660</v>
      </c>
      <c r="J8195">
        <f>GS31/369.2</f>
        <v>0</v>
      </c>
      <c r="K8195" t="inlineStr">
        <is>
          <t>DIL0AM</t>
        </is>
      </c>
      <c r="M8195" t="inlineStr">
        <is>
          <t>-369K1</t>
        </is>
      </c>
    </row>
    <row r="8196">
      <c r="A8196">
        <v>8195</v>
      </c>
      <c r="B8196">
        <f>GS04</f>
        <v>0</v>
      </c>
      <c r="C8196" t="inlineStr">
        <is>
          <t>+ES2</t>
        </is>
      </c>
      <c r="D8196" t="inlineStr">
        <is>
          <t>-369K104.0</t>
        </is>
      </c>
      <c r="E8196" t="inlineStr">
        <is>
          <t>40_DIL-E</t>
        </is>
      </c>
      <c r="F8196" t="inlineStr">
        <is>
          <t>40_DIL-E</t>
        </is>
      </c>
      <c r="G8196" t="inlineStr">
        <is>
          <t>HILFSKONTAKTBLOCK</t>
        </is>
      </c>
      <c r="H8196" t="inlineStr">
        <is>
          <t>4S Last+Hilfsschuetz</t>
        </is>
      </c>
      <c r="I8196">
        <v>622</v>
      </c>
      <c r="J8196">
        <f>GS04/369.6</f>
        <v>0</v>
      </c>
      <c r="M8196" t="inlineStr">
        <is>
          <t>-369K104.0</t>
        </is>
      </c>
    </row>
    <row r="8197">
      <c r="A8197">
        <v>8196</v>
      </c>
      <c r="B8197">
        <f>GS04</f>
        <v>0</v>
      </c>
      <c r="C8197" t="inlineStr">
        <is>
          <t>+ES2</t>
        </is>
      </c>
      <c r="D8197" t="inlineStr">
        <is>
          <t>-369K104.0</t>
        </is>
      </c>
      <c r="E8197" t="inlineStr">
        <is>
          <t>DIL_ER-40-G</t>
        </is>
      </c>
      <c r="F8197" t="inlineStr">
        <is>
          <t>40_DIL-E</t>
        </is>
      </c>
      <c r="G8197" t="inlineStr">
        <is>
          <t>HILFSSCHUETZ</t>
        </is>
      </c>
      <c r="H8197" t="inlineStr">
        <is>
          <t>4S</t>
        </is>
      </c>
      <c r="I8197">
        <v>622</v>
      </c>
      <c r="J8197">
        <f>GS04/369.6</f>
        <v>0</v>
      </c>
      <c r="M8197" t="inlineStr">
        <is>
          <t>-369K104.0</t>
        </is>
      </c>
    </row>
    <row r="8198">
      <c r="A8198">
        <v>8197</v>
      </c>
      <c r="B8198">
        <f>GS04</f>
        <v>0</v>
      </c>
      <c r="C8198" t="inlineStr">
        <is>
          <t>+ES2</t>
        </is>
      </c>
      <c r="D8198" t="inlineStr">
        <is>
          <t>-369K104.1</t>
        </is>
      </c>
      <c r="E8198" t="inlineStr">
        <is>
          <t>40_DIL-E</t>
        </is>
      </c>
      <c r="F8198" t="inlineStr">
        <is>
          <t>40_DIL-E</t>
        </is>
      </c>
      <c r="G8198" t="inlineStr">
        <is>
          <t>HILFSKONTAKTBLOCK</t>
        </is>
      </c>
      <c r="H8198" t="inlineStr">
        <is>
          <t>4S Last+Hilfsschuetz</t>
        </is>
      </c>
      <c r="I8198">
        <v>622</v>
      </c>
      <c r="J8198">
        <f>GS04/369.6</f>
        <v>0</v>
      </c>
      <c r="M8198" t="inlineStr">
        <is>
          <t>-369K104.1</t>
        </is>
      </c>
    </row>
    <row r="8199">
      <c r="A8199">
        <v>8198</v>
      </c>
      <c r="B8199">
        <f>GS04</f>
        <v>0</v>
      </c>
      <c r="C8199" t="inlineStr">
        <is>
          <t>+ES2</t>
        </is>
      </c>
      <c r="D8199" t="inlineStr">
        <is>
          <t>-369K104.1</t>
        </is>
      </c>
      <c r="E8199" t="inlineStr">
        <is>
          <t>DIL_ER-40-G</t>
        </is>
      </c>
      <c r="F8199" t="inlineStr">
        <is>
          <t>40_DIL-E</t>
        </is>
      </c>
      <c r="G8199" t="inlineStr">
        <is>
          <t>HILFSSCHUETZ</t>
        </is>
      </c>
      <c r="H8199" t="inlineStr">
        <is>
          <t>4S</t>
        </is>
      </c>
      <c r="I8199">
        <v>622</v>
      </c>
      <c r="J8199">
        <f>GS04/369.6</f>
        <v>0</v>
      </c>
      <c r="M8199" t="inlineStr">
        <is>
          <t>-369K104.1</t>
        </is>
      </c>
    </row>
    <row r="8200">
      <c r="A8200">
        <v>8199</v>
      </c>
      <c r="B8200">
        <f>GS23</f>
        <v>0</v>
      </c>
      <c r="C8200" t="inlineStr">
        <is>
          <t>+LS8</t>
        </is>
      </c>
      <c r="D8200" t="inlineStr">
        <is>
          <t>-369K3506.7</t>
        </is>
      </c>
      <c r="E8200" t="inlineStr">
        <is>
          <t>DIL_EM-10-G</t>
        </is>
      </c>
      <c r="F8200" t="inlineStr">
        <is>
          <t>#KALK!</t>
        </is>
      </c>
      <c r="G8200" t="inlineStr">
        <is>
          <t>LASTSCHUETZ</t>
        </is>
      </c>
      <c r="H8200" t="inlineStr">
        <is>
          <t>4kW 1S</t>
        </is>
      </c>
      <c r="I8200">
        <v>670</v>
      </c>
      <c r="J8200">
        <f>GS23/369.7</f>
        <v>0</v>
      </c>
      <c r="M8200" t="inlineStr">
        <is>
          <t>-369K3506.7</t>
        </is>
      </c>
    </row>
    <row r="8201">
      <c r="A8201">
        <v>8200</v>
      </c>
      <c r="B8201">
        <f>GS02</f>
        <v>0</v>
      </c>
      <c r="C8201" t="inlineStr">
        <is>
          <t>+LS8</t>
        </is>
      </c>
      <c r="D8201" t="inlineStr">
        <is>
          <t>-369K61.7</t>
        </is>
      </c>
      <c r="E8201" t="inlineStr">
        <is>
          <t>DIL_EM-10-G</t>
        </is>
      </c>
      <c r="F8201" t="inlineStr">
        <is>
          <t>#KALK!</t>
        </is>
      </c>
      <c r="G8201" t="inlineStr">
        <is>
          <t>LASTSCHUETZ</t>
        </is>
      </c>
      <c r="H8201" t="inlineStr">
        <is>
          <t>4kW 1S</t>
        </is>
      </c>
      <c r="I8201">
        <v>775</v>
      </c>
      <c r="J8201">
        <f>GS02/369.7</f>
        <v>0</v>
      </c>
      <c r="M8201" t="inlineStr">
        <is>
          <t>-369K61.7</t>
        </is>
      </c>
    </row>
    <row r="8202">
      <c r="A8202">
        <v>8201</v>
      </c>
      <c r="B8202">
        <f>GS01</f>
        <v>0</v>
      </c>
      <c r="C8202" t="inlineStr">
        <is>
          <t>+LS8</t>
        </is>
      </c>
      <c r="D8202" t="inlineStr">
        <is>
          <t>-369K74.0</t>
        </is>
      </c>
      <c r="E8202" t="inlineStr">
        <is>
          <t>DIL_EM-10-G</t>
        </is>
      </c>
      <c r="F8202" t="inlineStr">
        <is>
          <t>#KALK!</t>
        </is>
      </c>
      <c r="G8202" t="inlineStr">
        <is>
          <t>LASTSCHUETZ</t>
        </is>
      </c>
      <c r="H8202" t="inlineStr">
        <is>
          <t>4kW 1S</t>
        </is>
      </c>
      <c r="I8202">
        <v>532</v>
      </c>
      <c r="J8202">
        <f>GS01/369.7</f>
        <v>0</v>
      </c>
      <c r="M8202" t="inlineStr">
        <is>
          <t>-369K74.0</t>
        </is>
      </c>
    </row>
    <row r="8203">
      <c r="A8203">
        <v>8202</v>
      </c>
      <c r="B8203">
        <f>GS35</f>
        <v>0</v>
      </c>
      <c r="C8203" t="inlineStr">
        <is>
          <t>+LS08</t>
        </is>
      </c>
      <c r="D8203" t="inlineStr">
        <is>
          <t>-369Q135.6</t>
        </is>
      </c>
      <c r="E8203" t="inlineStr">
        <is>
          <t>DILM-9-10</t>
        </is>
      </c>
      <c r="F8203" t="inlineStr">
        <is>
          <t>#KALK!</t>
        </is>
      </c>
      <c r="G8203" t="inlineStr">
        <is>
          <t>LASTSCHUETZ</t>
        </is>
      </c>
      <c r="H8203" t="inlineStr">
        <is>
          <t>4kW 1S Federzugkl.</t>
        </is>
      </c>
      <c r="I8203">
        <v>519</v>
      </c>
      <c r="J8203">
        <f>GS35/369.5</f>
        <v>0</v>
      </c>
      <c r="M8203" t="inlineStr">
        <is>
          <t>-369Q135.6</t>
        </is>
      </c>
    </row>
    <row r="8204">
      <c r="A8204">
        <v>8203</v>
      </c>
      <c r="B8204">
        <f>GS91</f>
        <v>0</v>
      </c>
      <c r="C8204" t="inlineStr">
        <is>
          <t>+LS06</t>
        </is>
      </c>
      <c r="D8204" t="inlineStr">
        <is>
          <t>-369Q193.2</t>
        </is>
      </c>
      <c r="E8204" t="inlineStr">
        <is>
          <t>DILM-9-10</t>
        </is>
      </c>
      <c r="F8204" t="inlineStr">
        <is>
          <t>#KALK!</t>
        </is>
      </c>
      <c r="G8204" t="inlineStr">
        <is>
          <t>LASTSCHUETZ</t>
        </is>
      </c>
      <c r="H8204" t="inlineStr">
        <is>
          <t>4kW 1S Federzugkl.</t>
        </is>
      </c>
      <c r="I8204">
        <v>517</v>
      </c>
      <c r="J8204">
        <f>GS91/369.5</f>
        <v>0</v>
      </c>
      <c r="M8204" t="inlineStr">
        <is>
          <t>-369Q193.2</t>
        </is>
      </c>
    </row>
    <row r="8205">
      <c r="A8205">
        <v>8204</v>
      </c>
      <c r="B8205">
        <f>GS7x</f>
        <v>0</v>
      </c>
      <c r="C8205" t="inlineStr">
        <is>
          <t>+ES02</t>
        </is>
      </c>
      <c r="D8205" t="inlineStr">
        <is>
          <t>-36Q4.7</t>
        </is>
      </c>
      <c r="E8205" t="inlineStr">
        <is>
          <t>DILM-9-10</t>
        </is>
      </c>
      <c r="F8205" t="inlineStr">
        <is>
          <t>#KALK!</t>
        </is>
      </c>
      <c r="G8205" t="inlineStr">
        <is>
          <t>LASTSCHUETZ</t>
        </is>
      </c>
      <c r="H8205" t="inlineStr">
        <is>
          <t>4kW 1S Federzugkl.</t>
        </is>
      </c>
      <c r="I8205">
        <v>233</v>
      </c>
      <c r="J8205">
        <f>GS7x/36.6</f>
        <v>0</v>
      </c>
      <c r="M8205" t="inlineStr">
        <is>
          <t>-36Q4.7</t>
        </is>
      </c>
    </row>
    <row r="8206">
      <c r="A8206">
        <v>8205</v>
      </c>
      <c r="B8206">
        <f>GS7x</f>
        <v>0</v>
      </c>
      <c r="C8206" t="inlineStr">
        <is>
          <t>+ES02</t>
        </is>
      </c>
      <c r="D8206" t="inlineStr">
        <is>
          <t>-36Q4.7</t>
        </is>
      </c>
      <c r="E8206" t="inlineStr">
        <is>
          <t>DILM-9-10</t>
        </is>
      </c>
      <c r="F8206" t="inlineStr">
        <is>
          <t>#KALK!</t>
        </is>
      </c>
      <c r="G8206" t="inlineStr">
        <is>
          <t>LASTSCHUETZ</t>
        </is>
      </c>
      <c r="H8206" t="inlineStr">
        <is>
          <t>4kW 1S Federzugkl.</t>
        </is>
      </c>
      <c r="I8206">
        <v>211</v>
      </c>
      <c r="J8206">
        <f>GS7x/36.6</f>
        <v>0</v>
      </c>
      <c r="M8206" t="inlineStr">
        <is>
          <t>-36Q4.7</t>
        </is>
      </c>
    </row>
    <row r="8207">
      <c r="A8207">
        <v>8206</v>
      </c>
      <c r="B8207">
        <f>GS15</f>
        <v>0</v>
      </c>
      <c r="C8207" t="inlineStr">
        <is>
          <t>+LS7</t>
        </is>
      </c>
      <c r="D8207" t="inlineStr">
        <is>
          <t>-370K1</t>
        </is>
      </c>
      <c r="E8207" t="inlineStr">
        <is>
          <t>22_DIL-M</t>
        </is>
      </c>
      <c r="F8207" t="inlineStr">
        <is>
          <t>22_DIL-M</t>
        </is>
      </c>
      <c r="G8207" t="inlineStr">
        <is>
          <t>HILFSKONTAKTBLOCK</t>
        </is>
      </c>
      <c r="H8207" t="inlineStr">
        <is>
          <t>2S 2OE Lastschuetz DIL M</t>
        </is>
      </c>
      <c r="I8207">
        <v>871</v>
      </c>
      <c r="J8207">
        <f>GS15/370.2</f>
        <v>0</v>
      </c>
      <c r="K8207" t="inlineStr">
        <is>
          <t>DIL0AM</t>
        </is>
      </c>
      <c r="M8207" t="inlineStr">
        <is>
          <t>-370K1</t>
        </is>
      </c>
    </row>
    <row r="8208">
      <c r="A8208">
        <v>8207</v>
      </c>
      <c r="B8208">
        <f>GS15</f>
        <v>0</v>
      </c>
      <c r="C8208" t="inlineStr">
        <is>
          <t>+LS7</t>
        </is>
      </c>
      <c r="D8208" t="inlineStr">
        <is>
          <t>-370K1</t>
        </is>
      </c>
      <c r="E8208" t="inlineStr">
        <is>
          <t>DIL_0AM</t>
        </is>
      </c>
      <c r="F8208" t="inlineStr">
        <is>
          <t>22_DIL-M</t>
        </is>
      </c>
      <c r="G8208" t="inlineStr">
        <is>
          <t>LASTSCHUETZ</t>
        </is>
      </c>
      <c r="H8208" t="inlineStr">
        <is>
          <t>11 kW</t>
        </is>
      </c>
      <c r="I8208">
        <v>871</v>
      </c>
      <c r="J8208">
        <f>GS15/370.2</f>
        <v>0</v>
      </c>
      <c r="K8208" t="inlineStr">
        <is>
          <t>DIL0AM</t>
        </is>
      </c>
      <c r="M8208" t="inlineStr">
        <is>
          <t>-370K1</t>
        </is>
      </c>
    </row>
    <row r="8209">
      <c r="A8209">
        <v>8208</v>
      </c>
      <c r="B8209">
        <f>GS34</f>
        <v>0</v>
      </c>
      <c r="C8209" t="inlineStr">
        <is>
          <t>+LS8</t>
        </is>
      </c>
      <c r="D8209" t="inlineStr">
        <is>
          <t>-370K1</t>
        </is>
      </c>
      <c r="E8209" t="inlineStr">
        <is>
          <t>22_DIL-M</t>
        </is>
      </c>
      <c r="F8209" t="inlineStr">
        <is>
          <t>22_DIL-M</t>
        </is>
      </c>
      <c r="G8209" t="inlineStr">
        <is>
          <t>HILFSKONTAKTBLOCK</t>
        </is>
      </c>
      <c r="H8209" t="inlineStr">
        <is>
          <t>2S 2OE Lastschuetz DIL M</t>
        </is>
      </c>
      <c r="I8209">
        <v>495</v>
      </c>
      <c r="J8209">
        <f>GS34/370.2</f>
        <v>0</v>
      </c>
      <c r="K8209" t="inlineStr">
        <is>
          <t>DIL0AM</t>
        </is>
      </c>
      <c r="M8209" t="inlineStr">
        <is>
          <t>-370K1</t>
        </is>
      </c>
    </row>
    <row r="8210">
      <c r="A8210">
        <v>8209</v>
      </c>
      <c r="B8210">
        <f>GS34</f>
        <v>0</v>
      </c>
      <c r="C8210" t="inlineStr">
        <is>
          <t>+LS8</t>
        </is>
      </c>
      <c r="D8210" t="inlineStr">
        <is>
          <t>-370K1</t>
        </is>
      </c>
      <c r="E8210" t="inlineStr">
        <is>
          <t>DIL_0AM</t>
        </is>
      </c>
      <c r="F8210" t="inlineStr">
        <is>
          <t>22_DIL-M</t>
        </is>
      </c>
      <c r="G8210" t="inlineStr">
        <is>
          <t>LASTSCHUETZ</t>
        </is>
      </c>
      <c r="H8210" t="inlineStr">
        <is>
          <t>11 kW</t>
        </is>
      </c>
      <c r="I8210">
        <v>495</v>
      </c>
      <c r="J8210">
        <f>GS34/370.2</f>
        <v>0</v>
      </c>
      <c r="K8210" t="inlineStr">
        <is>
          <t>DIL0AM</t>
        </is>
      </c>
      <c r="M8210" t="inlineStr">
        <is>
          <t>-370K1</t>
        </is>
      </c>
    </row>
    <row r="8211">
      <c r="A8211">
        <v>8210</v>
      </c>
      <c r="B8211">
        <f>GS90</f>
        <v>0</v>
      </c>
      <c r="C8211" t="inlineStr">
        <is>
          <t>+LS06</t>
        </is>
      </c>
      <c r="D8211" t="inlineStr">
        <is>
          <t>-370K197.0</t>
        </is>
      </c>
      <c r="E8211" t="inlineStr">
        <is>
          <t>DILA-40</t>
        </is>
      </c>
      <c r="F8211" t="inlineStr">
        <is>
          <t>#KALK!</t>
        </is>
      </c>
      <c r="G8211" t="inlineStr">
        <is>
          <t>HILFSSCHUETZ</t>
        </is>
      </c>
      <c r="H8211" t="inlineStr">
        <is>
          <t>4S Federzugkl.</t>
        </is>
      </c>
      <c r="I8211">
        <v>870</v>
      </c>
      <c r="J8211">
        <f>GS90/370.7</f>
        <v>0</v>
      </c>
      <c r="M8211" t="inlineStr">
        <is>
          <t>-370K197.0</t>
        </is>
      </c>
    </row>
    <row r="8212">
      <c r="A8212">
        <v>8211</v>
      </c>
      <c r="B8212">
        <f>GS90</f>
        <v>0</v>
      </c>
      <c r="C8212" t="inlineStr">
        <is>
          <t>+LS06</t>
        </is>
      </c>
      <c r="D8212" t="inlineStr">
        <is>
          <t>-370Q1</t>
        </is>
      </c>
      <c r="E8212" t="inlineStr">
        <is>
          <t>DILMC25-10(RDC24)</t>
        </is>
      </c>
      <c r="F8212" t="inlineStr">
        <is>
          <t>DILA-XHI22</t>
        </is>
      </c>
      <c r="G8212" t="inlineStr">
        <is>
          <t>LASTSCHUETZ</t>
        </is>
      </c>
      <c r="H8212" t="inlineStr">
        <is>
          <t>11kW 1S Federzugkl.</t>
        </is>
      </c>
      <c r="I8212">
        <v>870</v>
      </c>
      <c r="J8212">
        <f>GS90/370.4</f>
        <v>0</v>
      </c>
      <c r="K8212" t="inlineStr">
        <is>
          <t>DIL MC25</t>
        </is>
      </c>
      <c r="M8212" t="inlineStr">
        <is>
          <t>-370Q1</t>
        </is>
      </c>
    </row>
    <row r="8213">
      <c r="A8213">
        <v>8212</v>
      </c>
      <c r="B8213">
        <f>GS90</f>
        <v>0</v>
      </c>
      <c r="C8213" t="inlineStr">
        <is>
          <t>+LS06</t>
        </is>
      </c>
      <c r="D8213" t="inlineStr">
        <is>
          <t>-370Q1</t>
        </is>
      </c>
      <c r="E8213" t="inlineStr">
        <is>
          <t>DILA-XHI22</t>
        </is>
      </c>
      <c r="F8213" t="inlineStr">
        <is>
          <t>DILA-XHI22</t>
        </is>
      </c>
      <c r="G8213" t="inlineStr">
        <is>
          <t>HILFSKONTAKTBLOCK</t>
        </is>
      </c>
      <c r="H8213" t="inlineStr">
        <is>
          <t>2S 2OE Last+Hilfssch. Cage</t>
        </is>
      </c>
      <c r="I8213">
        <v>870</v>
      </c>
      <c r="J8213">
        <f>GS90/370.4</f>
        <v>0</v>
      </c>
      <c r="K8213" t="inlineStr">
        <is>
          <t>DIL MC25</t>
        </is>
      </c>
      <c r="M8213" t="inlineStr">
        <is>
          <t>-370Q1</t>
        </is>
      </c>
    </row>
    <row r="8214">
      <c r="A8214">
        <v>8213</v>
      </c>
      <c r="B8214">
        <f>GS91</f>
        <v>0</v>
      </c>
      <c r="C8214" t="inlineStr">
        <is>
          <t>+LS06</t>
        </is>
      </c>
      <c r="D8214" t="inlineStr">
        <is>
          <t>-370Q193.3</t>
        </is>
      </c>
      <c r="E8214" t="inlineStr">
        <is>
          <t>DILM-9-10</t>
        </is>
      </c>
      <c r="F8214" t="inlineStr">
        <is>
          <t>#KALK!</t>
        </is>
      </c>
      <c r="G8214" t="inlineStr">
        <is>
          <t>LASTSCHUETZ</t>
        </is>
      </c>
      <c r="H8214" t="inlineStr">
        <is>
          <t>4kW 1S Federzugkl.</t>
        </is>
      </c>
      <c r="I8214">
        <v>518</v>
      </c>
      <c r="J8214">
        <f>GS91/370.5</f>
        <v>0</v>
      </c>
      <c r="M8214" t="inlineStr">
        <is>
          <t>-370Q193.3</t>
        </is>
      </c>
    </row>
    <row r="8215">
      <c r="A8215">
        <v>8214</v>
      </c>
      <c r="B8215">
        <f>GS92</f>
        <v>0</v>
      </c>
      <c r="C8215" t="inlineStr">
        <is>
          <t>+LS06</t>
        </is>
      </c>
      <c r="D8215" t="inlineStr">
        <is>
          <t>-370Q459.2</t>
        </is>
      </c>
      <c r="E8215" t="inlineStr">
        <is>
          <t>DILM-9-10</t>
        </is>
      </c>
      <c r="F8215" t="inlineStr">
        <is>
          <t>#KALK!</t>
        </is>
      </c>
      <c r="G8215" t="inlineStr">
        <is>
          <t>LASTSCHUETZ</t>
        </is>
      </c>
      <c r="H8215" t="inlineStr">
        <is>
          <t>4kW 1S Federzugkl.</t>
        </is>
      </c>
      <c r="I8215">
        <v>515</v>
      </c>
      <c r="J8215">
        <f>GS92/370.5</f>
        <v>0</v>
      </c>
      <c r="M8215" t="inlineStr">
        <is>
          <t>-370Q459.2</t>
        </is>
      </c>
    </row>
    <row r="8216">
      <c r="A8216">
        <v>8215</v>
      </c>
      <c r="B8216">
        <f>GS37</f>
        <v>0</v>
      </c>
      <c r="C8216" t="inlineStr">
        <is>
          <t>+LS08</t>
        </is>
      </c>
      <c r="D8216" t="inlineStr">
        <is>
          <t>-370Q731.0</t>
        </is>
      </c>
      <c r="E8216" t="inlineStr">
        <is>
          <t>DILM-9-01</t>
        </is>
      </c>
      <c r="F8216" t="inlineStr">
        <is>
          <t>DILA-XHI22</t>
        </is>
      </c>
      <c r="G8216" t="inlineStr">
        <is>
          <t>LASTSCHUETZ</t>
        </is>
      </c>
      <c r="H8216" t="inlineStr">
        <is>
          <t>4kW 1Oe Federzugkl.</t>
        </is>
      </c>
      <c r="I8216">
        <v>583</v>
      </c>
      <c r="J8216">
        <f>GS37/370.6</f>
        <v>0</v>
      </c>
      <c r="M8216" t="inlineStr">
        <is>
          <t>-370Q731.0</t>
        </is>
      </c>
    </row>
    <row r="8217">
      <c r="A8217">
        <v>8216</v>
      </c>
      <c r="B8217">
        <f>GS37</f>
        <v>0</v>
      </c>
      <c r="C8217" t="inlineStr">
        <is>
          <t>+LS08</t>
        </is>
      </c>
      <c r="D8217" t="inlineStr">
        <is>
          <t>-370Q731.0</t>
        </is>
      </c>
      <c r="E8217" t="inlineStr">
        <is>
          <t>DILA-XHI22</t>
        </is>
      </c>
      <c r="F8217" t="inlineStr">
        <is>
          <t>DILA-XHI22</t>
        </is>
      </c>
      <c r="G8217" t="inlineStr">
        <is>
          <t>HILFSKONTAKTBLOCK</t>
        </is>
      </c>
      <c r="H8217" t="inlineStr">
        <is>
          <t>2S 2OE Last+Hilfssch. Cage</t>
        </is>
      </c>
      <c r="I8217">
        <v>583</v>
      </c>
      <c r="J8217">
        <f>GS37/370.6</f>
        <v>0</v>
      </c>
      <c r="M8217" t="inlineStr">
        <is>
          <t>-370Q731.0</t>
        </is>
      </c>
    </row>
    <row r="8218">
      <c r="A8218">
        <v>8217</v>
      </c>
      <c r="B8218">
        <f>GS37</f>
        <v>0</v>
      </c>
      <c r="C8218" t="inlineStr">
        <is>
          <t>+LS08</t>
        </is>
      </c>
      <c r="D8218" t="inlineStr">
        <is>
          <t>-370Q731.1</t>
        </is>
      </c>
      <c r="E8218" t="inlineStr">
        <is>
          <t>DILM-9-01</t>
        </is>
      </c>
      <c r="F8218" t="inlineStr">
        <is>
          <t>DILA-XHI22</t>
        </is>
      </c>
      <c r="G8218" t="inlineStr">
        <is>
          <t>LASTSCHUETZ</t>
        </is>
      </c>
      <c r="H8218" t="inlineStr">
        <is>
          <t>4kW 1Oe Federzugkl.</t>
        </is>
      </c>
      <c r="I8218">
        <v>583</v>
      </c>
      <c r="J8218">
        <f>GS37/370.6</f>
        <v>0</v>
      </c>
      <c r="M8218" t="inlineStr">
        <is>
          <t>-370Q731.1</t>
        </is>
      </c>
    </row>
    <row r="8219">
      <c r="A8219">
        <v>8218</v>
      </c>
      <c r="B8219">
        <f>GS37</f>
        <v>0</v>
      </c>
      <c r="C8219" t="inlineStr">
        <is>
          <t>+LS08</t>
        </is>
      </c>
      <c r="D8219" t="inlineStr">
        <is>
          <t>-370Q731.1</t>
        </is>
      </c>
      <c r="E8219" t="inlineStr">
        <is>
          <t>DILA-XHI22</t>
        </is>
      </c>
      <c r="F8219" t="inlineStr">
        <is>
          <t>DILA-XHI22</t>
        </is>
      </c>
      <c r="G8219" t="inlineStr">
        <is>
          <t>HILFSKONTAKTBLOCK</t>
        </is>
      </c>
      <c r="H8219" t="inlineStr">
        <is>
          <t>2S 2OE Last+Hilfssch. Cage</t>
        </is>
      </c>
      <c r="I8219">
        <v>583</v>
      </c>
      <c r="J8219">
        <f>GS37/370.6</f>
        <v>0</v>
      </c>
      <c r="M8219" t="inlineStr">
        <is>
          <t>-370Q731.1</t>
        </is>
      </c>
    </row>
    <row r="8220">
      <c r="A8220">
        <v>8219</v>
      </c>
      <c r="B8220">
        <f>GS31</f>
        <v>0</v>
      </c>
      <c r="C8220" t="inlineStr">
        <is>
          <t>+LS7</t>
        </is>
      </c>
      <c r="D8220" t="inlineStr">
        <is>
          <t>-371K49.5</t>
        </is>
      </c>
      <c r="E8220" t="inlineStr">
        <is>
          <t>DIL_EM-10-G</t>
        </is>
      </c>
      <c r="F8220" t="inlineStr">
        <is>
          <t>#KALK!</t>
        </is>
      </c>
      <c r="G8220" t="inlineStr">
        <is>
          <t>LASTSCHUETZ</t>
        </is>
      </c>
      <c r="H8220" t="inlineStr">
        <is>
          <t>4kW 1S</t>
        </is>
      </c>
      <c r="I8220">
        <v>662</v>
      </c>
      <c r="J8220">
        <f>GS31/371.7</f>
        <v>0</v>
      </c>
      <c r="M8220" t="inlineStr">
        <is>
          <t>-371K49.5</t>
        </is>
      </c>
    </row>
    <row r="8221">
      <c r="A8221">
        <v>8220</v>
      </c>
      <c r="B8221">
        <f>GS91</f>
        <v>0</v>
      </c>
      <c r="C8221" t="inlineStr">
        <is>
          <t>+LS06</t>
        </is>
      </c>
      <c r="D8221" t="inlineStr">
        <is>
          <t>-371Q193.4</t>
        </is>
      </c>
      <c r="E8221" t="inlineStr">
        <is>
          <t>DILM-9-10</t>
        </is>
      </c>
      <c r="F8221" t="inlineStr">
        <is>
          <t>#KALK!</t>
        </is>
      </c>
      <c r="G8221" t="inlineStr">
        <is>
          <t>LASTSCHUETZ</t>
        </is>
      </c>
      <c r="H8221" t="inlineStr">
        <is>
          <t>4kW 1S Federzugkl.</t>
        </is>
      </c>
      <c r="I8221">
        <v>519</v>
      </c>
      <c r="J8221">
        <f>GS91/371.5</f>
        <v>0</v>
      </c>
      <c r="M8221" t="inlineStr">
        <is>
          <t>-371Q193.4</t>
        </is>
      </c>
    </row>
    <row r="8222">
      <c r="A8222">
        <v>8221</v>
      </c>
      <c r="B8222">
        <f>GS90</f>
        <v>0</v>
      </c>
      <c r="C8222" t="inlineStr">
        <is>
          <t>+LS06</t>
        </is>
      </c>
      <c r="D8222" t="inlineStr">
        <is>
          <t>-371Q197.2</t>
        </is>
      </c>
      <c r="E8222" t="inlineStr">
        <is>
          <t>DILM-9-10</t>
        </is>
      </c>
      <c r="F8222" t="inlineStr">
        <is>
          <t>#KALK!</t>
        </is>
      </c>
      <c r="G8222" t="inlineStr">
        <is>
          <t>LASTSCHUETZ</t>
        </is>
      </c>
      <c r="H8222" t="inlineStr">
        <is>
          <t>4kW 1S Federzugkl.</t>
        </is>
      </c>
      <c r="I8222">
        <v>807</v>
      </c>
      <c r="J8222">
        <f>GS90/371.5</f>
        <v>0</v>
      </c>
      <c r="M8222" t="inlineStr">
        <is>
          <t>-371Q197.2</t>
        </is>
      </c>
    </row>
    <row r="8223">
      <c r="A8223">
        <v>8222</v>
      </c>
      <c r="B8223">
        <f>GS15</f>
        <v>0</v>
      </c>
      <c r="C8223" t="inlineStr">
        <is>
          <t>+LS7</t>
        </is>
      </c>
      <c r="D8223" t="inlineStr">
        <is>
          <t>-372K26.0</t>
        </is>
      </c>
      <c r="E8223" t="inlineStr">
        <is>
          <t>DIL_EM-10-G</t>
        </is>
      </c>
      <c r="F8223" t="inlineStr">
        <is>
          <t>#KALK!</t>
        </is>
      </c>
      <c r="G8223" t="inlineStr">
        <is>
          <t>LASTSCHUETZ</t>
        </is>
      </c>
      <c r="H8223" t="inlineStr">
        <is>
          <t>4kW 1S</t>
        </is>
      </c>
      <c r="I8223">
        <v>873</v>
      </c>
      <c r="J8223">
        <f>GS15/372.6</f>
        <v>0</v>
      </c>
      <c r="M8223" t="inlineStr">
        <is>
          <t>-372K26.0</t>
        </is>
      </c>
    </row>
    <row r="8224">
      <c r="A8224">
        <v>8223</v>
      </c>
      <c r="B8224">
        <f>GS15</f>
        <v>0</v>
      </c>
      <c r="C8224" t="inlineStr">
        <is>
          <t>+LS7</t>
        </is>
      </c>
      <c r="D8224" t="inlineStr">
        <is>
          <t>-372K26.1</t>
        </is>
      </c>
      <c r="E8224" t="inlineStr">
        <is>
          <t>DIL_EM-10-G</t>
        </is>
      </c>
      <c r="F8224" t="inlineStr">
        <is>
          <t>#KALK!</t>
        </is>
      </c>
      <c r="G8224" t="inlineStr">
        <is>
          <t>LASTSCHUETZ</t>
        </is>
      </c>
      <c r="H8224" t="inlineStr">
        <is>
          <t>4kW 1S</t>
        </is>
      </c>
      <c r="I8224">
        <v>873</v>
      </c>
      <c r="J8224">
        <f>GS15/372.6</f>
        <v>0</v>
      </c>
      <c r="M8224" t="inlineStr">
        <is>
          <t>-372K26.1</t>
        </is>
      </c>
    </row>
    <row r="8225">
      <c r="A8225">
        <v>8224</v>
      </c>
      <c r="B8225">
        <f>GS34</f>
        <v>0</v>
      </c>
      <c r="C8225" t="inlineStr">
        <is>
          <t>+LS8</t>
        </is>
      </c>
      <c r="D8225" t="inlineStr">
        <is>
          <t>-372K36.0</t>
        </is>
      </c>
      <c r="E8225" t="inlineStr">
        <is>
          <t>DIL_EM-10-G</t>
        </is>
      </c>
      <c r="F8225" t="inlineStr">
        <is>
          <t>#KALK!</t>
        </is>
      </c>
      <c r="G8225" t="inlineStr">
        <is>
          <t>LASTSCHUETZ</t>
        </is>
      </c>
      <c r="H8225" t="inlineStr">
        <is>
          <t>4kW 1S</t>
        </is>
      </c>
      <c r="I8225">
        <v>497</v>
      </c>
      <c r="J8225">
        <f>GS34/372.6</f>
        <v>0</v>
      </c>
      <c r="M8225" t="inlineStr">
        <is>
          <t>-372K36.0</t>
        </is>
      </c>
    </row>
    <row r="8226">
      <c r="A8226">
        <v>8225</v>
      </c>
      <c r="B8226">
        <f>GS34</f>
        <v>0</v>
      </c>
      <c r="C8226" t="inlineStr">
        <is>
          <t>+LS8</t>
        </is>
      </c>
      <c r="D8226" t="inlineStr">
        <is>
          <t>-372K36.1</t>
        </is>
      </c>
      <c r="E8226" t="inlineStr">
        <is>
          <t>DIL_EM-10-G</t>
        </is>
      </c>
      <c r="F8226" t="inlineStr">
        <is>
          <t>#KALK!</t>
        </is>
      </c>
      <c r="G8226" t="inlineStr">
        <is>
          <t>LASTSCHUETZ</t>
        </is>
      </c>
      <c r="H8226" t="inlineStr">
        <is>
          <t>4kW 1S</t>
        </is>
      </c>
      <c r="I8226">
        <v>497</v>
      </c>
      <c r="J8226">
        <f>GS34/372.6</f>
        <v>0</v>
      </c>
      <c r="M8226" t="inlineStr">
        <is>
          <t>-372K36.1</t>
        </is>
      </c>
    </row>
    <row r="8227">
      <c r="A8227">
        <v>8226</v>
      </c>
      <c r="B8227">
        <f>GS31</f>
        <v>0</v>
      </c>
      <c r="C8227" t="inlineStr">
        <is>
          <t>+LS7</t>
        </is>
      </c>
      <c r="D8227" t="inlineStr">
        <is>
          <t>-372K50.1</t>
        </is>
      </c>
      <c r="E8227" t="inlineStr">
        <is>
          <t>DIL_EM-10-G</t>
        </is>
      </c>
      <c r="F8227" t="inlineStr">
        <is>
          <t>#KALK!</t>
        </is>
      </c>
      <c r="G8227" t="inlineStr">
        <is>
          <t>LASTSCHUETZ</t>
        </is>
      </c>
      <c r="H8227" t="inlineStr">
        <is>
          <t>4kW 1S</t>
        </is>
      </c>
      <c r="I8227">
        <v>663</v>
      </c>
      <c r="J8227">
        <f>GS31/372.7</f>
        <v>0</v>
      </c>
      <c r="M8227" t="inlineStr">
        <is>
          <t>-372K50.1</t>
        </is>
      </c>
    </row>
    <row r="8228">
      <c r="A8228">
        <v>8227</v>
      </c>
      <c r="B8228">
        <f>GS91</f>
        <v>0</v>
      </c>
      <c r="C8228" t="inlineStr">
        <is>
          <t>+LS06</t>
        </is>
      </c>
      <c r="D8228" t="inlineStr">
        <is>
          <t>-372Q193.5</t>
        </is>
      </c>
      <c r="E8228" t="inlineStr">
        <is>
          <t>DILM-9-10</t>
        </is>
      </c>
      <c r="F8228" t="inlineStr">
        <is>
          <t>#KALK!</t>
        </is>
      </c>
      <c r="G8228" t="inlineStr">
        <is>
          <t>LASTSCHUETZ</t>
        </is>
      </c>
      <c r="H8228" t="inlineStr">
        <is>
          <t>4kW 1S Federzugkl.</t>
        </is>
      </c>
      <c r="I8228">
        <v>520</v>
      </c>
      <c r="J8228">
        <f>GS91/372.5</f>
        <v>0</v>
      </c>
      <c r="M8228" t="inlineStr">
        <is>
          <t>-372Q193.5</t>
        </is>
      </c>
    </row>
    <row r="8229">
      <c r="A8229">
        <v>8228</v>
      </c>
      <c r="B8229">
        <f>GS90</f>
        <v>0</v>
      </c>
      <c r="C8229" t="inlineStr">
        <is>
          <t>+LS06</t>
        </is>
      </c>
      <c r="D8229" t="inlineStr">
        <is>
          <t>-372Q197.3</t>
        </is>
      </c>
      <c r="E8229" t="inlineStr">
        <is>
          <t>DILM-9-10</t>
        </is>
      </c>
      <c r="F8229" t="inlineStr">
        <is>
          <t>#KALK!</t>
        </is>
      </c>
      <c r="G8229" t="inlineStr">
        <is>
          <t>LASTSCHUETZ</t>
        </is>
      </c>
      <c r="H8229" t="inlineStr">
        <is>
          <t>4kW 1S Federzugkl.</t>
        </is>
      </c>
      <c r="I8229">
        <v>862</v>
      </c>
      <c r="J8229">
        <f>GS90/372.5</f>
        <v>0</v>
      </c>
      <c r="M8229" t="inlineStr">
        <is>
          <t>-372Q197.3</t>
        </is>
      </c>
    </row>
    <row r="8230">
      <c r="A8230">
        <v>8229</v>
      </c>
      <c r="B8230">
        <f>GS36</f>
        <v>0</v>
      </c>
      <c r="C8230" t="inlineStr">
        <is>
          <t>+LS09</t>
        </is>
      </c>
      <c r="D8230" t="inlineStr">
        <is>
          <t>-413K1</t>
        </is>
      </c>
      <c r="E8230" t="inlineStr">
        <is>
          <t>DILM-9-01</t>
        </is>
      </c>
      <c r="F8230" t="inlineStr">
        <is>
          <t>#KALK!</t>
        </is>
      </c>
      <c r="G8230" t="inlineStr">
        <is>
          <t>LASTSCHUETZ</t>
        </is>
      </c>
      <c r="H8230" t="inlineStr">
        <is>
          <t>4kW 1Oe Federzugkl.</t>
        </is>
      </c>
      <c r="I8230">
        <v>586</v>
      </c>
      <c r="J8230">
        <f>GS36/413.6</f>
        <v>0</v>
      </c>
      <c r="L8230" t="inlineStr">
        <is>
          <t>Lichtvorhang KF</t>
        </is>
      </c>
      <c r="M8230" t="inlineStr">
        <is>
          <t>Lichtvorhang KF
-413K1</t>
        </is>
      </c>
    </row>
    <row r="8231">
      <c r="A8231">
        <v>8230</v>
      </c>
      <c r="B8231">
        <f>GS36</f>
        <v>0</v>
      </c>
      <c r="C8231" t="inlineStr">
        <is>
          <t>+LS09</t>
        </is>
      </c>
      <c r="D8231" t="inlineStr">
        <is>
          <t>-413K2</t>
        </is>
      </c>
      <c r="E8231" t="inlineStr">
        <is>
          <t>DILM-9-01</t>
        </is>
      </c>
      <c r="F8231" t="inlineStr">
        <is>
          <t>#KALK!</t>
        </is>
      </c>
      <c r="G8231" t="inlineStr">
        <is>
          <t>LASTSCHUETZ</t>
        </is>
      </c>
      <c r="H8231" t="inlineStr">
        <is>
          <t>4kW 1Oe Federzugkl.</t>
        </is>
      </c>
      <c r="I8231">
        <v>586</v>
      </c>
      <c r="J8231">
        <f>GS36/413.7</f>
        <v>0</v>
      </c>
      <c r="L8231" t="inlineStr">
        <is>
          <t>Lichtvorhang KF</t>
        </is>
      </c>
      <c r="M8231" t="inlineStr">
        <is>
          <t>Lichtvorhang KF
-413K2</t>
        </is>
      </c>
    </row>
    <row r="8232">
      <c r="A8232">
        <v>8231</v>
      </c>
      <c r="B8232">
        <f>GS15</f>
        <v>0</v>
      </c>
      <c r="C8232" t="inlineStr">
        <is>
          <t>+LS7</t>
        </is>
      </c>
      <c r="D8232" t="inlineStr">
        <is>
          <t>-373K26.2</t>
        </is>
      </c>
      <c r="E8232" t="inlineStr">
        <is>
          <t>DIL_EM-10-G</t>
        </is>
      </c>
      <c r="F8232" t="inlineStr">
        <is>
          <t>#KALK!</t>
        </is>
      </c>
      <c r="G8232" t="inlineStr">
        <is>
          <t>LASTSCHUETZ</t>
        </is>
      </c>
      <c r="H8232" t="inlineStr">
        <is>
          <t>4kW 1S</t>
        </is>
      </c>
      <c r="I8232">
        <v>874</v>
      </c>
      <c r="J8232">
        <f>GS15/373.6</f>
        <v>0</v>
      </c>
      <c r="M8232" t="inlineStr">
        <is>
          <t>-373K26.2</t>
        </is>
      </c>
    </row>
    <row r="8233">
      <c r="A8233">
        <v>8232</v>
      </c>
      <c r="B8233">
        <f>GS15</f>
        <v>0</v>
      </c>
      <c r="C8233" t="inlineStr">
        <is>
          <t>+LS7</t>
        </is>
      </c>
      <c r="D8233" t="inlineStr">
        <is>
          <t>-373K26.3</t>
        </is>
      </c>
      <c r="E8233" t="inlineStr">
        <is>
          <t>DIL_EM-10-G</t>
        </is>
      </c>
      <c r="F8233" t="inlineStr">
        <is>
          <t>#KALK!</t>
        </is>
      </c>
      <c r="G8233" t="inlineStr">
        <is>
          <t>LASTSCHUETZ</t>
        </is>
      </c>
      <c r="H8233" t="inlineStr">
        <is>
          <t>4kW 1S</t>
        </is>
      </c>
      <c r="I8233">
        <v>874</v>
      </c>
      <c r="J8233">
        <f>GS15/373.6</f>
        <v>0</v>
      </c>
      <c r="M8233" t="inlineStr">
        <is>
          <t>-373K26.3</t>
        </is>
      </c>
    </row>
    <row r="8234">
      <c r="A8234">
        <v>8233</v>
      </c>
      <c r="B8234">
        <f>GS34</f>
        <v>0</v>
      </c>
      <c r="C8234" t="inlineStr">
        <is>
          <t>+LS8</t>
        </is>
      </c>
      <c r="D8234" t="inlineStr">
        <is>
          <t>-373K36.2</t>
        </is>
      </c>
      <c r="E8234" t="inlineStr">
        <is>
          <t>DIL_EM-10-G</t>
        </is>
      </c>
      <c r="F8234" t="inlineStr">
        <is>
          <t>#KALK!</t>
        </is>
      </c>
      <c r="G8234" t="inlineStr">
        <is>
          <t>LASTSCHUETZ</t>
        </is>
      </c>
      <c r="H8234" t="inlineStr">
        <is>
          <t>4kW 1S</t>
        </is>
      </c>
      <c r="I8234">
        <v>498</v>
      </c>
      <c r="J8234">
        <f>GS34/373.6</f>
        <v>0</v>
      </c>
      <c r="M8234" t="inlineStr">
        <is>
          <t>-373K36.2</t>
        </is>
      </c>
    </row>
    <row r="8235">
      <c r="A8235">
        <v>8234</v>
      </c>
      <c r="B8235">
        <f>GS34</f>
        <v>0</v>
      </c>
      <c r="C8235" t="inlineStr">
        <is>
          <t>+LS8</t>
        </is>
      </c>
      <c r="D8235" t="inlineStr">
        <is>
          <t>-373K36.3</t>
        </is>
      </c>
      <c r="E8235" t="inlineStr">
        <is>
          <t>DIL_EM-10-G</t>
        </is>
      </c>
      <c r="F8235" t="inlineStr">
        <is>
          <t>#KALK!</t>
        </is>
      </c>
      <c r="G8235" t="inlineStr">
        <is>
          <t>LASTSCHUETZ</t>
        </is>
      </c>
      <c r="H8235" t="inlineStr">
        <is>
          <t>4kW 1S</t>
        </is>
      </c>
      <c r="I8235">
        <v>498</v>
      </c>
      <c r="J8235">
        <f>GS34/373.6</f>
        <v>0</v>
      </c>
      <c r="M8235" t="inlineStr">
        <is>
          <t>-373K36.3</t>
        </is>
      </c>
    </row>
    <row r="8236">
      <c r="A8236">
        <v>8235</v>
      </c>
      <c r="B8236">
        <f>GS31</f>
        <v>0</v>
      </c>
      <c r="C8236" t="inlineStr">
        <is>
          <t>+LS7</t>
        </is>
      </c>
      <c r="D8236" t="inlineStr">
        <is>
          <t>-373K50.6</t>
        </is>
      </c>
      <c r="E8236" t="inlineStr">
        <is>
          <t>DIL_EM-10-G</t>
        </is>
      </c>
      <c r="F8236" t="inlineStr">
        <is>
          <t>#KALK!</t>
        </is>
      </c>
      <c r="G8236" t="inlineStr">
        <is>
          <t>LASTSCHUETZ</t>
        </is>
      </c>
      <c r="H8236" t="inlineStr">
        <is>
          <t>4kW 1S</t>
        </is>
      </c>
      <c r="I8236">
        <v>664</v>
      </c>
      <c r="J8236">
        <f>GS31/373.7</f>
        <v>0</v>
      </c>
      <c r="M8236" t="inlineStr">
        <is>
          <t>-373K50.6</t>
        </is>
      </c>
    </row>
    <row r="8237">
      <c r="A8237">
        <v>8236</v>
      </c>
      <c r="B8237">
        <f>GS91</f>
        <v>0</v>
      </c>
      <c r="C8237" t="inlineStr">
        <is>
          <t>+LS06</t>
        </is>
      </c>
      <c r="D8237" t="inlineStr">
        <is>
          <t>-373Q193.6</t>
        </is>
      </c>
      <c r="E8237" t="inlineStr">
        <is>
          <t>DILM-9-10</t>
        </is>
      </c>
      <c r="F8237" t="inlineStr">
        <is>
          <t>#KALK!</t>
        </is>
      </c>
      <c r="G8237" t="inlineStr">
        <is>
          <t>LASTSCHUETZ</t>
        </is>
      </c>
      <c r="H8237" t="inlineStr">
        <is>
          <t>4kW 1S Federzugkl.</t>
        </is>
      </c>
      <c r="I8237">
        <v>521</v>
      </c>
      <c r="J8237">
        <f>GS91/373.5</f>
        <v>0</v>
      </c>
      <c r="M8237" t="inlineStr">
        <is>
          <t>-373Q193.6</t>
        </is>
      </c>
    </row>
    <row r="8238">
      <c r="A8238">
        <v>8237</v>
      </c>
      <c r="B8238">
        <f>GS15</f>
        <v>0</v>
      </c>
      <c r="C8238" t="inlineStr">
        <is>
          <t>+LS7</t>
        </is>
      </c>
      <c r="D8238" t="inlineStr">
        <is>
          <t>-374K26.4</t>
        </is>
      </c>
      <c r="E8238" t="inlineStr">
        <is>
          <t>DIL_EM-10-G</t>
        </is>
      </c>
      <c r="F8238" t="inlineStr">
        <is>
          <t>#KALK!</t>
        </is>
      </c>
      <c r="G8238" t="inlineStr">
        <is>
          <t>LASTSCHUETZ</t>
        </is>
      </c>
      <c r="H8238" t="inlineStr">
        <is>
          <t>4kW 1S</t>
        </is>
      </c>
      <c r="I8238">
        <v>875</v>
      </c>
      <c r="J8238">
        <f>GS15/374.6</f>
        <v>0</v>
      </c>
      <c r="M8238" t="inlineStr">
        <is>
          <t>-374K26.4</t>
        </is>
      </c>
    </row>
    <row r="8239">
      <c r="A8239">
        <v>8238</v>
      </c>
      <c r="B8239">
        <f>GS15</f>
        <v>0</v>
      </c>
      <c r="C8239" t="inlineStr">
        <is>
          <t>+LS7</t>
        </is>
      </c>
      <c r="D8239" t="inlineStr">
        <is>
          <t>-374K26.5</t>
        </is>
      </c>
      <c r="E8239" t="inlineStr">
        <is>
          <t>DIL_EM-10-G</t>
        </is>
      </c>
      <c r="F8239" t="inlineStr">
        <is>
          <t>#KALK!</t>
        </is>
      </c>
      <c r="G8239" t="inlineStr">
        <is>
          <t>LASTSCHUETZ</t>
        </is>
      </c>
      <c r="H8239" t="inlineStr">
        <is>
          <t>4kW 1S</t>
        </is>
      </c>
      <c r="I8239">
        <v>875</v>
      </c>
      <c r="J8239">
        <f>GS15/374.6</f>
        <v>0</v>
      </c>
      <c r="M8239" t="inlineStr">
        <is>
          <t>-374K26.5</t>
        </is>
      </c>
    </row>
    <row r="8240">
      <c r="A8240">
        <v>8239</v>
      </c>
      <c r="B8240">
        <f>GS34</f>
        <v>0</v>
      </c>
      <c r="C8240" t="inlineStr">
        <is>
          <t>+LS8</t>
        </is>
      </c>
      <c r="D8240" t="inlineStr">
        <is>
          <t>-374K36.4</t>
        </is>
      </c>
      <c r="E8240" t="inlineStr">
        <is>
          <t>DIL_EM-10-G</t>
        </is>
      </c>
      <c r="F8240" t="inlineStr">
        <is>
          <t>#KALK!</t>
        </is>
      </c>
      <c r="G8240" t="inlineStr">
        <is>
          <t>LASTSCHUETZ</t>
        </is>
      </c>
      <c r="H8240" t="inlineStr">
        <is>
          <t>4kW 1S</t>
        </is>
      </c>
      <c r="I8240">
        <v>499</v>
      </c>
      <c r="J8240">
        <f>GS34/374.6</f>
        <v>0</v>
      </c>
      <c r="M8240" t="inlineStr">
        <is>
          <t>-374K36.4</t>
        </is>
      </c>
    </row>
    <row r="8241">
      <c r="A8241">
        <v>8240</v>
      </c>
      <c r="B8241">
        <f>GS34</f>
        <v>0</v>
      </c>
      <c r="C8241" t="inlineStr">
        <is>
          <t>+LS8</t>
        </is>
      </c>
      <c r="D8241" t="inlineStr">
        <is>
          <t>-374K36.5</t>
        </is>
      </c>
      <c r="E8241" t="inlineStr">
        <is>
          <t>DIL_EM-10-G</t>
        </is>
      </c>
      <c r="F8241" t="inlineStr">
        <is>
          <t>#KALK!</t>
        </is>
      </c>
      <c r="G8241" t="inlineStr">
        <is>
          <t>LASTSCHUETZ</t>
        </is>
      </c>
      <c r="H8241" t="inlineStr">
        <is>
          <t>4kW 1S</t>
        </is>
      </c>
      <c r="I8241">
        <v>499</v>
      </c>
      <c r="J8241">
        <f>GS34/374.6</f>
        <v>0</v>
      </c>
      <c r="M8241" t="inlineStr">
        <is>
          <t>-374K36.5</t>
        </is>
      </c>
    </row>
    <row r="8242">
      <c r="A8242">
        <v>8241</v>
      </c>
      <c r="B8242">
        <f>GS33</f>
        <v>0</v>
      </c>
      <c r="C8242" t="inlineStr">
        <is>
          <t>+ES2</t>
        </is>
      </c>
      <c r="D8242" t="inlineStr">
        <is>
          <t>-374K46.0</t>
        </is>
      </c>
      <c r="E8242" t="inlineStr">
        <is>
          <t>40_DIL-E</t>
        </is>
      </c>
      <c r="F8242" t="inlineStr">
        <is>
          <t>40_DIL-E</t>
        </is>
      </c>
      <c r="G8242" t="inlineStr">
        <is>
          <t>HILFSKONTAKTBLOCK</t>
        </is>
      </c>
      <c r="H8242" t="inlineStr">
        <is>
          <t>4S Last+Hilfsschuetz</t>
        </is>
      </c>
      <c r="I8242">
        <v>827</v>
      </c>
      <c r="J8242">
        <f>GS33/374.6</f>
        <v>0</v>
      </c>
      <c r="M8242" t="inlineStr">
        <is>
          <t>-374K46.0</t>
        </is>
      </c>
    </row>
    <row r="8243">
      <c r="A8243">
        <v>8242</v>
      </c>
      <c r="B8243">
        <f>GS33</f>
        <v>0</v>
      </c>
      <c r="C8243" t="inlineStr">
        <is>
          <t>+ES2</t>
        </is>
      </c>
      <c r="D8243" t="inlineStr">
        <is>
          <t>-374K46.0</t>
        </is>
      </c>
      <c r="E8243" t="inlineStr">
        <is>
          <t>DIL_ER-40-G</t>
        </is>
      </c>
      <c r="F8243" t="inlineStr">
        <is>
          <t>40_DIL-E</t>
        </is>
      </c>
      <c r="G8243" t="inlineStr">
        <is>
          <t>HILFSSCHUETZ</t>
        </is>
      </c>
      <c r="H8243" t="inlineStr">
        <is>
          <t>4S</t>
        </is>
      </c>
      <c r="I8243">
        <v>827</v>
      </c>
      <c r="J8243">
        <f>GS33/374.6</f>
        <v>0</v>
      </c>
      <c r="M8243" t="inlineStr">
        <is>
          <t>-374K46.0</t>
        </is>
      </c>
    </row>
    <row r="8244">
      <c r="A8244">
        <v>8243</v>
      </c>
      <c r="B8244">
        <f>GS33</f>
        <v>0</v>
      </c>
      <c r="C8244" t="inlineStr">
        <is>
          <t>+ES2</t>
        </is>
      </c>
      <c r="D8244" t="inlineStr">
        <is>
          <t>-374K46.1</t>
        </is>
      </c>
      <c r="E8244" t="inlineStr">
        <is>
          <t>40_DIL-E</t>
        </is>
      </c>
      <c r="F8244" t="inlineStr">
        <is>
          <t>40_DIL-E</t>
        </is>
      </c>
      <c r="G8244" t="inlineStr">
        <is>
          <t>HILFSKONTAKTBLOCK</t>
        </is>
      </c>
      <c r="H8244" t="inlineStr">
        <is>
          <t>4S Last+Hilfsschuetz</t>
        </is>
      </c>
      <c r="I8244">
        <v>827</v>
      </c>
      <c r="J8244">
        <f>GS33/374.6</f>
        <v>0</v>
      </c>
      <c r="M8244" t="inlineStr">
        <is>
          <t>-374K46.1</t>
        </is>
      </c>
    </row>
    <row r="8245">
      <c r="A8245">
        <v>8244</v>
      </c>
      <c r="B8245">
        <f>GS33</f>
        <v>0</v>
      </c>
      <c r="C8245" t="inlineStr">
        <is>
          <t>+ES2</t>
        </is>
      </c>
      <c r="D8245" t="inlineStr">
        <is>
          <t>-374K46.1</t>
        </is>
      </c>
      <c r="E8245" t="inlineStr">
        <is>
          <t>DIL_ER-40-G</t>
        </is>
      </c>
      <c r="F8245" t="inlineStr">
        <is>
          <t>40_DIL-E</t>
        </is>
      </c>
      <c r="G8245" t="inlineStr">
        <is>
          <t>HILFSSCHUETZ</t>
        </is>
      </c>
      <c r="H8245" t="inlineStr">
        <is>
          <t>4S</t>
        </is>
      </c>
      <c r="I8245">
        <v>827</v>
      </c>
      <c r="J8245">
        <f>GS33/374.6</f>
        <v>0</v>
      </c>
      <c r="M8245" t="inlineStr">
        <is>
          <t>-374K46.1</t>
        </is>
      </c>
    </row>
    <row r="8246">
      <c r="A8246">
        <v>8245</v>
      </c>
      <c r="B8246">
        <f>GS31</f>
        <v>0</v>
      </c>
      <c r="C8246" t="inlineStr">
        <is>
          <t>+LS7</t>
        </is>
      </c>
      <c r="D8246" t="inlineStr">
        <is>
          <t>-374K51.2</t>
        </is>
      </c>
      <c r="E8246" t="inlineStr">
        <is>
          <t>DIL_EM-10-G</t>
        </is>
      </c>
      <c r="F8246" t="inlineStr">
        <is>
          <t>#KALK!</t>
        </is>
      </c>
      <c r="G8246" t="inlineStr">
        <is>
          <t>LASTSCHUETZ</t>
        </is>
      </c>
      <c r="H8246" t="inlineStr">
        <is>
          <t>4kW 1S</t>
        </is>
      </c>
      <c r="I8246">
        <v>665</v>
      </c>
      <c r="J8246">
        <f>GS31/374.7</f>
        <v>0</v>
      </c>
      <c r="M8246" t="inlineStr">
        <is>
          <t>-374K51.2</t>
        </is>
      </c>
    </row>
    <row r="8247">
      <c r="A8247">
        <v>8246</v>
      </c>
      <c r="B8247">
        <f>GS91</f>
        <v>0</v>
      </c>
      <c r="C8247" t="inlineStr">
        <is>
          <t>+LS06</t>
        </is>
      </c>
      <c r="D8247" t="inlineStr">
        <is>
          <t>-374Q193.7</t>
        </is>
      </c>
      <c r="E8247" t="inlineStr">
        <is>
          <t>DILA-XHI22</t>
        </is>
      </c>
      <c r="F8247" t="inlineStr">
        <is>
          <t>DILA-XHI22</t>
        </is>
      </c>
      <c r="G8247" t="inlineStr">
        <is>
          <t>HILFSKONTAKTBLOCK</t>
        </is>
      </c>
      <c r="H8247" t="inlineStr">
        <is>
          <t>2S 2OE Last+Hilfssch. Cage</t>
        </is>
      </c>
      <c r="I8247">
        <v>522</v>
      </c>
      <c r="J8247">
        <f>GS91/374.5</f>
        <v>0</v>
      </c>
      <c r="M8247" t="inlineStr">
        <is>
          <t>-374Q193.7</t>
        </is>
      </c>
    </row>
    <row r="8248">
      <c r="A8248">
        <v>8247</v>
      </c>
      <c r="B8248">
        <f>GS91</f>
        <v>0</v>
      </c>
      <c r="C8248" t="inlineStr">
        <is>
          <t>+LS06</t>
        </is>
      </c>
      <c r="D8248" t="inlineStr">
        <is>
          <t>-374Q193.7</t>
        </is>
      </c>
      <c r="E8248" t="inlineStr">
        <is>
          <t>DILM-9-10</t>
        </is>
      </c>
      <c r="F8248" t="inlineStr">
        <is>
          <t>DILA-XHI22</t>
        </is>
      </c>
      <c r="G8248" t="inlineStr">
        <is>
          <t>LASTSCHUETZ</t>
        </is>
      </c>
      <c r="H8248" t="inlineStr">
        <is>
          <t>4kW 1S Federzugkl.</t>
        </is>
      </c>
      <c r="I8248">
        <v>522</v>
      </c>
      <c r="J8248">
        <f>GS91/374.5</f>
        <v>0</v>
      </c>
      <c r="M8248" t="inlineStr">
        <is>
          <t>-374Q193.7</t>
        </is>
      </c>
    </row>
    <row r="8249">
      <c r="A8249">
        <v>8248</v>
      </c>
      <c r="B8249">
        <f>GS91</f>
        <v>0</v>
      </c>
      <c r="C8249" t="inlineStr">
        <is>
          <t>+LS06</t>
        </is>
      </c>
      <c r="D8249" t="inlineStr">
        <is>
          <t>-374Q194.1</t>
        </is>
      </c>
      <c r="E8249" t="inlineStr">
        <is>
          <t>DILA-XHI22</t>
        </is>
      </c>
      <c r="F8249" t="inlineStr">
        <is>
          <t>DILA-XHI22</t>
        </is>
      </c>
      <c r="G8249" t="inlineStr">
        <is>
          <t>HILFSKONTAKTBLOCK</t>
        </is>
      </c>
      <c r="H8249" t="inlineStr">
        <is>
          <t>2S 2OE Last+Hilfssch. Cage</t>
        </is>
      </c>
      <c r="I8249">
        <v>522</v>
      </c>
      <c r="J8249">
        <f>GS91/374.6</f>
        <v>0</v>
      </c>
      <c r="M8249" t="inlineStr">
        <is>
          <t>-374Q194.1</t>
        </is>
      </c>
    </row>
    <row r="8250">
      <c r="A8250">
        <v>8249</v>
      </c>
      <c r="B8250">
        <f>GS91</f>
        <v>0</v>
      </c>
      <c r="C8250" t="inlineStr">
        <is>
          <t>+LS06</t>
        </is>
      </c>
      <c r="D8250" t="inlineStr">
        <is>
          <t>-374Q194.1</t>
        </is>
      </c>
      <c r="E8250" t="inlineStr">
        <is>
          <t>DILM-9-10</t>
        </is>
      </c>
      <c r="F8250" t="inlineStr">
        <is>
          <t>DILA-XHI22</t>
        </is>
      </c>
      <c r="G8250" t="inlineStr">
        <is>
          <t>LASTSCHUETZ</t>
        </is>
      </c>
      <c r="H8250" t="inlineStr">
        <is>
          <t>4kW 1S Federzugkl.</t>
        </is>
      </c>
      <c r="I8250">
        <v>522</v>
      </c>
      <c r="J8250">
        <f>GS91/374.6</f>
        <v>0</v>
      </c>
      <c r="M8250" t="inlineStr">
        <is>
          <t>-374Q194.1</t>
        </is>
      </c>
    </row>
    <row r="8251">
      <c r="A8251">
        <v>8250</v>
      </c>
      <c r="B8251">
        <f>GS01</f>
        <v>0</v>
      </c>
      <c r="C8251" t="inlineStr">
        <is>
          <t>+LS8</t>
        </is>
      </c>
      <c r="D8251" t="inlineStr">
        <is>
          <t>-375K1</t>
        </is>
      </c>
      <c r="E8251" t="inlineStr">
        <is>
          <t>DIL_2AM</t>
        </is>
      </c>
      <c r="F8251" t="inlineStr">
        <is>
          <t>22_DIL-M</t>
        </is>
      </c>
      <c r="G8251" t="inlineStr">
        <is>
          <t>LASTSCHUETZ</t>
        </is>
      </c>
      <c r="H8251" t="inlineStr">
        <is>
          <t>30 kW</t>
        </is>
      </c>
      <c r="I8251">
        <v>538</v>
      </c>
      <c r="J8251">
        <f>GS01/375.2</f>
        <v>0</v>
      </c>
      <c r="K8251" t="inlineStr">
        <is>
          <t>DIL2AM</t>
        </is>
      </c>
      <c r="M8251" t="inlineStr">
        <is>
          <t>-375K1</t>
        </is>
      </c>
    </row>
    <row r="8252">
      <c r="A8252">
        <v>8251</v>
      </c>
      <c r="B8252">
        <f>GS01</f>
        <v>0</v>
      </c>
      <c r="C8252" t="inlineStr">
        <is>
          <t>+LS8</t>
        </is>
      </c>
      <c r="D8252" t="inlineStr">
        <is>
          <t>-375K1</t>
        </is>
      </c>
      <c r="E8252" t="inlineStr">
        <is>
          <t>22_DIL-M</t>
        </is>
      </c>
      <c r="F8252" t="inlineStr">
        <is>
          <t>22_DIL-M</t>
        </is>
      </c>
      <c r="G8252" t="inlineStr">
        <is>
          <t>HILFSKONTAKTBLOCK</t>
        </is>
      </c>
      <c r="H8252" t="inlineStr">
        <is>
          <t>2S 2OE Lastschuetz DIL M</t>
        </is>
      </c>
      <c r="I8252">
        <v>538</v>
      </c>
      <c r="J8252">
        <f>GS01/375.2</f>
        <v>0</v>
      </c>
      <c r="K8252" t="inlineStr">
        <is>
          <t>DIL2AM</t>
        </is>
      </c>
      <c r="M8252" t="inlineStr">
        <is>
          <t>-375K1</t>
        </is>
      </c>
    </row>
    <row r="8253">
      <c r="A8253">
        <v>8252</v>
      </c>
      <c r="B8253">
        <f>GS08</f>
        <v>0</v>
      </c>
      <c r="C8253" t="inlineStr">
        <is>
          <t>+LS06</t>
        </is>
      </c>
      <c r="D8253" t="inlineStr">
        <is>
          <t>-375K1</t>
        </is>
      </c>
      <c r="E8253" t="inlineStr">
        <is>
          <t>DILA-22</t>
        </is>
      </c>
      <c r="F8253" t="inlineStr">
        <is>
          <t>#KALK!</t>
        </is>
      </c>
      <c r="G8253" t="inlineStr">
        <is>
          <t>HILFSSCHUETZ</t>
        </is>
      </c>
      <c r="H8253" t="inlineStr">
        <is>
          <t>2S 2Oe Federzugkl.</t>
        </is>
      </c>
      <c r="I8253">
        <v>3093</v>
      </c>
      <c r="J8253">
        <f>GS08/375.8</f>
        <v>0</v>
      </c>
      <c r="M8253" t="inlineStr">
        <is>
          <t>-375K1</t>
        </is>
      </c>
    </row>
    <row r="8254">
      <c r="A8254">
        <v>8253</v>
      </c>
      <c r="B8254">
        <f>GS25</f>
        <v>0</v>
      </c>
      <c r="C8254" t="inlineStr">
        <is>
          <t>+LS8</t>
        </is>
      </c>
      <c r="D8254" t="inlineStr">
        <is>
          <t>-375K1</t>
        </is>
      </c>
      <c r="E8254" t="inlineStr">
        <is>
          <t>DIL_2AM</t>
        </is>
      </c>
      <c r="F8254" t="inlineStr">
        <is>
          <t>22_DIL-M</t>
        </is>
      </c>
      <c r="G8254" t="inlineStr">
        <is>
          <t>LASTSCHUETZ</t>
        </is>
      </c>
      <c r="H8254" t="inlineStr">
        <is>
          <t>30 kW</t>
        </is>
      </c>
      <c r="I8254">
        <v>499</v>
      </c>
      <c r="J8254">
        <f>GS25/375.2</f>
        <v>0</v>
      </c>
      <c r="K8254" t="inlineStr">
        <is>
          <t>DIL2AM</t>
        </is>
      </c>
      <c r="M8254" t="inlineStr">
        <is>
          <t>-375K1</t>
        </is>
      </c>
    </row>
    <row r="8255">
      <c r="A8255">
        <v>8254</v>
      </c>
      <c r="B8255">
        <f>GS25</f>
        <v>0</v>
      </c>
      <c r="C8255" t="inlineStr">
        <is>
          <t>+LS8</t>
        </is>
      </c>
      <c r="D8255" t="inlineStr">
        <is>
          <t>-375K1</t>
        </is>
      </c>
      <c r="E8255" t="inlineStr">
        <is>
          <t>22_DIL-M</t>
        </is>
      </c>
      <c r="F8255" t="inlineStr">
        <is>
          <t>22_DIL-M</t>
        </is>
      </c>
      <c r="G8255" t="inlineStr">
        <is>
          <t>HILFSKONTAKTBLOCK</t>
        </is>
      </c>
      <c r="H8255" t="inlineStr">
        <is>
          <t>2S 2OE Lastschuetz DIL M</t>
        </is>
      </c>
      <c r="I8255">
        <v>499</v>
      </c>
      <c r="J8255">
        <f>GS25/375.2</f>
        <v>0</v>
      </c>
      <c r="K8255" t="inlineStr">
        <is>
          <t>DIL2AM</t>
        </is>
      </c>
      <c r="M8255" t="inlineStr">
        <is>
          <t>-375K1</t>
        </is>
      </c>
    </row>
    <row r="8256">
      <c r="A8256">
        <v>8255</v>
      </c>
      <c r="B8256">
        <f>GS37</f>
        <v>0</v>
      </c>
      <c r="C8256" t="inlineStr">
        <is>
          <t>+LS08</t>
        </is>
      </c>
      <c r="D8256" t="inlineStr">
        <is>
          <t>-375K1</t>
        </is>
      </c>
      <c r="E8256" t="inlineStr">
        <is>
          <t>DILA-40</t>
        </is>
      </c>
      <c r="F8256" t="inlineStr">
        <is>
          <t>#KALK!</t>
        </is>
      </c>
      <c r="G8256" t="inlineStr">
        <is>
          <t>HILFSSCHUETZ</t>
        </is>
      </c>
      <c r="H8256" t="inlineStr">
        <is>
          <t>4S Federzugkl.</t>
        </is>
      </c>
      <c r="I8256">
        <v>578</v>
      </c>
      <c r="J8256">
        <f>GS37/375.5</f>
        <v>0</v>
      </c>
      <c r="M8256" t="inlineStr">
        <is>
          <t>-375K1</t>
        </is>
      </c>
    </row>
    <row r="8257">
      <c r="A8257">
        <v>8256</v>
      </c>
      <c r="B8257">
        <f>GS38</f>
        <v>0</v>
      </c>
      <c r="C8257" t="inlineStr">
        <is>
          <t>+LS08</t>
        </is>
      </c>
      <c r="D8257" t="inlineStr">
        <is>
          <t>-375K1</t>
        </is>
      </c>
      <c r="E8257" t="inlineStr">
        <is>
          <t>DILA-XHIC40</t>
        </is>
      </c>
      <c r="F8257" t="inlineStr">
        <is>
          <t>DILA-XHIC40</t>
        </is>
      </c>
      <c r="G8257" t="inlineStr">
        <is>
          <t>HILFSKONTAKTBLOCK</t>
        </is>
      </c>
      <c r="H8257" t="inlineStr">
        <is>
          <t>4S Last+Hilfssch. Cage</t>
        </is>
      </c>
      <c r="I8257">
        <v>540</v>
      </c>
      <c r="J8257">
        <f>GS38/375.4</f>
        <v>0</v>
      </c>
      <c r="M8257" t="inlineStr">
        <is>
          <t>-375K1</t>
        </is>
      </c>
    </row>
    <row r="8258">
      <c r="A8258">
        <v>8257</v>
      </c>
      <c r="B8258">
        <f>GS38</f>
        <v>0</v>
      </c>
      <c r="C8258" t="inlineStr">
        <is>
          <t>+LS08</t>
        </is>
      </c>
      <c r="D8258" t="inlineStr">
        <is>
          <t>-375K1</t>
        </is>
      </c>
      <c r="E8258" t="inlineStr">
        <is>
          <t>DILA-40</t>
        </is>
      </c>
      <c r="F8258" t="inlineStr">
        <is>
          <t>DILA-XHIC40</t>
        </is>
      </c>
      <c r="G8258" t="inlineStr">
        <is>
          <t>HILFSSCHUETZ</t>
        </is>
      </c>
      <c r="H8258" t="inlineStr">
        <is>
          <t>4S Federzugkl.</t>
        </is>
      </c>
      <c r="I8258">
        <v>540</v>
      </c>
      <c r="J8258">
        <f>GS38/375.4</f>
        <v>0</v>
      </c>
      <c r="M8258" t="inlineStr">
        <is>
          <t>-375K1</t>
        </is>
      </c>
    </row>
    <row r="8259">
      <c r="A8259">
        <v>8258</v>
      </c>
      <c r="B8259">
        <f>GS39</f>
        <v>0</v>
      </c>
      <c r="C8259" t="inlineStr">
        <is>
          <t>+LS08</t>
        </is>
      </c>
      <c r="D8259" t="inlineStr">
        <is>
          <t>-375K1</t>
        </is>
      </c>
      <c r="E8259" t="inlineStr">
        <is>
          <t>DILA-40</t>
        </is>
      </c>
      <c r="F8259" t="inlineStr">
        <is>
          <t>DILA-XHIC40</t>
        </is>
      </c>
      <c r="G8259" t="inlineStr">
        <is>
          <t>HILFSSCHUETZ</t>
        </is>
      </c>
      <c r="H8259" t="inlineStr">
        <is>
          <t>4S Federzugkl.</t>
        </is>
      </c>
      <c r="I8259">
        <v>545</v>
      </c>
      <c r="J8259">
        <f>GS39/375.4</f>
        <v>0</v>
      </c>
      <c r="M8259" t="inlineStr">
        <is>
          <t>-375K1</t>
        </is>
      </c>
    </row>
    <row r="8260">
      <c r="A8260">
        <v>8259</v>
      </c>
      <c r="B8260">
        <f>GS39</f>
        <v>0</v>
      </c>
      <c r="C8260" t="inlineStr">
        <is>
          <t>+LS08</t>
        </is>
      </c>
      <c r="D8260" t="inlineStr">
        <is>
          <t>-375K1</t>
        </is>
      </c>
      <c r="E8260" t="inlineStr">
        <is>
          <t>DILA-XHIC40</t>
        </is>
      </c>
      <c r="F8260" t="inlineStr">
        <is>
          <t>DILA-XHIC40</t>
        </is>
      </c>
      <c r="G8260" t="inlineStr">
        <is>
          <t>HILFSKONTAKTBLOCK</t>
        </is>
      </c>
      <c r="H8260" t="inlineStr">
        <is>
          <t>4S Last+Hilfssch. Cage</t>
        </is>
      </c>
      <c r="I8260">
        <v>545</v>
      </c>
      <c r="J8260">
        <f>GS39/375.4</f>
        <v>0</v>
      </c>
      <c r="M8260" t="inlineStr">
        <is>
          <t>-375K1</t>
        </is>
      </c>
    </row>
    <row r="8261">
      <c r="A8261">
        <v>8260</v>
      </c>
      <c r="B8261">
        <f>GS38</f>
        <v>0</v>
      </c>
      <c r="C8261" t="inlineStr">
        <is>
          <t>+LS08</t>
        </is>
      </c>
      <c r="D8261" t="inlineStr">
        <is>
          <t>-375K113.4</t>
        </is>
      </c>
      <c r="E8261" t="inlineStr">
        <is>
          <t>DILA-40</t>
        </is>
      </c>
      <c r="F8261" t="inlineStr">
        <is>
          <t>#KALK!</t>
        </is>
      </c>
      <c r="G8261" t="inlineStr">
        <is>
          <t>HILFSSCHUETZ</t>
        </is>
      </c>
      <c r="H8261" t="inlineStr">
        <is>
          <t>4S Federzugkl.</t>
        </is>
      </c>
      <c r="I8261">
        <v>540</v>
      </c>
      <c r="J8261">
        <f>GS38/375.7</f>
        <v>0</v>
      </c>
      <c r="M8261" t="inlineStr">
        <is>
          <t>-375K113.4</t>
        </is>
      </c>
    </row>
    <row r="8262">
      <c r="A8262">
        <v>8261</v>
      </c>
      <c r="B8262">
        <f>GS39</f>
        <v>0</v>
      </c>
      <c r="C8262" t="inlineStr">
        <is>
          <t>+LS08</t>
        </is>
      </c>
      <c r="D8262" t="inlineStr">
        <is>
          <t>-375K113.4</t>
        </is>
      </c>
      <c r="E8262" t="inlineStr">
        <is>
          <t>DILA-40</t>
        </is>
      </c>
      <c r="F8262" t="inlineStr">
        <is>
          <t>#KALK!</t>
        </is>
      </c>
      <c r="G8262" t="inlineStr">
        <is>
          <t>HILFSSCHUETZ</t>
        </is>
      </c>
      <c r="H8262" t="inlineStr">
        <is>
          <t>4S Federzugkl.</t>
        </is>
      </c>
      <c r="I8262">
        <v>545</v>
      </c>
      <c r="J8262">
        <f>GS39/375.7</f>
        <v>0</v>
      </c>
      <c r="M8262" t="inlineStr">
        <is>
          <t>-375K113.4</t>
        </is>
      </c>
    </row>
    <row r="8263">
      <c r="A8263">
        <v>8262</v>
      </c>
      <c r="B8263">
        <f>GS35</f>
        <v>0</v>
      </c>
      <c r="C8263" t="inlineStr">
        <is>
          <t>+LS09</t>
        </is>
      </c>
      <c r="D8263" t="inlineStr">
        <is>
          <t>-375K145.4</t>
        </is>
      </c>
      <c r="E8263" t="inlineStr">
        <is>
          <t>DILA-40</t>
        </is>
      </c>
      <c r="F8263" t="inlineStr">
        <is>
          <t>#KALK!</t>
        </is>
      </c>
      <c r="G8263" t="inlineStr">
        <is>
          <t>HILFSSCHUETZ</t>
        </is>
      </c>
      <c r="H8263" t="inlineStr">
        <is>
          <t>4S Federzugkl.</t>
        </is>
      </c>
      <c r="I8263">
        <v>534</v>
      </c>
      <c r="J8263">
        <f>GS35/375.7</f>
        <v>0</v>
      </c>
      <c r="M8263" t="inlineStr">
        <is>
          <t>-375K145.4</t>
        </is>
      </c>
    </row>
    <row r="8264">
      <c r="A8264">
        <v>8263</v>
      </c>
      <c r="B8264">
        <f>GS25</f>
        <v>0</v>
      </c>
      <c r="C8264" t="inlineStr">
        <is>
          <t>+LS8</t>
        </is>
      </c>
      <c r="D8264" t="inlineStr">
        <is>
          <t>-375K2</t>
        </is>
      </c>
      <c r="E8264" t="inlineStr">
        <is>
          <t>DIL_0AM</t>
        </is>
      </c>
      <c r="F8264" t="inlineStr">
        <is>
          <t>22_DIL-M</t>
        </is>
      </c>
      <c r="G8264" t="inlineStr">
        <is>
          <t>LASTSCHUETZ</t>
        </is>
      </c>
      <c r="H8264" t="inlineStr">
        <is>
          <t>11 kW</t>
        </is>
      </c>
      <c r="I8264">
        <v>499</v>
      </c>
      <c r="J8264">
        <f>GS25/375.3</f>
        <v>0</v>
      </c>
      <c r="K8264" t="inlineStr">
        <is>
          <t>DIL0AM</t>
        </is>
      </c>
      <c r="M8264" t="inlineStr">
        <is>
          <t>-375K2</t>
        </is>
      </c>
    </row>
    <row r="8265">
      <c r="A8265">
        <v>8264</v>
      </c>
      <c r="B8265">
        <f>GS25</f>
        <v>0</v>
      </c>
      <c r="C8265" t="inlineStr">
        <is>
          <t>+LS8</t>
        </is>
      </c>
      <c r="D8265" t="inlineStr">
        <is>
          <t>-375K2</t>
        </is>
      </c>
      <c r="E8265" t="inlineStr">
        <is>
          <t>22_DIL-M</t>
        </is>
      </c>
      <c r="F8265" t="inlineStr">
        <is>
          <t>22_DIL-M</t>
        </is>
      </c>
      <c r="G8265" t="inlineStr">
        <is>
          <t>HILFSKONTAKTBLOCK</t>
        </is>
      </c>
      <c r="H8265" t="inlineStr">
        <is>
          <t>2S 2OE Lastschuetz DIL M</t>
        </is>
      </c>
      <c r="I8265">
        <v>499</v>
      </c>
      <c r="J8265">
        <f>GS25/375.3</f>
        <v>0</v>
      </c>
      <c r="K8265" t="inlineStr">
        <is>
          <t>DIL0AM</t>
        </is>
      </c>
      <c r="M8265" t="inlineStr">
        <is>
          <t>-375K2</t>
        </is>
      </c>
    </row>
    <row r="8266">
      <c r="A8266">
        <v>8265</v>
      </c>
      <c r="B8266">
        <f>GS15</f>
        <v>0</v>
      </c>
      <c r="C8266" t="inlineStr">
        <is>
          <t>+LS7</t>
        </is>
      </c>
      <c r="D8266" t="inlineStr">
        <is>
          <t>-375K26.6</t>
        </is>
      </c>
      <c r="E8266" t="inlineStr">
        <is>
          <t>DIL_EM-10-G</t>
        </is>
      </c>
      <c r="F8266" t="inlineStr">
        <is>
          <t>#KALK!</t>
        </is>
      </c>
      <c r="G8266" t="inlineStr">
        <is>
          <t>LASTSCHUETZ</t>
        </is>
      </c>
      <c r="H8266" t="inlineStr">
        <is>
          <t>4kW 1S</t>
        </is>
      </c>
      <c r="I8266">
        <v>876</v>
      </c>
      <c r="J8266">
        <f>GS15/375.6</f>
        <v>0</v>
      </c>
      <c r="M8266" t="inlineStr">
        <is>
          <t>-375K26.6</t>
        </is>
      </c>
    </row>
    <row r="8267">
      <c r="A8267">
        <v>8266</v>
      </c>
      <c r="B8267">
        <f>GS15</f>
        <v>0</v>
      </c>
      <c r="C8267" t="inlineStr">
        <is>
          <t>+LS7</t>
        </is>
      </c>
      <c r="D8267" t="inlineStr">
        <is>
          <t>-375K26.7</t>
        </is>
      </c>
      <c r="E8267" t="inlineStr">
        <is>
          <t>DIL_EM-10-G</t>
        </is>
      </c>
      <c r="F8267" t="inlineStr">
        <is>
          <t>#KALK!</t>
        </is>
      </c>
      <c r="G8267" t="inlineStr">
        <is>
          <t>LASTSCHUETZ</t>
        </is>
      </c>
      <c r="H8267" t="inlineStr">
        <is>
          <t>4kW 1S</t>
        </is>
      </c>
      <c r="I8267">
        <v>876</v>
      </c>
      <c r="J8267">
        <f>GS15/375.6</f>
        <v>0</v>
      </c>
      <c r="M8267" t="inlineStr">
        <is>
          <t>-375K26.7</t>
        </is>
      </c>
    </row>
    <row r="8268">
      <c r="A8268">
        <v>8267</v>
      </c>
      <c r="B8268">
        <f>GS34</f>
        <v>0</v>
      </c>
      <c r="C8268" t="inlineStr">
        <is>
          <t>+LS8</t>
        </is>
      </c>
      <c r="D8268" t="inlineStr">
        <is>
          <t>-375K36.6</t>
        </is>
      </c>
      <c r="E8268" t="inlineStr">
        <is>
          <t>DIL_EM-10-G</t>
        </is>
      </c>
      <c r="F8268" t="inlineStr">
        <is>
          <t>#KALK!</t>
        </is>
      </c>
      <c r="G8268" t="inlineStr">
        <is>
          <t>LASTSCHUETZ</t>
        </is>
      </c>
      <c r="H8268" t="inlineStr">
        <is>
          <t>4kW 1S</t>
        </is>
      </c>
      <c r="I8268">
        <v>500</v>
      </c>
      <c r="J8268">
        <f>GS34/375.6</f>
        <v>0</v>
      </c>
      <c r="M8268" t="inlineStr">
        <is>
          <t>-375K36.6</t>
        </is>
      </c>
    </row>
    <row r="8269">
      <c r="A8269">
        <v>8268</v>
      </c>
      <c r="B8269">
        <f>GS34</f>
        <v>0</v>
      </c>
      <c r="C8269" t="inlineStr">
        <is>
          <t>+LS8</t>
        </is>
      </c>
      <c r="D8269" t="inlineStr">
        <is>
          <t>-375K36.7</t>
        </is>
      </c>
      <c r="E8269" t="inlineStr">
        <is>
          <t>DIL_EM-10-G</t>
        </is>
      </c>
      <c r="F8269" t="inlineStr">
        <is>
          <t>#KALK!</t>
        </is>
      </c>
      <c r="G8269" t="inlineStr">
        <is>
          <t>LASTSCHUETZ</t>
        </is>
      </c>
      <c r="H8269" t="inlineStr">
        <is>
          <t>4kW 1S</t>
        </is>
      </c>
      <c r="I8269">
        <v>500</v>
      </c>
      <c r="J8269">
        <f>GS34/375.6</f>
        <v>0</v>
      </c>
      <c r="M8269" t="inlineStr">
        <is>
          <t>-375K36.7</t>
        </is>
      </c>
    </row>
    <row r="8270">
      <c r="A8270">
        <v>8269</v>
      </c>
      <c r="B8270">
        <f>GS20</f>
        <v>0</v>
      </c>
      <c r="C8270" t="inlineStr">
        <is>
          <t>+LS09</t>
        </is>
      </c>
      <c r="D8270" t="inlineStr">
        <is>
          <t>-375K418.4</t>
        </is>
      </c>
      <c r="E8270" t="inlineStr">
        <is>
          <t>DILA-40</t>
        </is>
      </c>
      <c r="F8270" t="inlineStr">
        <is>
          <t>#KALK!</t>
        </is>
      </c>
      <c r="G8270" t="inlineStr">
        <is>
          <t>HILFSSCHUETZ</t>
        </is>
      </c>
      <c r="H8270" t="inlineStr">
        <is>
          <t>4S Federzugkl.</t>
        </is>
      </c>
      <c r="I8270">
        <v>2713</v>
      </c>
      <c r="J8270">
        <f>GS20/375.7</f>
        <v>0</v>
      </c>
      <c r="M8270" t="inlineStr">
        <is>
          <t>-375K418.4</t>
        </is>
      </c>
    </row>
    <row r="8271">
      <c r="A8271">
        <v>8270</v>
      </c>
      <c r="B8271">
        <f>GS36</f>
        <v>0</v>
      </c>
      <c r="C8271" t="inlineStr">
        <is>
          <t>+LS09</t>
        </is>
      </c>
      <c r="D8271" t="inlineStr">
        <is>
          <t>-415K135.0</t>
        </is>
      </c>
      <c r="E8271" t="inlineStr">
        <is>
          <t>DILA-40</t>
        </is>
      </c>
      <c r="F8271" t="inlineStr">
        <is>
          <t>#KALK!</t>
        </is>
      </c>
      <c r="G8271" t="inlineStr">
        <is>
          <t>HILFSSCHUETZ</t>
        </is>
      </c>
      <c r="H8271" t="inlineStr">
        <is>
          <t>4S Federzugkl.</t>
        </is>
      </c>
      <c r="I8271">
        <v>588</v>
      </c>
      <c r="J8271">
        <f>GS36/415.7</f>
        <v>0</v>
      </c>
      <c r="M8271" t="inlineStr">
        <is>
          <t>-415K135.0</t>
        </is>
      </c>
    </row>
    <row r="8272">
      <c r="A8272">
        <v>8271</v>
      </c>
      <c r="B8272">
        <f>GS93</f>
        <v>0</v>
      </c>
      <c r="C8272" t="inlineStr">
        <is>
          <t>+LS07</t>
        </is>
      </c>
      <c r="D8272" t="inlineStr">
        <is>
          <t>-375K463.4</t>
        </is>
      </c>
      <c r="E8272" t="inlineStr">
        <is>
          <t>DILA-40</t>
        </is>
      </c>
      <c r="F8272" t="inlineStr">
        <is>
          <t>#KALK!</t>
        </is>
      </c>
      <c r="G8272" t="inlineStr">
        <is>
          <t>HILFSSCHUETZ</t>
        </is>
      </c>
      <c r="H8272" t="inlineStr">
        <is>
          <t>4S Federzugkl.</t>
        </is>
      </c>
      <c r="I8272">
        <v>929</v>
      </c>
      <c r="J8272">
        <f>GS93/375.7</f>
        <v>0</v>
      </c>
      <c r="M8272" t="inlineStr">
        <is>
          <t>-375K463.4</t>
        </is>
      </c>
    </row>
    <row r="8273">
      <c r="A8273">
        <v>8272</v>
      </c>
      <c r="B8273">
        <f>GS31</f>
        <v>0</v>
      </c>
      <c r="C8273" t="inlineStr">
        <is>
          <t>+LS7</t>
        </is>
      </c>
      <c r="D8273" t="inlineStr">
        <is>
          <t>-375K51.6</t>
        </is>
      </c>
      <c r="E8273" t="inlineStr">
        <is>
          <t>DIL_EM-10-G</t>
        </is>
      </c>
      <c r="F8273" t="inlineStr">
        <is>
          <t>#KALK!</t>
        </is>
      </c>
      <c r="G8273" t="inlineStr">
        <is>
          <t>LASTSCHUETZ</t>
        </is>
      </c>
      <c r="H8273" t="inlineStr">
        <is>
          <t>4kW 1S</t>
        </is>
      </c>
      <c r="I8273">
        <v>666</v>
      </c>
      <c r="J8273">
        <f>GS31/375.7</f>
        <v>0</v>
      </c>
      <c r="M8273" t="inlineStr">
        <is>
          <t>-375K51.6</t>
        </is>
      </c>
    </row>
    <row r="8274">
      <c r="A8274">
        <v>8273</v>
      </c>
      <c r="B8274">
        <f>GS30</f>
        <v>0</v>
      </c>
      <c r="C8274" t="inlineStr">
        <is>
          <t>+LS11</t>
        </is>
      </c>
      <c r="D8274" t="inlineStr">
        <is>
          <t>-375K718.4</t>
        </is>
      </c>
      <c r="E8274" t="inlineStr">
        <is>
          <t>DILA-40</t>
        </is>
      </c>
      <c r="F8274" t="inlineStr">
        <is>
          <t>#KALK!</t>
        </is>
      </c>
      <c r="G8274" t="inlineStr">
        <is>
          <t>HILFSSCHUETZ</t>
        </is>
      </c>
      <c r="H8274" t="inlineStr">
        <is>
          <t>4S Federzugkl.</t>
        </is>
      </c>
      <c r="I8274">
        <v>824</v>
      </c>
      <c r="J8274">
        <f>GS30/375.7</f>
        <v>0</v>
      </c>
      <c r="M8274" t="inlineStr">
        <is>
          <t>-375K718.4</t>
        </is>
      </c>
    </row>
    <row r="8275">
      <c r="A8275">
        <v>8274</v>
      </c>
      <c r="B8275">
        <f>GS37</f>
        <v>0</v>
      </c>
      <c r="C8275" t="inlineStr">
        <is>
          <t>+LS08</t>
        </is>
      </c>
      <c r="D8275" t="inlineStr">
        <is>
          <t>-375K735.0</t>
        </is>
      </c>
      <c r="E8275" t="inlineStr">
        <is>
          <t>DILA-40</t>
        </is>
      </c>
      <c r="F8275" t="inlineStr">
        <is>
          <t>#KALK!</t>
        </is>
      </c>
      <c r="G8275" t="inlineStr">
        <is>
          <t>HILFSSCHUETZ</t>
        </is>
      </c>
      <c r="H8275" t="inlineStr">
        <is>
          <t>4S Federzugkl.</t>
        </is>
      </c>
      <c r="I8275">
        <v>578</v>
      </c>
      <c r="J8275">
        <f>GS37/375.6</f>
        <v>0</v>
      </c>
      <c r="M8275" t="inlineStr">
        <is>
          <t>-375K735.0</t>
        </is>
      </c>
    </row>
    <row r="8276">
      <c r="A8276">
        <v>8275</v>
      </c>
      <c r="B8276">
        <f>GS31</f>
        <v>0</v>
      </c>
      <c r="C8276" t="inlineStr">
        <is>
          <t>+LS7</t>
        </is>
      </c>
      <c r="D8276" t="inlineStr">
        <is>
          <t>-375L1</t>
        </is>
      </c>
      <c r="E8276" t="inlineStr">
        <is>
          <t>DIL_EM-10-G</t>
        </is>
      </c>
      <c r="F8276" t="inlineStr">
        <is>
          <t>#KALK!</t>
        </is>
      </c>
      <c r="G8276" t="inlineStr">
        <is>
          <t>LASTSCHUETZ</t>
        </is>
      </c>
      <c r="H8276" t="inlineStr">
        <is>
          <t>4kW 1S</t>
        </is>
      </c>
      <c r="I8276">
        <v>666</v>
      </c>
      <c r="J8276">
        <f>GS31/375.3</f>
        <v>0</v>
      </c>
      <c r="M8276" t="inlineStr">
        <is>
          <t>-375L1</t>
        </is>
      </c>
    </row>
    <row r="8277">
      <c r="A8277">
        <v>8276</v>
      </c>
      <c r="B8277">
        <f>GS06</f>
        <v>0</v>
      </c>
      <c r="C8277" t="inlineStr">
        <is>
          <t>+LS06</t>
        </is>
      </c>
      <c r="D8277" t="inlineStr">
        <is>
          <t>-375Q1</t>
        </is>
      </c>
      <c r="E8277" t="inlineStr">
        <is>
          <t>DILA-XHI22</t>
        </is>
      </c>
      <c r="F8277" t="inlineStr">
        <is>
          <t>DILA-XHI22</t>
        </is>
      </c>
      <c r="G8277" t="inlineStr">
        <is>
          <t>HILFSKONTAKTBLOCK</t>
        </is>
      </c>
      <c r="H8277" t="inlineStr">
        <is>
          <t>2S 2OE Last+Hilfssch. Cage</t>
        </is>
      </c>
      <c r="I8277">
        <v>2078</v>
      </c>
      <c r="J8277">
        <f>GS06/375.6</f>
        <v>0</v>
      </c>
      <c r="K8277" t="inlineStr">
        <is>
          <t>DIL MC25</t>
        </is>
      </c>
      <c r="M8277" t="inlineStr">
        <is>
          <t>-375Q1</t>
        </is>
      </c>
    </row>
    <row r="8278">
      <c r="A8278">
        <v>8277</v>
      </c>
      <c r="B8278">
        <f>GS06</f>
        <v>0</v>
      </c>
      <c r="C8278" t="inlineStr">
        <is>
          <t>+LS06</t>
        </is>
      </c>
      <c r="D8278" t="inlineStr">
        <is>
          <t>-375Q1</t>
        </is>
      </c>
      <c r="E8278" t="inlineStr">
        <is>
          <t>DILMC25-10(RDC24)</t>
        </is>
      </c>
      <c r="F8278" t="inlineStr">
        <is>
          <t>DILA-XHI22</t>
        </is>
      </c>
      <c r="G8278" t="inlineStr">
        <is>
          <t>LASTSCHUETZ</t>
        </is>
      </c>
      <c r="H8278" t="inlineStr">
        <is>
          <t>11kW 1S Federzugkl.</t>
        </is>
      </c>
      <c r="I8278">
        <v>2078</v>
      </c>
      <c r="J8278">
        <f>GS06/375.6</f>
        <v>0</v>
      </c>
      <c r="K8278" t="inlineStr">
        <is>
          <t>DIL MC25</t>
        </is>
      </c>
      <c r="M8278" t="inlineStr">
        <is>
          <t>-375Q1</t>
        </is>
      </c>
    </row>
    <row r="8279">
      <c r="A8279">
        <v>8278</v>
      </c>
      <c r="B8279">
        <f>GS08</f>
        <v>0</v>
      </c>
      <c r="C8279" t="inlineStr">
        <is>
          <t>+LS06</t>
        </is>
      </c>
      <c r="D8279" t="inlineStr">
        <is>
          <t>-375Q1</t>
        </is>
      </c>
      <c r="E8279" t="inlineStr">
        <is>
          <t>DILMC40(RDC24)</t>
        </is>
      </c>
      <c r="F8279" t="inlineStr">
        <is>
          <t>DILM150-XHIC22</t>
        </is>
      </c>
      <c r="G8279" t="inlineStr">
        <is>
          <t>LASTSCHUETZ</t>
        </is>
      </c>
      <c r="H8279" t="inlineStr">
        <is>
          <t>18,5kW Federzugkl.</t>
        </is>
      </c>
      <c r="I8279">
        <v>3093</v>
      </c>
      <c r="J8279">
        <f>GS08/375.7</f>
        <v>0</v>
      </c>
      <c r="K8279" t="inlineStr">
        <is>
          <t>DIL MC40</t>
        </is>
      </c>
      <c r="M8279" t="inlineStr">
        <is>
          <t>-375Q1</t>
        </is>
      </c>
    </row>
    <row r="8280">
      <c r="A8280">
        <v>8279</v>
      </c>
      <c r="B8280">
        <f>GS08</f>
        <v>0</v>
      </c>
      <c r="C8280" t="inlineStr">
        <is>
          <t>+LS06</t>
        </is>
      </c>
      <c r="D8280" t="inlineStr">
        <is>
          <t>-375Q1</t>
        </is>
      </c>
      <c r="E8280" t="inlineStr">
        <is>
          <t>DILM150-XHIC22</t>
        </is>
      </c>
      <c r="F8280" t="inlineStr">
        <is>
          <t>DILM150-XHIC22</t>
        </is>
      </c>
      <c r="G8280" t="inlineStr">
        <is>
          <t>HILFSKONTAKTBLOCK</t>
        </is>
      </c>
      <c r="H8280" t="inlineStr">
        <is>
          <t>2S 2OE ab DILMC40</t>
        </is>
      </c>
      <c r="I8280">
        <v>3093</v>
      </c>
      <c r="J8280">
        <f>GS08/375.7</f>
        <v>0</v>
      </c>
      <c r="K8280" t="inlineStr">
        <is>
          <t>DIL MC40</t>
        </is>
      </c>
      <c r="M8280" t="inlineStr">
        <is>
          <t>-375Q1</t>
        </is>
      </c>
    </row>
    <row r="8281">
      <c r="A8281">
        <v>8280</v>
      </c>
      <c r="B8281">
        <f>GS20</f>
        <v>0</v>
      </c>
      <c r="C8281" t="inlineStr">
        <is>
          <t>+LS09</t>
        </is>
      </c>
      <c r="D8281" t="inlineStr">
        <is>
          <t>-375Q1</t>
        </is>
      </c>
      <c r="E8281" t="inlineStr">
        <is>
          <t>DILA-XHI22</t>
        </is>
      </c>
      <c r="F8281" t="inlineStr">
        <is>
          <t>DILA-XHI22</t>
        </is>
      </c>
      <c r="G8281" t="inlineStr">
        <is>
          <t>HILFSKONTAKTBLOCK</t>
        </is>
      </c>
      <c r="H8281" t="inlineStr">
        <is>
          <t>2S 2OE Last+Hilfssch. Cage</t>
        </is>
      </c>
      <c r="I8281">
        <v>2713</v>
      </c>
      <c r="J8281">
        <f>GS20/375.4</f>
        <v>0</v>
      </c>
      <c r="K8281" t="inlineStr">
        <is>
          <t>DIL MC25</t>
        </is>
      </c>
      <c r="M8281" t="inlineStr">
        <is>
          <t>-375Q1</t>
        </is>
      </c>
    </row>
    <row r="8282">
      <c r="A8282">
        <v>8281</v>
      </c>
      <c r="B8282">
        <f>GS20</f>
        <v>0</v>
      </c>
      <c r="C8282" t="inlineStr">
        <is>
          <t>+LS09</t>
        </is>
      </c>
      <c r="D8282" t="inlineStr">
        <is>
          <t>-375Q1</t>
        </is>
      </c>
      <c r="E8282" t="inlineStr">
        <is>
          <t>DILMC25-10(RDC24)</t>
        </is>
      </c>
      <c r="F8282" t="inlineStr">
        <is>
          <t>DILA-XHI22</t>
        </is>
      </c>
      <c r="G8282" t="inlineStr">
        <is>
          <t>LASTSCHUETZ</t>
        </is>
      </c>
      <c r="H8282" t="inlineStr">
        <is>
          <t>11kW 1S Federzugkl.</t>
        </is>
      </c>
      <c r="I8282">
        <v>2713</v>
      </c>
      <c r="J8282">
        <f>GS20/375.4</f>
        <v>0</v>
      </c>
      <c r="K8282" t="inlineStr">
        <is>
          <t>DIL MC25</t>
        </is>
      </c>
      <c r="M8282" t="inlineStr">
        <is>
          <t>-375Q1</t>
        </is>
      </c>
    </row>
    <row r="8283">
      <c r="A8283">
        <v>8282</v>
      </c>
      <c r="B8283">
        <f>GS30</f>
        <v>0</v>
      </c>
      <c r="C8283" t="inlineStr">
        <is>
          <t>+LS11</t>
        </is>
      </c>
      <c r="D8283" t="inlineStr">
        <is>
          <t>-375Q1</t>
        </is>
      </c>
      <c r="E8283" t="inlineStr">
        <is>
          <t>DILA-XHI22</t>
        </is>
      </c>
      <c r="F8283" t="inlineStr">
        <is>
          <t>DILA-XHI22</t>
        </is>
      </c>
      <c r="G8283" t="inlineStr">
        <is>
          <t>HILFSKONTAKTBLOCK</t>
        </is>
      </c>
      <c r="H8283" t="inlineStr">
        <is>
          <t>2S 2OE Last+Hilfssch. Cage</t>
        </is>
      </c>
      <c r="I8283">
        <v>824</v>
      </c>
      <c r="J8283">
        <f>GS30/375.4</f>
        <v>0</v>
      </c>
      <c r="K8283" t="inlineStr">
        <is>
          <t>DIL MC25</t>
        </is>
      </c>
      <c r="M8283" t="inlineStr">
        <is>
          <t>-375Q1</t>
        </is>
      </c>
    </row>
    <row r="8284">
      <c r="A8284">
        <v>8283</v>
      </c>
      <c r="B8284">
        <f>GS30</f>
        <v>0</v>
      </c>
      <c r="C8284" t="inlineStr">
        <is>
          <t>+LS11</t>
        </is>
      </c>
      <c r="D8284" t="inlineStr">
        <is>
          <t>-375Q1</t>
        </is>
      </c>
      <c r="E8284" t="inlineStr">
        <is>
          <t>DILMC25-10(RDC24)</t>
        </is>
      </c>
      <c r="F8284" t="inlineStr">
        <is>
          <t>DILA-XHI22</t>
        </is>
      </c>
      <c r="G8284" t="inlineStr">
        <is>
          <t>LASTSCHUETZ</t>
        </is>
      </c>
      <c r="H8284" t="inlineStr">
        <is>
          <t>11kW 1S Federzugkl.</t>
        </is>
      </c>
      <c r="I8284">
        <v>824</v>
      </c>
      <c r="J8284">
        <f>GS30/375.4</f>
        <v>0</v>
      </c>
      <c r="K8284" t="inlineStr">
        <is>
          <t>DIL MC25</t>
        </is>
      </c>
      <c r="M8284" t="inlineStr">
        <is>
          <t>-375Q1</t>
        </is>
      </c>
    </row>
    <row r="8285">
      <c r="A8285">
        <v>8284</v>
      </c>
      <c r="B8285">
        <f>GS35</f>
        <v>0</v>
      </c>
      <c r="C8285" t="inlineStr">
        <is>
          <t>+LS09</t>
        </is>
      </c>
      <c r="D8285" t="inlineStr">
        <is>
          <t>-375Q1</t>
        </is>
      </c>
      <c r="E8285" t="inlineStr">
        <is>
          <t>DILA-XHI22</t>
        </is>
      </c>
      <c r="F8285" t="inlineStr">
        <is>
          <t>DILA-XHI22</t>
        </is>
      </c>
      <c r="G8285" t="inlineStr">
        <is>
          <t>HILFSKONTAKTBLOCK</t>
        </is>
      </c>
      <c r="H8285" t="inlineStr">
        <is>
          <t>2S 2OE Last+Hilfssch. Cage</t>
        </is>
      </c>
      <c r="I8285">
        <v>534</v>
      </c>
      <c r="J8285">
        <f>GS35/375.4</f>
        <v>0</v>
      </c>
      <c r="K8285" t="inlineStr">
        <is>
          <t>DIL MC25</t>
        </is>
      </c>
      <c r="M8285" t="inlineStr">
        <is>
          <t>-375Q1</t>
        </is>
      </c>
    </row>
    <row r="8286">
      <c r="A8286">
        <v>8285</v>
      </c>
      <c r="B8286">
        <f>GS35</f>
        <v>0</v>
      </c>
      <c r="C8286" t="inlineStr">
        <is>
          <t>+LS09</t>
        </is>
      </c>
      <c r="D8286" t="inlineStr">
        <is>
          <t>-375Q1</t>
        </is>
      </c>
      <c r="E8286" t="inlineStr">
        <is>
          <t>DILM-25-10</t>
        </is>
      </c>
      <c r="F8286" t="inlineStr">
        <is>
          <t>DILA-XHI22</t>
        </is>
      </c>
      <c r="G8286" t="inlineStr">
        <is>
          <t>LASTSCHUETZ</t>
        </is>
      </c>
      <c r="H8286" t="inlineStr">
        <is>
          <t>11kW 1S Federzugkl.</t>
        </is>
      </c>
      <c r="I8286">
        <v>534</v>
      </c>
      <c r="J8286">
        <f>GS35/375.4</f>
        <v>0</v>
      </c>
      <c r="K8286" t="inlineStr">
        <is>
          <t>DIL MC25</t>
        </is>
      </c>
      <c r="M8286" t="inlineStr">
        <is>
          <t>-375Q1</t>
        </is>
      </c>
    </row>
    <row r="8287">
      <c r="A8287">
        <v>8286</v>
      </c>
      <c r="B8287">
        <f>GS36</f>
        <v>0</v>
      </c>
      <c r="C8287" t="inlineStr">
        <is>
          <t>+LS08</t>
        </is>
      </c>
      <c r="D8287" t="inlineStr">
        <is>
          <t>-375Q1</t>
        </is>
      </c>
      <c r="E8287" t="inlineStr">
        <is>
          <t>DILA-XHI22</t>
        </is>
      </c>
      <c r="F8287" t="inlineStr">
        <is>
          <t>DILA-XHI22</t>
        </is>
      </c>
      <c r="G8287" t="inlineStr">
        <is>
          <t>HILFSKONTAKTBLOCK</t>
        </is>
      </c>
      <c r="H8287" t="inlineStr">
        <is>
          <t>2S 2OE Last+Hilfssch. Cage</t>
        </is>
      </c>
      <c r="I8287">
        <v>548</v>
      </c>
      <c r="J8287">
        <f>GS36/375.4</f>
        <v>0</v>
      </c>
      <c r="K8287" t="inlineStr">
        <is>
          <t>DIL MC25</t>
        </is>
      </c>
      <c r="L8287" t="inlineStr">
        <is>
          <t>HVO 16</t>
        </is>
      </c>
      <c r="M8287" t="inlineStr">
        <is>
          <t>HVO 16
-375Q1</t>
        </is>
      </c>
      <c r="N8287" t="inlineStr">
        <is>
          <t>P</t>
        </is>
      </c>
    </row>
    <row r="8288">
      <c r="A8288">
        <v>8287</v>
      </c>
      <c r="B8288">
        <f>GS36</f>
        <v>0</v>
      </c>
      <c r="C8288" t="inlineStr">
        <is>
          <t>+LS08</t>
        </is>
      </c>
      <c r="D8288" t="inlineStr">
        <is>
          <t>-375Q1</t>
        </is>
      </c>
      <c r="E8288" t="inlineStr">
        <is>
          <t>DILMC25-10(RDC24)</t>
        </is>
      </c>
      <c r="F8288" t="inlineStr">
        <is>
          <t>DILA-XHI22</t>
        </is>
      </c>
      <c r="G8288" t="inlineStr">
        <is>
          <t>LASTSCHUETZ</t>
        </is>
      </c>
      <c r="H8288" t="inlineStr">
        <is>
          <t>11kW 1S Federzugkl.</t>
        </is>
      </c>
      <c r="I8288">
        <v>548</v>
      </c>
      <c r="J8288">
        <f>GS36/375.4</f>
        <v>0</v>
      </c>
      <c r="K8288" t="inlineStr">
        <is>
          <t>DIL MC25</t>
        </is>
      </c>
      <c r="L8288" t="inlineStr">
        <is>
          <t>HVO 16</t>
        </is>
      </c>
      <c r="M8288" t="inlineStr">
        <is>
          <t>HVO 16
-375Q1</t>
        </is>
      </c>
      <c r="N8288" t="inlineStr">
        <is>
          <t>P</t>
        </is>
      </c>
    </row>
    <row r="8289">
      <c r="A8289">
        <v>8288</v>
      </c>
      <c r="B8289">
        <f>GS37</f>
        <v>0</v>
      </c>
      <c r="C8289" t="inlineStr">
        <is>
          <t>+LS08</t>
        </is>
      </c>
      <c r="D8289" t="inlineStr">
        <is>
          <t>-375Q1</t>
        </is>
      </c>
      <c r="E8289" t="inlineStr">
        <is>
          <t>DILMC25-10(RDC24)</t>
        </is>
      </c>
      <c r="F8289" t="inlineStr">
        <is>
          <t>DILA-XHI22</t>
        </is>
      </c>
      <c r="G8289" t="inlineStr">
        <is>
          <t>LASTSCHUETZ</t>
        </is>
      </c>
      <c r="H8289" t="inlineStr">
        <is>
          <t>11kW 1S Federzugkl.</t>
        </is>
      </c>
      <c r="I8289">
        <v>578</v>
      </c>
      <c r="J8289">
        <f>GS37/375.4</f>
        <v>0</v>
      </c>
      <c r="K8289" t="inlineStr">
        <is>
          <t>DIL MC25</t>
        </is>
      </c>
      <c r="M8289" t="inlineStr">
        <is>
          <t>-375Q1</t>
        </is>
      </c>
    </row>
    <row r="8290">
      <c r="A8290">
        <v>8289</v>
      </c>
      <c r="B8290">
        <f>GS37</f>
        <v>0</v>
      </c>
      <c r="C8290" t="inlineStr">
        <is>
          <t>+LS08</t>
        </is>
      </c>
      <c r="D8290" t="inlineStr">
        <is>
          <t>-375Q1</t>
        </is>
      </c>
      <c r="E8290" t="inlineStr">
        <is>
          <t>DILA-XHI22</t>
        </is>
      </c>
      <c r="F8290" t="inlineStr">
        <is>
          <t>DILA-XHI22</t>
        </is>
      </c>
      <c r="G8290" t="inlineStr">
        <is>
          <t>HILFSKONTAKTBLOCK</t>
        </is>
      </c>
      <c r="H8290" t="inlineStr">
        <is>
          <t>2S 2OE Last+Hilfssch. Cage</t>
        </is>
      </c>
      <c r="I8290">
        <v>578</v>
      </c>
      <c r="J8290">
        <f>GS37/375.4</f>
        <v>0</v>
      </c>
      <c r="K8290" t="inlineStr">
        <is>
          <t>DIL MC25</t>
        </is>
      </c>
      <c r="M8290" t="inlineStr">
        <is>
          <t>-375Q1</t>
        </is>
      </c>
    </row>
    <row r="8291">
      <c r="A8291">
        <v>8290</v>
      </c>
      <c r="B8291">
        <f>GS38</f>
        <v>0</v>
      </c>
      <c r="C8291" t="inlineStr">
        <is>
          <t>+LS08</t>
        </is>
      </c>
      <c r="D8291" t="inlineStr">
        <is>
          <t>-375Q1</t>
        </is>
      </c>
      <c r="E8291" t="inlineStr">
        <is>
          <t>DILA-XHI22</t>
        </is>
      </c>
      <c r="F8291" t="inlineStr">
        <is>
          <t>DILA-XHI22</t>
        </is>
      </c>
      <c r="G8291" t="inlineStr">
        <is>
          <t>HILFSKONTAKTBLOCK</t>
        </is>
      </c>
      <c r="H8291" t="inlineStr">
        <is>
          <t>2S 2OE Last+Hilfssch. Cage</t>
        </is>
      </c>
      <c r="I8291">
        <v>540</v>
      </c>
      <c r="J8291">
        <f>GS38/375.3</f>
        <v>0</v>
      </c>
      <c r="K8291" t="inlineStr">
        <is>
          <t>DIL MC25</t>
        </is>
      </c>
      <c r="M8291" t="inlineStr">
        <is>
          <t>-375Q1</t>
        </is>
      </c>
    </row>
    <row r="8292">
      <c r="A8292">
        <v>8291</v>
      </c>
      <c r="B8292">
        <f>GS38</f>
        <v>0</v>
      </c>
      <c r="C8292" t="inlineStr">
        <is>
          <t>+LS08</t>
        </is>
      </c>
      <c r="D8292" t="inlineStr">
        <is>
          <t>-375Q1</t>
        </is>
      </c>
      <c r="E8292" t="inlineStr">
        <is>
          <t>DILMC25-10(RDC24)</t>
        </is>
      </c>
      <c r="F8292" t="inlineStr">
        <is>
          <t>DILA-XHI22</t>
        </is>
      </c>
      <c r="G8292" t="inlineStr">
        <is>
          <t>LASTSCHUETZ</t>
        </is>
      </c>
      <c r="H8292" t="inlineStr">
        <is>
          <t>11kW 1S Federzugkl.</t>
        </is>
      </c>
      <c r="I8292">
        <v>540</v>
      </c>
      <c r="J8292">
        <f>GS38/375.3</f>
        <v>0</v>
      </c>
      <c r="K8292" t="inlineStr">
        <is>
          <t>DIL MC25</t>
        </is>
      </c>
      <c r="M8292" t="inlineStr">
        <is>
          <t>-375Q1</t>
        </is>
      </c>
    </row>
    <row r="8293">
      <c r="A8293">
        <v>8292</v>
      </c>
      <c r="B8293">
        <f>GS39</f>
        <v>0</v>
      </c>
      <c r="C8293" t="inlineStr">
        <is>
          <t>+LS08</t>
        </is>
      </c>
      <c r="D8293" t="inlineStr">
        <is>
          <t>-375Q1</t>
        </is>
      </c>
      <c r="E8293" t="inlineStr">
        <is>
          <t>DILA-XHI22</t>
        </is>
      </c>
      <c r="F8293" t="inlineStr">
        <is>
          <t>DILA-XHI22</t>
        </is>
      </c>
      <c r="G8293" t="inlineStr">
        <is>
          <t>HILFSKONTAKTBLOCK</t>
        </is>
      </c>
      <c r="H8293" t="inlineStr">
        <is>
          <t>2S 2OE Last+Hilfssch. Cage</t>
        </is>
      </c>
      <c r="I8293">
        <v>545</v>
      </c>
      <c r="J8293">
        <f>GS39/375.3</f>
        <v>0</v>
      </c>
      <c r="K8293" t="inlineStr">
        <is>
          <t>DIL MC25</t>
        </is>
      </c>
      <c r="M8293" t="inlineStr">
        <is>
          <t>-375Q1</t>
        </is>
      </c>
    </row>
    <row r="8294">
      <c r="A8294">
        <v>8293</v>
      </c>
      <c r="B8294">
        <f>GS39</f>
        <v>0</v>
      </c>
      <c r="C8294" t="inlineStr">
        <is>
          <t>+LS08</t>
        </is>
      </c>
      <c r="D8294" t="inlineStr">
        <is>
          <t>-375Q1</t>
        </is>
      </c>
      <c r="E8294" t="inlineStr">
        <is>
          <t>DILMC25-10(RDC24)</t>
        </is>
      </c>
      <c r="F8294" t="inlineStr">
        <is>
          <t>DILA-XHI22</t>
        </is>
      </c>
      <c r="G8294" t="inlineStr">
        <is>
          <t>LASTSCHUETZ</t>
        </is>
      </c>
      <c r="H8294" t="inlineStr">
        <is>
          <t>11kW 1S Federzugkl.</t>
        </is>
      </c>
      <c r="I8294">
        <v>545</v>
      </c>
      <c r="J8294">
        <f>GS39/375.3</f>
        <v>0</v>
      </c>
      <c r="K8294" t="inlineStr">
        <is>
          <t>DIL MC25</t>
        </is>
      </c>
      <c r="M8294" t="inlineStr">
        <is>
          <t>-375Q1</t>
        </is>
      </c>
    </row>
    <row r="8295">
      <c r="A8295">
        <v>8294</v>
      </c>
      <c r="B8295">
        <f>GS93</f>
        <v>0</v>
      </c>
      <c r="C8295" t="inlineStr">
        <is>
          <t>+LS07</t>
        </is>
      </c>
      <c r="D8295" t="inlineStr">
        <is>
          <t>-375Q1</t>
        </is>
      </c>
      <c r="E8295" t="inlineStr">
        <is>
          <t>DILMC25-10(RDC24)</t>
        </is>
      </c>
      <c r="F8295" t="inlineStr">
        <is>
          <t>DILA-XHI22</t>
        </is>
      </c>
      <c r="G8295" t="inlineStr">
        <is>
          <t>LASTSCHUETZ</t>
        </is>
      </c>
      <c r="H8295" t="inlineStr">
        <is>
          <t>11kW 1S Federzugkl.</t>
        </is>
      </c>
      <c r="I8295">
        <v>929</v>
      </c>
      <c r="J8295">
        <f>GS93/375.4</f>
        <v>0</v>
      </c>
      <c r="K8295" t="inlineStr">
        <is>
          <t>DIL MC25</t>
        </is>
      </c>
      <c r="M8295" t="inlineStr">
        <is>
          <t>-375Q1</t>
        </is>
      </c>
    </row>
    <row r="8296">
      <c r="A8296">
        <v>8295</v>
      </c>
      <c r="B8296">
        <f>GS93</f>
        <v>0</v>
      </c>
      <c r="C8296" t="inlineStr">
        <is>
          <t>+LS07</t>
        </is>
      </c>
      <c r="D8296" t="inlineStr">
        <is>
          <t>-375Q1</t>
        </is>
      </c>
      <c r="E8296" t="inlineStr">
        <is>
          <t>DILA-XHI22</t>
        </is>
      </c>
      <c r="F8296" t="inlineStr">
        <is>
          <t>DILA-XHI22</t>
        </is>
      </c>
      <c r="G8296" t="inlineStr">
        <is>
          <t>HILFSKONTAKTBLOCK</t>
        </is>
      </c>
      <c r="H8296" t="inlineStr">
        <is>
          <t>2S 2OE Last+Hilfssch. Cage</t>
        </is>
      </c>
      <c r="I8296">
        <v>929</v>
      </c>
      <c r="J8296">
        <f>GS93/375.4</f>
        <v>0</v>
      </c>
      <c r="K8296" t="inlineStr">
        <is>
          <t>DIL MC25</t>
        </is>
      </c>
      <c r="M8296" t="inlineStr">
        <is>
          <t>-375Q1</t>
        </is>
      </c>
    </row>
    <row r="8297">
      <c r="A8297">
        <v>8296</v>
      </c>
      <c r="B8297">
        <f>GS91</f>
        <v>0</v>
      </c>
      <c r="C8297" t="inlineStr">
        <is>
          <t>+LS06</t>
        </is>
      </c>
      <c r="D8297" t="inlineStr">
        <is>
          <t>-375Q194.0</t>
        </is>
      </c>
      <c r="E8297" t="inlineStr">
        <is>
          <t>DILM-9-10</t>
        </is>
      </c>
      <c r="F8297" t="inlineStr">
        <is>
          <t>#KALK!</t>
        </is>
      </c>
      <c r="G8297" t="inlineStr">
        <is>
          <t>LASTSCHUETZ</t>
        </is>
      </c>
      <c r="H8297" t="inlineStr">
        <is>
          <t>4kW 1S Federzugkl.</t>
        </is>
      </c>
      <c r="I8297">
        <v>523</v>
      </c>
      <c r="J8297">
        <f>GS91/375.5</f>
        <v>0</v>
      </c>
      <c r="M8297" t="inlineStr">
        <is>
          <t>-375Q194.0</t>
        </is>
      </c>
    </row>
    <row r="8298">
      <c r="A8298">
        <v>8297</v>
      </c>
      <c r="B8298">
        <f>GS38</f>
        <v>0</v>
      </c>
      <c r="C8298" t="inlineStr">
        <is>
          <t>+LS08</t>
        </is>
      </c>
      <c r="D8298" t="inlineStr">
        <is>
          <t>-375Q2</t>
        </is>
      </c>
      <c r="E8298" t="inlineStr">
        <is>
          <t>DILA-XHI22</t>
        </is>
      </c>
      <c r="F8298" t="inlineStr">
        <is>
          <t>DILA-XHI22</t>
        </is>
      </c>
      <c r="G8298" t="inlineStr">
        <is>
          <t>HILFSKONTAKTBLOCK</t>
        </is>
      </c>
      <c r="H8298" t="inlineStr">
        <is>
          <t>2S 2OE Last+Hilfssch. Cage</t>
        </is>
      </c>
      <c r="I8298">
        <v>540</v>
      </c>
      <c r="J8298">
        <f>GS38/375.4</f>
        <v>0</v>
      </c>
      <c r="K8298" t="inlineStr">
        <is>
          <t>DIL MC25</t>
        </is>
      </c>
      <c r="M8298" t="inlineStr">
        <is>
          <t>-375Q2</t>
        </is>
      </c>
    </row>
    <row r="8299">
      <c r="A8299">
        <v>8298</v>
      </c>
      <c r="B8299">
        <f>GS38</f>
        <v>0</v>
      </c>
      <c r="C8299" t="inlineStr">
        <is>
          <t>+LS08</t>
        </is>
      </c>
      <c r="D8299" t="inlineStr">
        <is>
          <t>-375Q2</t>
        </is>
      </c>
      <c r="E8299" t="inlineStr">
        <is>
          <t>DILMC25-10(RDC24)</t>
        </is>
      </c>
      <c r="F8299" t="inlineStr">
        <is>
          <t>DILA-XHI22</t>
        </is>
      </c>
      <c r="G8299" t="inlineStr">
        <is>
          <t>LASTSCHUETZ</t>
        </is>
      </c>
      <c r="H8299" t="inlineStr">
        <is>
          <t>11kW 1S Federzugkl.</t>
        </is>
      </c>
      <c r="I8299">
        <v>540</v>
      </c>
      <c r="J8299">
        <f>GS38/375.4</f>
        <v>0</v>
      </c>
      <c r="K8299" t="inlineStr">
        <is>
          <t>DIL MC25</t>
        </is>
      </c>
      <c r="M8299" t="inlineStr">
        <is>
          <t>-375Q2</t>
        </is>
      </c>
    </row>
    <row r="8300">
      <c r="A8300">
        <v>8299</v>
      </c>
      <c r="B8300">
        <f>GS39</f>
        <v>0</v>
      </c>
      <c r="C8300" t="inlineStr">
        <is>
          <t>+LS08</t>
        </is>
      </c>
      <c r="D8300" t="inlineStr">
        <is>
          <t>-375Q2</t>
        </is>
      </c>
      <c r="E8300" t="inlineStr">
        <is>
          <t>DILA-XHI22</t>
        </is>
      </c>
      <c r="F8300" t="inlineStr">
        <is>
          <t>DILA-XHI22</t>
        </is>
      </c>
      <c r="G8300" t="inlineStr">
        <is>
          <t>HILFSKONTAKTBLOCK</t>
        </is>
      </c>
      <c r="H8300" t="inlineStr">
        <is>
          <t>2S 2OE Last+Hilfssch. Cage</t>
        </is>
      </c>
      <c r="I8300">
        <v>545</v>
      </c>
      <c r="J8300">
        <f>GS39/375.4</f>
        <v>0</v>
      </c>
      <c r="K8300" t="inlineStr">
        <is>
          <t>DIL MC25</t>
        </is>
      </c>
      <c r="M8300" t="inlineStr">
        <is>
          <t>-375Q2</t>
        </is>
      </c>
    </row>
    <row r="8301">
      <c r="A8301">
        <v>8300</v>
      </c>
      <c r="B8301">
        <f>GS39</f>
        <v>0</v>
      </c>
      <c r="C8301" t="inlineStr">
        <is>
          <t>+LS08</t>
        </is>
      </c>
      <c r="D8301" t="inlineStr">
        <is>
          <t>-375Q2</t>
        </is>
      </c>
      <c r="E8301" t="inlineStr">
        <is>
          <t>DILMC25-10(RDC24)</t>
        </is>
      </c>
      <c r="F8301" t="inlineStr">
        <is>
          <t>DILA-XHI22</t>
        </is>
      </c>
      <c r="G8301" t="inlineStr">
        <is>
          <t>LASTSCHUETZ</t>
        </is>
      </c>
      <c r="H8301" t="inlineStr">
        <is>
          <t>11kW 1S Federzugkl.</t>
        </is>
      </c>
      <c r="I8301">
        <v>545</v>
      </c>
      <c r="J8301">
        <f>GS39/375.4</f>
        <v>0</v>
      </c>
      <c r="K8301" t="inlineStr">
        <is>
          <t>DIL MC25</t>
        </is>
      </c>
      <c r="M8301" t="inlineStr">
        <is>
          <t>-375Q2</t>
        </is>
      </c>
    </row>
    <row r="8302">
      <c r="A8302">
        <v>8301</v>
      </c>
      <c r="B8302">
        <f>GC22</f>
        <v>0</v>
      </c>
      <c r="C8302" t="inlineStr">
        <is>
          <t>+LS5</t>
        </is>
      </c>
      <c r="D8302" t="inlineStr">
        <is>
          <t>-376K1</t>
        </is>
      </c>
      <c r="E8302" t="inlineStr">
        <is>
          <t>DIL_0AM</t>
        </is>
      </c>
      <c r="F8302" t="inlineStr">
        <is>
          <t>22_DIL-M</t>
        </is>
      </c>
      <c r="G8302" t="inlineStr">
        <is>
          <t>LASTSCHUETZ</t>
        </is>
      </c>
      <c r="H8302" t="inlineStr">
        <is>
          <t>11 kW</t>
        </is>
      </c>
      <c r="I8302">
        <v>3924</v>
      </c>
      <c r="J8302">
        <f>GC22/376.2</f>
        <v>0</v>
      </c>
      <c r="K8302" t="inlineStr">
        <is>
          <t>DIL0AM</t>
        </is>
      </c>
      <c r="M8302" t="inlineStr">
        <is>
          <t>-376K1</t>
        </is>
      </c>
    </row>
    <row r="8303">
      <c r="A8303">
        <v>8302</v>
      </c>
      <c r="B8303">
        <f>GC22</f>
        <v>0</v>
      </c>
      <c r="C8303" t="inlineStr">
        <is>
          <t>+LS5</t>
        </is>
      </c>
      <c r="D8303" t="inlineStr">
        <is>
          <t>-376K1</t>
        </is>
      </c>
      <c r="E8303" t="inlineStr">
        <is>
          <t>22_DIL-M</t>
        </is>
      </c>
      <c r="F8303" t="inlineStr">
        <is>
          <t>22_DIL-M</t>
        </is>
      </c>
      <c r="G8303" t="inlineStr">
        <is>
          <t>HILFSKONTAKTBLOCK</t>
        </is>
      </c>
      <c r="H8303" t="inlineStr">
        <is>
          <t>2S 2OE Lastschuetz DIL M</t>
        </is>
      </c>
      <c r="I8303">
        <v>3924</v>
      </c>
      <c r="J8303">
        <f>GC22/376.2</f>
        <v>0</v>
      </c>
      <c r="K8303" t="inlineStr">
        <is>
          <t>DIL0AM</t>
        </is>
      </c>
      <c r="M8303" t="inlineStr">
        <is>
          <t>-376K1</t>
        </is>
      </c>
    </row>
    <row r="8304">
      <c r="A8304">
        <v>8303</v>
      </c>
      <c r="B8304">
        <f>GS12</f>
        <v>0</v>
      </c>
      <c r="C8304" t="inlineStr">
        <is>
          <t>+LS5</t>
        </is>
      </c>
      <c r="D8304" t="inlineStr">
        <is>
          <t>-376K1</t>
        </is>
      </c>
      <c r="E8304" t="inlineStr">
        <is>
          <t>DIL_0AM</t>
        </is>
      </c>
      <c r="F8304" t="inlineStr">
        <is>
          <t>22_DIL-M</t>
        </is>
      </c>
      <c r="G8304" t="inlineStr">
        <is>
          <t>LASTSCHUETZ</t>
        </is>
      </c>
      <c r="H8304" t="inlineStr">
        <is>
          <t>11 kW</t>
        </is>
      </c>
      <c r="I8304">
        <v>508</v>
      </c>
      <c r="J8304">
        <f>GS12/376.2</f>
        <v>0</v>
      </c>
      <c r="K8304" t="inlineStr">
        <is>
          <t>DIL0AM</t>
        </is>
      </c>
      <c r="M8304" t="inlineStr">
        <is>
          <t>-376K1</t>
        </is>
      </c>
    </row>
    <row r="8305">
      <c r="A8305">
        <v>8304</v>
      </c>
      <c r="B8305">
        <f>GS12</f>
        <v>0</v>
      </c>
      <c r="C8305" t="inlineStr">
        <is>
          <t>+LS5</t>
        </is>
      </c>
      <c r="D8305" t="inlineStr">
        <is>
          <t>-376K1</t>
        </is>
      </c>
      <c r="E8305" t="inlineStr">
        <is>
          <t>22_DIL-M</t>
        </is>
      </c>
      <c r="F8305" t="inlineStr">
        <is>
          <t>22_DIL-M</t>
        </is>
      </c>
      <c r="G8305" t="inlineStr">
        <is>
          <t>HILFSKONTAKTBLOCK</t>
        </is>
      </c>
      <c r="H8305" t="inlineStr">
        <is>
          <t>2S 2OE Lastschuetz DIL M</t>
        </is>
      </c>
      <c r="I8305">
        <v>508</v>
      </c>
      <c r="J8305">
        <f>GS12/376.2</f>
        <v>0</v>
      </c>
      <c r="K8305" t="inlineStr">
        <is>
          <t>DIL0AM</t>
        </is>
      </c>
      <c r="M8305" t="inlineStr">
        <is>
          <t>-376K1</t>
        </is>
      </c>
    </row>
    <row r="8306">
      <c r="A8306">
        <v>8305</v>
      </c>
      <c r="B8306">
        <f>GS16</f>
        <v>0</v>
      </c>
      <c r="C8306" t="inlineStr">
        <is>
          <t>+LS6</t>
        </is>
      </c>
      <c r="D8306" t="inlineStr">
        <is>
          <t>-376K1</t>
        </is>
      </c>
      <c r="E8306" t="inlineStr">
        <is>
          <t>22_DIL-M</t>
        </is>
      </c>
      <c r="F8306" t="inlineStr">
        <is>
          <t>22_DIL-M</t>
        </is>
      </c>
      <c r="G8306" t="inlineStr">
        <is>
          <t>HILFSKONTAKTBLOCK</t>
        </is>
      </c>
      <c r="H8306" t="inlineStr">
        <is>
          <t>2S 2OE Lastschuetz DIL M</t>
        </is>
      </c>
      <c r="I8306">
        <v>611</v>
      </c>
      <c r="J8306">
        <f>GS16/376.2</f>
        <v>0</v>
      </c>
      <c r="K8306" t="inlineStr">
        <is>
          <t>DIL0AM</t>
        </is>
      </c>
      <c r="M8306" t="inlineStr">
        <is>
          <t>-376K1</t>
        </is>
      </c>
    </row>
    <row r="8307">
      <c r="A8307">
        <v>8306</v>
      </c>
      <c r="B8307">
        <f>GS16</f>
        <v>0</v>
      </c>
      <c r="C8307" t="inlineStr">
        <is>
          <t>+LS6</t>
        </is>
      </c>
      <c r="D8307" t="inlineStr">
        <is>
          <t>-376K1</t>
        </is>
      </c>
      <c r="E8307" t="inlineStr">
        <is>
          <t>DIL_0AM</t>
        </is>
      </c>
      <c r="F8307" t="inlineStr">
        <is>
          <t>22_DIL-M</t>
        </is>
      </c>
      <c r="G8307" t="inlineStr">
        <is>
          <t>LASTSCHUETZ</t>
        </is>
      </c>
      <c r="H8307" t="inlineStr">
        <is>
          <t>11 kW</t>
        </is>
      </c>
      <c r="I8307">
        <v>611</v>
      </c>
      <c r="J8307">
        <f>GS16/376.2</f>
        <v>0</v>
      </c>
      <c r="K8307" t="inlineStr">
        <is>
          <t>DIL0AM</t>
        </is>
      </c>
      <c r="M8307" t="inlineStr">
        <is>
          <t>-376K1</t>
        </is>
      </c>
    </row>
    <row r="8308">
      <c r="A8308">
        <v>8307</v>
      </c>
      <c r="B8308">
        <f>GS31</f>
        <v>0</v>
      </c>
      <c r="C8308" t="inlineStr">
        <is>
          <t>+LS7</t>
        </is>
      </c>
      <c r="D8308" t="inlineStr">
        <is>
          <t>-376K52.2</t>
        </is>
      </c>
      <c r="E8308" t="inlineStr">
        <is>
          <t>DIL_EM-10-G</t>
        </is>
      </c>
      <c r="F8308" t="inlineStr">
        <is>
          <t>#KALK!</t>
        </is>
      </c>
      <c r="G8308" t="inlineStr">
        <is>
          <t>LASTSCHUETZ</t>
        </is>
      </c>
      <c r="H8308" t="inlineStr">
        <is>
          <t>4kW 1S</t>
        </is>
      </c>
      <c r="I8308">
        <v>667</v>
      </c>
      <c r="J8308">
        <f>GS31/376.7</f>
        <v>0</v>
      </c>
      <c r="M8308" t="inlineStr">
        <is>
          <t>-376K52.2</t>
        </is>
      </c>
    </row>
    <row r="8309">
      <c r="A8309">
        <v>8308</v>
      </c>
      <c r="B8309">
        <f>GS38</f>
        <v>0</v>
      </c>
      <c r="C8309" t="inlineStr">
        <is>
          <t>+LS08</t>
        </is>
      </c>
      <c r="D8309" t="inlineStr">
        <is>
          <t>-376Q113.6</t>
        </is>
      </c>
      <c r="E8309" t="inlineStr">
        <is>
          <t>DILM-9-10</t>
        </is>
      </c>
      <c r="F8309" t="inlineStr">
        <is>
          <t>#KALK!</t>
        </is>
      </c>
      <c r="G8309" t="inlineStr">
        <is>
          <t>LASTSCHUETZ</t>
        </is>
      </c>
      <c r="H8309" t="inlineStr">
        <is>
          <t>4kW 1S Federzugkl.</t>
        </is>
      </c>
      <c r="I8309">
        <v>541</v>
      </c>
      <c r="J8309">
        <f>GS38/376.6</f>
        <v>0</v>
      </c>
      <c r="M8309" t="inlineStr">
        <is>
          <t>-376Q113.6</t>
        </is>
      </c>
    </row>
    <row r="8310">
      <c r="A8310">
        <v>8309</v>
      </c>
      <c r="B8310">
        <f>GS39</f>
        <v>0</v>
      </c>
      <c r="C8310" t="inlineStr">
        <is>
          <t>+LS08</t>
        </is>
      </c>
      <c r="D8310" t="inlineStr">
        <is>
          <t>-376Q113.6</t>
        </is>
      </c>
      <c r="E8310" t="inlineStr">
        <is>
          <t>DILM-9-10</t>
        </is>
      </c>
      <c r="F8310" t="inlineStr">
        <is>
          <t>#KALK!</t>
        </is>
      </c>
      <c r="G8310" t="inlineStr">
        <is>
          <t>LASTSCHUETZ</t>
        </is>
      </c>
      <c r="H8310" t="inlineStr">
        <is>
          <t>4kW 1S Federzugkl.</t>
        </is>
      </c>
      <c r="I8310">
        <v>546</v>
      </c>
      <c r="J8310">
        <f>GS39/376.6</f>
        <v>0</v>
      </c>
      <c r="M8310" t="inlineStr">
        <is>
          <t>-376Q113.6</t>
        </is>
      </c>
    </row>
    <row r="8311">
      <c r="A8311">
        <v>8310</v>
      </c>
      <c r="B8311">
        <f>GS93</f>
        <v>0</v>
      </c>
      <c r="C8311" t="inlineStr">
        <is>
          <t>+LS07</t>
        </is>
      </c>
      <c r="D8311" t="inlineStr">
        <is>
          <t>-376Q457.5</t>
        </is>
      </c>
      <c r="E8311" t="inlineStr">
        <is>
          <t>DILM-9-10</t>
        </is>
      </c>
      <c r="F8311" t="inlineStr">
        <is>
          <t>#KALK!</t>
        </is>
      </c>
      <c r="G8311" t="inlineStr">
        <is>
          <t>LASTSCHUETZ</t>
        </is>
      </c>
      <c r="H8311" t="inlineStr">
        <is>
          <t>4kW 1S Federzugkl.</t>
        </is>
      </c>
      <c r="I8311">
        <v>930</v>
      </c>
      <c r="J8311">
        <f>GS93/376.5</f>
        <v>0</v>
      </c>
      <c r="M8311" t="inlineStr">
        <is>
          <t>-376Q457.5</t>
        </is>
      </c>
    </row>
    <row r="8312">
      <c r="A8312">
        <v>8311</v>
      </c>
      <c r="B8312">
        <f>GS38</f>
        <v>0</v>
      </c>
      <c r="C8312" t="inlineStr">
        <is>
          <t>+LS08</t>
        </is>
      </c>
      <c r="D8312" t="inlineStr">
        <is>
          <t>-377.1Q118.4</t>
        </is>
      </c>
      <c r="E8312" t="inlineStr">
        <is>
          <t>DILM-9-01</t>
        </is>
      </c>
      <c r="F8312" t="inlineStr">
        <is>
          <t>#KALK!</t>
        </is>
      </c>
      <c r="G8312" t="inlineStr">
        <is>
          <t>LASTSCHUETZ</t>
        </is>
      </c>
      <c r="H8312" t="inlineStr">
        <is>
          <t>4kW 1Oe Federzugkl.</t>
        </is>
      </c>
      <c r="I8312">
        <v>1507</v>
      </c>
      <c r="J8312">
        <f>GS38/377.1.6</f>
        <v>0</v>
      </c>
      <c r="M8312" t="inlineStr">
        <is>
          <t>-377.1Q118.4</t>
        </is>
      </c>
    </row>
    <row r="8313">
      <c r="A8313">
        <v>8312</v>
      </c>
      <c r="B8313">
        <f>GS39</f>
        <v>0</v>
      </c>
      <c r="C8313" t="inlineStr">
        <is>
          <t>+LS08</t>
        </is>
      </c>
      <c r="D8313" t="inlineStr">
        <is>
          <t>-377.1Q118.4</t>
        </is>
      </c>
      <c r="E8313" t="inlineStr">
        <is>
          <t>DILM-9-01</t>
        </is>
      </c>
      <c r="F8313" t="inlineStr">
        <is>
          <t>#KALK!</t>
        </is>
      </c>
      <c r="G8313" t="inlineStr">
        <is>
          <t>LASTSCHUETZ</t>
        </is>
      </c>
      <c r="H8313" t="inlineStr">
        <is>
          <t>4kW 1Oe Federzugkl.</t>
        </is>
      </c>
      <c r="I8313">
        <v>1135</v>
      </c>
      <c r="J8313">
        <f>GS39/377.1.6</f>
        <v>0</v>
      </c>
      <c r="M8313" t="inlineStr">
        <is>
          <t>-377.1Q118.4</t>
        </is>
      </c>
    </row>
    <row r="8314">
      <c r="A8314">
        <v>8313</v>
      </c>
      <c r="B8314">
        <f>GS16</f>
        <v>0</v>
      </c>
      <c r="C8314" t="inlineStr">
        <is>
          <t>+LS6</t>
        </is>
      </c>
      <c r="D8314" t="inlineStr">
        <is>
          <t>-377K42.0</t>
        </is>
      </c>
      <c r="E8314" t="inlineStr">
        <is>
          <t>DIL_EM-10-G</t>
        </is>
      </c>
      <c r="F8314" t="inlineStr">
        <is>
          <t>#KALK!</t>
        </is>
      </c>
      <c r="G8314" t="inlineStr">
        <is>
          <t>LASTSCHUETZ</t>
        </is>
      </c>
      <c r="H8314" t="inlineStr">
        <is>
          <t>4kW 1S</t>
        </is>
      </c>
      <c r="I8314">
        <v>612</v>
      </c>
      <c r="J8314">
        <f>GS16/377.6</f>
        <v>0</v>
      </c>
      <c r="M8314" t="inlineStr">
        <is>
          <t>-377K42.0</t>
        </is>
      </c>
    </row>
    <row r="8315">
      <c r="A8315">
        <v>8314</v>
      </c>
      <c r="B8315">
        <f>GS16</f>
        <v>0</v>
      </c>
      <c r="C8315" t="inlineStr">
        <is>
          <t>+LS6</t>
        </is>
      </c>
      <c r="D8315" t="inlineStr">
        <is>
          <t>-377K42.1</t>
        </is>
      </c>
      <c r="E8315" t="inlineStr">
        <is>
          <t>DIL_EM-10-G</t>
        </is>
      </c>
      <c r="F8315" t="inlineStr">
        <is>
          <t>#KALK!</t>
        </is>
      </c>
      <c r="G8315" t="inlineStr">
        <is>
          <t>LASTSCHUETZ</t>
        </is>
      </c>
      <c r="H8315" t="inlineStr">
        <is>
          <t>4kW 1S</t>
        </is>
      </c>
      <c r="I8315">
        <v>612</v>
      </c>
      <c r="J8315">
        <f>GS16/377.6</f>
        <v>0</v>
      </c>
      <c r="M8315" t="inlineStr">
        <is>
          <t>-377K42.1</t>
        </is>
      </c>
    </row>
    <row r="8316">
      <c r="A8316">
        <v>8315</v>
      </c>
      <c r="B8316">
        <f>GS31</f>
        <v>0</v>
      </c>
      <c r="C8316" t="inlineStr">
        <is>
          <t>+LS7</t>
        </is>
      </c>
      <c r="D8316" t="inlineStr">
        <is>
          <t>-377K52.7</t>
        </is>
      </c>
      <c r="E8316" t="inlineStr">
        <is>
          <t>DIL_EM-10-G</t>
        </is>
      </c>
      <c r="F8316" t="inlineStr">
        <is>
          <t>#KALK!</t>
        </is>
      </c>
      <c r="G8316" t="inlineStr">
        <is>
          <t>LASTSCHUETZ</t>
        </is>
      </c>
      <c r="H8316" t="inlineStr">
        <is>
          <t>4kW 1S</t>
        </is>
      </c>
      <c r="I8316">
        <v>668</v>
      </c>
      <c r="J8316">
        <f>GS31/377.7</f>
        <v>0</v>
      </c>
      <c r="M8316" t="inlineStr">
        <is>
          <t>-377K52.7</t>
        </is>
      </c>
    </row>
    <row r="8317">
      <c r="A8317">
        <v>8316</v>
      </c>
      <c r="B8317">
        <f>GS01</f>
        <v>0</v>
      </c>
      <c r="C8317" t="inlineStr">
        <is>
          <t>+LS8</t>
        </is>
      </c>
      <c r="D8317" t="inlineStr">
        <is>
          <t>-377K76.5</t>
        </is>
      </c>
      <c r="E8317" t="inlineStr">
        <is>
          <t>DIL_EM-10-G</t>
        </is>
      </c>
      <c r="F8317" t="inlineStr">
        <is>
          <t>#KALK!</t>
        </is>
      </c>
      <c r="G8317" t="inlineStr">
        <is>
          <t>LASTSCHUETZ</t>
        </is>
      </c>
      <c r="H8317" t="inlineStr">
        <is>
          <t>4kW 1S</t>
        </is>
      </c>
      <c r="I8317">
        <v>540</v>
      </c>
      <c r="J8317">
        <f>GS01/377.7</f>
        <v>0</v>
      </c>
      <c r="M8317" t="inlineStr">
        <is>
          <t>-377K76.5</t>
        </is>
      </c>
    </row>
    <row r="8318">
      <c r="A8318">
        <v>8317</v>
      </c>
      <c r="B8318">
        <f>GS35</f>
        <v>0</v>
      </c>
      <c r="C8318" t="inlineStr">
        <is>
          <t>+LS09</t>
        </is>
      </c>
      <c r="D8318" t="inlineStr">
        <is>
          <t>-377Q145.6</t>
        </is>
      </c>
      <c r="E8318" t="inlineStr">
        <is>
          <t>DILM-12-10</t>
        </is>
      </c>
      <c r="F8318" t="inlineStr">
        <is>
          <t>#KALK!</t>
        </is>
      </c>
      <c r="G8318" t="inlineStr">
        <is>
          <t>LASTSCHUETZ</t>
        </is>
      </c>
      <c r="H8318" t="inlineStr">
        <is>
          <t>5,5kW 1S Federzugkl.</t>
        </is>
      </c>
      <c r="I8318">
        <v>524</v>
      </c>
      <c r="J8318">
        <f>GS35/377.5</f>
        <v>0</v>
      </c>
      <c r="K8318" t="inlineStr">
        <is>
          <t>DIL MC12</t>
        </is>
      </c>
      <c r="M8318" t="inlineStr">
        <is>
          <t>-377Q145.6</t>
        </is>
      </c>
    </row>
    <row r="8319">
      <c r="A8319">
        <v>8318</v>
      </c>
      <c r="B8319">
        <f>GS93</f>
        <v>0</v>
      </c>
      <c r="C8319" t="inlineStr">
        <is>
          <t>+LS07</t>
        </is>
      </c>
      <c r="D8319" t="inlineStr">
        <is>
          <t>-377Q463.6</t>
        </is>
      </c>
      <c r="E8319" t="inlineStr">
        <is>
          <t>DILM-9-10</t>
        </is>
      </c>
      <c r="F8319" t="inlineStr">
        <is>
          <t>#KALK!</t>
        </is>
      </c>
      <c r="G8319" t="inlineStr">
        <is>
          <t>LASTSCHUETZ</t>
        </is>
      </c>
      <c r="H8319" t="inlineStr">
        <is>
          <t>4kW 1S Federzugkl.</t>
        </is>
      </c>
      <c r="I8319">
        <v>931</v>
      </c>
      <c r="J8319">
        <f>GS93/377.5</f>
        <v>0</v>
      </c>
      <c r="M8319" t="inlineStr">
        <is>
          <t>-377Q463.6</t>
        </is>
      </c>
    </row>
    <row r="8320">
      <c r="A8320">
        <v>8319</v>
      </c>
      <c r="B8320">
        <f>GS08</f>
        <v>0</v>
      </c>
      <c r="C8320" t="inlineStr">
        <is>
          <t>+LS06</t>
        </is>
      </c>
      <c r="D8320" t="inlineStr">
        <is>
          <t>-378K1</t>
        </is>
      </c>
      <c r="E8320" t="inlineStr">
        <is>
          <t>DILM-9-10</t>
        </is>
      </c>
      <c r="F8320" t="inlineStr">
        <is>
          <t>#KALK!</t>
        </is>
      </c>
      <c r="G8320" t="inlineStr">
        <is>
          <t>LASTSCHUETZ</t>
        </is>
      </c>
      <c r="H8320" t="inlineStr">
        <is>
          <t>4kW 1S Federzugkl.</t>
        </is>
      </c>
      <c r="I8320">
        <v>1800</v>
      </c>
      <c r="J8320">
        <f>GS08/378.5</f>
        <v>0</v>
      </c>
      <c r="M8320" t="inlineStr">
        <is>
          <t>-378K1</t>
        </is>
      </c>
    </row>
    <row r="8321">
      <c r="A8321">
        <v>8320</v>
      </c>
      <c r="B8321">
        <f>GS16</f>
        <v>0</v>
      </c>
      <c r="C8321" t="inlineStr">
        <is>
          <t>+LS6</t>
        </is>
      </c>
      <c r="D8321" t="inlineStr">
        <is>
          <t>-378K42.2</t>
        </is>
      </c>
      <c r="E8321" t="inlineStr">
        <is>
          <t>DIL_EM-10-G</t>
        </is>
      </c>
      <c r="F8321" t="inlineStr">
        <is>
          <t>#KALK!</t>
        </is>
      </c>
      <c r="G8321" t="inlineStr">
        <is>
          <t>LASTSCHUETZ</t>
        </is>
      </c>
      <c r="H8321" t="inlineStr">
        <is>
          <t>4kW 1S</t>
        </is>
      </c>
      <c r="I8321">
        <v>613</v>
      </c>
      <c r="J8321">
        <f>GS16/378.6</f>
        <v>0</v>
      </c>
      <c r="M8321" t="inlineStr">
        <is>
          <t>-378K42.2</t>
        </is>
      </c>
    </row>
    <row r="8322">
      <c r="A8322">
        <v>8321</v>
      </c>
      <c r="B8322">
        <f>GS16</f>
        <v>0</v>
      </c>
      <c r="C8322" t="inlineStr">
        <is>
          <t>+LS6</t>
        </is>
      </c>
      <c r="D8322" t="inlineStr">
        <is>
          <t>-378K42.3</t>
        </is>
      </c>
      <c r="E8322" t="inlineStr">
        <is>
          <t>DIL_EM-10-G</t>
        </is>
      </c>
      <c r="F8322" t="inlineStr">
        <is>
          <t>#KALK!</t>
        </is>
      </c>
      <c r="G8322" t="inlineStr">
        <is>
          <t>LASTSCHUETZ</t>
        </is>
      </c>
      <c r="H8322" t="inlineStr">
        <is>
          <t>4kW 1S</t>
        </is>
      </c>
      <c r="I8322">
        <v>613</v>
      </c>
      <c r="J8322">
        <f>GS16/378.6</f>
        <v>0</v>
      </c>
      <c r="M8322" t="inlineStr">
        <is>
          <t>-378K42.3</t>
        </is>
      </c>
    </row>
    <row r="8323">
      <c r="A8323">
        <v>8322</v>
      </c>
      <c r="B8323">
        <f>GC22</f>
        <v>0</v>
      </c>
      <c r="C8323" t="inlineStr">
        <is>
          <t>+LS5</t>
        </is>
      </c>
      <c r="D8323" t="inlineStr">
        <is>
          <t>-378K44.3</t>
        </is>
      </c>
      <c r="E8323" t="inlineStr">
        <is>
          <t>DIL_EM-10-G</t>
        </is>
      </c>
      <c r="F8323" t="inlineStr">
        <is>
          <t>#KALK!</t>
        </is>
      </c>
      <c r="G8323" t="inlineStr">
        <is>
          <t>LASTSCHUETZ</t>
        </is>
      </c>
      <c r="H8323" t="inlineStr">
        <is>
          <t>4kW 1S</t>
        </is>
      </c>
      <c r="I8323">
        <v>356</v>
      </c>
      <c r="J8323">
        <f>GC22/378.7</f>
        <v>0</v>
      </c>
      <c r="M8323" t="inlineStr">
        <is>
          <t>-378K44.3</t>
        </is>
      </c>
    </row>
    <row r="8324">
      <c r="A8324">
        <v>8323</v>
      </c>
      <c r="B8324">
        <f>GS12</f>
        <v>0</v>
      </c>
      <c r="C8324" t="inlineStr">
        <is>
          <t>+LS5</t>
        </is>
      </c>
      <c r="D8324" t="inlineStr">
        <is>
          <t>-378K44.3</t>
        </is>
      </c>
      <c r="E8324" t="inlineStr">
        <is>
          <t>DIL_EM-10-G</t>
        </is>
      </c>
      <c r="F8324" t="inlineStr">
        <is>
          <t>#KALK!</t>
        </is>
      </c>
      <c r="G8324" t="inlineStr">
        <is>
          <t>LASTSCHUETZ</t>
        </is>
      </c>
      <c r="H8324" t="inlineStr">
        <is>
          <t>4kW 1S</t>
        </is>
      </c>
      <c r="I8324">
        <v>510</v>
      </c>
      <c r="J8324">
        <f>GS12/378.7</f>
        <v>0</v>
      </c>
      <c r="M8324" t="inlineStr">
        <is>
          <t>-378K44.3</t>
        </is>
      </c>
    </row>
    <row r="8325">
      <c r="A8325">
        <v>8324</v>
      </c>
      <c r="B8325">
        <f>GS31</f>
        <v>0</v>
      </c>
      <c r="C8325" t="inlineStr">
        <is>
          <t>+LS7</t>
        </is>
      </c>
      <c r="D8325" t="inlineStr">
        <is>
          <t>-378K53.3</t>
        </is>
      </c>
      <c r="E8325" t="inlineStr">
        <is>
          <t>DIL_EM-10-G</t>
        </is>
      </c>
      <c r="F8325" t="inlineStr">
        <is>
          <t>#KALK!</t>
        </is>
      </c>
      <c r="G8325" t="inlineStr">
        <is>
          <t>LASTSCHUETZ</t>
        </is>
      </c>
      <c r="H8325" t="inlineStr">
        <is>
          <t>4kW 1S</t>
        </is>
      </c>
      <c r="I8325">
        <v>669</v>
      </c>
      <c r="J8325">
        <f>GS31/378.7</f>
        <v>0</v>
      </c>
      <c r="M8325" t="inlineStr">
        <is>
          <t>-378K53.3</t>
        </is>
      </c>
    </row>
    <row r="8326">
      <c r="A8326">
        <v>8325</v>
      </c>
      <c r="B8326">
        <f>GS01</f>
        <v>0</v>
      </c>
      <c r="C8326" t="inlineStr">
        <is>
          <t>+LS8</t>
        </is>
      </c>
      <c r="D8326" t="inlineStr">
        <is>
          <t>-378K77.5</t>
        </is>
      </c>
      <c r="E8326" t="inlineStr">
        <is>
          <t>DIL_EM-10-G</t>
        </is>
      </c>
      <c r="F8326" t="inlineStr">
        <is>
          <t>#KALK!</t>
        </is>
      </c>
      <c r="G8326" t="inlineStr">
        <is>
          <t>LASTSCHUETZ</t>
        </is>
      </c>
      <c r="H8326" t="inlineStr">
        <is>
          <t>4kW 1S</t>
        </is>
      </c>
      <c r="I8326">
        <v>541</v>
      </c>
      <c r="J8326">
        <f>GS01/378.7</f>
        <v>0</v>
      </c>
      <c r="M8326" t="inlineStr">
        <is>
          <t>-378K77.5</t>
        </is>
      </c>
    </row>
    <row r="8327">
      <c r="A8327">
        <v>8326</v>
      </c>
      <c r="B8327">
        <f>GS25</f>
        <v>0</v>
      </c>
      <c r="C8327" t="inlineStr">
        <is>
          <t>+LS8</t>
        </is>
      </c>
      <c r="D8327" t="inlineStr">
        <is>
          <t>-379K28.0</t>
        </is>
      </c>
      <c r="E8327" t="inlineStr">
        <is>
          <t>DIL_ER-22-G</t>
        </is>
      </c>
      <c r="F8327" t="inlineStr">
        <is>
          <t>#KALK!</t>
        </is>
      </c>
      <c r="G8327" t="inlineStr">
        <is>
          <t>HILFSSCHUETZ</t>
        </is>
      </c>
      <c r="H8327" t="inlineStr">
        <is>
          <t>2S 2OE</t>
        </is>
      </c>
      <c r="I8327">
        <v>503</v>
      </c>
      <c r="J8327">
        <f>GS25/379.5</f>
        <v>0</v>
      </c>
      <c r="M8327" t="inlineStr">
        <is>
          <t>-379K28.0</t>
        </is>
      </c>
    </row>
    <row r="8328">
      <c r="A8328">
        <v>8327</v>
      </c>
      <c r="B8328">
        <f>GS25</f>
        <v>0</v>
      </c>
      <c r="C8328" t="inlineStr">
        <is>
          <t>+LS8</t>
        </is>
      </c>
      <c r="D8328" t="inlineStr">
        <is>
          <t>-379K28.1</t>
        </is>
      </c>
      <c r="E8328" t="inlineStr">
        <is>
          <t>DIL_ER-22-G</t>
        </is>
      </c>
      <c r="F8328" t="inlineStr">
        <is>
          <t>#KALK!</t>
        </is>
      </c>
      <c r="G8328" t="inlineStr">
        <is>
          <t>HILFSSCHUETZ</t>
        </is>
      </c>
      <c r="H8328" t="inlineStr">
        <is>
          <t>2S 2OE</t>
        </is>
      </c>
      <c r="I8328">
        <v>503</v>
      </c>
      <c r="J8328">
        <f>GS25/379.6</f>
        <v>0</v>
      </c>
      <c r="M8328" t="inlineStr">
        <is>
          <t>-379K28.1</t>
        </is>
      </c>
    </row>
    <row r="8329">
      <c r="A8329">
        <v>8328</v>
      </c>
      <c r="B8329">
        <f>GS25</f>
        <v>0</v>
      </c>
      <c r="C8329" t="inlineStr">
        <is>
          <t>+LS8</t>
        </is>
      </c>
      <c r="D8329" t="inlineStr">
        <is>
          <t>-379K28.2</t>
        </is>
      </c>
      <c r="E8329" t="inlineStr">
        <is>
          <t>DIL_ER-22-G</t>
        </is>
      </c>
      <c r="F8329" t="inlineStr">
        <is>
          <t>#KALK!</t>
        </is>
      </c>
      <c r="G8329" t="inlineStr">
        <is>
          <t>HILFSSCHUETZ</t>
        </is>
      </c>
      <c r="H8329" t="inlineStr">
        <is>
          <t>2S 2OE</t>
        </is>
      </c>
      <c r="I8329">
        <v>503</v>
      </c>
      <c r="J8329">
        <f>GS25/379.7</f>
        <v>0</v>
      </c>
      <c r="M8329" t="inlineStr">
        <is>
          <t>-379K28.2</t>
        </is>
      </c>
    </row>
    <row r="8330">
      <c r="A8330">
        <v>8329</v>
      </c>
      <c r="B8330">
        <f>GS25</f>
        <v>0</v>
      </c>
      <c r="C8330" t="inlineStr">
        <is>
          <t>+LS8</t>
        </is>
      </c>
      <c r="D8330" t="inlineStr">
        <is>
          <t>-379K28.4</t>
        </is>
      </c>
      <c r="E8330" t="inlineStr">
        <is>
          <t>DIL_EM-10-G</t>
        </is>
      </c>
      <c r="F8330" t="inlineStr">
        <is>
          <t>#KALK!</t>
        </is>
      </c>
      <c r="G8330" t="inlineStr">
        <is>
          <t>LASTSCHUETZ</t>
        </is>
      </c>
      <c r="H8330" t="inlineStr">
        <is>
          <t>4kW 1S</t>
        </is>
      </c>
      <c r="I8330">
        <v>503</v>
      </c>
      <c r="J8330">
        <f>GS25/379.7</f>
        <v>0</v>
      </c>
      <c r="M8330" t="inlineStr">
        <is>
          <t>-379K28.4</t>
        </is>
      </c>
    </row>
    <row r="8331">
      <c r="A8331">
        <v>8330</v>
      </c>
      <c r="B8331">
        <f>GS16</f>
        <v>0</v>
      </c>
      <c r="C8331" t="inlineStr">
        <is>
          <t>+LS6</t>
        </is>
      </c>
      <c r="D8331" t="inlineStr">
        <is>
          <t>-379K42.4</t>
        </is>
      </c>
      <c r="E8331" t="inlineStr">
        <is>
          <t>DIL_EM-10-G</t>
        </is>
      </c>
      <c r="F8331" t="inlineStr">
        <is>
          <t>#KALK!</t>
        </is>
      </c>
      <c r="G8331" t="inlineStr">
        <is>
          <t>LASTSCHUETZ</t>
        </is>
      </c>
      <c r="H8331" t="inlineStr">
        <is>
          <t>4kW 1S</t>
        </is>
      </c>
      <c r="I8331">
        <v>614</v>
      </c>
      <c r="J8331">
        <f>GS16/379.6</f>
        <v>0</v>
      </c>
      <c r="M8331" t="inlineStr">
        <is>
          <t>-379K42.4</t>
        </is>
      </c>
    </row>
    <row r="8332">
      <c r="A8332">
        <v>8331</v>
      </c>
      <c r="B8332">
        <f>GS16</f>
        <v>0</v>
      </c>
      <c r="C8332" t="inlineStr">
        <is>
          <t>+LS6</t>
        </is>
      </c>
      <c r="D8332" t="inlineStr">
        <is>
          <t>-379K42.5</t>
        </is>
      </c>
      <c r="E8332" t="inlineStr">
        <is>
          <t>DIL_EM-10-G</t>
        </is>
      </c>
      <c r="F8332" t="inlineStr">
        <is>
          <t>#KALK!</t>
        </is>
      </c>
      <c r="G8332" t="inlineStr">
        <is>
          <t>LASTSCHUETZ</t>
        </is>
      </c>
      <c r="H8332" t="inlineStr">
        <is>
          <t>4kW 1S</t>
        </is>
      </c>
      <c r="I8332">
        <v>614</v>
      </c>
      <c r="J8332">
        <f>GS16/379.6</f>
        <v>0</v>
      </c>
      <c r="M8332" t="inlineStr">
        <is>
          <t>-379K42.5</t>
        </is>
      </c>
    </row>
    <row r="8333">
      <c r="A8333">
        <v>8332</v>
      </c>
      <c r="B8333">
        <f>GC22</f>
        <v>0</v>
      </c>
      <c r="C8333" t="inlineStr">
        <is>
          <t>+LS5</t>
        </is>
      </c>
      <c r="D8333" t="inlineStr">
        <is>
          <t>-379K44.4</t>
        </is>
      </c>
      <c r="E8333" t="inlineStr">
        <is>
          <t>DILM-9-01</t>
        </is>
      </c>
      <c r="F8333" t="inlineStr">
        <is>
          <t>#KALK!</t>
        </is>
      </c>
      <c r="G8333" t="inlineStr">
        <is>
          <t>LASTSCHUETZ</t>
        </is>
      </c>
      <c r="H8333" t="inlineStr">
        <is>
          <t>4kW 1Oe Federzugkl.</t>
        </is>
      </c>
      <c r="I8333">
        <v>3520</v>
      </c>
      <c r="J8333">
        <f>GC22/379.6</f>
        <v>0</v>
      </c>
      <c r="M8333" t="inlineStr">
        <is>
          <t>-379K44.4</t>
        </is>
      </c>
    </row>
    <row r="8334">
      <c r="A8334">
        <v>8333</v>
      </c>
      <c r="B8334">
        <f>GS12</f>
        <v>0</v>
      </c>
      <c r="C8334" t="inlineStr">
        <is>
          <t>+LS5</t>
        </is>
      </c>
      <c r="D8334" t="inlineStr">
        <is>
          <t>-379K44.4</t>
        </is>
      </c>
      <c r="E8334" t="inlineStr">
        <is>
          <t>DILM-9-01</t>
        </is>
      </c>
      <c r="F8334" t="inlineStr">
        <is>
          <t>#KALK!</t>
        </is>
      </c>
      <c r="G8334" t="inlineStr">
        <is>
          <t>LASTSCHUETZ</t>
        </is>
      </c>
      <c r="H8334" t="inlineStr">
        <is>
          <t>4kW 1Oe Federzugkl.</t>
        </is>
      </c>
      <c r="I8334">
        <v>511</v>
      </c>
      <c r="J8334">
        <f>GS12/379.6</f>
        <v>0</v>
      </c>
      <c r="M8334" t="inlineStr">
        <is>
          <t>-379K44.4</t>
        </is>
      </c>
    </row>
    <row r="8335">
      <c r="A8335">
        <v>8334</v>
      </c>
      <c r="B8335">
        <f>GC22</f>
        <v>0</v>
      </c>
      <c r="C8335" t="inlineStr">
        <is>
          <t>+LS5</t>
        </is>
      </c>
      <c r="D8335" t="inlineStr">
        <is>
          <t>-379K44.5</t>
        </is>
      </c>
      <c r="E8335" t="inlineStr">
        <is>
          <t>DIL_EM-10-G</t>
        </is>
      </c>
      <c r="F8335" t="inlineStr">
        <is>
          <t>#KALK!</t>
        </is>
      </c>
      <c r="G8335" t="inlineStr">
        <is>
          <t>LASTSCHUETZ</t>
        </is>
      </c>
      <c r="H8335" t="inlineStr">
        <is>
          <t>4kW 1S</t>
        </is>
      </c>
      <c r="I8335">
        <v>3520</v>
      </c>
      <c r="J8335">
        <f>GC22/379.7</f>
        <v>0</v>
      </c>
      <c r="M8335" t="inlineStr">
        <is>
          <t>-379K44.5</t>
        </is>
      </c>
    </row>
    <row r="8336">
      <c r="A8336">
        <v>8335</v>
      </c>
      <c r="B8336">
        <f>GS12</f>
        <v>0</v>
      </c>
      <c r="C8336" t="inlineStr">
        <is>
          <t>+LS5</t>
        </is>
      </c>
      <c r="D8336" t="inlineStr">
        <is>
          <t>-379K44.5</t>
        </is>
      </c>
      <c r="E8336" t="inlineStr">
        <is>
          <t>DIL_EM-10-G</t>
        </is>
      </c>
      <c r="F8336" t="inlineStr">
        <is>
          <t>#KALK!</t>
        </is>
      </c>
      <c r="G8336" t="inlineStr">
        <is>
          <t>LASTSCHUETZ</t>
        </is>
      </c>
      <c r="H8336" t="inlineStr">
        <is>
          <t>4kW 1S</t>
        </is>
      </c>
      <c r="I8336">
        <v>511</v>
      </c>
      <c r="J8336">
        <f>GS12/379.7</f>
        <v>0</v>
      </c>
      <c r="M8336" t="inlineStr">
        <is>
          <t>-379K44.5</t>
        </is>
      </c>
    </row>
    <row r="8337">
      <c r="A8337">
        <v>8336</v>
      </c>
      <c r="B8337">
        <f>GC22</f>
        <v>0</v>
      </c>
      <c r="C8337" t="inlineStr">
        <is>
          <t>+LS5</t>
        </is>
      </c>
      <c r="D8337" t="inlineStr">
        <is>
          <t>-379K46.6</t>
        </is>
      </c>
      <c r="E8337" t="inlineStr">
        <is>
          <t>DILM-9-01</t>
        </is>
      </c>
      <c r="F8337" t="inlineStr">
        <is>
          <t>#KALK!</t>
        </is>
      </c>
      <c r="G8337" t="inlineStr">
        <is>
          <t>LASTSCHUETZ</t>
        </is>
      </c>
      <c r="H8337" t="inlineStr">
        <is>
          <t>4kW 1Oe Federzugkl.</t>
        </is>
      </c>
      <c r="I8337">
        <v>3520</v>
      </c>
      <c r="J8337">
        <f>GC22/379.6</f>
        <v>0</v>
      </c>
      <c r="M8337" t="inlineStr">
        <is>
          <t>-379K46.6</t>
        </is>
      </c>
    </row>
    <row r="8338">
      <c r="A8338">
        <v>8337</v>
      </c>
      <c r="B8338">
        <f>GS12</f>
        <v>0</v>
      </c>
      <c r="C8338" t="inlineStr">
        <is>
          <t>+LS5</t>
        </is>
      </c>
      <c r="D8338" t="inlineStr">
        <is>
          <t>-379K46.6</t>
        </is>
      </c>
      <c r="E8338" t="inlineStr">
        <is>
          <t>DILM-9-01</t>
        </is>
      </c>
      <c r="F8338" t="inlineStr">
        <is>
          <t>#KALK!</t>
        </is>
      </c>
      <c r="G8338" t="inlineStr">
        <is>
          <t>LASTSCHUETZ</t>
        </is>
      </c>
      <c r="H8338" t="inlineStr">
        <is>
          <t>4kW 1Oe Federzugkl.</t>
        </is>
      </c>
      <c r="I8338">
        <v>511</v>
      </c>
      <c r="J8338">
        <f>GS12/379.6</f>
        <v>0</v>
      </c>
      <c r="M8338" t="inlineStr">
        <is>
          <t>-379K46.6</t>
        </is>
      </c>
    </row>
    <row r="8339">
      <c r="A8339">
        <v>8338</v>
      </c>
      <c r="B8339">
        <f>GS31</f>
        <v>0</v>
      </c>
      <c r="C8339" t="inlineStr">
        <is>
          <t>+LS7</t>
        </is>
      </c>
      <c r="D8339" t="inlineStr">
        <is>
          <t>-379K54.2</t>
        </is>
      </c>
      <c r="E8339" t="inlineStr">
        <is>
          <t>DIL_EM-10-G</t>
        </is>
      </c>
      <c r="F8339" t="inlineStr">
        <is>
          <t>#KALK!</t>
        </is>
      </c>
      <c r="G8339" t="inlineStr">
        <is>
          <t>LASTSCHUETZ</t>
        </is>
      </c>
      <c r="H8339" t="inlineStr">
        <is>
          <t>4kW 1S</t>
        </is>
      </c>
      <c r="I8339">
        <v>670</v>
      </c>
      <c r="J8339">
        <f>GS31/379.7</f>
        <v>0</v>
      </c>
      <c r="M8339" t="inlineStr">
        <is>
          <t>-379K54.2</t>
        </is>
      </c>
    </row>
    <row r="8340">
      <c r="A8340">
        <v>8339</v>
      </c>
      <c r="B8340">
        <f>GS01</f>
        <v>0</v>
      </c>
      <c r="C8340" t="inlineStr">
        <is>
          <t>+LS8</t>
        </is>
      </c>
      <c r="D8340" t="inlineStr">
        <is>
          <t>-379K78.0</t>
        </is>
      </c>
      <c r="E8340" t="inlineStr">
        <is>
          <t>DIL_EM-10-G</t>
        </is>
      </c>
      <c r="F8340" t="inlineStr">
        <is>
          <t>#KALK!</t>
        </is>
      </c>
      <c r="G8340" t="inlineStr">
        <is>
          <t>LASTSCHUETZ</t>
        </is>
      </c>
      <c r="H8340" t="inlineStr">
        <is>
          <t>4kW 1S</t>
        </is>
      </c>
      <c r="I8340">
        <v>542</v>
      </c>
      <c r="J8340">
        <f>GS01/379.6</f>
        <v>0</v>
      </c>
      <c r="M8340" t="inlineStr">
        <is>
          <t>-379K78.0</t>
        </is>
      </c>
    </row>
    <row r="8341">
      <c r="A8341">
        <v>8340</v>
      </c>
      <c r="B8341">
        <f>GS01</f>
        <v>0</v>
      </c>
      <c r="C8341" t="inlineStr">
        <is>
          <t>+LS8</t>
        </is>
      </c>
      <c r="D8341" t="inlineStr">
        <is>
          <t>-379K78.1</t>
        </is>
      </c>
      <c r="E8341" t="inlineStr">
        <is>
          <t>DIL_EM-10-G</t>
        </is>
      </c>
      <c r="F8341" t="inlineStr">
        <is>
          <t>#KALK!</t>
        </is>
      </c>
      <c r="G8341" t="inlineStr">
        <is>
          <t>LASTSCHUETZ</t>
        </is>
      </c>
      <c r="H8341" t="inlineStr">
        <is>
          <t>4kW 1S</t>
        </is>
      </c>
      <c r="I8341">
        <v>542</v>
      </c>
      <c r="J8341">
        <f>GS01/379.6</f>
        <v>0</v>
      </c>
      <c r="M8341" t="inlineStr">
        <is>
          <t>-379K78.1</t>
        </is>
      </c>
    </row>
    <row r="8342">
      <c r="A8342">
        <v>8341</v>
      </c>
      <c r="B8342">
        <f>GS35</f>
        <v>0</v>
      </c>
      <c r="C8342" t="inlineStr">
        <is>
          <t>+ES02</t>
        </is>
      </c>
      <c r="D8342" t="inlineStr">
        <is>
          <t>-37Q4.7</t>
        </is>
      </c>
      <c r="E8342" t="inlineStr">
        <is>
          <t>DILM-9-10</t>
        </is>
      </c>
      <c r="F8342" t="inlineStr">
        <is>
          <t>#KALK!</t>
        </is>
      </c>
      <c r="G8342" t="inlineStr">
        <is>
          <t>LASTSCHUETZ</t>
        </is>
      </c>
      <c r="H8342" t="inlineStr">
        <is>
          <t>4kW 1S Federzugkl.</t>
        </is>
      </c>
      <c r="I8342">
        <v>203</v>
      </c>
      <c r="J8342">
        <f>GS35/37.6</f>
        <v>0</v>
      </c>
      <c r="M8342" t="inlineStr">
        <is>
          <t>-37Q4.7</t>
        </is>
      </c>
    </row>
    <row r="8343">
      <c r="A8343">
        <v>8342</v>
      </c>
      <c r="B8343">
        <f>GS36</f>
        <v>0</v>
      </c>
      <c r="C8343" t="inlineStr">
        <is>
          <t>+LS09</t>
        </is>
      </c>
      <c r="D8343" t="inlineStr">
        <is>
          <t>-423K1</t>
        </is>
      </c>
      <c r="E8343" t="inlineStr">
        <is>
          <t>DILM-9-01</t>
        </is>
      </c>
      <c r="F8343" t="inlineStr">
        <is>
          <t>#KALK!</t>
        </is>
      </c>
      <c r="G8343" t="inlineStr">
        <is>
          <t>LASTSCHUETZ</t>
        </is>
      </c>
      <c r="H8343" t="inlineStr">
        <is>
          <t>4kW 1Oe Federzugkl.</t>
        </is>
      </c>
      <c r="I8343">
        <v>596</v>
      </c>
      <c r="J8343">
        <f>GS36/423.6</f>
        <v>0</v>
      </c>
      <c r="L8343" t="inlineStr">
        <is>
          <t>Lichtvorhang KF</t>
        </is>
      </c>
      <c r="M8343" t="inlineStr">
        <is>
          <t>Lichtvorhang KF
-423K1</t>
        </is>
      </c>
    </row>
    <row r="8344">
      <c r="A8344">
        <v>8343</v>
      </c>
      <c r="B8344">
        <f>GS37</f>
        <v>0</v>
      </c>
      <c r="C8344" t="inlineStr">
        <is>
          <t>+ES02</t>
        </is>
      </c>
      <c r="D8344" t="inlineStr">
        <is>
          <t>-37Q4.7</t>
        </is>
      </c>
      <c r="E8344" t="inlineStr">
        <is>
          <t>DILM-9-10</t>
        </is>
      </c>
      <c r="F8344" t="inlineStr">
        <is>
          <t>#KALK!</t>
        </is>
      </c>
      <c r="G8344" t="inlineStr">
        <is>
          <t>LASTSCHUETZ</t>
        </is>
      </c>
      <c r="H8344" t="inlineStr">
        <is>
          <t>4kW 1S Federzugkl.</t>
        </is>
      </c>
      <c r="I8344">
        <v>193</v>
      </c>
      <c r="J8344">
        <f>GS37/37.6</f>
        <v>0</v>
      </c>
      <c r="M8344" t="inlineStr">
        <is>
          <t>-37Q4.7</t>
        </is>
      </c>
    </row>
    <row r="8345">
      <c r="A8345">
        <v>8344</v>
      </c>
      <c r="B8345">
        <f>GS38</f>
        <v>0</v>
      </c>
      <c r="C8345" t="inlineStr">
        <is>
          <t>+ES02</t>
        </is>
      </c>
      <c r="D8345" t="inlineStr">
        <is>
          <t>-37Q4.7</t>
        </is>
      </c>
      <c r="E8345" t="inlineStr">
        <is>
          <t>DILM-9-10</t>
        </is>
      </c>
      <c r="F8345" t="inlineStr">
        <is>
          <t>#KALK!</t>
        </is>
      </c>
      <c r="G8345" t="inlineStr">
        <is>
          <t>LASTSCHUETZ</t>
        </is>
      </c>
      <c r="H8345" t="inlineStr">
        <is>
          <t>4kW 1S Federzugkl.</t>
        </is>
      </c>
      <c r="I8345">
        <v>179</v>
      </c>
      <c r="J8345">
        <f>GS38/37.6</f>
        <v>0</v>
      </c>
      <c r="M8345" t="inlineStr">
        <is>
          <t>-37Q4.7</t>
        </is>
      </c>
    </row>
    <row r="8346">
      <c r="A8346">
        <v>8345</v>
      </c>
      <c r="B8346">
        <f>GS39</f>
        <v>0</v>
      </c>
      <c r="C8346" t="inlineStr">
        <is>
          <t>+ES02</t>
        </is>
      </c>
      <c r="D8346" t="inlineStr">
        <is>
          <t>-37Q4.7</t>
        </is>
      </c>
      <c r="E8346" t="inlineStr">
        <is>
          <t>DILM-9-10</t>
        </is>
      </c>
      <c r="F8346" t="inlineStr">
        <is>
          <t>#KALK!</t>
        </is>
      </c>
      <c r="G8346" t="inlineStr">
        <is>
          <t>LASTSCHUETZ</t>
        </is>
      </c>
      <c r="H8346" t="inlineStr">
        <is>
          <t>4kW 1S Federzugkl.</t>
        </is>
      </c>
      <c r="I8346">
        <v>220</v>
      </c>
      <c r="J8346">
        <f>GS39/37.6</f>
        <v>0</v>
      </c>
      <c r="M8346" t="inlineStr">
        <is>
          <t>-37Q4.7</t>
        </is>
      </c>
    </row>
    <row r="8347">
      <c r="A8347">
        <v>8346</v>
      </c>
      <c r="B8347">
        <f>GS46</f>
        <v>0</v>
      </c>
      <c r="C8347" t="inlineStr">
        <is>
          <t>+ES02</t>
        </is>
      </c>
      <c r="D8347" t="inlineStr">
        <is>
          <t>-37Q4.7</t>
        </is>
      </c>
      <c r="E8347" t="inlineStr">
        <is>
          <t>DILM-9-10</t>
        </is>
      </c>
      <c r="F8347" t="inlineStr">
        <is>
          <t>#KALK!</t>
        </is>
      </c>
      <c r="G8347" t="inlineStr">
        <is>
          <t>LASTSCHUETZ</t>
        </is>
      </c>
      <c r="H8347" t="inlineStr">
        <is>
          <t>4kW 1S Federzugkl.</t>
        </is>
      </c>
      <c r="I8347">
        <v>186</v>
      </c>
      <c r="J8347">
        <f>GS46/37.6</f>
        <v>0</v>
      </c>
      <c r="M8347" t="inlineStr">
        <is>
          <t>-37Q4.7</t>
        </is>
      </c>
    </row>
    <row r="8348">
      <c r="A8348">
        <v>8347</v>
      </c>
      <c r="B8348">
        <f>GS47</f>
        <v>0</v>
      </c>
      <c r="C8348" t="inlineStr">
        <is>
          <t>+ES02</t>
        </is>
      </c>
      <c r="D8348" t="inlineStr">
        <is>
          <t>-37Q4.7</t>
        </is>
      </c>
      <c r="E8348" t="inlineStr">
        <is>
          <t>DILM-9-10</t>
        </is>
      </c>
      <c r="F8348" t="inlineStr">
        <is>
          <t>#KALK!</t>
        </is>
      </c>
      <c r="G8348" t="inlineStr">
        <is>
          <t>LASTSCHUETZ</t>
        </is>
      </c>
      <c r="H8348" t="inlineStr">
        <is>
          <t>4kW 1S Federzugkl.</t>
        </is>
      </c>
      <c r="I8348">
        <v>186</v>
      </c>
      <c r="J8348">
        <f>GS47/37.6</f>
        <v>0</v>
      </c>
      <c r="M8348" t="inlineStr">
        <is>
          <t>-37Q4.7</t>
        </is>
      </c>
    </row>
    <row r="8349">
      <c r="A8349">
        <v>8348</v>
      </c>
      <c r="B8349">
        <f>GS48</f>
        <v>0</v>
      </c>
      <c r="C8349" t="inlineStr">
        <is>
          <t>+ES02</t>
        </is>
      </c>
      <c r="D8349" t="inlineStr">
        <is>
          <t>-37Q4.7</t>
        </is>
      </c>
      <c r="E8349" t="inlineStr">
        <is>
          <t>DILM-9-10</t>
        </is>
      </c>
      <c r="F8349" t="inlineStr">
        <is>
          <t>#KALK!</t>
        </is>
      </c>
      <c r="G8349" t="inlineStr">
        <is>
          <t>LASTSCHUETZ</t>
        </is>
      </c>
      <c r="H8349" t="inlineStr">
        <is>
          <t>4kW 1S Federzugkl.</t>
        </is>
      </c>
      <c r="I8349">
        <v>186</v>
      </c>
      <c r="J8349">
        <f>GS48/37.6</f>
        <v>0</v>
      </c>
      <c r="M8349" t="inlineStr">
        <is>
          <t>-37Q4.7</t>
        </is>
      </c>
    </row>
    <row r="8350">
      <c r="A8350">
        <v>8349</v>
      </c>
      <c r="B8350">
        <f>GS49</f>
        <v>0</v>
      </c>
      <c r="C8350" t="inlineStr">
        <is>
          <t>+ES02</t>
        </is>
      </c>
      <c r="D8350" t="inlineStr">
        <is>
          <t>-37Q4.7</t>
        </is>
      </c>
      <c r="E8350" t="inlineStr">
        <is>
          <t>DILM-9-10</t>
        </is>
      </c>
      <c r="F8350" t="inlineStr">
        <is>
          <t>#KALK!</t>
        </is>
      </c>
      <c r="G8350" t="inlineStr">
        <is>
          <t>LASTSCHUETZ</t>
        </is>
      </c>
      <c r="H8350" t="inlineStr">
        <is>
          <t>4kW 1S Federzugkl.</t>
        </is>
      </c>
      <c r="I8350">
        <v>185</v>
      </c>
      <c r="J8350">
        <f>GS49/37.6</f>
        <v>0</v>
      </c>
      <c r="M8350" t="inlineStr">
        <is>
          <t>-37Q4.7</t>
        </is>
      </c>
    </row>
    <row r="8351">
      <c r="A8351">
        <v>8350</v>
      </c>
      <c r="B8351">
        <f>GS90</f>
        <v>0</v>
      </c>
      <c r="C8351" t="inlineStr">
        <is>
          <t>+ES02</t>
        </is>
      </c>
      <c r="D8351" t="inlineStr">
        <is>
          <t>-37Q4.7</t>
        </is>
      </c>
      <c r="E8351" t="inlineStr">
        <is>
          <t>DILM-9-10</t>
        </is>
      </c>
      <c r="F8351" t="inlineStr">
        <is>
          <t>#KALK!</t>
        </is>
      </c>
      <c r="G8351" t="inlineStr">
        <is>
          <t>LASTSCHUETZ</t>
        </is>
      </c>
      <c r="H8351" t="inlineStr">
        <is>
          <t>4kW 1S Federzugkl.</t>
        </is>
      </c>
      <c r="I8351">
        <v>180</v>
      </c>
      <c r="J8351">
        <f>GS90/37.6</f>
        <v>0</v>
      </c>
      <c r="M8351" t="inlineStr">
        <is>
          <t>-37Q4.7</t>
        </is>
      </c>
    </row>
    <row r="8352">
      <c r="A8352">
        <v>8351</v>
      </c>
      <c r="B8352">
        <f>GS91</f>
        <v>0</v>
      </c>
      <c r="C8352" t="inlineStr">
        <is>
          <t>+ES02</t>
        </is>
      </c>
      <c r="D8352" t="inlineStr">
        <is>
          <t>-37Q4.7</t>
        </is>
      </c>
      <c r="E8352" t="inlineStr">
        <is>
          <t>DILM-9-10</t>
        </is>
      </c>
      <c r="F8352" t="inlineStr">
        <is>
          <t>#KALK!</t>
        </is>
      </c>
      <c r="G8352" t="inlineStr">
        <is>
          <t>LASTSCHUETZ</t>
        </is>
      </c>
      <c r="H8352" t="inlineStr">
        <is>
          <t>4kW 1S Federzugkl.</t>
        </is>
      </c>
      <c r="I8352">
        <v>183</v>
      </c>
      <c r="J8352">
        <f>GS91/37.6</f>
        <v>0</v>
      </c>
      <c r="M8352" t="inlineStr">
        <is>
          <t>-37Q4.7</t>
        </is>
      </c>
    </row>
    <row r="8353">
      <c r="A8353">
        <v>8352</v>
      </c>
      <c r="B8353">
        <f>GS92</f>
        <v>0</v>
      </c>
      <c r="C8353" t="inlineStr">
        <is>
          <t>+ES02</t>
        </is>
      </c>
      <c r="D8353" t="inlineStr">
        <is>
          <t>-37Q4.7</t>
        </is>
      </c>
      <c r="E8353" t="inlineStr">
        <is>
          <t>DILM-9-10</t>
        </is>
      </c>
      <c r="F8353" t="inlineStr">
        <is>
          <t>#KALK!</t>
        </is>
      </c>
      <c r="G8353" t="inlineStr">
        <is>
          <t>LASTSCHUETZ</t>
        </is>
      </c>
      <c r="H8353" t="inlineStr">
        <is>
          <t>4kW 1S Federzugkl.</t>
        </is>
      </c>
      <c r="I8353">
        <v>180</v>
      </c>
      <c r="J8353">
        <f>GS92/37.6</f>
        <v>0</v>
      </c>
      <c r="M8353" t="inlineStr">
        <is>
          <t>-37Q4.7</t>
        </is>
      </c>
    </row>
    <row r="8354">
      <c r="A8354">
        <v>8353</v>
      </c>
      <c r="B8354">
        <f>GS93</f>
        <v>0</v>
      </c>
      <c r="C8354" t="inlineStr">
        <is>
          <t>+ES02</t>
        </is>
      </c>
      <c r="D8354" t="inlineStr">
        <is>
          <t>-37Q4.7</t>
        </is>
      </c>
      <c r="E8354" t="inlineStr">
        <is>
          <t>DILM-9-10</t>
        </is>
      </c>
      <c r="F8354" t="inlineStr">
        <is>
          <t>#KALK!</t>
        </is>
      </c>
      <c r="G8354" t="inlineStr">
        <is>
          <t>LASTSCHUETZ</t>
        </is>
      </c>
      <c r="H8354" t="inlineStr">
        <is>
          <t>4kW 1S Federzugkl.</t>
        </is>
      </c>
      <c r="I8354">
        <v>604</v>
      </c>
      <c r="J8354">
        <f>GS93/37.6</f>
        <v>0</v>
      </c>
      <c r="M8354" t="inlineStr">
        <is>
          <t>-37Q4.7</t>
        </is>
      </c>
    </row>
    <row r="8355">
      <c r="A8355">
        <v>8354</v>
      </c>
      <c r="B8355">
        <f>GS94</f>
        <v>0</v>
      </c>
      <c r="C8355" t="inlineStr">
        <is>
          <t>+ES02</t>
        </is>
      </c>
      <c r="D8355" t="inlineStr">
        <is>
          <t>-37Q4.7</t>
        </is>
      </c>
      <c r="E8355" t="inlineStr">
        <is>
          <t>DILM-9-10</t>
        </is>
      </c>
      <c r="F8355" t="inlineStr">
        <is>
          <t>#KALK!</t>
        </is>
      </c>
      <c r="G8355" t="inlineStr">
        <is>
          <t>LASTSCHUETZ</t>
        </is>
      </c>
      <c r="H8355" t="inlineStr">
        <is>
          <t>4kW 1S Federzugkl.</t>
        </is>
      </c>
      <c r="I8355">
        <v>187</v>
      </c>
      <c r="J8355">
        <f>GS94/37.6</f>
        <v>0</v>
      </c>
      <c r="M8355" t="inlineStr">
        <is>
          <t>-37Q4.7</t>
        </is>
      </c>
    </row>
    <row r="8356">
      <c r="A8356">
        <v>8355</v>
      </c>
      <c r="B8356">
        <f>GS95</f>
        <v>0</v>
      </c>
      <c r="C8356" t="inlineStr">
        <is>
          <t>+ES02</t>
        </is>
      </c>
      <c r="D8356" t="inlineStr">
        <is>
          <t>-37Q4.7</t>
        </is>
      </c>
      <c r="E8356" t="inlineStr">
        <is>
          <t>DILM-9-10</t>
        </is>
      </c>
      <c r="F8356" t="inlineStr">
        <is>
          <t>#KALK!</t>
        </is>
      </c>
      <c r="G8356" t="inlineStr">
        <is>
          <t>LASTSCHUETZ</t>
        </is>
      </c>
      <c r="H8356" t="inlineStr">
        <is>
          <t>4kW 1S Federzugkl.</t>
        </is>
      </c>
      <c r="I8356">
        <v>187</v>
      </c>
      <c r="J8356">
        <f>GS95/37.6</f>
        <v>0</v>
      </c>
      <c r="M8356" t="inlineStr">
        <is>
          <t>-37Q4.7</t>
        </is>
      </c>
    </row>
    <row r="8357">
      <c r="A8357">
        <v>8356</v>
      </c>
      <c r="B8357">
        <f>GS96</f>
        <v>0</v>
      </c>
      <c r="C8357" t="inlineStr">
        <is>
          <t>+ES02</t>
        </is>
      </c>
      <c r="D8357" t="inlineStr">
        <is>
          <t>-37Q4.7</t>
        </is>
      </c>
      <c r="E8357" t="inlineStr">
        <is>
          <t>DILM-9-10</t>
        </is>
      </c>
      <c r="F8357" t="inlineStr">
        <is>
          <t>#KALK!</t>
        </is>
      </c>
      <c r="G8357" t="inlineStr">
        <is>
          <t>LASTSCHUETZ</t>
        </is>
      </c>
      <c r="H8357" t="inlineStr">
        <is>
          <t>4kW 1S Federzugkl.</t>
        </is>
      </c>
      <c r="I8357">
        <v>187</v>
      </c>
      <c r="J8357">
        <f>GS96/37.6</f>
        <v>0</v>
      </c>
      <c r="M8357" t="inlineStr">
        <is>
          <t>-37Q4.7</t>
        </is>
      </c>
    </row>
    <row r="8358">
      <c r="A8358">
        <v>8357</v>
      </c>
      <c r="B8358">
        <f>GS97</f>
        <v>0</v>
      </c>
      <c r="C8358" t="inlineStr">
        <is>
          <t>+ES02</t>
        </is>
      </c>
      <c r="D8358" t="inlineStr">
        <is>
          <t>-37Q4.7</t>
        </is>
      </c>
      <c r="E8358" t="inlineStr">
        <is>
          <t>DILM-9-10</t>
        </is>
      </c>
      <c r="F8358" t="inlineStr">
        <is>
          <t>#KALK!</t>
        </is>
      </c>
      <c r="G8358" t="inlineStr">
        <is>
          <t>LASTSCHUETZ</t>
        </is>
      </c>
      <c r="H8358" t="inlineStr">
        <is>
          <t>4kW 1S Federzugkl.</t>
        </is>
      </c>
      <c r="I8358">
        <v>187</v>
      </c>
      <c r="J8358">
        <f>GS97/37.6</f>
        <v>0</v>
      </c>
      <c r="M8358" t="inlineStr">
        <is>
          <t>-37Q4.7</t>
        </is>
      </c>
    </row>
    <row r="8359">
      <c r="A8359">
        <v>8358</v>
      </c>
      <c r="B8359">
        <f>GS13</f>
        <v>0</v>
      </c>
      <c r="C8359" t="inlineStr">
        <is>
          <t>+LS9</t>
        </is>
      </c>
      <c r="D8359" t="inlineStr">
        <is>
          <t>-3803507.3</t>
        </is>
      </c>
      <c r="E8359" t="inlineStr">
        <is>
          <t>DIL_EM-10-G</t>
        </is>
      </c>
      <c r="F8359" t="inlineStr">
        <is>
          <t>#KALK!</t>
        </is>
      </c>
      <c r="G8359" t="inlineStr">
        <is>
          <t>LASTSCHUETZ</t>
        </is>
      </c>
      <c r="H8359" t="inlineStr">
        <is>
          <t>4kW 1S</t>
        </is>
      </c>
      <c r="I8359">
        <v>625</v>
      </c>
      <c r="J8359">
        <f>GS13/380.7</f>
        <v>0</v>
      </c>
      <c r="M8359" t="inlineStr">
        <is>
          <t>-3803507.3</t>
        </is>
      </c>
    </row>
    <row r="8360">
      <c r="A8360">
        <v>8359</v>
      </c>
      <c r="B8360">
        <f>GS02</f>
        <v>0</v>
      </c>
      <c r="C8360" t="inlineStr">
        <is>
          <t>+LS9</t>
        </is>
      </c>
      <c r="D8360" t="inlineStr">
        <is>
          <t>-380K1</t>
        </is>
      </c>
      <c r="E8360" t="inlineStr">
        <is>
          <t>22_DIL-M</t>
        </is>
      </c>
      <c r="F8360" t="inlineStr">
        <is>
          <t>22_DIL-M</t>
        </is>
      </c>
      <c r="G8360" t="inlineStr">
        <is>
          <t>HILFSKONTAKTBLOCK</t>
        </is>
      </c>
      <c r="H8360" t="inlineStr">
        <is>
          <t>2S 2OE Lastschuetz DIL M</t>
        </is>
      </c>
      <c r="I8360">
        <v>787</v>
      </c>
      <c r="J8360">
        <f>GS02/380.2</f>
        <v>0</v>
      </c>
      <c r="K8360" t="inlineStr">
        <is>
          <t>DIL0AM</t>
        </is>
      </c>
      <c r="M8360" t="inlineStr">
        <is>
          <t>-380K1</t>
        </is>
      </c>
    </row>
    <row r="8361">
      <c r="A8361">
        <v>8360</v>
      </c>
      <c r="B8361">
        <f>GS02</f>
        <v>0</v>
      </c>
      <c r="C8361" t="inlineStr">
        <is>
          <t>+LS9</t>
        </is>
      </c>
      <c r="D8361" t="inlineStr">
        <is>
          <t>-380K1</t>
        </is>
      </c>
      <c r="E8361" t="inlineStr">
        <is>
          <t>DIL_0AM</t>
        </is>
      </c>
      <c r="F8361" t="inlineStr">
        <is>
          <t>22_DIL-M</t>
        </is>
      </c>
      <c r="G8361" t="inlineStr">
        <is>
          <t>LASTSCHUETZ</t>
        </is>
      </c>
      <c r="H8361" t="inlineStr">
        <is>
          <t>11 kW</t>
        </is>
      </c>
      <c r="I8361">
        <v>787</v>
      </c>
      <c r="J8361">
        <f>GS02/380.2</f>
        <v>0</v>
      </c>
      <c r="K8361" t="inlineStr">
        <is>
          <t>DIL0AM</t>
        </is>
      </c>
      <c r="M8361" t="inlineStr">
        <is>
          <t>-380K1</t>
        </is>
      </c>
    </row>
    <row r="8362">
      <c r="A8362">
        <v>8361</v>
      </c>
      <c r="B8362">
        <f>GS24</f>
        <v>0</v>
      </c>
      <c r="C8362" t="inlineStr">
        <is>
          <t>+LS8</t>
        </is>
      </c>
      <c r="D8362" t="inlineStr">
        <is>
          <t>-380K1</t>
        </is>
      </c>
      <c r="E8362" t="inlineStr">
        <is>
          <t>22_DIL-M</t>
        </is>
      </c>
      <c r="F8362" t="inlineStr">
        <is>
          <t>22_DIL-M</t>
        </is>
      </c>
      <c r="G8362" t="inlineStr">
        <is>
          <t>HILFSKONTAKTBLOCK</t>
        </is>
      </c>
      <c r="H8362" t="inlineStr">
        <is>
          <t>2S 2OE Lastschuetz DIL M</t>
        </is>
      </c>
      <c r="I8362">
        <v>707</v>
      </c>
      <c r="J8362">
        <f>GS24/380.2</f>
        <v>0</v>
      </c>
      <c r="K8362" t="inlineStr">
        <is>
          <t>DIL0AM</t>
        </is>
      </c>
      <c r="M8362" t="inlineStr">
        <is>
          <t>-380K1</t>
        </is>
      </c>
    </row>
    <row r="8363">
      <c r="A8363">
        <v>8362</v>
      </c>
      <c r="B8363">
        <f>GS24</f>
        <v>0</v>
      </c>
      <c r="C8363" t="inlineStr">
        <is>
          <t>+LS8</t>
        </is>
      </c>
      <c r="D8363" t="inlineStr">
        <is>
          <t>-380K1</t>
        </is>
      </c>
      <c r="E8363" t="inlineStr">
        <is>
          <t>DIL_0AM</t>
        </is>
      </c>
      <c r="F8363" t="inlineStr">
        <is>
          <t>22_DIL-M</t>
        </is>
      </c>
      <c r="G8363" t="inlineStr">
        <is>
          <t>LASTSCHUETZ</t>
        </is>
      </c>
      <c r="H8363" t="inlineStr">
        <is>
          <t>11 kW</t>
        </is>
      </c>
      <c r="I8363">
        <v>707</v>
      </c>
      <c r="J8363">
        <f>GS24/380.2</f>
        <v>0</v>
      </c>
      <c r="K8363" t="inlineStr">
        <is>
          <t>DIL0AM</t>
        </is>
      </c>
      <c r="M8363" t="inlineStr">
        <is>
          <t>-380K1</t>
        </is>
      </c>
    </row>
    <row r="8364">
      <c r="A8364">
        <v>8363</v>
      </c>
      <c r="B8364">
        <f>GS91</f>
        <v>0</v>
      </c>
      <c r="C8364" t="inlineStr">
        <is>
          <t>+LS06</t>
        </is>
      </c>
      <c r="D8364" t="inlineStr">
        <is>
          <t>-380K195.0</t>
        </is>
      </c>
      <c r="E8364" t="inlineStr">
        <is>
          <t>DILA-40</t>
        </is>
      </c>
      <c r="F8364" t="inlineStr">
        <is>
          <t>#KALK!</t>
        </is>
      </c>
      <c r="G8364" t="inlineStr">
        <is>
          <t>HILFSSCHUETZ</t>
        </is>
      </c>
      <c r="H8364" t="inlineStr">
        <is>
          <t>4S Federzugkl.</t>
        </is>
      </c>
      <c r="I8364">
        <v>528</v>
      </c>
      <c r="J8364">
        <f>GS91/380.7</f>
        <v>0</v>
      </c>
      <c r="M8364" t="inlineStr">
        <is>
          <t>-380K195.0</t>
        </is>
      </c>
    </row>
    <row r="8365">
      <c r="A8365">
        <v>8364</v>
      </c>
      <c r="B8365">
        <f>GS23</f>
        <v>0</v>
      </c>
      <c r="C8365" t="inlineStr">
        <is>
          <t>+LS9</t>
        </is>
      </c>
      <c r="D8365" t="inlineStr">
        <is>
          <t>-380K3507.3</t>
        </is>
      </c>
      <c r="E8365" t="inlineStr">
        <is>
          <t>DIL_EM-10-G</t>
        </is>
      </c>
      <c r="F8365" t="inlineStr">
        <is>
          <t>#KALK!</t>
        </is>
      </c>
      <c r="G8365" t="inlineStr">
        <is>
          <t>LASTSCHUETZ</t>
        </is>
      </c>
      <c r="H8365" t="inlineStr">
        <is>
          <t>4kW 1S</t>
        </is>
      </c>
      <c r="I8365">
        <v>681</v>
      </c>
      <c r="J8365">
        <f>GS23/380.7</f>
        <v>0</v>
      </c>
      <c r="M8365" t="inlineStr">
        <is>
          <t>-380K3507.3</t>
        </is>
      </c>
    </row>
    <row r="8366">
      <c r="A8366">
        <v>8365</v>
      </c>
      <c r="B8366">
        <f>GS16</f>
        <v>0</v>
      </c>
      <c r="C8366" t="inlineStr">
        <is>
          <t>+LS6</t>
        </is>
      </c>
      <c r="D8366" t="inlineStr">
        <is>
          <t>-380K42.6</t>
        </is>
      </c>
      <c r="E8366" t="inlineStr">
        <is>
          <t>DIL_EM-10-G</t>
        </is>
      </c>
      <c r="F8366" t="inlineStr">
        <is>
          <t>#KALK!</t>
        </is>
      </c>
      <c r="G8366" t="inlineStr">
        <is>
          <t>LASTSCHUETZ</t>
        </is>
      </c>
      <c r="H8366" t="inlineStr">
        <is>
          <t>4kW 1S</t>
        </is>
      </c>
      <c r="I8366">
        <v>615</v>
      </c>
      <c r="J8366">
        <f>GS16/380.6</f>
        <v>0</v>
      </c>
      <c r="M8366" t="inlineStr">
        <is>
          <t>-380K42.6</t>
        </is>
      </c>
    </row>
    <row r="8367">
      <c r="A8367">
        <v>8366</v>
      </c>
      <c r="B8367">
        <f>GS16</f>
        <v>0</v>
      </c>
      <c r="C8367" t="inlineStr">
        <is>
          <t>+LS6</t>
        </is>
      </c>
      <c r="D8367" t="inlineStr">
        <is>
          <t>-380K42.7</t>
        </is>
      </c>
      <c r="E8367" t="inlineStr">
        <is>
          <t>DIL_EM-10-G</t>
        </is>
      </c>
      <c r="F8367" t="inlineStr">
        <is>
          <t>#KALK!</t>
        </is>
      </c>
      <c r="G8367" t="inlineStr">
        <is>
          <t>LASTSCHUETZ</t>
        </is>
      </c>
      <c r="H8367" t="inlineStr">
        <is>
          <t>4kW 1S</t>
        </is>
      </c>
      <c r="I8367">
        <v>615</v>
      </c>
      <c r="J8367">
        <f>GS16/380.6</f>
        <v>0</v>
      </c>
      <c r="M8367" t="inlineStr">
        <is>
          <t>-380K42.7</t>
        </is>
      </c>
    </row>
    <row r="8368">
      <c r="A8368">
        <v>8367</v>
      </c>
      <c r="B8368">
        <f>GC22</f>
        <v>0</v>
      </c>
      <c r="C8368" t="inlineStr">
        <is>
          <t>+LS5</t>
        </is>
      </c>
      <c r="D8368" t="inlineStr">
        <is>
          <t>-380K45.3</t>
        </is>
      </c>
      <c r="E8368" t="inlineStr">
        <is>
          <t>DIL_EM-10-G</t>
        </is>
      </c>
      <c r="F8368" t="inlineStr">
        <is>
          <t>#KALK!</t>
        </is>
      </c>
      <c r="G8368" t="inlineStr">
        <is>
          <t>LASTSCHUETZ</t>
        </is>
      </c>
      <c r="H8368" t="inlineStr">
        <is>
          <t>4kW 1S</t>
        </is>
      </c>
      <c r="I8368">
        <v>3504</v>
      </c>
      <c r="J8368">
        <f>GC22/380.7</f>
        <v>0</v>
      </c>
      <c r="M8368" t="inlineStr">
        <is>
          <t>-380K45.3</t>
        </is>
      </c>
    </row>
    <row r="8369">
      <c r="A8369">
        <v>8368</v>
      </c>
      <c r="B8369">
        <f>GS12</f>
        <v>0</v>
      </c>
      <c r="C8369" t="inlineStr">
        <is>
          <t>+LS5</t>
        </is>
      </c>
      <c r="D8369" t="inlineStr">
        <is>
          <t>-380K45.3</t>
        </is>
      </c>
      <c r="E8369" t="inlineStr">
        <is>
          <t>DIL_EM-10-G</t>
        </is>
      </c>
      <c r="F8369" t="inlineStr">
        <is>
          <t>#KALK!</t>
        </is>
      </c>
      <c r="G8369" t="inlineStr">
        <is>
          <t>LASTSCHUETZ</t>
        </is>
      </c>
      <c r="H8369" t="inlineStr">
        <is>
          <t>4kW 1S</t>
        </is>
      </c>
      <c r="I8369">
        <v>512</v>
      </c>
      <c r="J8369">
        <f>GS12/380.7</f>
        <v>0</v>
      </c>
      <c r="M8369" t="inlineStr">
        <is>
          <t>-380K45.3</t>
        </is>
      </c>
    </row>
    <row r="8370">
      <c r="A8370">
        <v>8369</v>
      </c>
      <c r="B8370">
        <f>GS01</f>
        <v>0</v>
      </c>
      <c r="C8370" t="inlineStr">
        <is>
          <t>+LS8</t>
        </is>
      </c>
      <c r="D8370" t="inlineStr">
        <is>
          <t>-380K78.5</t>
        </is>
      </c>
      <c r="E8370" t="inlineStr">
        <is>
          <t>DIL_EM-10-G</t>
        </is>
      </c>
      <c r="F8370" t="inlineStr">
        <is>
          <t>#KALK!</t>
        </is>
      </c>
      <c r="G8370" t="inlineStr">
        <is>
          <t>LASTSCHUETZ</t>
        </is>
      </c>
      <c r="H8370" t="inlineStr">
        <is>
          <t>4kW 1S</t>
        </is>
      </c>
      <c r="I8370">
        <v>543</v>
      </c>
      <c r="J8370">
        <f>GS01/380.7</f>
        <v>0</v>
      </c>
      <c r="M8370" t="inlineStr">
        <is>
          <t>-380K78.5</t>
        </is>
      </c>
    </row>
    <row r="8371">
      <c r="A8371">
        <v>8370</v>
      </c>
      <c r="B8371">
        <f>GS91</f>
        <v>0</v>
      </c>
      <c r="C8371" t="inlineStr">
        <is>
          <t>+LS06</t>
        </is>
      </c>
      <c r="D8371" t="inlineStr">
        <is>
          <t>-380Q1</t>
        </is>
      </c>
      <c r="E8371" t="inlineStr">
        <is>
          <t>DILA-XHI22</t>
        </is>
      </c>
      <c r="F8371" t="inlineStr">
        <is>
          <t>DILA-XHI22</t>
        </is>
      </c>
      <c r="G8371" t="inlineStr">
        <is>
          <t>HILFSKONTAKTBLOCK</t>
        </is>
      </c>
      <c r="H8371" t="inlineStr">
        <is>
          <t>2S 2OE Last+Hilfssch. Cage</t>
        </is>
      </c>
      <c r="I8371">
        <v>528</v>
      </c>
      <c r="J8371">
        <f>GS91/380.4</f>
        <v>0</v>
      </c>
      <c r="K8371" t="inlineStr">
        <is>
          <t>DIL MC25</t>
        </is>
      </c>
      <c r="M8371" t="inlineStr">
        <is>
          <t>-380Q1</t>
        </is>
      </c>
    </row>
    <row r="8372">
      <c r="A8372">
        <v>8371</v>
      </c>
      <c r="B8372">
        <f>GS91</f>
        <v>0</v>
      </c>
      <c r="C8372" t="inlineStr">
        <is>
          <t>+LS06</t>
        </is>
      </c>
      <c r="D8372" t="inlineStr">
        <is>
          <t>-380Q1</t>
        </is>
      </c>
      <c r="E8372" t="inlineStr">
        <is>
          <t>DILMC25-10(RDC24)</t>
        </is>
      </c>
      <c r="F8372" t="inlineStr">
        <is>
          <t>DILA-XHI22</t>
        </is>
      </c>
      <c r="G8372" t="inlineStr">
        <is>
          <t>LASTSCHUETZ</t>
        </is>
      </c>
      <c r="H8372" t="inlineStr">
        <is>
          <t>11kW 1S Federzugkl.</t>
        </is>
      </c>
      <c r="I8372">
        <v>528</v>
      </c>
      <c r="J8372">
        <f>GS91/380.4</f>
        <v>0</v>
      </c>
      <c r="K8372" t="inlineStr">
        <is>
          <t>DIL MC25</t>
        </is>
      </c>
      <c r="M8372" t="inlineStr">
        <is>
          <t>-380Q1</t>
        </is>
      </c>
    </row>
    <row r="8373">
      <c r="A8373">
        <v>8372</v>
      </c>
      <c r="B8373">
        <f>GS06</f>
        <v>0</v>
      </c>
      <c r="C8373" t="inlineStr">
        <is>
          <t>+LS06</t>
        </is>
      </c>
      <c r="D8373" t="inlineStr">
        <is>
          <t>-380Q139.5</t>
        </is>
      </c>
      <c r="E8373" t="inlineStr">
        <is>
          <t>DILM-9-10</t>
        </is>
      </c>
      <c r="F8373" t="inlineStr">
        <is>
          <t>#KALK!</t>
        </is>
      </c>
      <c r="G8373" t="inlineStr">
        <is>
          <t>LASTSCHUETZ</t>
        </is>
      </c>
      <c r="H8373" t="inlineStr">
        <is>
          <t>4kW 1S Federzugkl.</t>
        </is>
      </c>
      <c r="I8373">
        <v>2967</v>
      </c>
      <c r="J8373">
        <f>GS06/380.6</f>
        <v>0</v>
      </c>
      <c r="K8373" t="inlineStr">
        <is>
          <t>DIL MC9</t>
        </is>
      </c>
      <c r="M8373" t="inlineStr">
        <is>
          <t>-380Q139.5</t>
        </is>
      </c>
    </row>
    <row r="8374">
      <c r="A8374">
        <v>8373</v>
      </c>
      <c r="B8374">
        <f>GS13</f>
        <v>0</v>
      </c>
      <c r="C8374" t="inlineStr">
        <is>
          <t>+LS9</t>
        </is>
      </c>
      <c r="D8374" t="inlineStr">
        <is>
          <t>-3813507.7</t>
        </is>
      </c>
      <c r="E8374" t="inlineStr">
        <is>
          <t>DIL_EM-10-G</t>
        </is>
      </c>
      <c r="F8374" t="inlineStr">
        <is>
          <t>#KALK!</t>
        </is>
      </c>
      <c r="G8374" t="inlineStr">
        <is>
          <t>LASTSCHUETZ</t>
        </is>
      </c>
      <c r="H8374" t="inlineStr">
        <is>
          <t>4kW 1S</t>
        </is>
      </c>
      <c r="I8374">
        <v>626</v>
      </c>
      <c r="J8374">
        <f>GS13/381.7</f>
        <v>0</v>
      </c>
      <c r="M8374" t="inlineStr">
        <is>
          <t>-3813507.7</t>
        </is>
      </c>
    </row>
    <row r="8375">
      <c r="A8375">
        <v>8374</v>
      </c>
      <c r="B8375">
        <f>GS11</f>
        <v>0</v>
      </c>
      <c r="C8375" t="inlineStr">
        <is>
          <t>+LS10</t>
        </is>
      </c>
      <c r="D8375" t="inlineStr">
        <is>
          <t>-381K1</t>
        </is>
      </c>
      <c r="E8375" t="inlineStr">
        <is>
          <t>22_DIL-M</t>
        </is>
      </c>
      <c r="F8375" t="inlineStr">
        <is>
          <t>22_DIL-M</t>
        </is>
      </c>
      <c r="G8375" t="inlineStr">
        <is>
          <t>HILFSKONTAKTBLOCK</t>
        </is>
      </c>
      <c r="H8375" t="inlineStr">
        <is>
          <t>2S 2OE Lastschuetz DIL M</t>
        </is>
      </c>
      <c r="I8375">
        <v>487</v>
      </c>
      <c r="J8375">
        <f>GS11/381.2</f>
        <v>0</v>
      </c>
      <c r="K8375" t="inlineStr">
        <is>
          <t>DIL0AM</t>
        </is>
      </c>
      <c r="M8375" t="inlineStr">
        <is>
          <t>-381K1</t>
        </is>
      </c>
    </row>
    <row r="8376">
      <c r="A8376">
        <v>8375</v>
      </c>
      <c r="B8376">
        <f>GS11</f>
        <v>0</v>
      </c>
      <c r="C8376" t="inlineStr">
        <is>
          <t>+LS10</t>
        </is>
      </c>
      <c r="D8376" t="inlineStr">
        <is>
          <t>-381K1</t>
        </is>
      </c>
      <c r="E8376" t="inlineStr">
        <is>
          <t>DIL_0AM</t>
        </is>
      </c>
      <c r="F8376" t="inlineStr">
        <is>
          <t>22_DIL-M</t>
        </is>
      </c>
      <c r="G8376" t="inlineStr">
        <is>
          <t>LASTSCHUETZ</t>
        </is>
      </c>
      <c r="H8376" t="inlineStr">
        <is>
          <t>11 kW</t>
        </is>
      </c>
      <c r="I8376">
        <v>487</v>
      </c>
      <c r="J8376">
        <f>GS11/381.2</f>
        <v>0</v>
      </c>
      <c r="K8376" t="inlineStr">
        <is>
          <t>DIL0AM</t>
        </is>
      </c>
      <c r="M8376" t="inlineStr">
        <is>
          <t>-381K1</t>
        </is>
      </c>
    </row>
    <row r="8377">
      <c r="A8377">
        <v>8376</v>
      </c>
      <c r="B8377">
        <f>GS21</f>
        <v>0</v>
      </c>
      <c r="C8377" t="inlineStr">
        <is>
          <t>+LS10</t>
        </is>
      </c>
      <c r="D8377" t="inlineStr">
        <is>
          <t>-381K1</t>
        </is>
      </c>
      <c r="E8377" t="inlineStr">
        <is>
          <t>DIL_0AM</t>
        </is>
      </c>
      <c r="F8377" t="inlineStr">
        <is>
          <t>22_DIL-M</t>
        </is>
      </c>
      <c r="G8377" t="inlineStr">
        <is>
          <t>LASTSCHUETZ</t>
        </is>
      </c>
      <c r="H8377" t="inlineStr">
        <is>
          <t>11 kW</t>
        </is>
      </c>
      <c r="I8377">
        <v>469</v>
      </c>
      <c r="J8377">
        <f>GS21/381.2</f>
        <v>0</v>
      </c>
      <c r="K8377" t="inlineStr">
        <is>
          <t>DIL0AM</t>
        </is>
      </c>
      <c r="M8377" t="inlineStr">
        <is>
          <t>-381K1</t>
        </is>
      </c>
    </row>
    <row r="8378">
      <c r="A8378">
        <v>8377</v>
      </c>
      <c r="B8378">
        <f>GS21</f>
        <v>0</v>
      </c>
      <c r="C8378" t="inlineStr">
        <is>
          <t>+LS10</t>
        </is>
      </c>
      <c r="D8378" t="inlineStr">
        <is>
          <t>-381K1</t>
        </is>
      </c>
      <c r="E8378" t="inlineStr">
        <is>
          <t>22_DIL-M</t>
        </is>
      </c>
      <c r="F8378" t="inlineStr">
        <is>
          <t>22_DIL-M</t>
        </is>
      </c>
      <c r="G8378" t="inlineStr">
        <is>
          <t>HILFSKONTAKTBLOCK</t>
        </is>
      </c>
      <c r="H8378" t="inlineStr">
        <is>
          <t>2S 2OE Lastschuetz DIL M</t>
        </is>
      </c>
      <c r="I8378">
        <v>469</v>
      </c>
      <c r="J8378">
        <f>GS21/381.2</f>
        <v>0</v>
      </c>
      <c r="K8378" t="inlineStr">
        <is>
          <t>DIL0AM</t>
        </is>
      </c>
      <c r="M8378" t="inlineStr">
        <is>
          <t>-381K1</t>
        </is>
      </c>
    </row>
    <row r="8379">
      <c r="A8379">
        <v>8378</v>
      </c>
      <c r="B8379">
        <f>GS23</f>
        <v>0</v>
      </c>
      <c r="C8379" t="inlineStr">
        <is>
          <t>+LS9</t>
        </is>
      </c>
      <c r="D8379" t="inlineStr">
        <is>
          <t>-381K3507.7</t>
        </is>
      </c>
      <c r="E8379" t="inlineStr">
        <is>
          <t>DIL_EM-10-G</t>
        </is>
      </c>
      <c r="F8379" t="inlineStr">
        <is>
          <t>#KALK!</t>
        </is>
      </c>
      <c r="G8379" t="inlineStr">
        <is>
          <t>LASTSCHUETZ</t>
        </is>
      </c>
      <c r="H8379" t="inlineStr">
        <is>
          <t>4kW 1S</t>
        </is>
      </c>
      <c r="I8379">
        <v>682</v>
      </c>
      <c r="J8379">
        <f>GS23/381.7</f>
        <v>0</v>
      </c>
      <c r="M8379" t="inlineStr">
        <is>
          <t>-381K3507.7</t>
        </is>
      </c>
    </row>
    <row r="8380">
      <c r="A8380">
        <v>8379</v>
      </c>
      <c r="B8380">
        <f>GS16</f>
        <v>0</v>
      </c>
      <c r="C8380" t="inlineStr">
        <is>
          <t>+LS6</t>
        </is>
      </c>
      <c r="D8380" t="inlineStr">
        <is>
          <t>-381K43.3</t>
        </is>
      </c>
      <c r="E8380" t="inlineStr">
        <is>
          <t>DIL_EM-10-G</t>
        </is>
      </c>
      <c r="F8380" t="inlineStr">
        <is>
          <t>#KALK!</t>
        </is>
      </c>
      <c r="G8380" t="inlineStr">
        <is>
          <t>LASTSCHUETZ</t>
        </is>
      </c>
      <c r="H8380" t="inlineStr">
        <is>
          <t>4kW 1S</t>
        </is>
      </c>
      <c r="I8380">
        <v>616</v>
      </c>
      <c r="J8380">
        <f>GS16/381.7</f>
        <v>0</v>
      </c>
      <c r="M8380" t="inlineStr">
        <is>
          <t>-381K43.3</t>
        </is>
      </c>
    </row>
    <row r="8381">
      <c r="A8381">
        <v>8380</v>
      </c>
      <c r="B8381">
        <f>GC22</f>
        <v>0</v>
      </c>
      <c r="C8381" t="inlineStr">
        <is>
          <t>+LS5</t>
        </is>
      </c>
      <c r="D8381" t="inlineStr">
        <is>
          <t>-381K45.4</t>
        </is>
      </c>
      <c r="E8381" t="inlineStr">
        <is>
          <t>DILM-9-01</t>
        </is>
      </c>
      <c r="F8381" t="inlineStr">
        <is>
          <t>#KALK!</t>
        </is>
      </c>
      <c r="G8381" t="inlineStr">
        <is>
          <t>LASTSCHUETZ</t>
        </is>
      </c>
      <c r="H8381" t="inlineStr">
        <is>
          <t>4kW 1Oe Federzugkl.</t>
        </is>
      </c>
      <c r="I8381">
        <v>3505</v>
      </c>
      <c r="J8381">
        <f>GC22/381.6</f>
        <v>0</v>
      </c>
      <c r="M8381" t="inlineStr">
        <is>
          <t>-381K45.4</t>
        </is>
      </c>
    </row>
    <row r="8382">
      <c r="A8382">
        <v>8381</v>
      </c>
      <c r="B8382">
        <f>GS12</f>
        <v>0</v>
      </c>
      <c r="C8382" t="inlineStr">
        <is>
          <t>+LS5</t>
        </is>
      </c>
      <c r="D8382" t="inlineStr">
        <is>
          <t>-381K45.4</t>
        </is>
      </c>
      <c r="E8382" t="inlineStr">
        <is>
          <t>DILM-9-01</t>
        </is>
      </c>
      <c r="F8382" t="inlineStr">
        <is>
          <t>#KALK!</t>
        </is>
      </c>
      <c r="G8382" t="inlineStr">
        <is>
          <t>LASTSCHUETZ</t>
        </is>
      </c>
      <c r="H8382" t="inlineStr">
        <is>
          <t>4kW 1Oe Federzugkl.</t>
        </is>
      </c>
      <c r="I8382">
        <v>513</v>
      </c>
      <c r="J8382">
        <f>GS12/381.6</f>
        <v>0</v>
      </c>
      <c r="M8382" t="inlineStr">
        <is>
          <t>-381K45.4</t>
        </is>
      </c>
    </row>
    <row r="8383">
      <c r="A8383">
        <v>8382</v>
      </c>
      <c r="B8383">
        <f>GC22</f>
        <v>0</v>
      </c>
      <c r="C8383" t="inlineStr">
        <is>
          <t>+LS5</t>
        </is>
      </c>
      <c r="D8383" t="inlineStr">
        <is>
          <t>-381K45.5</t>
        </is>
      </c>
      <c r="E8383" t="inlineStr">
        <is>
          <t>DIL_EM-10-G</t>
        </is>
      </c>
      <c r="F8383" t="inlineStr">
        <is>
          <t>#KALK!</t>
        </is>
      </c>
      <c r="G8383" t="inlineStr">
        <is>
          <t>LASTSCHUETZ</t>
        </is>
      </c>
      <c r="H8383" t="inlineStr">
        <is>
          <t>4kW 1S</t>
        </is>
      </c>
      <c r="I8383">
        <v>3505</v>
      </c>
      <c r="J8383">
        <f>GC22/381.7</f>
        <v>0</v>
      </c>
      <c r="M8383" t="inlineStr">
        <is>
          <t>-381K45.5</t>
        </is>
      </c>
    </row>
    <row r="8384">
      <c r="A8384">
        <v>8383</v>
      </c>
      <c r="B8384">
        <f>GS12</f>
        <v>0</v>
      </c>
      <c r="C8384" t="inlineStr">
        <is>
          <t>+LS5</t>
        </is>
      </c>
      <c r="D8384" t="inlineStr">
        <is>
          <t>-381K45.5</t>
        </is>
      </c>
      <c r="E8384" t="inlineStr">
        <is>
          <t>DIL_EM-10-G</t>
        </is>
      </c>
      <c r="F8384" t="inlineStr">
        <is>
          <t>#KALK!</t>
        </is>
      </c>
      <c r="G8384" t="inlineStr">
        <is>
          <t>LASTSCHUETZ</t>
        </is>
      </c>
      <c r="H8384" t="inlineStr">
        <is>
          <t>4kW 1S</t>
        </is>
      </c>
      <c r="I8384">
        <v>513</v>
      </c>
      <c r="J8384">
        <f>GS12/381.7</f>
        <v>0</v>
      </c>
      <c r="M8384" t="inlineStr">
        <is>
          <t>-381K45.5</t>
        </is>
      </c>
    </row>
    <row r="8385">
      <c r="A8385">
        <v>8384</v>
      </c>
      <c r="B8385">
        <f>GC22</f>
        <v>0</v>
      </c>
      <c r="C8385" t="inlineStr">
        <is>
          <t>+LS5</t>
        </is>
      </c>
      <c r="D8385" t="inlineStr">
        <is>
          <t>-381K46.7</t>
        </is>
      </c>
      <c r="E8385" t="inlineStr">
        <is>
          <t>DILM-9-01</t>
        </is>
      </c>
      <c r="F8385" t="inlineStr">
        <is>
          <t>#KALK!</t>
        </is>
      </c>
      <c r="G8385" t="inlineStr">
        <is>
          <t>LASTSCHUETZ</t>
        </is>
      </c>
      <c r="H8385" t="inlineStr">
        <is>
          <t>4kW 1Oe Federzugkl.</t>
        </is>
      </c>
      <c r="I8385">
        <v>3505</v>
      </c>
      <c r="J8385">
        <f>GC22/381.6</f>
        <v>0</v>
      </c>
      <c r="M8385" t="inlineStr">
        <is>
          <t>-381K46.7</t>
        </is>
      </c>
    </row>
    <row r="8386">
      <c r="A8386">
        <v>8385</v>
      </c>
      <c r="B8386">
        <f>GS12</f>
        <v>0</v>
      </c>
      <c r="C8386" t="inlineStr">
        <is>
          <t>+LS5</t>
        </is>
      </c>
      <c r="D8386" t="inlineStr">
        <is>
          <t>-381K46.7</t>
        </is>
      </c>
      <c r="E8386" t="inlineStr">
        <is>
          <t>DILM-9-01</t>
        </is>
      </c>
      <c r="F8386" t="inlineStr">
        <is>
          <t>#KALK!</t>
        </is>
      </c>
      <c r="G8386" t="inlineStr">
        <is>
          <t>LASTSCHUETZ</t>
        </is>
      </c>
      <c r="H8386" t="inlineStr">
        <is>
          <t>4kW 1Oe Federzugkl.</t>
        </is>
      </c>
      <c r="I8386">
        <v>513</v>
      </c>
      <c r="J8386">
        <f>GS12/381.6</f>
        <v>0</v>
      </c>
      <c r="M8386" t="inlineStr">
        <is>
          <t>-381K46.7</t>
        </is>
      </c>
    </row>
    <row r="8387">
      <c r="A8387">
        <v>8386</v>
      </c>
      <c r="B8387">
        <f>GS38</f>
        <v>0</v>
      </c>
      <c r="C8387" t="inlineStr">
        <is>
          <t>+LS08</t>
        </is>
      </c>
      <c r="D8387" t="inlineStr">
        <is>
          <t>-381Q114.4</t>
        </is>
      </c>
      <c r="E8387" t="inlineStr">
        <is>
          <t>DILMC12-10(24VDC)</t>
        </is>
      </c>
      <c r="F8387" t="inlineStr">
        <is>
          <t>#KALK!</t>
        </is>
      </c>
      <c r="G8387" t="inlineStr">
        <is>
          <t>LASTSCHUETZ</t>
        </is>
      </c>
      <c r="H8387" t="inlineStr">
        <is>
          <t>5,5kW 1S Federzugkl.</t>
        </is>
      </c>
      <c r="I8387">
        <v>546</v>
      </c>
      <c r="J8387">
        <f>GS38/381.5</f>
        <v>0</v>
      </c>
      <c r="K8387" t="inlineStr">
        <is>
          <t>DIL MC12</t>
        </is>
      </c>
      <c r="M8387" t="inlineStr">
        <is>
          <t>-381Q114.4</t>
        </is>
      </c>
    </row>
    <row r="8388">
      <c r="A8388">
        <v>8387</v>
      </c>
      <c r="B8388">
        <f>GS39</f>
        <v>0</v>
      </c>
      <c r="C8388" t="inlineStr">
        <is>
          <t>+LS08</t>
        </is>
      </c>
      <c r="D8388" t="inlineStr">
        <is>
          <t>-381Q114.4</t>
        </is>
      </c>
      <c r="E8388" t="inlineStr">
        <is>
          <t>DILMC12-10(24VDC)</t>
        </is>
      </c>
      <c r="F8388" t="inlineStr">
        <is>
          <t>#KALK!</t>
        </is>
      </c>
      <c r="G8388" t="inlineStr">
        <is>
          <t>LASTSCHUETZ</t>
        </is>
      </c>
      <c r="H8388" t="inlineStr">
        <is>
          <t>5,5kW 1S Federzugkl.</t>
        </is>
      </c>
      <c r="I8388">
        <v>551</v>
      </c>
      <c r="J8388">
        <f>GS39/381.5</f>
        <v>0</v>
      </c>
      <c r="K8388" t="inlineStr">
        <is>
          <t>DIL MC12</t>
        </is>
      </c>
      <c r="M8388" t="inlineStr">
        <is>
          <t>-381Q114.4</t>
        </is>
      </c>
    </row>
    <row r="8389">
      <c r="A8389">
        <v>8388</v>
      </c>
      <c r="B8389">
        <f>GS35</f>
        <v>0</v>
      </c>
      <c r="C8389" t="inlineStr">
        <is>
          <t>+LS09</t>
        </is>
      </c>
      <c r="D8389" t="inlineStr">
        <is>
          <t>-381Q146.3</t>
        </is>
      </c>
      <c r="E8389" t="inlineStr">
        <is>
          <t>DILM-9-10</t>
        </is>
      </c>
      <c r="F8389" t="inlineStr">
        <is>
          <t>#KALK!</t>
        </is>
      </c>
      <c r="G8389" t="inlineStr">
        <is>
          <t>LASTSCHUETZ</t>
        </is>
      </c>
      <c r="H8389" t="inlineStr">
        <is>
          <t>4kW 1S Federzugkl.</t>
        </is>
      </c>
      <c r="I8389">
        <v>527</v>
      </c>
      <c r="J8389">
        <f>GS35/381.6</f>
        <v>0</v>
      </c>
      <c r="M8389" t="inlineStr">
        <is>
          <t>-381Q146.3</t>
        </is>
      </c>
    </row>
    <row r="8390">
      <c r="A8390">
        <v>8389</v>
      </c>
      <c r="B8390">
        <f>GS93</f>
        <v>0</v>
      </c>
      <c r="C8390" t="inlineStr">
        <is>
          <t>+LS07</t>
        </is>
      </c>
      <c r="D8390" t="inlineStr">
        <is>
          <t>-381Q464.0</t>
        </is>
      </c>
      <c r="E8390" t="inlineStr">
        <is>
          <t>DILM-9-10</t>
        </is>
      </c>
      <c r="F8390" t="inlineStr">
        <is>
          <t>#KALK!</t>
        </is>
      </c>
      <c r="G8390" t="inlineStr">
        <is>
          <t>LASTSCHUETZ</t>
        </is>
      </c>
      <c r="H8390" t="inlineStr">
        <is>
          <t>4kW 1S Federzugkl.</t>
        </is>
      </c>
      <c r="I8390">
        <v>935</v>
      </c>
      <c r="J8390">
        <f>GS93/381.5</f>
        <v>0</v>
      </c>
      <c r="M8390" t="inlineStr">
        <is>
          <t>-381Q464.0</t>
        </is>
      </c>
    </row>
    <row r="8391">
      <c r="A8391">
        <v>8390</v>
      </c>
      <c r="B8391">
        <f>GS34</f>
        <v>0</v>
      </c>
      <c r="C8391" t="inlineStr">
        <is>
          <t>+LS8</t>
        </is>
      </c>
      <c r="D8391" t="inlineStr">
        <is>
          <t>-382K1</t>
        </is>
      </c>
      <c r="E8391" t="inlineStr">
        <is>
          <t>22_DIL-M</t>
        </is>
      </c>
      <c r="F8391" t="inlineStr">
        <is>
          <t>22_DIL-M</t>
        </is>
      </c>
      <c r="G8391" t="inlineStr">
        <is>
          <t>HILFSKONTAKTBLOCK</t>
        </is>
      </c>
      <c r="H8391" t="inlineStr">
        <is>
          <t>2S 2OE Lastschuetz DIL M</t>
        </is>
      </c>
      <c r="I8391">
        <v>507</v>
      </c>
      <c r="J8391">
        <f>GS34/382.2</f>
        <v>0</v>
      </c>
      <c r="K8391" t="inlineStr">
        <is>
          <t>DIL0AM</t>
        </is>
      </c>
      <c r="M8391" t="inlineStr">
        <is>
          <t>-382K1</t>
        </is>
      </c>
    </row>
    <row r="8392">
      <c r="A8392">
        <v>8391</v>
      </c>
      <c r="B8392">
        <f>GS34</f>
        <v>0</v>
      </c>
      <c r="C8392" t="inlineStr">
        <is>
          <t>+LS8</t>
        </is>
      </c>
      <c r="D8392" t="inlineStr">
        <is>
          <t>-382K1</t>
        </is>
      </c>
      <c r="E8392" t="inlineStr">
        <is>
          <t>DIL_0AM</t>
        </is>
      </c>
      <c r="F8392" t="inlineStr">
        <is>
          <t>22_DIL-M</t>
        </is>
      </c>
      <c r="G8392" t="inlineStr">
        <is>
          <t>LASTSCHUETZ</t>
        </is>
      </c>
      <c r="H8392" t="inlineStr">
        <is>
          <t>11 kW</t>
        </is>
      </c>
      <c r="I8392">
        <v>507</v>
      </c>
      <c r="J8392">
        <f>GS34/382.2</f>
        <v>0</v>
      </c>
      <c r="K8392" t="inlineStr">
        <is>
          <t>DIL0AM</t>
        </is>
      </c>
      <c r="M8392" t="inlineStr">
        <is>
          <t>-382K1</t>
        </is>
      </c>
    </row>
    <row r="8393">
      <c r="A8393">
        <v>8392</v>
      </c>
      <c r="B8393">
        <f>GS24</f>
        <v>0</v>
      </c>
      <c r="C8393" t="inlineStr">
        <is>
          <t>+LS8</t>
        </is>
      </c>
      <c r="D8393" t="inlineStr">
        <is>
          <t>-382K26.0</t>
        </is>
      </c>
      <c r="E8393" t="inlineStr">
        <is>
          <t>DIL_EM-10-G</t>
        </is>
      </c>
      <c r="F8393" t="inlineStr">
        <is>
          <t>#KALK!</t>
        </is>
      </c>
      <c r="G8393" t="inlineStr">
        <is>
          <t>LASTSCHUETZ</t>
        </is>
      </c>
      <c r="H8393" t="inlineStr">
        <is>
          <t>4kW 1S</t>
        </is>
      </c>
      <c r="I8393">
        <v>705</v>
      </c>
      <c r="J8393">
        <f>GS24/382.6</f>
        <v>0</v>
      </c>
      <c r="M8393" t="inlineStr">
        <is>
          <t>-382K26.0</t>
        </is>
      </c>
    </row>
    <row r="8394">
      <c r="A8394">
        <v>8393</v>
      </c>
      <c r="B8394">
        <f>GS24</f>
        <v>0</v>
      </c>
      <c r="C8394" t="inlineStr">
        <is>
          <t>+LS8</t>
        </is>
      </c>
      <c r="D8394" t="inlineStr">
        <is>
          <t>-382K26.1</t>
        </is>
      </c>
      <c r="E8394" t="inlineStr">
        <is>
          <t>DIL_EM-10-G</t>
        </is>
      </c>
      <c r="F8394" t="inlineStr">
        <is>
          <t>#KALK!</t>
        </is>
      </c>
      <c r="G8394" t="inlineStr">
        <is>
          <t>LASTSCHUETZ</t>
        </is>
      </c>
      <c r="H8394" t="inlineStr">
        <is>
          <t>4kW 1S</t>
        </is>
      </c>
      <c r="I8394">
        <v>705</v>
      </c>
      <c r="J8394">
        <f>GS24/382.7</f>
        <v>0</v>
      </c>
      <c r="M8394" t="inlineStr">
        <is>
          <t>-382K26.1</t>
        </is>
      </c>
    </row>
    <row r="8395">
      <c r="A8395">
        <v>8394</v>
      </c>
      <c r="B8395">
        <f>GS16</f>
        <v>0</v>
      </c>
      <c r="C8395" t="inlineStr">
        <is>
          <t>+LS6</t>
        </is>
      </c>
      <c r="D8395" t="inlineStr">
        <is>
          <t>-382K44.1</t>
        </is>
      </c>
      <c r="E8395" t="inlineStr">
        <is>
          <t>DIL_EM-10-G</t>
        </is>
      </c>
      <c r="F8395" t="inlineStr">
        <is>
          <t>#KALK!</t>
        </is>
      </c>
      <c r="G8395" t="inlineStr">
        <is>
          <t>LASTSCHUETZ</t>
        </is>
      </c>
      <c r="H8395" t="inlineStr">
        <is>
          <t>4kW 1S</t>
        </is>
      </c>
      <c r="I8395">
        <v>617</v>
      </c>
      <c r="J8395">
        <f>GS16/382.7</f>
        <v>0</v>
      </c>
      <c r="M8395" t="inlineStr">
        <is>
          <t>-382K44.1</t>
        </is>
      </c>
    </row>
    <row r="8396">
      <c r="A8396">
        <v>8395</v>
      </c>
      <c r="B8396">
        <f>GC22</f>
        <v>0</v>
      </c>
      <c r="C8396" t="inlineStr">
        <is>
          <t>+LS5</t>
        </is>
      </c>
      <c r="D8396" t="inlineStr">
        <is>
          <t>-382K46.1</t>
        </is>
      </c>
      <c r="E8396" t="inlineStr">
        <is>
          <t>DIL_EM-10-G</t>
        </is>
      </c>
      <c r="F8396" t="inlineStr">
        <is>
          <t>#KALK!</t>
        </is>
      </c>
      <c r="G8396" t="inlineStr">
        <is>
          <t>LASTSCHUETZ</t>
        </is>
      </c>
      <c r="H8396" t="inlineStr">
        <is>
          <t>4kW 1S</t>
        </is>
      </c>
      <c r="I8396">
        <v>3506</v>
      </c>
      <c r="J8396">
        <f>GC22/382.7</f>
        <v>0</v>
      </c>
      <c r="M8396" t="inlineStr">
        <is>
          <t>-382K46.1</t>
        </is>
      </c>
    </row>
    <row r="8397">
      <c r="A8397">
        <v>8396</v>
      </c>
      <c r="B8397">
        <f>GS12</f>
        <v>0</v>
      </c>
      <c r="C8397" t="inlineStr">
        <is>
          <t>+LS5</t>
        </is>
      </c>
      <c r="D8397" t="inlineStr">
        <is>
          <t>-382K46.1</t>
        </is>
      </c>
      <c r="E8397" t="inlineStr">
        <is>
          <t>DIL_EM-10-G</t>
        </is>
      </c>
      <c r="F8397" t="inlineStr">
        <is>
          <t>#KALK!</t>
        </is>
      </c>
      <c r="G8397" t="inlineStr">
        <is>
          <t>LASTSCHUETZ</t>
        </is>
      </c>
      <c r="H8397" t="inlineStr">
        <is>
          <t>4kW 1S</t>
        </is>
      </c>
      <c r="I8397">
        <v>514</v>
      </c>
      <c r="J8397">
        <f>GS12/382.7</f>
        <v>0</v>
      </c>
      <c r="M8397" t="inlineStr">
        <is>
          <t>-382K46.1</t>
        </is>
      </c>
    </row>
    <row r="8398">
      <c r="A8398">
        <v>8397</v>
      </c>
      <c r="B8398">
        <f>GS02</f>
        <v>0</v>
      </c>
      <c r="C8398" t="inlineStr">
        <is>
          <t>+LS9</t>
        </is>
      </c>
      <c r="D8398" t="inlineStr">
        <is>
          <t>-382K62.5</t>
        </is>
      </c>
      <c r="E8398" t="inlineStr">
        <is>
          <t>DIL_EM-10-G</t>
        </is>
      </c>
      <c r="F8398" t="inlineStr">
        <is>
          <t>#KALK!</t>
        </is>
      </c>
      <c r="G8398" t="inlineStr">
        <is>
          <t>LASTSCHUETZ</t>
        </is>
      </c>
      <c r="H8398" t="inlineStr">
        <is>
          <t>4kW 1S</t>
        </is>
      </c>
      <c r="I8398">
        <v>789</v>
      </c>
      <c r="J8398">
        <f>GS02/382.5</f>
        <v>0</v>
      </c>
      <c r="M8398" t="inlineStr">
        <is>
          <t>-382K62.5</t>
        </is>
      </c>
    </row>
    <row r="8399">
      <c r="A8399">
        <v>8398</v>
      </c>
      <c r="B8399">
        <f>GS02</f>
        <v>0</v>
      </c>
      <c r="C8399" t="inlineStr">
        <is>
          <t>+LS9</t>
        </is>
      </c>
      <c r="D8399" t="inlineStr">
        <is>
          <t>-382K62.6</t>
        </is>
      </c>
      <c r="E8399" t="inlineStr">
        <is>
          <t>DIL_EM-10-G</t>
        </is>
      </c>
      <c r="F8399" t="inlineStr">
        <is>
          <t>#KALK!</t>
        </is>
      </c>
      <c r="G8399" t="inlineStr">
        <is>
          <t>LASTSCHUETZ</t>
        </is>
      </c>
      <c r="H8399" t="inlineStr">
        <is>
          <t>4kW 1S</t>
        </is>
      </c>
      <c r="I8399">
        <v>789</v>
      </c>
      <c r="J8399">
        <f>GS02/382.6</f>
        <v>0</v>
      </c>
      <c r="M8399" t="inlineStr">
        <is>
          <t>-382K62.6</t>
        </is>
      </c>
    </row>
    <row r="8400">
      <c r="A8400">
        <v>8399</v>
      </c>
      <c r="B8400">
        <f>GS02</f>
        <v>0</v>
      </c>
      <c r="C8400" t="inlineStr">
        <is>
          <t>+LS9</t>
        </is>
      </c>
      <c r="D8400" t="inlineStr">
        <is>
          <t>-382K62.7</t>
        </is>
      </c>
      <c r="E8400" t="inlineStr">
        <is>
          <t>DIL_EM-01-G</t>
        </is>
      </c>
      <c r="F8400" t="inlineStr">
        <is>
          <t>#KALK!</t>
        </is>
      </c>
      <c r="G8400" t="inlineStr">
        <is>
          <t>LASTSCHUETZ</t>
        </is>
      </c>
      <c r="H8400" t="inlineStr">
        <is>
          <t>4kW 1OE</t>
        </is>
      </c>
      <c r="I8400">
        <v>789</v>
      </c>
      <c r="J8400">
        <f>GS02/382.7</f>
        <v>0</v>
      </c>
      <c r="M8400" t="inlineStr">
        <is>
          <t>-382K62.7</t>
        </is>
      </c>
    </row>
    <row r="8401">
      <c r="A8401">
        <v>8400</v>
      </c>
      <c r="B8401">
        <f>GS02</f>
        <v>0</v>
      </c>
      <c r="C8401" t="inlineStr">
        <is>
          <t>+LS9</t>
        </is>
      </c>
      <c r="D8401" t="inlineStr">
        <is>
          <t>-382K63.0</t>
        </is>
      </c>
      <c r="E8401" t="inlineStr">
        <is>
          <t>DIL_EM-01-G</t>
        </is>
      </c>
      <c r="F8401" t="inlineStr">
        <is>
          <t>#KALK!</t>
        </is>
      </c>
      <c r="G8401" t="inlineStr">
        <is>
          <t>LASTSCHUETZ</t>
        </is>
      </c>
      <c r="H8401" t="inlineStr">
        <is>
          <t>4kW 1OE</t>
        </is>
      </c>
      <c r="I8401">
        <v>789</v>
      </c>
      <c r="J8401">
        <f>GS02/382.8</f>
        <v>0</v>
      </c>
      <c r="M8401" t="inlineStr">
        <is>
          <t>-382K63.0</t>
        </is>
      </c>
    </row>
    <row r="8402">
      <c r="A8402">
        <v>8401</v>
      </c>
      <c r="B8402">
        <f>GS36</f>
        <v>0</v>
      </c>
      <c r="C8402" t="inlineStr">
        <is>
          <t>+LS08</t>
        </is>
      </c>
      <c r="D8402" t="inlineStr">
        <is>
          <t>-383K1</t>
        </is>
      </c>
      <c r="E8402" t="inlineStr">
        <is>
          <t>DILA-XHIC40</t>
        </is>
      </c>
      <c r="F8402" t="inlineStr">
        <is>
          <t>DILA-XHIC40</t>
        </is>
      </c>
      <c r="G8402" t="inlineStr">
        <is>
          <t>HILFSKONTAKTBLOCK</t>
        </is>
      </c>
      <c r="H8402" t="inlineStr">
        <is>
          <t>4S Last+Hilfssch. Cage</t>
        </is>
      </c>
      <c r="I8402">
        <v>556</v>
      </c>
      <c r="J8402">
        <f>GS36/383.6</f>
        <v>0</v>
      </c>
      <c r="L8402" t="inlineStr">
        <is>
          <t>Lichtvorhang KF</t>
        </is>
      </c>
      <c r="M8402" t="inlineStr">
        <is>
          <t>Lichtvorhang KF
-383K1</t>
        </is>
      </c>
    </row>
    <row r="8403">
      <c r="A8403">
        <v>8402</v>
      </c>
      <c r="B8403">
        <f>GS36</f>
        <v>0</v>
      </c>
      <c r="C8403" t="inlineStr">
        <is>
          <t>+LS09</t>
        </is>
      </c>
      <c r="D8403" t="inlineStr">
        <is>
          <t>-423K2</t>
        </is>
      </c>
      <c r="E8403" t="inlineStr">
        <is>
          <t>DILM-9-01</t>
        </is>
      </c>
      <c r="F8403" t="inlineStr">
        <is>
          <t>#KALK!</t>
        </is>
      </c>
      <c r="G8403" t="inlineStr">
        <is>
          <t>LASTSCHUETZ</t>
        </is>
      </c>
      <c r="H8403" t="inlineStr">
        <is>
          <t>4kW 1Oe Federzugkl.</t>
        </is>
      </c>
      <c r="I8403">
        <v>596</v>
      </c>
      <c r="J8403">
        <f>GS36/423.7</f>
        <v>0</v>
      </c>
      <c r="L8403" t="inlineStr">
        <is>
          <t>Lichtvorhang KF</t>
        </is>
      </c>
      <c r="M8403" t="inlineStr">
        <is>
          <t>Lichtvorhang KF
-423K2</t>
        </is>
      </c>
    </row>
    <row r="8404">
      <c r="A8404">
        <v>8403</v>
      </c>
      <c r="B8404">
        <f>GS36</f>
        <v>0</v>
      </c>
      <c r="C8404" t="inlineStr">
        <is>
          <t>+LS08</t>
        </is>
      </c>
      <c r="D8404" t="inlineStr">
        <is>
          <t>-383K2</t>
        </is>
      </c>
      <c r="E8404" t="inlineStr">
        <is>
          <t>DILA-XHIC40</t>
        </is>
      </c>
      <c r="F8404" t="inlineStr">
        <is>
          <t>DILA-XHIC40</t>
        </is>
      </c>
      <c r="G8404" t="inlineStr">
        <is>
          <t>HILFSKONTAKTBLOCK</t>
        </is>
      </c>
      <c r="H8404" t="inlineStr">
        <is>
          <t>4S Last+Hilfssch. Cage</t>
        </is>
      </c>
      <c r="I8404">
        <v>556</v>
      </c>
      <c r="J8404">
        <f>GS36/383.7</f>
        <v>0</v>
      </c>
      <c r="L8404" t="inlineStr">
        <is>
          <t>Lichtvorhang KF</t>
        </is>
      </c>
      <c r="M8404" t="inlineStr">
        <is>
          <t>Lichtvorhang KF
-383K2</t>
        </is>
      </c>
    </row>
    <row r="8405">
      <c r="A8405">
        <v>8404</v>
      </c>
      <c r="B8405">
        <f>GS36</f>
        <v>0</v>
      </c>
      <c r="C8405" t="inlineStr">
        <is>
          <t>+LS10</t>
        </is>
      </c>
      <c r="D8405" t="inlineStr">
        <is>
          <t>-895K1</t>
        </is>
      </c>
      <c r="E8405" t="inlineStr">
        <is>
          <t>DILA-40</t>
        </is>
      </c>
      <c r="F8405" t="inlineStr">
        <is>
          <t>DILA-XHIC40</t>
        </is>
      </c>
      <c r="G8405" t="inlineStr">
        <is>
          <t>HILFSSCHUETZ</t>
        </is>
      </c>
      <c r="H8405" t="inlineStr">
        <is>
          <t>4S Federzugkl.</t>
        </is>
      </c>
      <c r="I8405">
        <v>1648</v>
      </c>
      <c r="J8405">
        <f>GS36/895.5</f>
        <v>0</v>
      </c>
      <c r="M8405" t="inlineStr">
        <is>
          <t>-895K1</t>
        </is>
      </c>
    </row>
    <row r="8406">
      <c r="A8406">
        <v>8405</v>
      </c>
      <c r="B8406">
        <f>GS24</f>
        <v>0</v>
      </c>
      <c r="C8406" t="inlineStr">
        <is>
          <t>+LS8</t>
        </is>
      </c>
      <c r="D8406" t="inlineStr">
        <is>
          <t>-383K26.2</t>
        </is>
      </c>
      <c r="E8406" t="inlineStr">
        <is>
          <t>DIL_EM-10-G</t>
        </is>
      </c>
      <c r="F8406" t="inlineStr">
        <is>
          <t>#KALK!</t>
        </is>
      </c>
      <c r="G8406" t="inlineStr">
        <is>
          <t>LASTSCHUETZ</t>
        </is>
      </c>
      <c r="H8406" t="inlineStr">
        <is>
          <t>4kW 1S</t>
        </is>
      </c>
      <c r="I8406">
        <v>704</v>
      </c>
      <c r="J8406">
        <f>GS24/383.6</f>
        <v>0</v>
      </c>
      <c r="M8406" t="inlineStr">
        <is>
          <t>-383K26.2</t>
        </is>
      </c>
    </row>
    <row r="8407">
      <c r="A8407">
        <v>8406</v>
      </c>
      <c r="B8407">
        <f>GS24</f>
        <v>0</v>
      </c>
      <c r="C8407" t="inlineStr">
        <is>
          <t>+LS8</t>
        </is>
      </c>
      <c r="D8407" t="inlineStr">
        <is>
          <t>-383K26.3</t>
        </is>
      </c>
      <c r="E8407" t="inlineStr">
        <is>
          <t>DIL_EM-10-G</t>
        </is>
      </c>
      <c r="F8407" t="inlineStr">
        <is>
          <t>#KALK!</t>
        </is>
      </c>
      <c r="G8407" t="inlineStr">
        <is>
          <t>LASTSCHUETZ</t>
        </is>
      </c>
      <c r="H8407" t="inlineStr">
        <is>
          <t>4kW 1S</t>
        </is>
      </c>
      <c r="I8407">
        <v>704</v>
      </c>
      <c r="J8407">
        <f>GS24/383.6</f>
        <v>0</v>
      </c>
      <c r="M8407" t="inlineStr">
        <is>
          <t>-383K26.3</t>
        </is>
      </c>
    </row>
    <row r="8408">
      <c r="A8408">
        <v>8407</v>
      </c>
      <c r="B8408">
        <f>GS16</f>
        <v>0</v>
      </c>
      <c r="C8408" t="inlineStr">
        <is>
          <t>+LS6</t>
        </is>
      </c>
      <c r="D8408" t="inlineStr">
        <is>
          <t>-383K44.4</t>
        </is>
      </c>
      <c r="E8408" t="inlineStr">
        <is>
          <t>DIL_EM-01-G</t>
        </is>
      </c>
      <c r="F8408" t="inlineStr">
        <is>
          <t>22_DIL-E</t>
        </is>
      </c>
      <c r="G8408" t="inlineStr">
        <is>
          <t>LASTSCHUETZ</t>
        </is>
      </c>
      <c r="H8408" t="inlineStr">
        <is>
          <t>4kW 1OE</t>
        </is>
      </c>
      <c r="I8408">
        <v>618</v>
      </c>
      <c r="J8408">
        <f>GS16/383.6</f>
        <v>0</v>
      </c>
      <c r="M8408" t="inlineStr">
        <is>
          <t>-383K44.4</t>
        </is>
      </c>
    </row>
    <row r="8409">
      <c r="A8409">
        <v>8408</v>
      </c>
      <c r="B8409">
        <f>GS16</f>
        <v>0</v>
      </c>
      <c r="C8409" t="inlineStr">
        <is>
          <t>+LS6</t>
        </is>
      </c>
      <c r="D8409" t="inlineStr">
        <is>
          <t>-383K44.4</t>
        </is>
      </c>
      <c r="E8409" t="inlineStr">
        <is>
          <t>22_DIL-E</t>
        </is>
      </c>
      <c r="F8409" t="inlineStr">
        <is>
          <t>22_DIL-E</t>
        </is>
      </c>
      <c r="G8409" t="inlineStr">
        <is>
          <t>HILFSKONTAKTBLOCK</t>
        </is>
      </c>
      <c r="H8409" t="inlineStr">
        <is>
          <t>2S 2OE Last+Hilfsschuetz</t>
        </is>
      </c>
      <c r="I8409">
        <v>618</v>
      </c>
      <c r="J8409">
        <f>GS16/383.6</f>
        <v>0</v>
      </c>
      <c r="M8409" t="inlineStr">
        <is>
          <t>-383K44.4</t>
        </is>
      </c>
    </row>
    <row r="8410">
      <c r="A8410">
        <v>8409</v>
      </c>
      <c r="B8410">
        <f>GS16</f>
        <v>0</v>
      </c>
      <c r="C8410" t="inlineStr">
        <is>
          <t>+LS6</t>
        </is>
      </c>
      <c r="D8410" t="inlineStr">
        <is>
          <t>-383K44.5</t>
        </is>
      </c>
      <c r="E8410" t="inlineStr">
        <is>
          <t>DIL_EM-01-G</t>
        </is>
      </c>
      <c r="F8410" t="inlineStr">
        <is>
          <t>#KALK!</t>
        </is>
      </c>
      <c r="G8410" t="inlineStr">
        <is>
          <t>LASTSCHUETZ</t>
        </is>
      </c>
      <c r="H8410" t="inlineStr">
        <is>
          <t>4kW 1OE</t>
        </is>
      </c>
      <c r="I8410">
        <v>618</v>
      </c>
      <c r="J8410">
        <f>GS16/383.6</f>
        <v>0</v>
      </c>
      <c r="M8410" t="inlineStr">
        <is>
          <t>-383K44.5</t>
        </is>
      </c>
    </row>
    <row r="8411">
      <c r="A8411">
        <v>8410</v>
      </c>
      <c r="B8411">
        <f>GS93</f>
        <v>0</v>
      </c>
      <c r="C8411" t="inlineStr">
        <is>
          <t>+LS07</t>
        </is>
      </c>
      <c r="D8411" t="inlineStr">
        <is>
          <t>-383K464.1</t>
        </is>
      </c>
      <c r="E8411" t="inlineStr">
        <is>
          <t>DILA-22</t>
        </is>
      </c>
      <c r="F8411" t="inlineStr">
        <is>
          <t>#KALK!</t>
        </is>
      </c>
      <c r="G8411" t="inlineStr">
        <is>
          <t>HILFSSCHUETZ</t>
        </is>
      </c>
      <c r="H8411" t="inlineStr">
        <is>
          <t>2S 2Oe Federzugkl.</t>
        </is>
      </c>
      <c r="I8411">
        <v>937</v>
      </c>
      <c r="J8411">
        <f>GS93/383.6</f>
        <v>0</v>
      </c>
      <c r="M8411" t="inlineStr">
        <is>
          <t>-383K464.1</t>
        </is>
      </c>
    </row>
    <row r="8412">
      <c r="A8412">
        <v>8411</v>
      </c>
      <c r="B8412">
        <f>GS02</f>
        <v>0</v>
      </c>
      <c r="C8412" t="inlineStr">
        <is>
          <t>+LS9</t>
        </is>
      </c>
      <c r="D8412" t="inlineStr">
        <is>
          <t>-383K63.7</t>
        </is>
      </c>
      <c r="E8412" t="inlineStr">
        <is>
          <t>DIL_EM-10-G</t>
        </is>
      </c>
      <c r="F8412" t="inlineStr">
        <is>
          <t>#KALK!</t>
        </is>
      </c>
      <c r="G8412" t="inlineStr">
        <is>
          <t>LASTSCHUETZ</t>
        </is>
      </c>
      <c r="H8412" t="inlineStr">
        <is>
          <t>4kW 1S</t>
        </is>
      </c>
      <c r="I8412">
        <v>790</v>
      </c>
      <c r="J8412">
        <f>GS02/383.7</f>
        <v>0</v>
      </c>
      <c r="M8412" t="inlineStr">
        <is>
          <t>-383K63.7</t>
        </is>
      </c>
    </row>
    <row r="8413">
      <c r="A8413">
        <v>8412</v>
      </c>
      <c r="B8413">
        <f>GS11</f>
        <v>0</v>
      </c>
      <c r="C8413" t="inlineStr">
        <is>
          <t>+LS10</t>
        </is>
      </c>
      <c r="D8413" t="inlineStr">
        <is>
          <t>-383K64.0</t>
        </is>
      </c>
      <c r="E8413" t="inlineStr">
        <is>
          <t>DIL_EM-10-G</t>
        </is>
      </c>
      <c r="F8413" t="inlineStr">
        <is>
          <t>#KALK!</t>
        </is>
      </c>
      <c r="G8413" t="inlineStr">
        <is>
          <t>LASTSCHUETZ</t>
        </is>
      </c>
      <c r="H8413" t="inlineStr">
        <is>
          <t>4kW 1S</t>
        </is>
      </c>
      <c r="I8413">
        <v>489</v>
      </c>
      <c r="J8413">
        <f>GS11/383.6</f>
        <v>0</v>
      </c>
      <c r="M8413" t="inlineStr">
        <is>
          <t>-383K64.0</t>
        </is>
      </c>
    </row>
    <row r="8414">
      <c r="A8414">
        <v>8413</v>
      </c>
      <c r="B8414">
        <f>GS21</f>
        <v>0</v>
      </c>
      <c r="C8414" t="inlineStr">
        <is>
          <t>+LS10</t>
        </is>
      </c>
      <c r="D8414" t="inlineStr">
        <is>
          <t>-383K64.0</t>
        </is>
      </c>
      <c r="E8414" t="inlineStr">
        <is>
          <t>DIL_EM-10-G</t>
        </is>
      </c>
      <c r="F8414" t="inlineStr">
        <is>
          <t>#KALK!</t>
        </is>
      </c>
      <c r="G8414" t="inlineStr">
        <is>
          <t>LASTSCHUETZ</t>
        </is>
      </c>
      <c r="H8414" t="inlineStr">
        <is>
          <t>4kW 1S</t>
        </is>
      </c>
      <c r="I8414">
        <v>471</v>
      </c>
      <c r="J8414">
        <f>GS21/383.6</f>
        <v>0</v>
      </c>
      <c r="M8414" t="inlineStr">
        <is>
          <t>-383K64.0</t>
        </is>
      </c>
    </row>
    <row r="8415">
      <c r="A8415">
        <v>8414</v>
      </c>
      <c r="B8415">
        <f>GS93</f>
        <v>0</v>
      </c>
      <c r="C8415" t="inlineStr">
        <is>
          <t>+LS07</t>
        </is>
      </c>
      <c r="D8415" t="inlineStr">
        <is>
          <t>-383Q1</t>
        </is>
      </c>
      <c r="E8415" t="inlineStr">
        <is>
          <t>DILMC25-10(RDC24)</t>
        </is>
      </c>
      <c r="F8415" t="inlineStr">
        <is>
          <t>DILA-XHIC31</t>
        </is>
      </c>
      <c r="G8415" t="inlineStr">
        <is>
          <t>LASTSCHUETZ</t>
        </is>
      </c>
      <c r="H8415" t="inlineStr">
        <is>
          <t>11kW 1S Federzugkl.</t>
        </is>
      </c>
      <c r="I8415">
        <v>937</v>
      </c>
      <c r="J8415">
        <f>GS93/383.2</f>
        <v>0</v>
      </c>
      <c r="M8415" t="inlineStr">
        <is>
          <t>-383Q1</t>
        </is>
      </c>
    </row>
    <row r="8416">
      <c r="A8416">
        <v>8415</v>
      </c>
      <c r="B8416">
        <f>GS93</f>
        <v>0</v>
      </c>
      <c r="C8416" t="inlineStr">
        <is>
          <t>+LS07</t>
        </is>
      </c>
      <c r="D8416" t="inlineStr">
        <is>
          <t>-383Q1</t>
        </is>
      </c>
      <c r="E8416" t="inlineStr">
        <is>
          <t>DILA-XHIC31</t>
        </is>
      </c>
      <c r="F8416" t="inlineStr">
        <is>
          <t>DILA-XHIC31</t>
        </is>
      </c>
      <c r="G8416" t="inlineStr">
        <is>
          <t>HILFSKONTAKTBLOCK</t>
        </is>
      </c>
      <c r="H8416" t="inlineStr">
        <is>
          <t>3S 1OE Last+Hilfssch. Cage</t>
        </is>
      </c>
      <c r="I8416">
        <v>937</v>
      </c>
      <c r="J8416">
        <f>GS93/383.2</f>
        <v>0</v>
      </c>
      <c r="M8416" t="inlineStr">
        <is>
          <t>-383Q1</t>
        </is>
      </c>
    </row>
    <row r="8417">
      <c r="A8417">
        <v>8416</v>
      </c>
      <c r="B8417">
        <f>GS06</f>
        <v>0</v>
      </c>
      <c r="C8417" t="inlineStr">
        <is>
          <t>+LS06</t>
        </is>
      </c>
      <c r="D8417" t="inlineStr">
        <is>
          <t>-383Q139.6</t>
        </is>
      </c>
      <c r="E8417" t="inlineStr">
        <is>
          <t>DILM-9-10</t>
        </is>
      </c>
      <c r="F8417" t="inlineStr">
        <is>
          <t>#KALK!</t>
        </is>
      </c>
      <c r="G8417" t="inlineStr">
        <is>
          <t>LASTSCHUETZ</t>
        </is>
      </c>
      <c r="H8417" t="inlineStr">
        <is>
          <t>4kW 1S Federzugkl.</t>
        </is>
      </c>
      <c r="I8417">
        <v>2964</v>
      </c>
      <c r="J8417">
        <f>GS06/383.6</f>
        <v>0</v>
      </c>
      <c r="K8417" t="inlineStr">
        <is>
          <t>DIL MC9</t>
        </is>
      </c>
      <c r="M8417" t="inlineStr">
        <is>
          <t>-383Q139.6</t>
        </is>
      </c>
    </row>
    <row r="8418">
      <c r="A8418">
        <v>8417</v>
      </c>
      <c r="B8418">
        <f>GS35</f>
        <v>0</v>
      </c>
      <c r="C8418" t="inlineStr">
        <is>
          <t>+LS09</t>
        </is>
      </c>
      <c r="D8418" t="inlineStr">
        <is>
          <t>-383Q146.6</t>
        </is>
      </c>
      <c r="E8418" t="inlineStr">
        <is>
          <t>DILM-9-10</t>
        </is>
      </c>
      <c r="F8418" t="inlineStr">
        <is>
          <t>#KALK!</t>
        </is>
      </c>
      <c r="G8418" t="inlineStr">
        <is>
          <t>LASTSCHUETZ</t>
        </is>
      </c>
      <c r="H8418" t="inlineStr">
        <is>
          <t>4kW 1S Federzugkl.</t>
        </is>
      </c>
      <c r="I8418">
        <v>537</v>
      </c>
      <c r="J8418">
        <f>GS35/383.6</f>
        <v>0</v>
      </c>
      <c r="M8418" t="inlineStr">
        <is>
          <t>-383Q146.6</t>
        </is>
      </c>
    </row>
    <row r="8419">
      <c r="A8419">
        <v>8418</v>
      </c>
      <c r="B8419">
        <f>GS08</f>
        <v>0</v>
      </c>
      <c r="C8419" t="inlineStr">
        <is>
          <t>+LS06</t>
        </is>
      </c>
      <c r="D8419" t="inlineStr">
        <is>
          <t>-383Q239.4</t>
        </is>
      </c>
      <c r="E8419" t="inlineStr">
        <is>
          <t>DILM-9-10</t>
        </is>
      </c>
      <c r="F8419" t="inlineStr">
        <is>
          <t>#KALK!</t>
        </is>
      </c>
      <c r="G8419" t="inlineStr">
        <is>
          <t>LASTSCHUETZ</t>
        </is>
      </c>
      <c r="H8419" t="inlineStr">
        <is>
          <t>4kW 1S Federzugkl.</t>
        </is>
      </c>
      <c r="I8419">
        <v>565</v>
      </c>
      <c r="J8419">
        <f>GS08/383.6</f>
        <v>0</v>
      </c>
      <c r="K8419" t="inlineStr">
        <is>
          <t>DIL MC9</t>
        </is>
      </c>
      <c r="M8419" t="inlineStr">
        <is>
          <t>-383Q239.4</t>
        </is>
      </c>
    </row>
    <row r="8420">
      <c r="A8420">
        <v>8419</v>
      </c>
      <c r="B8420">
        <f>GS13</f>
        <v>0</v>
      </c>
      <c r="C8420" t="inlineStr">
        <is>
          <t>+LS9</t>
        </is>
      </c>
      <c r="D8420" t="inlineStr">
        <is>
          <t>-3843607.3</t>
        </is>
      </c>
      <c r="E8420" t="inlineStr">
        <is>
          <t>DIL_EM-10-G</t>
        </is>
      </c>
      <c r="F8420" t="inlineStr">
        <is>
          <t>#KALK!</t>
        </is>
      </c>
      <c r="G8420" t="inlineStr">
        <is>
          <t>LASTSCHUETZ</t>
        </is>
      </c>
      <c r="H8420" t="inlineStr">
        <is>
          <t>4kW 1S</t>
        </is>
      </c>
      <c r="I8420">
        <v>629</v>
      </c>
      <c r="J8420">
        <f>GS13/384.7</f>
        <v>0</v>
      </c>
      <c r="M8420" t="inlineStr">
        <is>
          <t>-3843607.3</t>
        </is>
      </c>
    </row>
    <row r="8421">
      <c r="A8421">
        <v>8420</v>
      </c>
      <c r="B8421">
        <f>GS24</f>
        <v>0</v>
      </c>
      <c r="C8421" t="inlineStr">
        <is>
          <t>+LS8</t>
        </is>
      </c>
      <c r="D8421" t="inlineStr">
        <is>
          <t>-384K26.4</t>
        </is>
      </c>
      <c r="E8421" t="inlineStr">
        <is>
          <t>DIL_EM-10-G</t>
        </is>
      </c>
      <c r="F8421" t="inlineStr">
        <is>
          <t>#KALK!</t>
        </is>
      </c>
      <c r="G8421" t="inlineStr">
        <is>
          <t>LASTSCHUETZ</t>
        </is>
      </c>
      <c r="H8421" t="inlineStr">
        <is>
          <t>4kW 1S</t>
        </is>
      </c>
      <c r="I8421">
        <v>703</v>
      </c>
      <c r="J8421">
        <f>GS24/384.6</f>
        <v>0</v>
      </c>
      <c r="M8421" t="inlineStr">
        <is>
          <t>-384K26.4</t>
        </is>
      </c>
    </row>
    <row r="8422">
      <c r="A8422">
        <v>8421</v>
      </c>
      <c r="B8422">
        <f>GS24</f>
        <v>0</v>
      </c>
      <c r="C8422" t="inlineStr">
        <is>
          <t>+LS8</t>
        </is>
      </c>
      <c r="D8422" t="inlineStr">
        <is>
          <t>-384K26.5</t>
        </is>
      </c>
      <c r="E8422" t="inlineStr">
        <is>
          <t>DIL_EM-10-G</t>
        </is>
      </c>
      <c r="F8422" t="inlineStr">
        <is>
          <t>#KALK!</t>
        </is>
      </c>
      <c r="G8422" t="inlineStr">
        <is>
          <t>LASTSCHUETZ</t>
        </is>
      </c>
      <c r="H8422" t="inlineStr">
        <is>
          <t>4kW 1S</t>
        </is>
      </c>
      <c r="I8422">
        <v>703</v>
      </c>
      <c r="J8422">
        <f>GS24/384.6</f>
        <v>0</v>
      </c>
      <c r="M8422" t="inlineStr">
        <is>
          <t>-384K26.5</t>
        </is>
      </c>
    </row>
    <row r="8423">
      <c r="A8423">
        <v>8422</v>
      </c>
      <c r="B8423">
        <f>GS25</f>
        <v>0</v>
      </c>
      <c r="C8423" t="inlineStr">
        <is>
          <t>+LS8</t>
        </is>
      </c>
      <c r="D8423" t="inlineStr">
        <is>
          <t>-384K29.3</t>
        </is>
      </c>
      <c r="E8423" t="inlineStr">
        <is>
          <t>DIL_EM-10-G</t>
        </is>
      </c>
      <c r="F8423" t="inlineStr">
        <is>
          <t>#KALK!</t>
        </is>
      </c>
      <c r="G8423" t="inlineStr">
        <is>
          <t>LASTSCHUETZ</t>
        </is>
      </c>
      <c r="H8423" t="inlineStr">
        <is>
          <t>4kW 1S</t>
        </is>
      </c>
      <c r="I8423">
        <v>508</v>
      </c>
      <c r="J8423">
        <f>GS25/384.7</f>
        <v>0</v>
      </c>
      <c r="M8423" t="inlineStr">
        <is>
          <t>-384K29.3</t>
        </is>
      </c>
    </row>
    <row r="8424">
      <c r="A8424">
        <v>8423</v>
      </c>
      <c r="B8424">
        <f>GS23</f>
        <v>0</v>
      </c>
      <c r="C8424" t="inlineStr">
        <is>
          <t>+LS9</t>
        </is>
      </c>
      <c r="D8424" t="inlineStr">
        <is>
          <t>-384K3607.3</t>
        </is>
      </c>
      <c r="E8424" t="inlineStr">
        <is>
          <t>DIL_EM-10-G</t>
        </is>
      </c>
      <c r="F8424" t="inlineStr">
        <is>
          <t>#KALK!</t>
        </is>
      </c>
      <c r="G8424" t="inlineStr">
        <is>
          <t>LASTSCHUETZ</t>
        </is>
      </c>
      <c r="H8424" t="inlineStr">
        <is>
          <t>4kW 1S</t>
        </is>
      </c>
      <c r="I8424">
        <v>685</v>
      </c>
      <c r="J8424">
        <f>GS23/384.7</f>
        <v>0</v>
      </c>
      <c r="M8424" t="inlineStr">
        <is>
          <t>-384K3607.3</t>
        </is>
      </c>
    </row>
    <row r="8425">
      <c r="A8425">
        <v>8424</v>
      </c>
      <c r="B8425">
        <f>GS16</f>
        <v>0</v>
      </c>
      <c r="C8425" t="inlineStr">
        <is>
          <t>+LS6</t>
        </is>
      </c>
      <c r="D8425" t="inlineStr">
        <is>
          <t>-384K44.6</t>
        </is>
      </c>
      <c r="E8425" t="inlineStr">
        <is>
          <t>DIL_ER-22-G</t>
        </is>
      </c>
      <c r="F8425" t="inlineStr">
        <is>
          <t>#KALK!</t>
        </is>
      </c>
      <c r="G8425" t="inlineStr">
        <is>
          <t>HILFSSCHUETZ</t>
        </is>
      </c>
      <c r="H8425" t="inlineStr">
        <is>
          <t>2S 2OE</t>
        </is>
      </c>
      <c r="I8425">
        <v>619</v>
      </c>
      <c r="J8425">
        <f>GS16/384.5</f>
        <v>0</v>
      </c>
      <c r="M8425" t="inlineStr">
        <is>
          <t>-384K44.6</t>
        </is>
      </c>
    </row>
    <row r="8426">
      <c r="A8426">
        <v>8425</v>
      </c>
      <c r="B8426">
        <f>GS11</f>
        <v>0</v>
      </c>
      <c r="C8426" t="inlineStr">
        <is>
          <t>+LS10</t>
        </is>
      </c>
      <c r="D8426" t="inlineStr">
        <is>
          <t>-384K64.2</t>
        </is>
      </c>
      <c r="E8426" t="inlineStr">
        <is>
          <t>DIL_EM-10-G</t>
        </is>
      </c>
      <c r="F8426" t="inlineStr">
        <is>
          <t>#KALK!</t>
        </is>
      </c>
      <c r="G8426" t="inlineStr">
        <is>
          <t>LASTSCHUETZ</t>
        </is>
      </c>
      <c r="H8426" t="inlineStr">
        <is>
          <t>4kW 1S</t>
        </is>
      </c>
      <c r="I8426">
        <v>490</v>
      </c>
      <c r="J8426">
        <f>GS11/384.6</f>
        <v>0</v>
      </c>
      <c r="M8426" t="inlineStr">
        <is>
          <t>-384K64.2</t>
        </is>
      </c>
    </row>
    <row r="8427">
      <c r="A8427">
        <v>8426</v>
      </c>
      <c r="B8427">
        <f>GS21</f>
        <v>0</v>
      </c>
      <c r="C8427" t="inlineStr">
        <is>
          <t>+LS10</t>
        </is>
      </c>
      <c r="D8427" t="inlineStr">
        <is>
          <t>-384K64.2</t>
        </is>
      </c>
      <c r="E8427" t="inlineStr">
        <is>
          <t>DIL_EM-10-G</t>
        </is>
      </c>
      <c r="F8427" t="inlineStr">
        <is>
          <t>#KALK!</t>
        </is>
      </c>
      <c r="G8427" t="inlineStr">
        <is>
          <t>LASTSCHUETZ</t>
        </is>
      </c>
      <c r="H8427" t="inlineStr">
        <is>
          <t>4kW 1S</t>
        </is>
      </c>
      <c r="I8427">
        <v>472</v>
      </c>
      <c r="J8427">
        <f>GS21/384.6</f>
        <v>0</v>
      </c>
      <c r="M8427" t="inlineStr">
        <is>
          <t>-384K64.2</t>
        </is>
      </c>
    </row>
    <row r="8428">
      <c r="A8428">
        <v>8427</v>
      </c>
      <c r="B8428">
        <f>GS11</f>
        <v>0</v>
      </c>
      <c r="C8428" t="inlineStr">
        <is>
          <t>+LS10</t>
        </is>
      </c>
      <c r="D8428" t="inlineStr">
        <is>
          <t>-384K66.5</t>
        </is>
      </c>
      <c r="E8428" t="inlineStr">
        <is>
          <t>DIL_EM-10-G</t>
        </is>
      </c>
      <c r="F8428" t="inlineStr">
        <is>
          <t>#KALK!</t>
        </is>
      </c>
      <c r="G8428" t="inlineStr">
        <is>
          <t>LASTSCHUETZ</t>
        </is>
      </c>
      <c r="H8428" t="inlineStr">
        <is>
          <t>4kW 1S</t>
        </is>
      </c>
      <c r="I8428">
        <v>490</v>
      </c>
      <c r="J8428">
        <f>GS11/384.6</f>
        <v>0</v>
      </c>
      <c r="M8428" t="inlineStr">
        <is>
          <t>-384K66.5</t>
        </is>
      </c>
    </row>
    <row r="8429">
      <c r="A8429">
        <v>8428</v>
      </c>
      <c r="B8429">
        <f>GS21</f>
        <v>0</v>
      </c>
      <c r="C8429" t="inlineStr">
        <is>
          <t>+LS10</t>
        </is>
      </c>
      <c r="D8429" t="inlineStr">
        <is>
          <t>-384K66.5</t>
        </is>
      </c>
      <c r="E8429" t="inlineStr">
        <is>
          <t>DIL_EM-10-G</t>
        </is>
      </c>
      <c r="F8429" t="inlineStr">
        <is>
          <t>#KALK!</t>
        </is>
      </c>
      <c r="G8429" t="inlineStr">
        <is>
          <t>LASTSCHUETZ</t>
        </is>
      </c>
      <c r="H8429" t="inlineStr">
        <is>
          <t>4kW 1S</t>
        </is>
      </c>
      <c r="I8429">
        <v>472</v>
      </c>
      <c r="J8429">
        <f>GS21/384.6</f>
        <v>0</v>
      </c>
      <c r="M8429" t="inlineStr">
        <is>
          <t>-384K66.5</t>
        </is>
      </c>
    </row>
    <row r="8430">
      <c r="A8430">
        <v>8429</v>
      </c>
      <c r="B8430">
        <f>GS13</f>
        <v>0</v>
      </c>
      <c r="C8430" t="inlineStr">
        <is>
          <t>+LS9</t>
        </is>
      </c>
      <c r="D8430" t="inlineStr">
        <is>
          <t>-3853607.7</t>
        </is>
      </c>
      <c r="E8430" t="inlineStr">
        <is>
          <t>DIL_EM-10-G</t>
        </is>
      </c>
      <c r="F8430" t="inlineStr">
        <is>
          <t>#KALK!</t>
        </is>
      </c>
      <c r="G8430" t="inlineStr">
        <is>
          <t>LASTSCHUETZ</t>
        </is>
      </c>
      <c r="H8430" t="inlineStr">
        <is>
          <t>4kW 1S</t>
        </is>
      </c>
      <c r="I8430">
        <v>630</v>
      </c>
      <c r="J8430">
        <f>GS13/385.7</f>
        <v>0</v>
      </c>
      <c r="M8430" t="inlineStr">
        <is>
          <t>-3853607.7</t>
        </is>
      </c>
    </row>
    <row r="8431">
      <c r="A8431">
        <v>8430</v>
      </c>
      <c r="B8431">
        <f>GC03</f>
        <v>0</v>
      </c>
      <c r="C8431" t="inlineStr">
        <is>
          <t>+LS9</t>
        </is>
      </c>
      <c r="D8431" t="inlineStr">
        <is>
          <t>-385K1</t>
        </is>
      </c>
      <c r="E8431" t="inlineStr">
        <is>
          <t>22_DIL-M</t>
        </is>
      </c>
      <c r="F8431" t="inlineStr">
        <is>
          <t>22_DIL-M</t>
        </is>
      </c>
      <c r="G8431" t="inlineStr">
        <is>
          <t>HILFSKONTAKTBLOCK</t>
        </is>
      </c>
      <c r="H8431" t="inlineStr">
        <is>
          <t>2S 2OE Lastschuetz DIL M</t>
        </is>
      </c>
      <c r="I8431">
        <v>3556</v>
      </c>
      <c r="J8431">
        <f>GC03/385.2</f>
        <v>0</v>
      </c>
      <c r="K8431" t="inlineStr">
        <is>
          <t>DIL0AM</t>
        </is>
      </c>
      <c r="M8431" t="inlineStr">
        <is>
          <t>-385K1</t>
        </is>
      </c>
    </row>
    <row r="8432">
      <c r="A8432">
        <v>8431</v>
      </c>
      <c r="B8432">
        <f>GC03</f>
        <v>0</v>
      </c>
      <c r="C8432" t="inlineStr">
        <is>
          <t>+LS9</t>
        </is>
      </c>
      <c r="D8432" t="inlineStr">
        <is>
          <t>-385K1</t>
        </is>
      </c>
      <c r="E8432" t="inlineStr">
        <is>
          <t>DIL_0AM</t>
        </is>
      </c>
      <c r="F8432" t="inlineStr">
        <is>
          <t>22_DIL-M</t>
        </is>
      </c>
      <c r="G8432" t="inlineStr">
        <is>
          <t>LASTSCHUETZ</t>
        </is>
      </c>
      <c r="H8432" t="inlineStr">
        <is>
          <t>11 kW</t>
        </is>
      </c>
      <c r="I8432">
        <v>3556</v>
      </c>
      <c r="J8432">
        <f>GC03/385.2</f>
        <v>0</v>
      </c>
      <c r="K8432" t="inlineStr">
        <is>
          <t>DIL0AM</t>
        </is>
      </c>
      <c r="M8432" t="inlineStr">
        <is>
          <t>-385K1</t>
        </is>
      </c>
    </row>
    <row r="8433">
      <c r="A8433">
        <v>8432</v>
      </c>
      <c r="B8433">
        <f>GS20</f>
        <v>0</v>
      </c>
      <c r="C8433" t="inlineStr">
        <is>
          <t>+LS09</t>
        </is>
      </c>
      <c r="D8433" t="inlineStr">
        <is>
          <t>-385K1</t>
        </is>
      </c>
      <c r="E8433" t="inlineStr">
        <is>
          <t>DILM-9-10</t>
        </is>
      </c>
      <c r="F8433" t="inlineStr">
        <is>
          <t>DILA-XHI22</t>
        </is>
      </c>
      <c r="G8433" t="inlineStr">
        <is>
          <t>LASTSCHUETZ</t>
        </is>
      </c>
      <c r="H8433" t="inlineStr">
        <is>
          <t>4kW 1S Federzugkl.</t>
        </is>
      </c>
      <c r="I8433">
        <v>2703</v>
      </c>
      <c r="J8433">
        <f>GS20/385.5</f>
        <v>0</v>
      </c>
      <c r="M8433" t="inlineStr">
        <is>
          <t>-385K1</t>
        </is>
      </c>
    </row>
    <row r="8434">
      <c r="A8434">
        <v>8433</v>
      </c>
      <c r="B8434">
        <f>GS20</f>
        <v>0</v>
      </c>
      <c r="C8434" t="inlineStr">
        <is>
          <t>+LS09</t>
        </is>
      </c>
      <c r="D8434" t="inlineStr">
        <is>
          <t>-385K1</t>
        </is>
      </c>
      <c r="E8434" t="inlineStr">
        <is>
          <t>DILA-XHI22</t>
        </is>
      </c>
      <c r="F8434" t="inlineStr">
        <is>
          <t>DILA-XHI22</t>
        </is>
      </c>
      <c r="G8434" t="inlineStr">
        <is>
          <t>HILFSKONTAKTBLOCK</t>
        </is>
      </c>
      <c r="H8434" t="inlineStr">
        <is>
          <t>2S 2OE Last+Hilfssch. Cage</t>
        </is>
      </c>
      <c r="I8434">
        <v>2703</v>
      </c>
      <c r="J8434">
        <f>GS20/385.5</f>
        <v>0</v>
      </c>
      <c r="M8434" t="inlineStr">
        <is>
          <t>-385K1</t>
        </is>
      </c>
    </row>
    <row r="8435">
      <c r="A8435">
        <v>8434</v>
      </c>
      <c r="B8435">
        <f>GS30</f>
        <v>0</v>
      </c>
      <c r="C8435" t="inlineStr">
        <is>
          <t>+LS11</t>
        </is>
      </c>
      <c r="D8435" t="inlineStr">
        <is>
          <t>-385K1</t>
        </is>
      </c>
      <c r="E8435" t="inlineStr">
        <is>
          <t>DILA-XHI22</t>
        </is>
      </c>
      <c r="F8435" t="inlineStr">
        <is>
          <t>DILA-XHI22</t>
        </is>
      </c>
      <c r="G8435" t="inlineStr">
        <is>
          <t>HILFSKONTAKTBLOCK</t>
        </is>
      </c>
      <c r="H8435" t="inlineStr">
        <is>
          <t>2S 2OE Last+Hilfssch. Cage</t>
        </is>
      </c>
      <c r="I8435">
        <v>932</v>
      </c>
      <c r="J8435">
        <f>GS30/385.5</f>
        <v>0</v>
      </c>
      <c r="M8435" t="inlineStr">
        <is>
          <t>-385K1</t>
        </is>
      </c>
    </row>
    <row r="8436">
      <c r="A8436">
        <v>8435</v>
      </c>
      <c r="B8436">
        <f>GS30</f>
        <v>0</v>
      </c>
      <c r="C8436" t="inlineStr">
        <is>
          <t>+LS11</t>
        </is>
      </c>
      <c r="D8436" t="inlineStr">
        <is>
          <t>-385K1</t>
        </is>
      </c>
      <c r="E8436" t="inlineStr">
        <is>
          <t>DILM-9-10</t>
        </is>
      </c>
      <c r="F8436" t="inlineStr">
        <is>
          <t>DILA-XHI22</t>
        </is>
      </c>
      <c r="G8436" t="inlineStr">
        <is>
          <t>LASTSCHUETZ</t>
        </is>
      </c>
      <c r="H8436" t="inlineStr">
        <is>
          <t>4kW 1S Federzugkl.</t>
        </is>
      </c>
      <c r="I8436">
        <v>932</v>
      </c>
      <c r="J8436">
        <f>GS30/385.5</f>
        <v>0</v>
      </c>
      <c r="M8436" t="inlineStr">
        <is>
          <t>-385K1</t>
        </is>
      </c>
    </row>
    <row r="8437">
      <c r="A8437">
        <v>8436</v>
      </c>
      <c r="B8437">
        <f>GS91</f>
        <v>0</v>
      </c>
      <c r="C8437" t="inlineStr">
        <is>
          <t>+LS06</t>
        </is>
      </c>
      <c r="D8437" t="inlineStr">
        <is>
          <t>-385K196.0</t>
        </is>
      </c>
      <c r="E8437" t="inlineStr">
        <is>
          <t>DILA-40</t>
        </is>
      </c>
      <c r="F8437" t="inlineStr">
        <is>
          <t>#KALK!</t>
        </is>
      </c>
      <c r="G8437" t="inlineStr">
        <is>
          <t>HILFSSCHUETZ</t>
        </is>
      </c>
      <c r="H8437" t="inlineStr">
        <is>
          <t>4S Federzugkl.</t>
        </is>
      </c>
      <c r="I8437">
        <v>533</v>
      </c>
      <c r="J8437">
        <f>GS91/385.7</f>
        <v>0</v>
      </c>
      <c r="M8437" t="inlineStr">
        <is>
          <t>-385K196.0</t>
        </is>
      </c>
    </row>
    <row r="8438">
      <c r="A8438">
        <v>8437</v>
      </c>
      <c r="B8438">
        <f>GS20</f>
        <v>0</v>
      </c>
      <c r="C8438" t="inlineStr">
        <is>
          <t>+LS09</t>
        </is>
      </c>
      <c r="D8438" t="inlineStr">
        <is>
          <t>-385K2</t>
        </is>
      </c>
      <c r="E8438" t="inlineStr">
        <is>
          <t>DILM-9-10</t>
        </is>
      </c>
      <c r="F8438" t="inlineStr">
        <is>
          <t>DILA-XHI22</t>
        </is>
      </c>
      <c r="G8438" t="inlineStr">
        <is>
          <t>LASTSCHUETZ</t>
        </is>
      </c>
      <c r="H8438" t="inlineStr">
        <is>
          <t>4kW 1S Federzugkl.</t>
        </is>
      </c>
      <c r="I8438">
        <v>2703</v>
      </c>
      <c r="J8438">
        <f>GS20/385.6</f>
        <v>0</v>
      </c>
      <c r="M8438" t="inlineStr">
        <is>
          <t>-385K2</t>
        </is>
      </c>
    </row>
    <row r="8439">
      <c r="A8439">
        <v>8438</v>
      </c>
      <c r="B8439">
        <f>GS20</f>
        <v>0</v>
      </c>
      <c r="C8439" t="inlineStr">
        <is>
          <t>+LS09</t>
        </is>
      </c>
      <c r="D8439" t="inlineStr">
        <is>
          <t>-385K2</t>
        </is>
      </c>
      <c r="E8439" t="inlineStr">
        <is>
          <t>DILA-XHI22</t>
        </is>
      </c>
      <c r="F8439" t="inlineStr">
        <is>
          <t>DILA-XHI22</t>
        </is>
      </c>
      <c r="G8439" t="inlineStr">
        <is>
          <t>HILFSKONTAKTBLOCK</t>
        </is>
      </c>
      <c r="H8439" t="inlineStr">
        <is>
          <t>2S 2OE Last+Hilfssch. Cage</t>
        </is>
      </c>
      <c r="I8439">
        <v>2703</v>
      </c>
      <c r="J8439">
        <f>GS20/385.6</f>
        <v>0</v>
      </c>
      <c r="M8439" t="inlineStr">
        <is>
          <t>-385K2</t>
        </is>
      </c>
    </row>
    <row r="8440">
      <c r="A8440">
        <v>8439</v>
      </c>
      <c r="B8440">
        <f>GS30</f>
        <v>0</v>
      </c>
      <c r="C8440" t="inlineStr">
        <is>
          <t>+LS11</t>
        </is>
      </c>
      <c r="D8440" t="inlineStr">
        <is>
          <t>-385K2</t>
        </is>
      </c>
      <c r="E8440" t="inlineStr">
        <is>
          <t>DILM-9-10</t>
        </is>
      </c>
      <c r="F8440" t="inlineStr">
        <is>
          <t>DILA-XHI22</t>
        </is>
      </c>
      <c r="G8440" t="inlineStr">
        <is>
          <t>LASTSCHUETZ</t>
        </is>
      </c>
      <c r="H8440" t="inlineStr">
        <is>
          <t>4kW 1S Federzugkl.</t>
        </is>
      </c>
      <c r="I8440">
        <v>932</v>
      </c>
      <c r="J8440">
        <f>GS30/385.6</f>
        <v>0</v>
      </c>
      <c r="M8440" t="inlineStr">
        <is>
          <t>-385K2</t>
        </is>
      </c>
    </row>
    <row r="8441">
      <c r="A8441">
        <v>8440</v>
      </c>
      <c r="B8441">
        <f>GS30</f>
        <v>0</v>
      </c>
      <c r="C8441" t="inlineStr">
        <is>
          <t>+LS11</t>
        </is>
      </c>
      <c r="D8441" t="inlineStr">
        <is>
          <t>-385K2</t>
        </is>
      </c>
      <c r="E8441" t="inlineStr">
        <is>
          <t>DILA-XHI22</t>
        </is>
      </c>
      <c r="F8441" t="inlineStr">
        <is>
          <t>DILA-XHI22</t>
        </is>
      </c>
      <c r="G8441" t="inlineStr">
        <is>
          <t>HILFSKONTAKTBLOCK</t>
        </is>
      </c>
      <c r="H8441" t="inlineStr">
        <is>
          <t>2S 2OE Last+Hilfssch. Cage</t>
        </is>
      </c>
      <c r="I8441">
        <v>932</v>
      </c>
      <c r="J8441">
        <f>GS30/385.6</f>
        <v>0</v>
      </c>
      <c r="M8441" t="inlineStr">
        <is>
          <t>-385K2</t>
        </is>
      </c>
    </row>
    <row r="8442">
      <c r="A8442">
        <v>8441</v>
      </c>
      <c r="B8442">
        <f>GS90</f>
        <v>0</v>
      </c>
      <c r="C8442" t="inlineStr">
        <is>
          <t>+LS07</t>
        </is>
      </c>
      <c r="D8442" t="inlineStr">
        <is>
          <t>-385K201.0</t>
        </is>
      </c>
      <c r="E8442" t="inlineStr">
        <is>
          <t>DILA-40</t>
        </is>
      </c>
      <c r="F8442" t="inlineStr">
        <is>
          <t>#KALK!</t>
        </is>
      </c>
      <c r="G8442" t="inlineStr">
        <is>
          <t>HILFSSCHUETZ</t>
        </is>
      </c>
      <c r="H8442" t="inlineStr">
        <is>
          <t>4S Federzugkl.</t>
        </is>
      </c>
      <c r="I8442">
        <v>855</v>
      </c>
      <c r="J8442">
        <f>GS90/385.7</f>
        <v>0</v>
      </c>
      <c r="M8442" t="inlineStr">
        <is>
          <t>-385K201.0</t>
        </is>
      </c>
    </row>
    <row r="8443">
      <c r="A8443">
        <v>8442</v>
      </c>
      <c r="B8443">
        <f>GS24</f>
        <v>0</v>
      </c>
      <c r="C8443" t="inlineStr">
        <is>
          <t>+LS8</t>
        </is>
      </c>
      <c r="D8443" t="inlineStr">
        <is>
          <t>-385K27.3</t>
        </is>
      </c>
      <c r="E8443" t="inlineStr">
        <is>
          <t>DIL_EM-10-G</t>
        </is>
      </c>
      <c r="F8443" t="inlineStr">
        <is>
          <t>#KALK!</t>
        </is>
      </c>
      <c r="G8443" t="inlineStr">
        <is>
          <t>LASTSCHUETZ</t>
        </is>
      </c>
      <c r="H8443" t="inlineStr">
        <is>
          <t>4kW 1S</t>
        </is>
      </c>
      <c r="I8443">
        <v>702</v>
      </c>
      <c r="J8443">
        <f>GS24/385.7</f>
        <v>0</v>
      </c>
      <c r="M8443" t="inlineStr">
        <is>
          <t>-385K27.3</t>
        </is>
      </c>
    </row>
    <row r="8444">
      <c r="A8444">
        <v>8443</v>
      </c>
      <c r="B8444">
        <f>GS23</f>
        <v>0</v>
      </c>
      <c r="C8444" t="inlineStr">
        <is>
          <t>+LS9</t>
        </is>
      </c>
      <c r="D8444" t="inlineStr">
        <is>
          <t>-385K3607.7</t>
        </is>
      </c>
      <c r="E8444" t="inlineStr">
        <is>
          <t>DIL_EM-10-G</t>
        </is>
      </c>
      <c r="F8444" t="inlineStr">
        <is>
          <t>#KALK!</t>
        </is>
      </c>
      <c r="G8444" t="inlineStr">
        <is>
          <t>LASTSCHUETZ</t>
        </is>
      </c>
      <c r="H8444" t="inlineStr">
        <is>
          <t>4kW 1S</t>
        </is>
      </c>
      <c r="I8444">
        <v>686</v>
      </c>
      <c r="J8444">
        <f>GS23/385.7</f>
        <v>0</v>
      </c>
      <c r="M8444" t="inlineStr">
        <is>
          <t>-385K3607.7</t>
        </is>
      </c>
    </row>
    <row r="8445">
      <c r="A8445">
        <v>8444</v>
      </c>
      <c r="B8445">
        <f>GS34</f>
        <v>0</v>
      </c>
      <c r="C8445" t="inlineStr">
        <is>
          <t>+LS8</t>
        </is>
      </c>
      <c r="D8445" t="inlineStr">
        <is>
          <t>-385K37.0</t>
        </is>
      </c>
      <c r="E8445" t="inlineStr">
        <is>
          <t>DIL_EM-10-G</t>
        </is>
      </c>
      <c r="F8445" t="inlineStr">
        <is>
          <t>#KALK!</t>
        </is>
      </c>
      <c r="G8445" t="inlineStr">
        <is>
          <t>LASTSCHUETZ</t>
        </is>
      </c>
      <c r="H8445" t="inlineStr">
        <is>
          <t>4kW 1S</t>
        </is>
      </c>
      <c r="I8445">
        <v>510</v>
      </c>
      <c r="J8445">
        <f>GS34/385.6</f>
        <v>0</v>
      </c>
      <c r="M8445" t="inlineStr">
        <is>
          <t>-385K37.0</t>
        </is>
      </c>
    </row>
    <row r="8446">
      <c r="A8446">
        <v>8445</v>
      </c>
      <c r="B8446">
        <f>GS34</f>
        <v>0</v>
      </c>
      <c r="C8446" t="inlineStr">
        <is>
          <t>+LS8</t>
        </is>
      </c>
      <c r="D8446" t="inlineStr">
        <is>
          <t>-385K37.1</t>
        </is>
      </c>
      <c r="E8446" t="inlineStr">
        <is>
          <t>DIL_EM-10-G</t>
        </is>
      </c>
      <c r="F8446" t="inlineStr">
        <is>
          <t>#KALK!</t>
        </is>
      </c>
      <c r="G8446" t="inlineStr">
        <is>
          <t>LASTSCHUETZ</t>
        </is>
      </c>
      <c r="H8446" t="inlineStr">
        <is>
          <t>4kW 1S</t>
        </is>
      </c>
      <c r="I8446">
        <v>510</v>
      </c>
      <c r="J8446">
        <f>GS34/385.6</f>
        <v>0</v>
      </c>
      <c r="M8446" t="inlineStr">
        <is>
          <t>-385K37.1</t>
        </is>
      </c>
    </row>
    <row r="8447">
      <c r="A8447">
        <v>8446</v>
      </c>
      <c r="B8447">
        <f>GS36</f>
        <v>0</v>
      </c>
      <c r="C8447" t="inlineStr">
        <is>
          <t>+LS10</t>
        </is>
      </c>
      <c r="D8447" t="inlineStr">
        <is>
          <t>-895K705.4</t>
        </is>
      </c>
      <c r="E8447" t="inlineStr">
        <is>
          <t>DILA-40</t>
        </is>
      </c>
      <c r="F8447" t="inlineStr">
        <is>
          <t>#KALK!</t>
        </is>
      </c>
      <c r="G8447" t="inlineStr">
        <is>
          <t>HILFSSCHUETZ</t>
        </is>
      </c>
      <c r="H8447" t="inlineStr">
        <is>
          <t>4S Federzugkl.</t>
        </is>
      </c>
      <c r="I8447">
        <v>1648</v>
      </c>
      <c r="J8447">
        <f>GS36/895.7</f>
        <v>0</v>
      </c>
      <c r="M8447" t="inlineStr">
        <is>
          <t>-895K705.4</t>
        </is>
      </c>
    </row>
    <row r="8448">
      <c r="A8448">
        <v>8447</v>
      </c>
      <c r="B8448">
        <f>GS16</f>
        <v>0</v>
      </c>
      <c r="C8448" t="inlineStr">
        <is>
          <t>+LS6</t>
        </is>
      </c>
      <c r="D8448" t="inlineStr">
        <is>
          <t>-385K45.2</t>
        </is>
      </c>
      <c r="E8448" t="inlineStr">
        <is>
          <t>DIL_EM-10-G</t>
        </is>
      </c>
      <c r="F8448" t="inlineStr">
        <is>
          <t>#KALK!</t>
        </is>
      </c>
      <c r="G8448" t="inlineStr">
        <is>
          <t>LASTSCHUETZ</t>
        </is>
      </c>
      <c r="H8448" t="inlineStr">
        <is>
          <t>4kW 1S</t>
        </is>
      </c>
      <c r="I8448">
        <v>620</v>
      </c>
      <c r="J8448">
        <f>GS16/385.7</f>
        <v>0</v>
      </c>
      <c r="M8448" t="inlineStr">
        <is>
          <t>-385K45.2</t>
        </is>
      </c>
    </row>
    <row r="8449">
      <c r="A8449">
        <v>8448</v>
      </c>
      <c r="B8449">
        <f>GS46</f>
        <v>0</v>
      </c>
      <c r="C8449" t="inlineStr">
        <is>
          <t>+LS06</t>
        </is>
      </c>
      <c r="D8449" t="inlineStr">
        <is>
          <t>-385K454.0</t>
        </is>
      </c>
      <c r="E8449" t="inlineStr">
        <is>
          <t>DILA-40</t>
        </is>
      </c>
      <c r="F8449" t="inlineStr">
        <is>
          <t>#KALK!</t>
        </is>
      </c>
      <c r="G8449" t="inlineStr">
        <is>
          <t>HILFSSCHUETZ</t>
        </is>
      </c>
      <c r="H8449" t="inlineStr">
        <is>
          <t>4S Federzugkl.</t>
        </is>
      </c>
      <c r="I8449">
        <v>672</v>
      </c>
      <c r="J8449">
        <f>GS46/385.7</f>
        <v>0</v>
      </c>
      <c r="M8449" t="inlineStr">
        <is>
          <t>-385K454.0</t>
        </is>
      </c>
    </row>
    <row r="8450">
      <c r="A8450">
        <v>8449</v>
      </c>
      <c r="B8450">
        <f>GS47</f>
        <v>0</v>
      </c>
      <c r="C8450" t="inlineStr">
        <is>
          <t>+LS06</t>
        </is>
      </c>
      <c r="D8450" t="inlineStr">
        <is>
          <t>-385K454.0</t>
        </is>
      </c>
      <c r="E8450" t="inlineStr">
        <is>
          <t>DILA-40</t>
        </is>
      </c>
      <c r="F8450" t="inlineStr">
        <is>
          <t>#KALK!</t>
        </is>
      </c>
      <c r="G8450" t="inlineStr">
        <is>
          <t>HILFSSCHUETZ</t>
        </is>
      </c>
      <c r="H8450" t="inlineStr">
        <is>
          <t>4S Federzugkl.</t>
        </is>
      </c>
      <c r="I8450">
        <v>672</v>
      </c>
      <c r="J8450">
        <f>GS47/385.7</f>
        <v>0</v>
      </c>
      <c r="M8450" t="inlineStr">
        <is>
          <t>-385K454.0</t>
        </is>
      </c>
    </row>
    <row r="8451">
      <c r="A8451">
        <v>8450</v>
      </c>
      <c r="B8451">
        <f>GS48</f>
        <v>0</v>
      </c>
      <c r="C8451" t="inlineStr">
        <is>
          <t>+LS06</t>
        </is>
      </c>
      <c r="D8451" t="inlineStr">
        <is>
          <t>-385K454.0</t>
        </is>
      </c>
      <c r="E8451" t="inlineStr">
        <is>
          <t>DILA-40</t>
        </is>
      </c>
      <c r="F8451" t="inlineStr">
        <is>
          <t>#KALK!</t>
        </is>
      </c>
      <c r="G8451" t="inlineStr">
        <is>
          <t>HILFSSCHUETZ</t>
        </is>
      </c>
      <c r="H8451" t="inlineStr">
        <is>
          <t>4S Federzugkl.</t>
        </is>
      </c>
      <c r="I8451">
        <v>517</v>
      </c>
      <c r="J8451">
        <f>GS48/385.7</f>
        <v>0</v>
      </c>
      <c r="M8451" t="inlineStr">
        <is>
          <t>-385K454.0</t>
        </is>
      </c>
    </row>
    <row r="8452">
      <c r="A8452">
        <v>8451</v>
      </c>
      <c r="B8452">
        <f>GS49</f>
        <v>0</v>
      </c>
      <c r="C8452" t="inlineStr">
        <is>
          <t>+LS06</t>
        </is>
      </c>
      <c r="D8452" t="inlineStr">
        <is>
          <t>-385K454.0</t>
        </is>
      </c>
      <c r="E8452" t="inlineStr">
        <is>
          <t>DILA-40</t>
        </is>
      </c>
      <c r="F8452" t="inlineStr">
        <is>
          <t>#KALK!</t>
        </is>
      </c>
      <c r="G8452" t="inlineStr">
        <is>
          <t>HILFSSCHUETZ</t>
        </is>
      </c>
      <c r="H8452" t="inlineStr">
        <is>
          <t>4S Federzugkl.</t>
        </is>
      </c>
      <c r="I8452">
        <v>516</v>
      </c>
      <c r="J8452">
        <f>GS49/385.7</f>
        <v>0</v>
      </c>
      <c r="M8452" t="inlineStr">
        <is>
          <t>-385K454.0</t>
        </is>
      </c>
    </row>
    <row r="8453">
      <c r="A8453">
        <v>8452</v>
      </c>
      <c r="B8453">
        <f>GS92</f>
        <v>0</v>
      </c>
      <c r="C8453" t="inlineStr">
        <is>
          <t>+LS07</t>
        </is>
      </c>
      <c r="D8453" t="inlineStr">
        <is>
          <t>-385K462.0</t>
        </is>
      </c>
      <c r="E8453" t="inlineStr">
        <is>
          <t>DILA-40</t>
        </is>
      </c>
      <c r="F8453" t="inlineStr">
        <is>
          <t>#KALK!</t>
        </is>
      </c>
      <c r="G8453" t="inlineStr">
        <is>
          <t>HILFSSCHUETZ</t>
        </is>
      </c>
      <c r="H8453" t="inlineStr">
        <is>
          <t>4S Federzugkl.</t>
        </is>
      </c>
      <c r="I8453">
        <v>531</v>
      </c>
      <c r="J8453">
        <f>GS92/385.7</f>
        <v>0</v>
      </c>
      <c r="M8453" t="inlineStr">
        <is>
          <t>-385K462.0</t>
        </is>
      </c>
    </row>
    <row r="8454">
      <c r="A8454">
        <v>8453</v>
      </c>
      <c r="B8454">
        <f>GS11</f>
        <v>0</v>
      </c>
      <c r="C8454" t="inlineStr">
        <is>
          <t>+LS10</t>
        </is>
      </c>
      <c r="D8454" t="inlineStr">
        <is>
          <t>-385K64.3</t>
        </is>
      </c>
      <c r="E8454" t="inlineStr">
        <is>
          <t>DIL_EM-10-G</t>
        </is>
      </c>
      <c r="F8454" t="inlineStr">
        <is>
          <t>#KALK!</t>
        </is>
      </c>
      <c r="G8454" t="inlineStr">
        <is>
          <t>LASTSCHUETZ</t>
        </is>
      </c>
      <c r="H8454" t="inlineStr">
        <is>
          <t>4kW 1S</t>
        </is>
      </c>
      <c r="I8454">
        <v>491</v>
      </c>
      <c r="J8454">
        <f>GS11/385.6</f>
        <v>0</v>
      </c>
      <c r="M8454" t="inlineStr">
        <is>
          <t>-385K64.3</t>
        </is>
      </c>
    </row>
    <row r="8455">
      <c r="A8455">
        <v>8454</v>
      </c>
      <c r="B8455">
        <f>GS21</f>
        <v>0</v>
      </c>
      <c r="C8455" t="inlineStr">
        <is>
          <t>+LS10</t>
        </is>
      </c>
      <c r="D8455" t="inlineStr">
        <is>
          <t>-385K64.3</t>
        </is>
      </c>
      <c r="E8455" t="inlineStr">
        <is>
          <t>DIL_EM-10-G</t>
        </is>
      </c>
      <c r="F8455" t="inlineStr">
        <is>
          <t>#KALK!</t>
        </is>
      </c>
      <c r="G8455" t="inlineStr">
        <is>
          <t>LASTSCHUETZ</t>
        </is>
      </c>
      <c r="H8455" t="inlineStr">
        <is>
          <t>4kW 1S</t>
        </is>
      </c>
      <c r="I8455">
        <v>473</v>
      </c>
      <c r="J8455">
        <f>GS21/385.6</f>
        <v>0</v>
      </c>
      <c r="M8455" t="inlineStr">
        <is>
          <t>-385K64.3</t>
        </is>
      </c>
    </row>
    <row r="8456">
      <c r="A8456">
        <v>8455</v>
      </c>
      <c r="B8456">
        <f>GS02</f>
        <v>0</v>
      </c>
      <c r="C8456" t="inlineStr">
        <is>
          <t>+LS9</t>
        </is>
      </c>
      <c r="D8456" t="inlineStr">
        <is>
          <t>-385K64.5</t>
        </is>
      </c>
      <c r="E8456" t="inlineStr">
        <is>
          <t>DIL_EM-10-G</t>
        </is>
      </c>
      <c r="F8456" t="inlineStr">
        <is>
          <t>#KALK!</t>
        </is>
      </c>
      <c r="G8456" t="inlineStr">
        <is>
          <t>LASTSCHUETZ</t>
        </is>
      </c>
      <c r="H8456" t="inlineStr">
        <is>
          <t>4kW 1S</t>
        </is>
      </c>
      <c r="I8456">
        <v>792</v>
      </c>
      <c r="J8456">
        <f>GS02/385.5</f>
        <v>0</v>
      </c>
      <c r="M8456" t="inlineStr">
        <is>
          <t>-385K64.5</t>
        </is>
      </c>
    </row>
    <row r="8457">
      <c r="A8457">
        <v>8456</v>
      </c>
      <c r="B8457">
        <f>GS02</f>
        <v>0</v>
      </c>
      <c r="C8457" t="inlineStr">
        <is>
          <t>+LS9</t>
        </is>
      </c>
      <c r="D8457" t="inlineStr">
        <is>
          <t>-385K64.6</t>
        </is>
      </c>
      <c r="E8457" t="inlineStr">
        <is>
          <t>DIL_EM-10-G</t>
        </is>
      </c>
      <c r="F8457" t="inlineStr">
        <is>
          <t>#KALK!</t>
        </is>
      </c>
      <c r="G8457" t="inlineStr">
        <is>
          <t>LASTSCHUETZ</t>
        </is>
      </c>
      <c r="H8457" t="inlineStr">
        <is>
          <t>4kW 1S</t>
        </is>
      </c>
      <c r="I8457">
        <v>792</v>
      </c>
      <c r="J8457">
        <f>GS02/385.6</f>
        <v>0</v>
      </c>
      <c r="M8457" t="inlineStr">
        <is>
          <t>-385K64.6</t>
        </is>
      </c>
    </row>
    <row r="8458">
      <c r="A8458">
        <v>8457</v>
      </c>
      <c r="B8458">
        <f>GS02</f>
        <v>0</v>
      </c>
      <c r="C8458" t="inlineStr">
        <is>
          <t>+LS9</t>
        </is>
      </c>
      <c r="D8458" t="inlineStr">
        <is>
          <t>-385K64.7</t>
        </is>
      </c>
      <c r="E8458" t="inlineStr">
        <is>
          <t>DIL_EM-01-G</t>
        </is>
      </c>
      <c r="F8458" t="inlineStr">
        <is>
          <t>#KALK!</t>
        </is>
      </c>
      <c r="G8458" t="inlineStr">
        <is>
          <t>LASTSCHUETZ</t>
        </is>
      </c>
      <c r="H8458" t="inlineStr">
        <is>
          <t>4kW 1OE</t>
        </is>
      </c>
      <c r="I8458">
        <v>792</v>
      </c>
      <c r="J8458">
        <f>GS02/385.7</f>
        <v>0</v>
      </c>
      <c r="M8458" t="inlineStr">
        <is>
          <t>-385K64.7</t>
        </is>
      </c>
    </row>
    <row r="8459">
      <c r="A8459">
        <v>8458</v>
      </c>
      <c r="B8459">
        <f>GS02</f>
        <v>0</v>
      </c>
      <c r="C8459" t="inlineStr">
        <is>
          <t>+LS9</t>
        </is>
      </c>
      <c r="D8459" t="inlineStr">
        <is>
          <t>-385K65.0</t>
        </is>
      </c>
      <c r="E8459" t="inlineStr">
        <is>
          <t>DIL_EM-01-G</t>
        </is>
      </c>
      <c r="F8459" t="inlineStr">
        <is>
          <t>#KALK!</t>
        </is>
      </c>
      <c r="G8459" t="inlineStr">
        <is>
          <t>LASTSCHUETZ</t>
        </is>
      </c>
      <c r="H8459" t="inlineStr">
        <is>
          <t>4kW 1OE</t>
        </is>
      </c>
      <c r="I8459">
        <v>792</v>
      </c>
      <c r="J8459">
        <f>GS02/385.8</f>
        <v>0</v>
      </c>
      <c r="M8459" t="inlineStr">
        <is>
          <t>-385K65.0</t>
        </is>
      </c>
    </row>
    <row r="8460">
      <c r="A8460">
        <v>8459</v>
      </c>
      <c r="B8460">
        <f>GS11</f>
        <v>0</v>
      </c>
      <c r="C8460" t="inlineStr">
        <is>
          <t>+LS10</t>
        </is>
      </c>
      <c r="D8460" t="inlineStr">
        <is>
          <t>-385K66.6</t>
        </is>
      </c>
      <c r="E8460" t="inlineStr">
        <is>
          <t>DIL_EM-10-G</t>
        </is>
      </c>
      <c r="F8460" t="inlineStr">
        <is>
          <t>#KALK!</t>
        </is>
      </c>
      <c r="G8460" t="inlineStr">
        <is>
          <t>LASTSCHUETZ</t>
        </is>
      </c>
      <c r="H8460" t="inlineStr">
        <is>
          <t>4kW 1S</t>
        </is>
      </c>
      <c r="I8460">
        <v>491</v>
      </c>
      <c r="J8460">
        <f>GS11/385.6</f>
        <v>0</v>
      </c>
      <c r="M8460" t="inlineStr">
        <is>
          <t>-385K66.6</t>
        </is>
      </c>
    </row>
    <row r="8461">
      <c r="A8461">
        <v>8460</v>
      </c>
      <c r="B8461">
        <f>GS21</f>
        <v>0</v>
      </c>
      <c r="C8461" t="inlineStr">
        <is>
          <t>+LS10</t>
        </is>
      </c>
      <c r="D8461" t="inlineStr">
        <is>
          <t>-385K66.6</t>
        </is>
      </c>
      <c r="E8461" t="inlineStr">
        <is>
          <t>DIL_EM-10-G</t>
        </is>
      </c>
      <c r="F8461" t="inlineStr">
        <is>
          <t>#KALK!</t>
        </is>
      </c>
      <c r="G8461" t="inlineStr">
        <is>
          <t>LASTSCHUETZ</t>
        </is>
      </c>
      <c r="H8461" t="inlineStr">
        <is>
          <t>4kW 1S</t>
        </is>
      </c>
      <c r="I8461">
        <v>473</v>
      </c>
      <c r="J8461">
        <f>GS21/385.6</f>
        <v>0</v>
      </c>
      <c r="M8461" t="inlineStr">
        <is>
          <t>-385K66.6</t>
        </is>
      </c>
    </row>
    <row r="8462">
      <c r="A8462">
        <v>8461</v>
      </c>
      <c r="B8462">
        <f>GS36</f>
        <v>0</v>
      </c>
      <c r="C8462" t="inlineStr">
        <is>
          <t>+LS08</t>
        </is>
      </c>
      <c r="D8462" t="inlineStr">
        <is>
          <t>-385Q1</t>
        </is>
      </c>
      <c r="E8462" t="inlineStr">
        <is>
          <t>DILA-XHI22</t>
        </is>
      </c>
      <c r="F8462" t="inlineStr">
        <is>
          <t>DILA-XHI22</t>
        </is>
      </c>
      <c r="G8462" t="inlineStr">
        <is>
          <t>HILFSKONTAKTBLOCK</t>
        </is>
      </c>
      <c r="H8462" t="inlineStr">
        <is>
          <t>2S 2OE Last+Hilfssch. Cage</t>
        </is>
      </c>
      <c r="I8462">
        <v>558</v>
      </c>
      <c r="J8462">
        <f>GS36/385.4</f>
        <v>0</v>
      </c>
      <c r="K8462" t="inlineStr">
        <is>
          <t>DIL MC25</t>
        </is>
      </c>
      <c r="L8462" t="inlineStr">
        <is>
          <t>HVO 31</t>
        </is>
      </c>
      <c r="M8462" t="inlineStr">
        <is>
          <t>HVO 31
-385Q1</t>
        </is>
      </c>
      <c r="N8462" t="inlineStr">
        <is>
          <t>P</t>
        </is>
      </c>
    </row>
    <row r="8463">
      <c r="A8463">
        <v>8462</v>
      </c>
      <c r="B8463">
        <f>GS36</f>
        <v>0</v>
      </c>
      <c r="C8463" t="inlineStr">
        <is>
          <t>+LS08</t>
        </is>
      </c>
      <c r="D8463" t="inlineStr">
        <is>
          <t>-385Q1</t>
        </is>
      </c>
      <c r="E8463" t="inlineStr">
        <is>
          <t>DILMC25-10(RDC24)</t>
        </is>
      </c>
      <c r="F8463" t="inlineStr">
        <is>
          <t>DILA-XHI22</t>
        </is>
      </c>
      <c r="G8463" t="inlineStr">
        <is>
          <t>LASTSCHUETZ</t>
        </is>
      </c>
      <c r="H8463" t="inlineStr">
        <is>
          <t>11kW 1S Federzugkl.</t>
        </is>
      </c>
      <c r="I8463">
        <v>558</v>
      </c>
      <c r="J8463">
        <f>GS36/385.4</f>
        <v>0</v>
      </c>
      <c r="K8463" t="inlineStr">
        <is>
          <t>DIL MC25</t>
        </is>
      </c>
      <c r="L8463" t="inlineStr">
        <is>
          <t>HVO 31</t>
        </is>
      </c>
      <c r="M8463" t="inlineStr">
        <is>
          <t>HVO 31
-385Q1</t>
        </is>
      </c>
      <c r="N8463" t="inlineStr">
        <is>
          <t>P</t>
        </is>
      </c>
    </row>
    <row r="8464">
      <c r="A8464">
        <v>8463</v>
      </c>
      <c r="B8464">
        <f>GS46</f>
        <v>0</v>
      </c>
      <c r="C8464" t="inlineStr">
        <is>
          <t>+LS06</t>
        </is>
      </c>
      <c r="D8464" t="inlineStr">
        <is>
          <t>-385Q1</t>
        </is>
      </c>
      <c r="E8464" t="inlineStr">
        <is>
          <t>DILA-XHI22</t>
        </is>
      </c>
      <c r="F8464" t="inlineStr">
        <is>
          <t>DILA-XHI22</t>
        </is>
      </c>
      <c r="G8464" t="inlineStr">
        <is>
          <t>HILFSKONTAKTBLOCK</t>
        </is>
      </c>
      <c r="H8464" t="inlineStr">
        <is>
          <t>2S 2OE Last+Hilfssch. Cage</t>
        </is>
      </c>
      <c r="I8464">
        <v>672</v>
      </c>
      <c r="J8464">
        <f>GS46/385.4</f>
        <v>0</v>
      </c>
      <c r="K8464" t="inlineStr">
        <is>
          <t>DIL MC25</t>
        </is>
      </c>
      <c r="M8464" t="inlineStr">
        <is>
          <t>-385Q1</t>
        </is>
      </c>
    </row>
    <row r="8465">
      <c r="A8465">
        <v>8464</v>
      </c>
      <c r="B8465">
        <f>GS46</f>
        <v>0</v>
      </c>
      <c r="C8465" t="inlineStr">
        <is>
          <t>+LS06</t>
        </is>
      </c>
      <c r="D8465" t="inlineStr">
        <is>
          <t>-385Q1</t>
        </is>
      </c>
      <c r="E8465" t="inlineStr">
        <is>
          <t>DILMC25-10(RDC24)</t>
        </is>
      </c>
      <c r="F8465" t="inlineStr">
        <is>
          <t>DILA-XHI22</t>
        </is>
      </c>
      <c r="G8465" t="inlineStr">
        <is>
          <t>LASTSCHUETZ</t>
        </is>
      </c>
      <c r="H8465" t="inlineStr">
        <is>
          <t>11kW 1S Federzugkl.</t>
        </is>
      </c>
      <c r="I8465">
        <v>672</v>
      </c>
      <c r="J8465">
        <f>GS46/385.4</f>
        <v>0</v>
      </c>
      <c r="K8465" t="inlineStr">
        <is>
          <t>DIL MC25</t>
        </is>
      </c>
      <c r="M8465" t="inlineStr">
        <is>
          <t>-385Q1</t>
        </is>
      </c>
    </row>
    <row r="8466">
      <c r="A8466">
        <v>8465</v>
      </c>
      <c r="B8466">
        <f>GS47</f>
        <v>0</v>
      </c>
      <c r="C8466" t="inlineStr">
        <is>
          <t>+LS06</t>
        </is>
      </c>
      <c r="D8466" t="inlineStr">
        <is>
          <t>-385Q1</t>
        </is>
      </c>
      <c r="E8466" t="inlineStr">
        <is>
          <t>DILA-XHI22</t>
        </is>
      </c>
      <c r="F8466" t="inlineStr">
        <is>
          <t>DILA-XHI22</t>
        </is>
      </c>
      <c r="G8466" t="inlineStr">
        <is>
          <t>HILFSKONTAKTBLOCK</t>
        </is>
      </c>
      <c r="H8466" t="inlineStr">
        <is>
          <t>2S 2OE Last+Hilfssch. Cage</t>
        </is>
      </c>
      <c r="I8466">
        <v>672</v>
      </c>
      <c r="J8466">
        <f>GS47/385.4</f>
        <v>0</v>
      </c>
      <c r="K8466" t="inlineStr">
        <is>
          <t>DIL MC25</t>
        </is>
      </c>
      <c r="M8466" t="inlineStr">
        <is>
          <t>-385Q1</t>
        </is>
      </c>
    </row>
    <row r="8467">
      <c r="A8467">
        <v>8466</v>
      </c>
      <c r="B8467">
        <f>GS47</f>
        <v>0</v>
      </c>
      <c r="C8467" t="inlineStr">
        <is>
          <t>+LS06</t>
        </is>
      </c>
      <c r="D8467" t="inlineStr">
        <is>
          <t>-385Q1</t>
        </is>
      </c>
      <c r="E8467" t="inlineStr">
        <is>
          <t>DILMC25-10(RDC24)</t>
        </is>
      </c>
      <c r="F8467" t="inlineStr">
        <is>
          <t>DILA-XHI22</t>
        </is>
      </c>
      <c r="G8467" t="inlineStr">
        <is>
          <t>LASTSCHUETZ</t>
        </is>
      </c>
      <c r="H8467" t="inlineStr">
        <is>
          <t>11kW 1S Federzugkl.</t>
        </is>
      </c>
      <c r="I8467">
        <v>672</v>
      </c>
      <c r="J8467">
        <f>GS47/385.4</f>
        <v>0</v>
      </c>
      <c r="K8467" t="inlineStr">
        <is>
          <t>DIL MC25</t>
        </is>
      </c>
      <c r="M8467" t="inlineStr">
        <is>
          <t>-385Q1</t>
        </is>
      </c>
    </row>
    <row r="8468">
      <c r="A8468">
        <v>8467</v>
      </c>
      <c r="B8468">
        <f>GS48</f>
        <v>0</v>
      </c>
      <c r="C8468" t="inlineStr">
        <is>
          <t>+LS06</t>
        </is>
      </c>
      <c r="D8468" t="inlineStr">
        <is>
          <t>-385Q1</t>
        </is>
      </c>
      <c r="E8468" t="inlineStr">
        <is>
          <t>DILA-XHI22</t>
        </is>
      </c>
      <c r="F8468" t="inlineStr">
        <is>
          <t>DILA-XHI22</t>
        </is>
      </c>
      <c r="G8468" t="inlineStr">
        <is>
          <t>HILFSKONTAKTBLOCK</t>
        </is>
      </c>
      <c r="H8468" t="inlineStr">
        <is>
          <t>2S 2OE Last+Hilfssch. Cage</t>
        </is>
      </c>
      <c r="I8468">
        <v>517</v>
      </c>
      <c r="J8468">
        <f>GS48/385.4</f>
        <v>0</v>
      </c>
      <c r="K8468" t="inlineStr">
        <is>
          <t>DIL MC25</t>
        </is>
      </c>
      <c r="M8468" t="inlineStr">
        <is>
          <t>-385Q1</t>
        </is>
      </c>
    </row>
    <row r="8469">
      <c r="A8469">
        <v>8468</v>
      </c>
      <c r="B8469">
        <f>GS48</f>
        <v>0</v>
      </c>
      <c r="C8469" t="inlineStr">
        <is>
          <t>+LS06</t>
        </is>
      </c>
      <c r="D8469" t="inlineStr">
        <is>
          <t>-385Q1</t>
        </is>
      </c>
      <c r="E8469" t="inlineStr">
        <is>
          <t>DILMC25-10(RDC24)</t>
        </is>
      </c>
      <c r="F8469" t="inlineStr">
        <is>
          <t>DILA-XHI22</t>
        </is>
      </c>
      <c r="G8469" t="inlineStr">
        <is>
          <t>LASTSCHUETZ</t>
        </is>
      </c>
      <c r="H8469" t="inlineStr">
        <is>
          <t>11kW 1S Federzugkl.</t>
        </is>
      </c>
      <c r="I8469">
        <v>517</v>
      </c>
      <c r="J8469">
        <f>GS48/385.4</f>
        <v>0</v>
      </c>
      <c r="K8469" t="inlineStr">
        <is>
          <t>DIL MC25</t>
        </is>
      </c>
      <c r="M8469" t="inlineStr">
        <is>
          <t>-385Q1</t>
        </is>
      </c>
    </row>
    <row r="8470">
      <c r="A8470">
        <v>8469</v>
      </c>
      <c r="B8470">
        <f>GS49</f>
        <v>0</v>
      </c>
      <c r="C8470" t="inlineStr">
        <is>
          <t>+LS06</t>
        </is>
      </c>
      <c r="D8470" t="inlineStr">
        <is>
          <t>-385Q1</t>
        </is>
      </c>
      <c r="E8470" t="inlineStr">
        <is>
          <t>DILMC25-10(RDC24)</t>
        </is>
      </c>
      <c r="F8470" t="inlineStr">
        <is>
          <t>DILA-XHI22</t>
        </is>
      </c>
      <c r="G8470" t="inlineStr">
        <is>
          <t>LASTSCHUETZ</t>
        </is>
      </c>
      <c r="H8470" t="inlineStr">
        <is>
          <t>11kW 1S Federzugkl.</t>
        </is>
      </c>
      <c r="I8470">
        <v>516</v>
      </c>
      <c r="J8470">
        <f>GS49/385.4</f>
        <v>0</v>
      </c>
      <c r="K8470" t="inlineStr">
        <is>
          <t>DIL MC25</t>
        </is>
      </c>
      <c r="M8470" t="inlineStr">
        <is>
          <t>-385Q1</t>
        </is>
      </c>
    </row>
    <row r="8471">
      <c r="A8471">
        <v>8470</v>
      </c>
      <c r="B8471">
        <f>GS49</f>
        <v>0</v>
      </c>
      <c r="C8471" t="inlineStr">
        <is>
          <t>+LS06</t>
        </is>
      </c>
      <c r="D8471" t="inlineStr">
        <is>
          <t>-385Q1</t>
        </is>
      </c>
      <c r="E8471" t="inlineStr">
        <is>
          <t>DILA-XHI22</t>
        </is>
      </c>
      <c r="F8471" t="inlineStr">
        <is>
          <t>DILA-XHI22</t>
        </is>
      </c>
      <c r="G8471" t="inlineStr">
        <is>
          <t>HILFSKONTAKTBLOCK</t>
        </is>
      </c>
      <c r="H8471" t="inlineStr">
        <is>
          <t>2S 2OE Last+Hilfssch. Cage</t>
        </is>
      </c>
      <c r="I8471">
        <v>516</v>
      </c>
      <c r="J8471">
        <f>GS49/385.4</f>
        <v>0</v>
      </c>
      <c r="K8471" t="inlineStr">
        <is>
          <t>DIL MC25</t>
        </is>
      </c>
      <c r="M8471" t="inlineStr">
        <is>
          <t>-385Q1</t>
        </is>
      </c>
    </row>
    <row r="8472">
      <c r="A8472">
        <v>8471</v>
      </c>
      <c r="B8472">
        <f>GS90</f>
        <v>0</v>
      </c>
      <c r="C8472" t="inlineStr">
        <is>
          <t>+LS07</t>
        </is>
      </c>
      <c r="D8472" t="inlineStr">
        <is>
          <t>-385Q1</t>
        </is>
      </c>
      <c r="E8472" t="inlineStr">
        <is>
          <t>DILMC25-10(RDC24)</t>
        </is>
      </c>
      <c r="F8472" t="inlineStr">
        <is>
          <t>DILA-XHI22</t>
        </is>
      </c>
      <c r="G8472" t="inlineStr">
        <is>
          <t>LASTSCHUETZ</t>
        </is>
      </c>
      <c r="H8472" t="inlineStr">
        <is>
          <t>11kW 1S Federzugkl.</t>
        </is>
      </c>
      <c r="I8472">
        <v>855</v>
      </c>
      <c r="J8472">
        <f>GS90/385.4</f>
        <v>0</v>
      </c>
      <c r="K8472" t="inlineStr">
        <is>
          <t>DIL MC25</t>
        </is>
      </c>
      <c r="M8472" t="inlineStr">
        <is>
          <t>-385Q1</t>
        </is>
      </c>
    </row>
    <row r="8473">
      <c r="A8473">
        <v>8472</v>
      </c>
      <c r="B8473">
        <f>GS90</f>
        <v>0</v>
      </c>
      <c r="C8473" t="inlineStr">
        <is>
          <t>+LS07</t>
        </is>
      </c>
      <c r="D8473" t="inlineStr">
        <is>
          <t>-385Q1</t>
        </is>
      </c>
      <c r="E8473" t="inlineStr">
        <is>
          <t>DILA-XHI22</t>
        </is>
      </c>
      <c r="F8473" t="inlineStr">
        <is>
          <t>DILA-XHI22</t>
        </is>
      </c>
      <c r="G8473" t="inlineStr">
        <is>
          <t>HILFSKONTAKTBLOCK</t>
        </is>
      </c>
      <c r="H8473" t="inlineStr">
        <is>
          <t>2S 2OE Last+Hilfssch. Cage</t>
        </is>
      </c>
      <c r="I8473">
        <v>855</v>
      </c>
      <c r="J8473">
        <f>GS90/385.4</f>
        <v>0</v>
      </c>
      <c r="K8473" t="inlineStr">
        <is>
          <t>DIL MC25</t>
        </is>
      </c>
      <c r="M8473" t="inlineStr">
        <is>
          <t>-385Q1</t>
        </is>
      </c>
    </row>
    <row r="8474">
      <c r="A8474">
        <v>8473</v>
      </c>
      <c r="B8474">
        <f>GS91</f>
        <v>0</v>
      </c>
      <c r="C8474" t="inlineStr">
        <is>
          <t>+LS06</t>
        </is>
      </c>
      <c r="D8474" t="inlineStr">
        <is>
          <t>-385Q1</t>
        </is>
      </c>
      <c r="E8474" t="inlineStr">
        <is>
          <t>DILA-XHI22</t>
        </is>
      </c>
      <c r="F8474" t="inlineStr">
        <is>
          <t>DILA-XHI22</t>
        </is>
      </c>
      <c r="G8474" t="inlineStr">
        <is>
          <t>HILFSKONTAKTBLOCK</t>
        </is>
      </c>
      <c r="H8474" t="inlineStr">
        <is>
          <t>2S 2OE Last+Hilfssch. Cage</t>
        </is>
      </c>
      <c r="I8474">
        <v>533</v>
      </c>
      <c r="J8474">
        <f>GS91/385.4</f>
        <v>0</v>
      </c>
      <c r="K8474" t="inlineStr">
        <is>
          <t>DIL MC25</t>
        </is>
      </c>
      <c r="M8474" t="inlineStr">
        <is>
          <t>-385Q1</t>
        </is>
      </c>
    </row>
    <row r="8475">
      <c r="A8475">
        <v>8474</v>
      </c>
      <c r="B8475">
        <f>GS91</f>
        <v>0</v>
      </c>
      <c r="C8475" t="inlineStr">
        <is>
          <t>+LS06</t>
        </is>
      </c>
      <c r="D8475" t="inlineStr">
        <is>
          <t>-385Q1</t>
        </is>
      </c>
      <c r="E8475" t="inlineStr">
        <is>
          <t>DILMC25-10(RDC24)</t>
        </is>
      </c>
      <c r="F8475" t="inlineStr">
        <is>
          <t>DILA-XHI22</t>
        </is>
      </c>
      <c r="G8475" t="inlineStr">
        <is>
          <t>LASTSCHUETZ</t>
        </is>
      </c>
      <c r="H8475" t="inlineStr">
        <is>
          <t>11kW 1S Federzugkl.</t>
        </is>
      </c>
      <c r="I8475">
        <v>533</v>
      </c>
      <c r="J8475">
        <f>GS91/385.4</f>
        <v>0</v>
      </c>
      <c r="K8475" t="inlineStr">
        <is>
          <t>DIL MC25</t>
        </is>
      </c>
      <c r="M8475" t="inlineStr">
        <is>
          <t>-385Q1</t>
        </is>
      </c>
    </row>
    <row r="8476">
      <c r="A8476">
        <v>8475</v>
      </c>
      <c r="B8476">
        <f>GS92</f>
        <v>0</v>
      </c>
      <c r="C8476" t="inlineStr">
        <is>
          <t>+LS07</t>
        </is>
      </c>
      <c r="D8476" t="inlineStr">
        <is>
          <t>-385Q1</t>
        </is>
      </c>
      <c r="E8476" t="inlineStr">
        <is>
          <t>DILMC25-10(RDC24)</t>
        </is>
      </c>
      <c r="F8476" t="inlineStr">
        <is>
          <t>DILA-XHI22</t>
        </is>
      </c>
      <c r="G8476" t="inlineStr">
        <is>
          <t>LASTSCHUETZ</t>
        </is>
      </c>
      <c r="H8476" t="inlineStr">
        <is>
          <t>11kW 1S Federzugkl.</t>
        </is>
      </c>
      <c r="I8476">
        <v>531</v>
      </c>
      <c r="J8476">
        <f>GS92/385.4</f>
        <v>0</v>
      </c>
      <c r="K8476" t="inlineStr">
        <is>
          <t>DIL MC25</t>
        </is>
      </c>
      <c r="M8476" t="inlineStr">
        <is>
          <t>-385Q1</t>
        </is>
      </c>
    </row>
    <row r="8477">
      <c r="A8477">
        <v>8476</v>
      </c>
      <c r="B8477">
        <f>GS92</f>
        <v>0</v>
      </c>
      <c r="C8477" t="inlineStr">
        <is>
          <t>+LS07</t>
        </is>
      </c>
      <c r="D8477" t="inlineStr">
        <is>
          <t>-385Q1</t>
        </is>
      </c>
      <c r="E8477" t="inlineStr">
        <is>
          <t>DILA-XHI22</t>
        </is>
      </c>
      <c r="F8477" t="inlineStr">
        <is>
          <t>DILA-XHI22</t>
        </is>
      </c>
      <c r="G8477" t="inlineStr">
        <is>
          <t>HILFSKONTAKTBLOCK</t>
        </is>
      </c>
      <c r="H8477" t="inlineStr">
        <is>
          <t>2S 2OE Last+Hilfssch. Cage</t>
        </is>
      </c>
      <c r="I8477">
        <v>531</v>
      </c>
      <c r="J8477">
        <f>GS92/385.4</f>
        <v>0</v>
      </c>
      <c r="K8477" t="inlineStr">
        <is>
          <t>DIL MC25</t>
        </is>
      </c>
      <c r="M8477" t="inlineStr">
        <is>
          <t>-385Q1</t>
        </is>
      </c>
    </row>
    <row r="8478">
      <c r="A8478">
        <v>8477</v>
      </c>
      <c r="B8478">
        <f>GS20</f>
        <v>0</v>
      </c>
      <c r="C8478" t="inlineStr">
        <is>
          <t>+LS09</t>
        </is>
      </c>
      <c r="D8478" t="inlineStr">
        <is>
          <t>-386K1</t>
        </is>
      </c>
      <c r="E8478" t="inlineStr">
        <is>
          <t>DILM-9-10</t>
        </is>
      </c>
      <c r="F8478" t="inlineStr">
        <is>
          <t>DILA-XHI22</t>
        </is>
      </c>
      <c r="G8478" t="inlineStr">
        <is>
          <t>LASTSCHUETZ</t>
        </is>
      </c>
      <c r="H8478" t="inlineStr">
        <is>
          <t>4kW 1S Federzugkl.</t>
        </is>
      </c>
      <c r="I8478">
        <v>2702</v>
      </c>
      <c r="J8478">
        <f>GS20/386.5</f>
        <v>0</v>
      </c>
      <c r="M8478" t="inlineStr">
        <is>
          <t>-386K1</t>
        </is>
      </c>
    </row>
    <row r="8479">
      <c r="A8479">
        <v>8478</v>
      </c>
      <c r="B8479">
        <f>GS20</f>
        <v>0</v>
      </c>
      <c r="C8479" t="inlineStr">
        <is>
          <t>+LS09</t>
        </is>
      </c>
      <c r="D8479" t="inlineStr">
        <is>
          <t>-386K1</t>
        </is>
      </c>
      <c r="E8479" t="inlineStr">
        <is>
          <t>DILA-XHI22</t>
        </is>
      </c>
      <c r="F8479" t="inlineStr">
        <is>
          <t>DILA-XHI22</t>
        </is>
      </c>
      <c r="G8479" t="inlineStr">
        <is>
          <t>HILFSKONTAKTBLOCK</t>
        </is>
      </c>
      <c r="H8479" t="inlineStr">
        <is>
          <t>2S 2OE Last+Hilfssch. Cage</t>
        </is>
      </c>
      <c r="I8479">
        <v>2702</v>
      </c>
      <c r="J8479">
        <f>GS20/386.5</f>
        <v>0</v>
      </c>
      <c r="M8479" t="inlineStr">
        <is>
          <t>-386K1</t>
        </is>
      </c>
    </row>
    <row r="8480">
      <c r="A8480">
        <v>8479</v>
      </c>
      <c r="B8480">
        <f>GS30</f>
        <v>0</v>
      </c>
      <c r="C8480" t="inlineStr">
        <is>
          <t>+LS11</t>
        </is>
      </c>
      <c r="D8480" t="inlineStr">
        <is>
          <t>-386K1</t>
        </is>
      </c>
      <c r="E8480" t="inlineStr">
        <is>
          <t>DILM-9-10</t>
        </is>
      </c>
      <c r="F8480" t="inlineStr">
        <is>
          <t>DILA-XHI22</t>
        </is>
      </c>
      <c r="G8480" t="inlineStr">
        <is>
          <t>LASTSCHUETZ</t>
        </is>
      </c>
      <c r="H8480" t="inlineStr">
        <is>
          <t>4kW 1S Federzugkl.</t>
        </is>
      </c>
      <c r="I8480">
        <v>357</v>
      </c>
      <c r="J8480">
        <f>GS30/386.5</f>
        <v>0</v>
      </c>
      <c r="M8480" t="inlineStr">
        <is>
          <t>-386K1</t>
        </is>
      </c>
    </row>
    <row r="8481">
      <c r="A8481">
        <v>8480</v>
      </c>
      <c r="B8481">
        <f>GS30</f>
        <v>0</v>
      </c>
      <c r="C8481" t="inlineStr">
        <is>
          <t>+LS11</t>
        </is>
      </c>
      <c r="D8481" t="inlineStr">
        <is>
          <t>-386K1</t>
        </is>
      </c>
      <c r="E8481" t="inlineStr">
        <is>
          <t>DILA-XHI22</t>
        </is>
      </c>
      <c r="F8481" t="inlineStr">
        <is>
          <t>DILA-XHI22</t>
        </is>
      </c>
      <c r="G8481" t="inlineStr">
        <is>
          <t>HILFSKONTAKTBLOCK</t>
        </is>
      </c>
      <c r="H8481" t="inlineStr">
        <is>
          <t>2S 2OE Last+Hilfssch. Cage</t>
        </is>
      </c>
      <c r="I8481">
        <v>357</v>
      </c>
      <c r="J8481">
        <f>GS30/386.5</f>
        <v>0</v>
      </c>
      <c r="M8481" t="inlineStr">
        <is>
          <t>-386K1</t>
        </is>
      </c>
    </row>
    <row r="8482">
      <c r="A8482">
        <v>8481</v>
      </c>
      <c r="B8482">
        <f>GS20</f>
        <v>0</v>
      </c>
      <c r="C8482" t="inlineStr">
        <is>
          <t>+LS09</t>
        </is>
      </c>
      <c r="D8482" t="inlineStr">
        <is>
          <t>-386K2</t>
        </is>
      </c>
      <c r="E8482" t="inlineStr">
        <is>
          <t>DILM-9-10</t>
        </is>
      </c>
      <c r="F8482" t="inlineStr">
        <is>
          <t>DILA-XHI22</t>
        </is>
      </c>
      <c r="G8482" t="inlineStr">
        <is>
          <t>LASTSCHUETZ</t>
        </is>
      </c>
      <c r="H8482" t="inlineStr">
        <is>
          <t>4kW 1S Federzugkl.</t>
        </is>
      </c>
      <c r="I8482">
        <v>2702</v>
      </c>
      <c r="J8482">
        <f>GS20/386.6</f>
        <v>0</v>
      </c>
      <c r="M8482" t="inlineStr">
        <is>
          <t>-386K2</t>
        </is>
      </c>
    </row>
    <row r="8483">
      <c r="A8483">
        <v>8482</v>
      </c>
      <c r="B8483">
        <f>GS20</f>
        <v>0</v>
      </c>
      <c r="C8483" t="inlineStr">
        <is>
          <t>+LS09</t>
        </is>
      </c>
      <c r="D8483" t="inlineStr">
        <is>
          <t>-386K2</t>
        </is>
      </c>
      <c r="E8483" t="inlineStr">
        <is>
          <t>DILA-XHI22</t>
        </is>
      </c>
      <c r="F8483" t="inlineStr">
        <is>
          <t>DILA-XHI22</t>
        </is>
      </c>
      <c r="G8483" t="inlineStr">
        <is>
          <t>HILFSKONTAKTBLOCK</t>
        </is>
      </c>
      <c r="H8483" t="inlineStr">
        <is>
          <t>2S 2OE Last+Hilfssch. Cage</t>
        </is>
      </c>
      <c r="I8483">
        <v>2702</v>
      </c>
      <c r="J8483">
        <f>GS20/386.6</f>
        <v>0</v>
      </c>
      <c r="M8483" t="inlineStr">
        <is>
          <t>-386K2</t>
        </is>
      </c>
    </row>
    <row r="8484">
      <c r="A8484">
        <v>8483</v>
      </c>
      <c r="B8484">
        <f>GS30</f>
        <v>0</v>
      </c>
      <c r="C8484" t="inlineStr">
        <is>
          <t>+LS11</t>
        </is>
      </c>
      <c r="D8484" t="inlineStr">
        <is>
          <t>-386K2</t>
        </is>
      </c>
      <c r="E8484" t="inlineStr">
        <is>
          <t>DILM-9-10</t>
        </is>
      </c>
      <c r="F8484" t="inlineStr">
        <is>
          <t>DILA-XHI22</t>
        </is>
      </c>
      <c r="G8484" t="inlineStr">
        <is>
          <t>LASTSCHUETZ</t>
        </is>
      </c>
      <c r="H8484" t="inlineStr">
        <is>
          <t>4kW 1S Federzugkl.</t>
        </is>
      </c>
      <c r="I8484">
        <v>357</v>
      </c>
      <c r="J8484">
        <f>GS30/386.6</f>
        <v>0</v>
      </c>
      <c r="M8484" t="inlineStr">
        <is>
          <t>-386K2</t>
        </is>
      </c>
    </row>
    <row r="8485">
      <c r="A8485">
        <v>8484</v>
      </c>
      <c r="B8485">
        <f>GS30</f>
        <v>0</v>
      </c>
      <c r="C8485" t="inlineStr">
        <is>
          <t>+LS11</t>
        </is>
      </c>
      <c r="D8485" t="inlineStr">
        <is>
          <t>-386K2</t>
        </is>
      </c>
      <c r="E8485" t="inlineStr">
        <is>
          <t>DILA-XHI22</t>
        </is>
      </c>
      <c r="F8485" t="inlineStr">
        <is>
          <t>DILA-XHI22</t>
        </is>
      </c>
      <c r="G8485" t="inlineStr">
        <is>
          <t>HILFSKONTAKTBLOCK</t>
        </is>
      </c>
      <c r="H8485" t="inlineStr">
        <is>
          <t>2S 2OE Last+Hilfssch. Cage</t>
        </is>
      </c>
      <c r="I8485">
        <v>357</v>
      </c>
      <c r="J8485">
        <f>GS30/386.6</f>
        <v>0</v>
      </c>
      <c r="M8485" t="inlineStr">
        <is>
          <t>-386K2</t>
        </is>
      </c>
    </row>
    <row r="8486">
      <c r="A8486">
        <v>8485</v>
      </c>
      <c r="B8486">
        <f>GS24</f>
        <v>0</v>
      </c>
      <c r="C8486" t="inlineStr">
        <is>
          <t>+LS8</t>
        </is>
      </c>
      <c r="D8486" t="inlineStr">
        <is>
          <t>-386K27.4</t>
        </is>
      </c>
      <c r="E8486" t="inlineStr">
        <is>
          <t>DIL_EM-10-G</t>
        </is>
      </c>
      <c r="F8486" t="inlineStr">
        <is>
          <t>#KALK!</t>
        </is>
      </c>
      <c r="G8486" t="inlineStr">
        <is>
          <t>LASTSCHUETZ</t>
        </is>
      </c>
      <c r="H8486" t="inlineStr">
        <is>
          <t>4kW 1S</t>
        </is>
      </c>
      <c r="I8486">
        <v>701</v>
      </c>
      <c r="J8486">
        <f>GS24/386.6</f>
        <v>0</v>
      </c>
      <c r="M8486" t="inlineStr">
        <is>
          <t>-386K27.4</t>
        </is>
      </c>
    </row>
    <row r="8487">
      <c r="A8487">
        <v>8486</v>
      </c>
      <c r="B8487">
        <f>GS34</f>
        <v>0</v>
      </c>
      <c r="C8487" t="inlineStr">
        <is>
          <t>+LS8</t>
        </is>
      </c>
      <c r="D8487" t="inlineStr">
        <is>
          <t>-386K37.2</t>
        </is>
      </c>
      <c r="E8487" t="inlineStr">
        <is>
          <t>DIL_EM-10-G</t>
        </is>
      </c>
      <c r="F8487" t="inlineStr">
        <is>
          <t>#KALK!</t>
        </is>
      </c>
      <c r="G8487" t="inlineStr">
        <is>
          <t>LASTSCHUETZ</t>
        </is>
      </c>
      <c r="H8487" t="inlineStr">
        <is>
          <t>4kW 1S</t>
        </is>
      </c>
      <c r="I8487">
        <v>511</v>
      </c>
      <c r="J8487">
        <f>GS34/386.6</f>
        <v>0</v>
      </c>
      <c r="M8487" t="inlineStr">
        <is>
          <t>-386K37.2</t>
        </is>
      </c>
    </row>
    <row r="8488">
      <c r="A8488">
        <v>8487</v>
      </c>
      <c r="B8488">
        <f>GS34</f>
        <v>0</v>
      </c>
      <c r="C8488" t="inlineStr">
        <is>
          <t>+LS8</t>
        </is>
      </c>
      <c r="D8488" t="inlineStr">
        <is>
          <t>-386K37.3</t>
        </is>
      </c>
      <c r="E8488" t="inlineStr">
        <is>
          <t>DIL_EM-10-G</t>
        </is>
      </c>
      <c r="F8488" t="inlineStr">
        <is>
          <t>#KALK!</t>
        </is>
      </c>
      <c r="G8488" t="inlineStr">
        <is>
          <t>LASTSCHUETZ</t>
        </is>
      </c>
      <c r="H8488" t="inlineStr">
        <is>
          <t>4kW 1S</t>
        </is>
      </c>
      <c r="I8488">
        <v>511</v>
      </c>
      <c r="J8488">
        <f>GS34/386.6</f>
        <v>0</v>
      </c>
      <c r="M8488" t="inlineStr">
        <is>
          <t>-386K37.3</t>
        </is>
      </c>
    </row>
    <row r="8489">
      <c r="A8489">
        <v>8488</v>
      </c>
      <c r="B8489">
        <f>GS11</f>
        <v>0</v>
      </c>
      <c r="C8489" t="inlineStr">
        <is>
          <t>+LS10</t>
        </is>
      </c>
      <c r="D8489" t="inlineStr">
        <is>
          <t>-386K64.4</t>
        </is>
      </c>
      <c r="E8489" t="inlineStr">
        <is>
          <t>DIL_EM-10-G</t>
        </is>
      </c>
      <c r="F8489" t="inlineStr">
        <is>
          <t>#KALK!</t>
        </is>
      </c>
      <c r="G8489" t="inlineStr">
        <is>
          <t>LASTSCHUETZ</t>
        </is>
      </c>
      <c r="H8489" t="inlineStr">
        <is>
          <t>4kW 1S</t>
        </is>
      </c>
      <c r="I8489">
        <v>492</v>
      </c>
      <c r="J8489">
        <f>GS11/386.6</f>
        <v>0</v>
      </c>
      <c r="M8489" t="inlineStr">
        <is>
          <t>-386K64.4</t>
        </is>
      </c>
    </row>
    <row r="8490">
      <c r="A8490">
        <v>8489</v>
      </c>
      <c r="B8490">
        <f>GS21</f>
        <v>0</v>
      </c>
      <c r="C8490" t="inlineStr">
        <is>
          <t>+LS10</t>
        </is>
      </c>
      <c r="D8490" t="inlineStr">
        <is>
          <t>-386K64.4</t>
        </is>
      </c>
      <c r="E8490" t="inlineStr">
        <is>
          <t>DIL_EM-10-G</t>
        </is>
      </c>
      <c r="F8490" t="inlineStr">
        <is>
          <t>#KALK!</t>
        </is>
      </c>
      <c r="G8490" t="inlineStr">
        <is>
          <t>LASTSCHUETZ</t>
        </is>
      </c>
      <c r="H8490" t="inlineStr">
        <is>
          <t>4kW 1S</t>
        </is>
      </c>
      <c r="I8490">
        <v>474</v>
      </c>
      <c r="J8490">
        <f>GS21/386.6</f>
        <v>0</v>
      </c>
      <c r="M8490" t="inlineStr">
        <is>
          <t>-386K64.4</t>
        </is>
      </c>
    </row>
    <row r="8491">
      <c r="A8491">
        <v>8490</v>
      </c>
      <c r="B8491">
        <f>GS02</f>
        <v>0</v>
      </c>
      <c r="C8491" t="inlineStr">
        <is>
          <t>+LS9</t>
        </is>
      </c>
      <c r="D8491" t="inlineStr">
        <is>
          <t>-386K65.7</t>
        </is>
      </c>
      <c r="E8491" t="inlineStr">
        <is>
          <t>DIL_EM-10-G</t>
        </is>
      </c>
      <c r="F8491" t="inlineStr">
        <is>
          <t>#KALK!</t>
        </is>
      </c>
      <c r="G8491" t="inlineStr">
        <is>
          <t>LASTSCHUETZ</t>
        </is>
      </c>
      <c r="H8491" t="inlineStr">
        <is>
          <t>4kW 1S</t>
        </is>
      </c>
      <c r="I8491">
        <v>793</v>
      </c>
      <c r="J8491">
        <f>GS02/386.7</f>
        <v>0</v>
      </c>
      <c r="M8491" t="inlineStr">
        <is>
          <t>-386K65.7</t>
        </is>
      </c>
    </row>
    <row r="8492">
      <c r="A8492">
        <v>8491</v>
      </c>
      <c r="B8492">
        <f>GS08</f>
        <v>0</v>
      </c>
      <c r="C8492" t="inlineStr">
        <is>
          <t>+LS06</t>
        </is>
      </c>
      <c r="D8492" t="inlineStr">
        <is>
          <t>-386Q239.6</t>
        </is>
      </c>
      <c r="E8492" t="inlineStr">
        <is>
          <t>DILM-9-10</t>
        </is>
      </c>
      <c r="F8492" t="inlineStr">
        <is>
          <t>#KALK!</t>
        </is>
      </c>
      <c r="G8492" t="inlineStr">
        <is>
          <t>LASTSCHUETZ</t>
        </is>
      </c>
      <c r="H8492" t="inlineStr">
        <is>
          <t>4kW 1S Federzugkl.</t>
        </is>
      </c>
      <c r="I8492">
        <v>220</v>
      </c>
      <c r="J8492">
        <f>GS08/386.6</f>
        <v>0</v>
      </c>
      <c r="K8492" t="inlineStr">
        <is>
          <t>DIL MC9</t>
        </is>
      </c>
      <c r="M8492" t="inlineStr">
        <is>
          <t>-386Q239.6</t>
        </is>
      </c>
    </row>
    <row r="8493">
      <c r="A8493">
        <v>8492</v>
      </c>
      <c r="B8493">
        <f>GS37</f>
        <v>0</v>
      </c>
      <c r="C8493" t="inlineStr">
        <is>
          <t>+LS08</t>
        </is>
      </c>
      <c r="D8493" t="inlineStr">
        <is>
          <t>-387K1</t>
        </is>
      </c>
      <c r="E8493" t="inlineStr">
        <is>
          <t>DILA-40</t>
        </is>
      </c>
      <c r="F8493" t="inlineStr">
        <is>
          <t>#KALK!</t>
        </is>
      </c>
      <c r="G8493" t="inlineStr">
        <is>
          <t>HILFSSCHUETZ</t>
        </is>
      </c>
      <c r="H8493" t="inlineStr">
        <is>
          <t>4S Federzugkl.</t>
        </is>
      </c>
      <c r="I8493">
        <v>566</v>
      </c>
      <c r="J8493">
        <f>GS37/387.2</f>
        <v>0</v>
      </c>
      <c r="M8493" t="inlineStr">
        <is>
          <t>-387K1</t>
        </is>
      </c>
    </row>
    <row r="8494">
      <c r="A8494">
        <v>8493</v>
      </c>
      <c r="B8494">
        <f>GC03</f>
        <v>0</v>
      </c>
      <c r="C8494" t="inlineStr">
        <is>
          <t>+LS9</t>
        </is>
      </c>
      <c r="D8494" t="inlineStr">
        <is>
          <t>-387K12.0</t>
        </is>
      </c>
      <c r="E8494" t="inlineStr">
        <is>
          <t>DIL_EM-10-G</t>
        </is>
      </c>
      <c r="F8494" t="inlineStr">
        <is>
          <t>#KALK!</t>
        </is>
      </c>
      <c r="G8494" t="inlineStr">
        <is>
          <t>LASTSCHUETZ</t>
        </is>
      </c>
      <c r="H8494" t="inlineStr">
        <is>
          <t>4kW 1S</t>
        </is>
      </c>
      <c r="I8494">
        <v>3558</v>
      </c>
      <c r="J8494">
        <f>GC03/387.6</f>
        <v>0</v>
      </c>
      <c r="M8494" t="inlineStr">
        <is>
          <t>-387K12.0</t>
        </is>
      </c>
    </row>
    <row r="8495">
      <c r="A8495">
        <v>8494</v>
      </c>
      <c r="B8495">
        <f>GC03</f>
        <v>0</v>
      </c>
      <c r="C8495" t="inlineStr">
        <is>
          <t>+LS9</t>
        </is>
      </c>
      <c r="D8495" t="inlineStr">
        <is>
          <t>-387K12.1</t>
        </is>
      </c>
      <c r="E8495" t="inlineStr">
        <is>
          <t>DIL_EM-10-G</t>
        </is>
      </c>
      <c r="F8495" t="inlineStr">
        <is>
          <t>#KALK!</t>
        </is>
      </c>
      <c r="G8495" t="inlineStr">
        <is>
          <t>LASTSCHUETZ</t>
        </is>
      </c>
      <c r="H8495" t="inlineStr">
        <is>
          <t>4kW 1S</t>
        </is>
      </c>
      <c r="I8495">
        <v>3558</v>
      </c>
      <c r="J8495">
        <f>GC03/387.7</f>
        <v>0</v>
      </c>
      <c r="M8495" t="inlineStr">
        <is>
          <t>-387K12.1</t>
        </is>
      </c>
    </row>
    <row r="8496">
      <c r="A8496">
        <v>8495</v>
      </c>
      <c r="B8496">
        <f>GS35</f>
        <v>0</v>
      </c>
      <c r="C8496" t="inlineStr">
        <is>
          <t>+LS09</t>
        </is>
      </c>
      <c r="D8496" t="inlineStr">
        <is>
          <t>-387K147.1</t>
        </is>
      </c>
      <c r="E8496" t="inlineStr">
        <is>
          <t>DILA-40</t>
        </is>
      </c>
      <c r="F8496" t="inlineStr">
        <is>
          <t>#KALK!</t>
        </is>
      </c>
      <c r="G8496" t="inlineStr">
        <is>
          <t>HILFSSCHUETZ</t>
        </is>
      </c>
      <c r="H8496" t="inlineStr">
        <is>
          <t>4S Federzugkl.</t>
        </is>
      </c>
      <c r="I8496">
        <v>541</v>
      </c>
      <c r="J8496">
        <f>GS35/387.6</f>
        <v>0</v>
      </c>
      <c r="M8496" t="inlineStr">
        <is>
          <t>-387K147.1</t>
        </is>
      </c>
    </row>
    <row r="8497">
      <c r="A8497">
        <v>8496</v>
      </c>
      <c r="B8497">
        <f>GS37</f>
        <v>0</v>
      </c>
      <c r="C8497" t="inlineStr">
        <is>
          <t>+LS08</t>
        </is>
      </c>
      <c r="D8497" t="inlineStr">
        <is>
          <t>-387K2</t>
        </is>
      </c>
      <c r="E8497" t="inlineStr">
        <is>
          <t>DILA-40</t>
        </is>
      </c>
      <c r="F8497" t="inlineStr">
        <is>
          <t>#KALK!</t>
        </is>
      </c>
      <c r="G8497" t="inlineStr">
        <is>
          <t>HILFSSCHUETZ</t>
        </is>
      </c>
      <c r="H8497" t="inlineStr">
        <is>
          <t>4S Federzugkl.</t>
        </is>
      </c>
      <c r="I8497">
        <v>566</v>
      </c>
      <c r="J8497">
        <f>GS37/387.3</f>
        <v>0</v>
      </c>
      <c r="M8497" t="inlineStr">
        <is>
          <t>-387K2</t>
        </is>
      </c>
    </row>
    <row r="8498">
      <c r="A8498">
        <v>8497</v>
      </c>
      <c r="B8498">
        <f>GS24</f>
        <v>0</v>
      </c>
      <c r="C8498" t="inlineStr">
        <is>
          <t>+LS8</t>
        </is>
      </c>
      <c r="D8498" t="inlineStr">
        <is>
          <t>-387K28.0</t>
        </is>
      </c>
      <c r="E8498" t="inlineStr">
        <is>
          <t>DIL_EM-10-G</t>
        </is>
      </c>
      <c r="F8498" t="inlineStr">
        <is>
          <t>#KALK!</t>
        </is>
      </c>
      <c r="G8498" t="inlineStr">
        <is>
          <t>LASTSCHUETZ</t>
        </is>
      </c>
      <c r="H8498" t="inlineStr">
        <is>
          <t>4kW 1S</t>
        </is>
      </c>
      <c r="I8498">
        <v>700</v>
      </c>
      <c r="J8498">
        <f>GS24/387.7</f>
        <v>0</v>
      </c>
      <c r="M8498" t="inlineStr">
        <is>
          <t>-387K28.0</t>
        </is>
      </c>
    </row>
    <row r="8499">
      <c r="A8499">
        <v>8498</v>
      </c>
      <c r="B8499">
        <f>GS34</f>
        <v>0</v>
      </c>
      <c r="C8499" t="inlineStr">
        <is>
          <t>+LS8</t>
        </is>
      </c>
      <c r="D8499" t="inlineStr">
        <is>
          <t>-387K37.7</t>
        </is>
      </c>
      <c r="E8499" t="inlineStr">
        <is>
          <t>DIL_EM-10-G</t>
        </is>
      </c>
      <c r="F8499" t="inlineStr">
        <is>
          <t>#KALK!</t>
        </is>
      </c>
      <c r="G8499" t="inlineStr">
        <is>
          <t>LASTSCHUETZ</t>
        </is>
      </c>
      <c r="H8499" t="inlineStr">
        <is>
          <t>4kW 1S</t>
        </is>
      </c>
      <c r="I8499">
        <v>512</v>
      </c>
      <c r="J8499">
        <f>GS34/387.7</f>
        <v>0</v>
      </c>
      <c r="M8499" t="inlineStr">
        <is>
          <t>-387K37.7</t>
        </is>
      </c>
    </row>
    <row r="8500">
      <c r="A8500">
        <v>8499</v>
      </c>
      <c r="B8500">
        <f>GS11</f>
        <v>0</v>
      </c>
      <c r="C8500" t="inlineStr">
        <is>
          <t>+LS10</t>
        </is>
      </c>
      <c r="D8500" t="inlineStr">
        <is>
          <t>-387K64.6</t>
        </is>
      </c>
      <c r="E8500" t="inlineStr">
        <is>
          <t>DIL_EM-10-G</t>
        </is>
      </c>
      <c r="F8500" t="inlineStr">
        <is>
          <t>#KALK!</t>
        </is>
      </c>
      <c r="G8500" t="inlineStr">
        <is>
          <t>LASTSCHUETZ</t>
        </is>
      </c>
      <c r="H8500" t="inlineStr">
        <is>
          <t>4kW 1S</t>
        </is>
      </c>
      <c r="I8500">
        <v>493</v>
      </c>
      <c r="J8500">
        <f>GS11/387.6</f>
        <v>0</v>
      </c>
      <c r="M8500" t="inlineStr">
        <is>
          <t>-387K64.6</t>
        </is>
      </c>
    </row>
    <row r="8501">
      <c r="A8501">
        <v>8500</v>
      </c>
      <c r="B8501">
        <f>GS21</f>
        <v>0</v>
      </c>
      <c r="C8501" t="inlineStr">
        <is>
          <t>+LS10</t>
        </is>
      </c>
      <c r="D8501" t="inlineStr">
        <is>
          <t>-387K64.6</t>
        </is>
      </c>
      <c r="E8501" t="inlineStr">
        <is>
          <t>DIL_EM-10-G</t>
        </is>
      </c>
      <c r="F8501" t="inlineStr">
        <is>
          <t>#KALK!</t>
        </is>
      </c>
      <c r="G8501" t="inlineStr">
        <is>
          <t>LASTSCHUETZ</t>
        </is>
      </c>
      <c r="H8501" t="inlineStr">
        <is>
          <t>4kW 1S</t>
        </is>
      </c>
      <c r="I8501">
        <v>475</v>
      </c>
      <c r="J8501">
        <f>GS21/387.6</f>
        <v>0</v>
      </c>
      <c r="M8501" t="inlineStr">
        <is>
          <t>-387K64.6</t>
        </is>
      </c>
    </row>
    <row r="8502">
      <c r="A8502">
        <v>8501</v>
      </c>
      <c r="B8502">
        <f>GS11</f>
        <v>0</v>
      </c>
      <c r="C8502" t="inlineStr">
        <is>
          <t>+LS10</t>
        </is>
      </c>
      <c r="D8502" t="inlineStr">
        <is>
          <t>-387K66.7</t>
        </is>
      </c>
      <c r="E8502" t="inlineStr">
        <is>
          <t>DIL_EM-10-G</t>
        </is>
      </c>
      <c r="F8502" t="inlineStr">
        <is>
          <t>#KALK!</t>
        </is>
      </c>
      <c r="G8502" t="inlineStr">
        <is>
          <t>LASTSCHUETZ</t>
        </is>
      </c>
      <c r="H8502" t="inlineStr">
        <is>
          <t>4kW 1S</t>
        </is>
      </c>
      <c r="I8502">
        <v>493</v>
      </c>
      <c r="J8502">
        <f>GS11/387.6</f>
        <v>0</v>
      </c>
      <c r="M8502" t="inlineStr">
        <is>
          <t>-387K66.7</t>
        </is>
      </c>
    </row>
    <row r="8503">
      <c r="A8503">
        <v>8502</v>
      </c>
      <c r="B8503">
        <f>GS21</f>
        <v>0</v>
      </c>
      <c r="C8503" t="inlineStr">
        <is>
          <t>+LS10</t>
        </is>
      </c>
      <c r="D8503" t="inlineStr">
        <is>
          <t>-387K66.7</t>
        </is>
      </c>
      <c r="E8503" t="inlineStr">
        <is>
          <t>DIL_EM-10-G</t>
        </is>
      </c>
      <c r="F8503" t="inlineStr">
        <is>
          <t>#KALK!</t>
        </is>
      </c>
      <c r="G8503" t="inlineStr">
        <is>
          <t>LASTSCHUETZ</t>
        </is>
      </c>
      <c r="H8503" t="inlineStr">
        <is>
          <t>4kW 1S</t>
        </is>
      </c>
      <c r="I8503">
        <v>475</v>
      </c>
      <c r="J8503">
        <f>GS21/387.6</f>
        <v>0</v>
      </c>
      <c r="M8503" t="inlineStr">
        <is>
          <t>-387K66.7</t>
        </is>
      </c>
    </row>
    <row r="8504">
      <c r="A8504">
        <v>8503</v>
      </c>
      <c r="B8504">
        <f>GS02</f>
        <v>0</v>
      </c>
      <c r="C8504" t="inlineStr">
        <is>
          <t>+LS9</t>
        </is>
      </c>
      <c r="D8504" t="inlineStr">
        <is>
          <t>-387K67.0</t>
        </is>
      </c>
      <c r="E8504" t="inlineStr">
        <is>
          <t>DIL_EM-10-G</t>
        </is>
      </c>
      <c r="F8504" t="inlineStr">
        <is>
          <t>#KALK!</t>
        </is>
      </c>
      <c r="G8504" t="inlineStr">
        <is>
          <t>LASTSCHUETZ</t>
        </is>
      </c>
      <c r="H8504" t="inlineStr">
        <is>
          <t>4kW 1S</t>
        </is>
      </c>
      <c r="I8504">
        <v>794</v>
      </c>
      <c r="J8504">
        <f>GS02/387.7</f>
        <v>0</v>
      </c>
      <c r="M8504" t="inlineStr">
        <is>
          <t>-387K67.0</t>
        </is>
      </c>
    </row>
    <row r="8505">
      <c r="A8505">
        <v>8504</v>
      </c>
      <c r="B8505">
        <f>GS35</f>
        <v>0</v>
      </c>
      <c r="C8505" t="inlineStr">
        <is>
          <t>+LS09</t>
        </is>
      </c>
      <c r="D8505" t="inlineStr">
        <is>
          <t>-387Q1</t>
        </is>
      </c>
      <c r="E8505" t="inlineStr">
        <is>
          <t>DILM-9-10</t>
        </is>
      </c>
      <c r="F8505" t="inlineStr">
        <is>
          <t>DILA-XHI22</t>
        </is>
      </c>
      <c r="G8505" t="inlineStr">
        <is>
          <t>LASTSCHUETZ</t>
        </is>
      </c>
      <c r="H8505" t="inlineStr">
        <is>
          <t>4kW 1S Federzugkl.</t>
        </is>
      </c>
      <c r="I8505">
        <v>541</v>
      </c>
      <c r="J8505">
        <f>GS35/387.3</f>
        <v>0</v>
      </c>
      <c r="M8505" t="inlineStr">
        <is>
          <t>-387Q1</t>
        </is>
      </c>
    </row>
    <row r="8506">
      <c r="A8506">
        <v>8505</v>
      </c>
      <c r="B8506">
        <f>GS35</f>
        <v>0</v>
      </c>
      <c r="C8506" t="inlineStr">
        <is>
          <t>+LS09</t>
        </is>
      </c>
      <c r="D8506" t="inlineStr">
        <is>
          <t>-387Q1</t>
        </is>
      </c>
      <c r="E8506" t="inlineStr">
        <is>
          <t>DILA-XHI22</t>
        </is>
      </c>
      <c r="F8506" t="inlineStr">
        <is>
          <t>DILA-XHI22</t>
        </is>
      </c>
      <c r="G8506" t="inlineStr">
        <is>
          <t>HILFSKONTAKTBLOCK</t>
        </is>
      </c>
      <c r="H8506" t="inlineStr">
        <is>
          <t>2S 2OE Last+Hilfssch. Cage</t>
        </is>
      </c>
      <c r="I8506">
        <v>541</v>
      </c>
      <c r="J8506">
        <f>GS35/387.3</f>
        <v>0</v>
      </c>
      <c r="M8506" t="inlineStr">
        <is>
          <t>-387Q1</t>
        </is>
      </c>
    </row>
    <row r="8507">
      <c r="A8507">
        <v>8506</v>
      </c>
      <c r="B8507">
        <f>GS35</f>
        <v>0</v>
      </c>
      <c r="C8507" t="inlineStr">
        <is>
          <t>+LS09</t>
        </is>
      </c>
      <c r="D8507" t="inlineStr">
        <is>
          <t>-387Q2</t>
        </is>
      </c>
      <c r="E8507" t="inlineStr">
        <is>
          <t>DILM-9-10</t>
        </is>
      </c>
      <c r="F8507" t="inlineStr">
        <is>
          <t>#KALK!</t>
        </is>
      </c>
      <c r="G8507" t="inlineStr">
        <is>
          <t>LASTSCHUETZ</t>
        </is>
      </c>
      <c r="H8507" t="inlineStr">
        <is>
          <t>4kW 1S Federzugkl.</t>
        </is>
      </c>
      <c r="I8507">
        <v>541</v>
      </c>
      <c r="J8507">
        <f>GS35/387.4</f>
        <v>0</v>
      </c>
      <c r="M8507" t="inlineStr">
        <is>
          <t>-387Q2</t>
        </is>
      </c>
    </row>
    <row r="8508">
      <c r="A8508">
        <v>8507</v>
      </c>
      <c r="B8508">
        <f>GS90</f>
        <v>0</v>
      </c>
      <c r="C8508" t="inlineStr">
        <is>
          <t>+LS07</t>
        </is>
      </c>
      <c r="D8508" t="inlineStr">
        <is>
          <t>-387Q201.1</t>
        </is>
      </c>
      <c r="E8508" t="inlineStr">
        <is>
          <t>DILM-9-10</t>
        </is>
      </c>
      <c r="F8508" t="inlineStr">
        <is>
          <t>#KALK!</t>
        </is>
      </c>
      <c r="G8508" t="inlineStr">
        <is>
          <t>LASTSCHUETZ</t>
        </is>
      </c>
      <c r="H8508" t="inlineStr">
        <is>
          <t>4kW 1S Federzugkl.</t>
        </is>
      </c>
      <c r="I8508">
        <v>854</v>
      </c>
      <c r="J8508">
        <f>GS90/387.5</f>
        <v>0</v>
      </c>
      <c r="M8508" t="inlineStr">
        <is>
          <t>-387Q201.1</t>
        </is>
      </c>
    </row>
    <row r="8509">
      <c r="A8509">
        <v>8508</v>
      </c>
      <c r="B8509">
        <f>GS35</f>
        <v>0</v>
      </c>
      <c r="C8509" t="inlineStr">
        <is>
          <t>+LS09</t>
        </is>
      </c>
      <c r="D8509" t="inlineStr">
        <is>
          <t>-387Q3</t>
        </is>
      </c>
      <c r="E8509" t="inlineStr">
        <is>
          <t>DILM-9-10</t>
        </is>
      </c>
      <c r="F8509" t="inlineStr">
        <is>
          <t>#KALK!</t>
        </is>
      </c>
      <c r="G8509" t="inlineStr">
        <is>
          <t>LASTSCHUETZ</t>
        </is>
      </c>
      <c r="H8509" t="inlineStr">
        <is>
          <t>4kW 1S Federzugkl.</t>
        </is>
      </c>
      <c r="I8509">
        <v>541</v>
      </c>
      <c r="J8509">
        <f>GS35/387.4</f>
        <v>0</v>
      </c>
      <c r="M8509" t="inlineStr">
        <is>
          <t>-387Q3</t>
        </is>
      </c>
    </row>
    <row r="8510">
      <c r="A8510">
        <v>8509</v>
      </c>
      <c r="B8510">
        <f>GS36</f>
        <v>0</v>
      </c>
      <c r="C8510" t="inlineStr">
        <is>
          <t>+LS10</t>
        </is>
      </c>
      <c r="D8510" t="inlineStr">
        <is>
          <t>-905Q707.1</t>
        </is>
      </c>
      <c r="E8510" t="inlineStr">
        <is>
          <t>DILMC12-10(24VDC)</t>
        </is>
      </c>
      <c r="F8510" t="inlineStr">
        <is>
          <t>DILA-XHI22</t>
        </is>
      </c>
      <c r="G8510" t="inlineStr">
        <is>
          <t>LASTSCHUETZ</t>
        </is>
      </c>
      <c r="H8510" t="inlineStr">
        <is>
          <t>5,5kW 1S Federzugkl.</t>
        </is>
      </c>
      <c r="I8510">
        <v>1638</v>
      </c>
      <c r="J8510">
        <f>GS36/905.5</f>
        <v>0</v>
      </c>
      <c r="K8510" t="inlineStr">
        <is>
          <t>DIL MC12</t>
        </is>
      </c>
      <c r="L8510" t="inlineStr">
        <is>
          <t>HT_3506</t>
        </is>
      </c>
      <c r="M8510" t="inlineStr">
        <is>
          <t>HT_3506
-905Q707.1</t>
        </is>
      </c>
      <c r="N8510" t="inlineStr">
        <is>
          <t>P</t>
        </is>
      </c>
    </row>
    <row r="8511">
      <c r="A8511">
        <v>8510</v>
      </c>
      <c r="B8511">
        <f>GC22</f>
        <v>0</v>
      </c>
      <c r="C8511" t="inlineStr">
        <is>
          <t>+LS5</t>
        </is>
      </c>
      <c r="D8511" t="inlineStr">
        <is>
          <t>-388K1</t>
        </is>
      </c>
      <c r="E8511" t="inlineStr">
        <is>
          <t>DIL_0AM</t>
        </is>
      </c>
      <c r="F8511" t="inlineStr">
        <is>
          <t>22_DIL-M</t>
        </is>
      </c>
      <c r="G8511" t="inlineStr">
        <is>
          <t>LASTSCHUETZ</t>
        </is>
      </c>
      <c r="H8511" t="inlineStr">
        <is>
          <t>11 kW</t>
        </is>
      </c>
      <c r="I8511">
        <v>722</v>
      </c>
      <c r="J8511">
        <f>GC22/388.2</f>
        <v>0</v>
      </c>
      <c r="K8511" t="inlineStr">
        <is>
          <t>DIL0AM</t>
        </is>
      </c>
      <c r="M8511" t="inlineStr">
        <is>
          <t>-388K1</t>
        </is>
      </c>
    </row>
    <row r="8512">
      <c r="A8512">
        <v>8511</v>
      </c>
      <c r="B8512">
        <f>GC22</f>
        <v>0</v>
      </c>
      <c r="C8512" t="inlineStr">
        <is>
          <t>+LS5</t>
        </is>
      </c>
      <c r="D8512" t="inlineStr">
        <is>
          <t>-388K1</t>
        </is>
      </c>
      <c r="E8512" t="inlineStr">
        <is>
          <t>22_DIL-M</t>
        </is>
      </c>
      <c r="F8512" t="inlineStr">
        <is>
          <t>22_DIL-M</t>
        </is>
      </c>
      <c r="G8512" t="inlineStr">
        <is>
          <t>HILFSKONTAKTBLOCK</t>
        </is>
      </c>
      <c r="H8512" t="inlineStr">
        <is>
          <t>2S 2OE Lastschuetz DIL M</t>
        </is>
      </c>
      <c r="I8512">
        <v>722</v>
      </c>
      <c r="J8512">
        <f>GC22/388.2</f>
        <v>0</v>
      </c>
      <c r="K8512" t="inlineStr">
        <is>
          <t>DIL0AM</t>
        </is>
      </c>
      <c r="M8512" t="inlineStr">
        <is>
          <t>-388K1</t>
        </is>
      </c>
    </row>
    <row r="8513">
      <c r="A8513">
        <v>8512</v>
      </c>
      <c r="B8513">
        <f>GS12</f>
        <v>0</v>
      </c>
      <c r="C8513" t="inlineStr">
        <is>
          <t>+LS5</t>
        </is>
      </c>
      <c r="D8513" t="inlineStr">
        <is>
          <t>-388K1</t>
        </is>
      </c>
      <c r="E8513" t="inlineStr">
        <is>
          <t>DIL_0AM</t>
        </is>
      </c>
      <c r="F8513" t="inlineStr">
        <is>
          <t>22_DIL-M</t>
        </is>
      </c>
      <c r="G8513" t="inlineStr">
        <is>
          <t>LASTSCHUETZ</t>
        </is>
      </c>
      <c r="H8513" t="inlineStr">
        <is>
          <t>11 kW</t>
        </is>
      </c>
      <c r="I8513">
        <v>520</v>
      </c>
      <c r="J8513">
        <f>GS12/388.2</f>
        <v>0</v>
      </c>
      <c r="K8513" t="inlineStr">
        <is>
          <t>DIL0AM</t>
        </is>
      </c>
      <c r="M8513" t="inlineStr">
        <is>
          <t>-388K1</t>
        </is>
      </c>
    </row>
    <row r="8514">
      <c r="A8514">
        <v>8513</v>
      </c>
      <c r="B8514">
        <f>GS12</f>
        <v>0</v>
      </c>
      <c r="C8514" t="inlineStr">
        <is>
          <t>+LS5</t>
        </is>
      </c>
      <c r="D8514" t="inlineStr">
        <is>
          <t>-388K1</t>
        </is>
      </c>
      <c r="E8514" t="inlineStr">
        <is>
          <t>22_DIL-M</t>
        </is>
      </c>
      <c r="F8514" t="inlineStr">
        <is>
          <t>22_DIL-M</t>
        </is>
      </c>
      <c r="G8514" t="inlineStr">
        <is>
          <t>HILFSKONTAKTBLOCK</t>
        </is>
      </c>
      <c r="H8514" t="inlineStr">
        <is>
          <t>2S 2OE Lastschuetz DIL M</t>
        </is>
      </c>
      <c r="I8514">
        <v>520</v>
      </c>
      <c r="J8514">
        <f>GS12/388.2</f>
        <v>0</v>
      </c>
      <c r="K8514" t="inlineStr">
        <is>
          <t>DIL0AM</t>
        </is>
      </c>
      <c r="M8514" t="inlineStr">
        <is>
          <t>-388K1</t>
        </is>
      </c>
    </row>
    <row r="8515">
      <c r="A8515">
        <v>8514</v>
      </c>
      <c r="B8515">
        <f>GS37</f>
        <v>0</v>
      </c>
      <c r="C8515" t="inlineStr">
        <is>
          <t>+LS08</t>
        </is>
      </c>
      <c r="D8515" t="inlineStr">
        <is>
          <t>-388K1</t>
        </is>
      </c>
      <c r="E8515" t="inlineStr">
        <is>
          <t>DILM-9-01</t>
        </is>
      </c>
      <c r="F8515" t="inlineStr">
        <is>
          <t>#KALK!</t>
        </is>
      </c>
      <c r="G8515" t="inlineStr">
        <is>
          <t>LASTSCHUETZ</t>
        </is>
      </c>
      <c r="H8515" t="inlineStr">
        <is>
          <t>4kW 1Oe Federzugkl.</t>
        </is>
      </c>
      <c r="I8515">
        <v>565</v>
      </c>
      <c r="J8515">
        <f>GS37/388.6</f>
        <v>0</v>
      </c>
      <c r="M8515" t="inlineStr">
        <is>
          <t>-388K1</t>
        </is>
      </c>
    </row>
    <row r="8516">
      <c r="A8516">
        <v>8515</v>
      </c>
      <c r="B8516">
        <f>GC03</f>
        <v>0</v>
      </c>
      <c r="C8516" t="inlineStr">
        <is>
          <t>+LS9</t>
        </is>
      </c>
      <c r="D8516" t="inlineStr">
        <is>
          <t>-388K12.2</t>
        </is>
      </c>
      <c r="E8516" t="inlineStr">
        <is>
          <t>DIL_EM-10-G</t>
        </is>
      </c>
      <c r="F8516" t="inlineStr">
        <is>
          <t>#KALK!</t>
        </is>
      </c>
      <c r="G8516" t="inlineStr">
        <is>
          <t>LASTSCHUETZ</t>
        </is>
      </c>
      <c r="H8516" t="inlineStr">
        <is>
          <t>4kW 1S</t>
        </is>
      </c>
      <c r="I8516">
        <v>3559</v>
      </c>
      <c r="J8516">
        <f>GC03/388.6</f>
        <v>0</v>
      </c>
      <c r="M8516" t="inlineStr">
        <is>
          <t>-388K12.2</t>
        </is>
      </c>
    </row>
    <row r="8517">
      <c r="A8517">
        <v>8516</v>
      </c>
      <c r="B8517">
        <f>GC03</f>
        <v>0</v>
      </c>
      <c r="C8517" t="inlineStr">
        <is>
          <t>+LS9</t>
        </is>
      </c>
      <c r="D8517" t="inlineStr">
        <is>
          <t>-388K12.3</t>
        </is>
      </c>
      <c r="E8517" t="inlineStr">
        <is>
          <t>DIL_EM-10-G</t>
        </is>
      </c>
      <c r="F8517" t="inlineStr">
        <is>
          <t>#KALK!</t>
        </is>
      </c>
      <c r="G8517" t="inlineStr">
        <is>
          <t>LASTSCHUETZ</t>
        </is>
      </c>
      <c r="H8517" t="inlineStr">
        <is>
          <t>4kW 1S</t>
        </is>
      </c>
      <c r="I8517">
        <v>3559</v>
      </c>
      <c r="J8517">
        <f>GC03/388.7</f>
        <v>0</v>
      </c>
      <c r="M8517" t="inlineStr">
        <is>
          <t>-388K12.3</t>
        </is>
      </c>
    </row>
    <row r="8518">
      <c r="A8518">
        <v>8517</v>
      </c>
      <c r="B8518">
        <f>GS37</f>
        <v>0</v>
      </c>
      <c r="C8518" t="inlineStr">
        <is>
          <t>+LS08</t>
        </is>
      </c>
      <c r="D8518" t="inlineStr">
        <is>
          <t>-388K2</t>
        </is>
      </c>
      <c r="E8518" t="inlineStr">
        <is>
          <t>DILM-9-01</t>
        </is>
      </c>
      <c r="F8518" t="inlineStr">
        <is>
          <t>#KALK!</t>
        </is>
      </c>
      <c r="G8518" t="inlineStr">
        <is>
          <t>LASTSCHUETZ</t>
        </is>
      </c>
      <c r="H8518" t="inlineStr">
        <is>
          <t>4kW 1Oe Federzugkl.</t>
        </is>
      </c>
      <c r="I8518">
        <v>565</v>
      </c>
      <c r="J8518">
        <f>GS37/388.7</f>
        <v>0</v>
      </c>
      <c r="M8518" t="inlineStr">
        <is>
          <t>-388K2</t>
        </is>
      </c>
    </row>
    <row r="8519">
      <c r="A8519">
        <v>8518</v>
      </c>
      <c r="B8519">
        <f>GS24</f>
        <v>0</v>
      </c>
      <c r="C8519" t="inlineStr">
        <is>
          <t>+LS8</t>
        </is>
      </c>
      <c r="D8519" t="inlineStr">
        <is>
          <t>-388K28.1</t>
        </is>
      </c>
      <c r="E8519" t="inlineStr">
        <is>
          <t>DIL_EM-10-G</t>
        </is>
      </c>
      <c r="F8519" t="inlineStr">
        <is>
          <t>#KALK!</t>
        </is>
      </c>
      <c r="G8519" t="inlineStr">
        <is>
          <t>LASTSCHUETZ</t>
        </is>
      </c>
      <c r="H8519" t="inlineStr">
        <is>
          <t>4kW 1S</t>
        </is>
      </c>
      <c r="I8519">
        <v>699</v>
      </c>
      <c r="J8519">
        <f>GS24/388.6</f>
        <v>0</v>
      </c>
      <c r="M8519" t="inlineStr">
        <is>
          <t>-388K28.1</t>
        </is>
      </c>
    </row>
    <row r="8520">
      <c r="A8520">
        <v>8519</v>
      </c>
      <c r="B8520">
        <f>GS24</f>
        <v>0</v>
      </c>
      <c r="C8520" t="inlineStr">
        <is>
          <t>+LS8</t>
        </is>
      </c>
      <c r="D8520" t="inlineStr">
        <is>
          <t>-388K28.2</t>
        </is>
      </c>
      <c r="E8520" t="inlineStr">
        <is>
          <t>DIL_EM-10-G</t>
        </is>
      </c>
      <c r="F8520" t="inlineStr">
        <is>
          <t>#KALK!</t>
        </is>
      </c>
      <c r="G8520" t="inlineStr">
        <is>
          <t>LASTSCHUETZ</t>
        </is>
      </c>
      <c r="H8520" t="inlineStr">
        <is>
          <t>4kW 1S</t>
        </is>
      </c>
      <c r="I8520">
        <v>699</v>
      </c>
      <c r="J8520">
        <f>GS24/388.6</f>
        <v>0</v>
      </c>
      <c r="M8520" t="inlineStr">
        <is>
          <t>-388K28.2</t>
        </is>
      </c>
    </row>
    <row r="8521">
      <c r="A8521">
        <v>8520</v>
      </c>
      <c r="B8521">
        <f>GS25</f>
        <v>0</v>
      </c>
      <c r="C8521" t="inlineStr">
        <is>
          <t>+LS8</t>
        </is>
      </c>
      <c r="D8521" t="inlineStr">
        <is>
          <t>-388K31.3</t>
        </is>
      </c>
      <c r="E8521" t="inlineStr">
        <is>
          <t>DIL_EM-01-G</t>
        </is>
      </c>
      <c r="F8521" t="inlineStr">
        <is>
          <t>#KALK!</t>
        </is>
      </c>
      <c r="G8521" t="inlineStr">
        <is>
          <t>LASTSCHUETZ</t>
        </is>
      </c>
      <c r="H8521" t="inlineStr">
        <is>
          <t>4kW 1OE</t>
        </is>
      </c>
      <c r="I8521">
        <v>512</v>
      </c>
      <c r="J8521">
        <f>GS25/388.6</f>
        <v>0</v>
      </c>
      <c r="M8521" t="inlineStr">
        <is>
          <t>-388K31.3</t>
        </is>
      </c>
    </row>
    <row r="8522">
      <c r="A8522">
        <v>8521</v>
      </c>
      <c r="B8522">
        <f>GS25</f>
        <v>0</v>
      </c>
      <c r="C8522" t="inlineStr">
        <is>
          <t>+LS8</t>
        </is>
      </c>
      <c r="D8522" t="inlineStr">
        <is>
          <t>-388K31.4</t>
        </is>
      </c>
      <c r="E8522" t="inlineStr">
        <is>
          <t>DIL_EM-10-G</t>
        </is>
      </c>
      <c r="F8522" t="inlineStr">
        <is>
          <t>#KALK!</t>
        </is>
      </c>
      <c r="G8522" t="inlineStr">
        <is>
          <t>LASTSCHUETZ</t>
        </is>
      </c>
      <c r="H8522" t="inlineStr">
        <is>
          <t>4kW 1S</t>
        </is>
      </c>
      <c r="I8522">
        <v>512</v>
      </c>
      <c r="J8522">
        <f>GS25/388.6</f>
        <v>0</v>
      </c>
      <c r="M8522" t="inlineStr">
        <is>
          <t>-388K31.4</t>
        </is>
      </c>
    </row>
    <row r="8523">
      <c r="A8523">
        <v>8522</v>
      </c>
      <c r="B8523">
        <f>GS25</f>
        <v>0</v>
      </c>
      <c r="C8523" t="inlineStr">
        <is>
          <t>+LS8</t>
        </is>
      </c>
      <c r="D8523" t="inlineStr">
        <is>
          <t>-388K31.5</t>
        </is>
      </c>
      <c r="E8523" t="inlineStr">
        <is>
          <t>DIL_EM-01-G</t>
        </is>
      </c>
      <c r="F8523" t="inlineStr">
        <is>
          <t>#KALK!</t>
        </is>
      </c>
      <c r="G8523" t="inlineStr">
        <is>
          <t>LASTSCHUETZ</t>
        </is>
      </c>
      <c r="H8523" t="inlineStr">
        <is>
          <t>4kW 1OE</t>
        </is>
      </c>
      <c r="I8523">
        <v>512</v>
      </c>
      <c r="J8523">
        <f>GS25/388.7</f>
        <v>0</v>
      </c>
      <c r="M8523" t="inlineStr">
        <is>
          <t>-388K31.5</t>
        </is>
      </c>
    </row>
    <row r="8524">
      <c r="A8524">
        <v>8523</v>
      </c>
      <c r="B8524">
        <f>GS34</f>
        <v>0</v>
      </c>
      <c r="C8524" t="inlineStr">
        <is>
          <t>+LS8</t>
        </is>
      </c>
      <c r="D8524" t="inlineStr">
        <is>
          <t>-388K38.0</t>
        </is>
      </c>
      <c r="E8524" t="inlineStr">
        <is>
          <t>DIL_EM-10-G</t>
        </is>
      </c>
      <c r="F8524" t="inlineStr">
        <is>
          <t>#KALK!</t>
        </is>
      </c>
      <c r="G8524" t="inlineStr">
        <is>
          <t>LASTSCHUETZ</t>
        </is>
      </c>
      <c r="H8524" t="inlineStr">
        <is>
          <t>4kW 1S</t>
        </is>
      </c>
      <c r="I8524">
        <v>513</v>
      </c>
      <c r="J8524">
        <f>GS34/388.6</f>
        <v>0</v>
      </c>
      <c r="M8524" t="inlineStr">
        <is>
          <t>-388K38.0</t>
        </is>
      </c>
    </row>
    <row r="8525">
      <c r="A8525">
        <v>8524</v>
      </c>
      <c r="B8525">
        <f>GS11</f>
        <v>0</v>
      </c>
      <c r="C8525" t="inlineStr">
        <is>
          <t>+LS10</t>
        </is>
      </c>
      <c r="D8525" t="inlineStr">
        <is>
          <t>-388K64.7</t>
        </is>
      </c>
      <c r="E8525" t="inlineStr">
        <is>
          <t>DIL_EM-10-G</t>
        </is>
      </c>
      <c r="F8525" t="inlineStr">
        <is>
          <t>#KALK!</t>
        </is>
      </c>
      <c r="G8525" t="inlineStr">
        <is>
          <t>LASTSCHUETZ</t>
        </is>
      </c>
      <c r="H8525" t="inlineStr">
        <is>
          <t>4kW 1S</t>
        </is>
      </c>
      <c r="I8525">
        <v>494</v>
      </c>
      <c r="J8525">
        <f>GS11/388.6</f>
        <v>0</v>
      </c>
      <c r="M8525" t="inlineStr">
        <is>
          <t>-388K64.7</t>
        </is>
      </c>
    </row>
    <row r="8526">
      <c r="A8526">
        <v>8525</v>
      </c>
      <c r="B8526">
        <f>GS21</f>
        <v>0</v>
      </c>
      <c r="C8526" t="inlineStr">
        <is>
          <t>+LS10</t>
        </is>
      </c>
      <c r="D8526" t="inlineStr">
        <is>
          <t>-388K64.7</t>
        </is>
      </c>
      <c r="E8526" t="inlineStr">
        <is>
          <t>DIL_EM-10-G</t>
        </is>
      </c>
      <c r="F8526" t="inlineStr">
        <is>
          <t>#KALK!</t>
        </is>
      </c>
      <c r="G8526" t="inlineStr">
        <is>
          <t>LASTSCHUETZ</t>
        </is>
      </c>
      <c r="H8526" t="inlineStr">
        <is>
          <t>4kW 1S</t>
        </is>
      </c>
      <c r="I8526">
        <v>476</v>
      </c>
      <c r="J8526">
        <f>GS21/388.6</f>
        <v>0</v>
      </c>
      <c r="M8526" t="inlineStr">
        <is>
          <t>-388K64.7</t>
        </is>
      </c>
    </row>
    <row r="8527">
      <c r="A8527">
        <v>8526</v>
      </c>
      <c r="B8527">
        <f>GS11</f>
        <v>0</v>
      </c>
      <c r="C8527" t="inlineStr">
        <is>
          <t>+LS10</t>
        </is>
      </c>
      <c r="D8527" t="inlineStr">
        <is>
          <t>-388K67.0</t>
        </is>
      </c>
      <c r="E8527" t="inlineStr">
        <is>
          <t>DIL_EM-10-G</t>
        </is>
      </c>
      <c r="F8527" t="inlineStr">
        <is>
          <t>#KALK!</t>
        </is>
      </c>
      <c r="G8527" t="inlineStr">
        <is>
          <t>LASTSCHUETZ</t>
        </is>
      </c>
      <c r="H8527" t="inlineStr">
        <is>
          <t>4kW 1S</t>
        </is>
      </c>
      <c r="I8527">
        <v>494</v>
      </c>
      <c r="J8527">
        <f>GS11/388.6</f>
        <v>0</v>
      </c>
      <c r="M8527" t="inlineStr">
        <is>
          <t>-388K67.0</t>
        </is>
      </c>
    </row>
    <row r="8528">
      <c r="A8528">
        <v>8527</v>
      </c>
      <c r="B8528">
        <f>GS21</f>
        <v>0</v>
      </c>
      <c r="C8528" t="inlineStr">
        <is>
          <t>+LS10</t>
        </is>
      </c>
      <c r="D8528" t="inlineStr">
        <is>
          <t>-388K67.0</t>
        </is>
      </c>
      <c r="E8528" t="inlineStr">
        <is>
          <t>DIL_EM-10-G</t>
        </is>
      </c>
      <c r="F8528" t="inlineStr">
        <is>
          <t>#KALK!</t>
        </is>
      </c>
      <c r="G8528" t="inlineStr">
        <is>
          <t>LASTSCHUETZ</t>
        </is>
      </c>
      <c r="H8528" t="inlineStr">
        <is>
          <t>4kW 1S</t>
        </is>
      </c>
      <c r="I8528">
        <v>476</v>
      </c>
      <c r="J8528">
        <f>GS21/388.6</f>
        <v>0</v>
      </c>
      <c r="M8528" t="inlineStr">
        <is>
          <t>-388K67.0</t>
        </is>
      </c>
    </row>
    <row r="8529">
      <c r="A8529">
        <v>8528</v>
      </c>
      <c r="B8529">
        <f>GS02</f>
        <v>0</v>
      </c>
      <c r="C8529" t="inlineStr">
        <is>
          <t>+LS9</t>
        </is>
      </c>
      <c r="D8529" t="inlineStr">
        <is>
          <t>-388K67.6</t>
        </is>
      </c>
      <c r="E8529" t="inlineStr">
        <is>
          <t>DIL_EM-10-G</t>
        </is>
      </c>
      <c r="F8529" t="inlineStr">
        <is>
          <t>#KALK!</t>
        </is>
      </c>
      <c r="G8529" t="inlineStr">
        <is>
          <t>LASTSCHUETZ</t>
        </is>
      </c>
      <c r="H8529" t="inlineStr">
        <is>
          <t>4kW 1S</t>
        </is>
      </c>
      <c r="I8529">
        <v>795</v>
      </c>
      <c r="J8529">
        <f>GS02/388.7</f>
        <v>0</v>
      </c>
      <c r="M8529" t="inlineStr">
        <is>
          <t>-388K67.6</t>
        </is>
      </c>
    </row>
    <row r="8530">
      <c r="A8530">
        <v>8529</v>
      </c>
      <c r="B8530">
        <f>GS36</f>
        <v>0</v>
      </c>
      <c r="C8530" t="inlineStr">
        <is>
          <t>+LS10</t>
        </is>
      </c>
      <c r="D8530" t="inlineStr">
        <is>
          <t>-915K1</t>
        </is>
      </c>
      <c r="E8530" t="inlineStr">
        <is>
          <t>DILM-9-01</t>
        </is>
      </c>
      <c r="F8530" t="inlineStr">
        <is>
          <t>#KALK!</t>
        </is>
      </c>
      <c r="G8530" t="inlineStr">
        <is>
          <t>LASTSCHUETZ</t>
        </is>
      </c>
      <c r="H8530" t="inlineStr">
        <is>
          <t>4kW 1Oe Federzugkl.</t>
        </is>
      </c>
      <c r="I8530">
        <v>1496</v>
      </c>
      <c r="J8530">
        <f>GS36/915.6</f>
        <v>0</v>
      </c>
      <c r="L8530" t="inlineStr">
        <is>
          <t>Lichtvorhang KF</t>
        </is>
      </c>
      <c r="M8530" t="inlineStr">
        <is>
          <t>Lichtvorhang KF
-915K1</t>
        </is>
      </c>
    </row>
    <row r="8531">
      <c r="A8531">
        <v>8530</v>
      </c>
      <c r="B8531">
        <f>GS38</f>
        <v>0</v>
      </c>
      <c r="C8531" t="inlineStr">
        <is>
          <t>+LS08</t>
        </is>
      </c>
      <c r="D8531" t="inlineStr">
        <is>
          <t>-389.2Q115.4</t>
        </is>
      </c>
      <c r="E8531" t="inlineStr">
        <is>
          <t>DILMC12-10(24VDC)</t>
        </is>
      </c>
      <c r="F8531" t="inlineStr">
        <is>
          <t>#KALK!</t>
        </is>
      </c>
      <c r="G8531" t="inlineStr">
        <is>
          <t>LASTSCHUETZ</t>
        </is>
      </c>
      <c r="H8531" t="inlineStr">
        <is>
          <t>5,5kW 1S Federzugkl.</t>
        </is>
      </c>
      <c r="I8531">
        <v>1441</v>
      </c>
      <c r="J8531">
        <f>GS38/389.2.5</f>
        <v>0</v>
      </c>
      <c r="K8531" t="inlineStr">
        <is>
          <t>DIL MC12</t>
        </is>
      </c>
      <c r="M8531" t="inlineStr">
        <is>
          <t>-389.2Q115.4</t>
        </is>
      </c>
    </row>
    <row r="8532">
      <c r="A8532">
        <v>8531</v>
      </c>
      <c r="B8532">
        <f>GS39</f>
        <v>0</v>
      </c>
      <c r="C8532" t="inlineStr">
        <is>
          <t>+LS08</t>
        </is>
      </c>
      <c r="D8532" t="inlineStr">
        <is>
          <t>-389.2Q115.4</t>
        </is>
      </c>
      <c r="E8532" t="inlineStr">
        <is>
          <t>DILMC12-10(24VDC)</t>
        </is>
      </c>
      <c r="F8532" t="inlineStr">
        <is>
          <t>#KALK!</t>
        </is>
      </c>
      <c r="G8532" t="inlineStr">
        <is>
          <t>LASTSCHUETZ</t>
        </is>
      </c>
      <c r="H8532" t="inlineStr">
        <is>
          <t>5,5kW 1S Federzugkl.</t>
        </is>
      </c>
      <c r="I8532">
        <v>561</v>
      </c>
      <c r="J8532">
        <f>GS39/389.2.5</f>
        <v>0</v>
      </c>
      <c r="K8532" t="inlineStr">
        <is>
          <t>DIL MC12</t>
        </is>
      </c>
      <c r="M8532" t="inlineStr">
        <is>
          <t>-389.2Q115.4</t>
        </is>
      </c>
    </row>
    <row r="8533">
      <c r="A8533">
        <v>8532</v>
      </c>
      <c r="B8533">
        <f>GS38</f>
        <v>0</v>
      </c>
      <c r="C8533" t="inlineStr">
        <is>
          <t>+LS08</t>
        </is>
      </c>
      <c r="D8533" t="inlineStr">
        <is>
          <t>-389.5Q115.4</t>
        </is>
      </c>
      <c r="E8533" t="inlineStr">
        <is>
          <t>DILMC12-10(24VDC)</t>
        </is>
      </c>
      <c r="F8533" t="inlineStr">
        <is>
          <t>#KALK!</t>
        </is>
      </c>
      <c r="G8533" t="inlineStr">
        <is>
          <t>LASTSCHUETZ</t>
        </is>
      </c>
      <c r="H8533" t="inlineStr">
        <is>
          <t>5,5kW 1S Federzugkl.</t>
        </is>
      </c>
      <c r="I8533">
        <v>1473</v>
      </c>
      <c r="J8533">
        <f>GS38/389.5.5</f>
        <v>0</v>
      </c>
      <c r="K8533" t="inlineStr">
        <is>
          <t>DIL MC12</t>
        </is>
      </c>
      <c r="M8533" t="inlineStr">
        <is>
          <t>-389.5Q115.4</t>
        </is>
      </c>
    </row>
    <row r="8534">
      <c r="A8534">
        <v>8533</v>
      </c>
      <c r="B8534">
        <f>GS39</f>
        <v>0</v>
      </c>
      <c r="C8534" t="inlineStr">
        <is>
          <t>+LS08</t>
        </is>
      </c>
      <c r="D8534" t="inlineStr">
        <is>
          <t>-389.5Q115.4</t>
        </is>
      </c>
      <c r="E8534" t="inlineStr">
        <is>
          <t>DILMC12-10(24VDC)</t>
        </is>
      </c>
      <c r="F8534" t="inlineStr">
        <is>
          <t>#KALK!</t>
        </is>
      </c>
      <c r="G8534" t="inlineStr">
        <is>
          <t>LASTSCHUETZ</t>
        </is>
      </c>
      <c r="H8534" t="inlineStr">
        <is>
          <t>5,5kW 1S Federzugkl.</t>
        </is>
      </c>
      <c r="I8534">
        <v>564</v>
      </c>
      <c r="J8534">
        <f>GS39/389.5.5</f>
        <v>0</v>
      </c>
      <c r="K8534" t="inlineStr">
        <is>
          <t>DIL MC12</t>
        </is>
      </c>
      <c r="M8534" t="inlineStr">
        <is>
          <t>-389.5Q115.4</t>
        </is>
      </c>
    </row>
    <row r="8535">
      <c r="A8535">
        <v>8534</v>
      </c>
      <c r="B8535">
        <f>GS37</f>
        <v>0</v>
      </c>
      <c r="C8535" t="inlineStr">
        <is>
          <t>+LS08</t>
        </is>
      </c>
      <c r="D8535" t="inlineStr">
        <is>
          <t>-389K1</t>
        </is>
      </c>
      <c r="E8535" t="inlineStr">
        <is>
          <t>DILM-9-01</t>
        </is>
      </c>
      <c r="F8535" t="inlineStr">
        <is>
          <t>#KALK!</t>
        </is>
      </c>
      <c r="G8535" t="inlineStr">
        <is>
          <t>LASTSCHUETZ</t>
        </is>
      </c>
      <c r="H8535" t="inlineStr">
        <is>
          <t>4kW 1Oe Federzugkl.</t>
        </is>
      </c>
      <c r="I8535">
        <v>564</v>
      </c>
      <c r="J8535">
        <f>GS37/389.6</f>
        <v>0</v>
      </c>
      <c r="M8535" t="inlineStr">
        <is>
          <t>-389K1</t>
        </is>
      </c>
    </row>
    <row r="8536">
      <c r="A8536">
        <v>8535</v>
      </c>
      <c r="B8536">
        <f>GC03</f>
        <v>0</v>
      </c>
      <c r="C8536" t="inlineStr">
        <is>
          <t>+LS9</t>
        </is>
      </c>
      <c r="D8536" t="inlineStr">
        <is>
          <t>-389K12.7</t>
        </is>
      </c>
      <c r="E8536" t="inlineStr">
        <is>
          <t>DIL_EM-10-G</t>
        </is>
      </c>
      <c r="F8536" t="inlineStr">
        <is>
          <t>#KALK!</t>
        </is>
      </c>
      <c r="G8536" t="inlineStr">
        <is>
          <t>LASTSCHUETZ</t>
        </is>
      </c>
      <c r="H8536" t="inlineStr">
        <is>
          <t>4kW 1S</t>
        </is>
      </c>
      <c r="I8536">
        <v>3560</v>
      </c>
      <c r="J8536">
        <f>GC03/389.7</f>
        <v>0</v>
      </c>
      <c r="M8536" t="inlineStr">
        <is>
          <t>-389K12.7</t>
        </is>
      </c>
    </row>
    <row r="8537">
      <c r="A8537">
        <v>8536</v>
      </c>
      <c r="B8537">
        <f>GS37</f>
        <v>0</v>
      </c>
      <c r="C8537" t="inlineStr">
        <is>
          <t>+LS08</t>
        </is>
      </c>
      <c r="D8537" t="inlineStr">
        <is>
          <t>-389K2</t>
        </is>
      </c>
      <c r="E8537" t="inlineStr">
        <is>
          <t>DILM-9-01</t>
        </is>
      </c>
      <c r="F8537" t="inlineStr">
        <is>
          <t>#KALK!</t>
        </is>
      </c>
      <c r="G8537" t="inlineStr">
        <is>
          <t>LASTSCHUETZ</t>
        </is>
      </c>
      <c r="H8537" t="inlineStr">
        <is>
          <t>4kW 1Oe Federzugkl.</t>
        </is>
      </c>
      <c r="I8537">
        <v>564</v>
      </c>
      <c r="J8537">
        <f>GS37/389.7</f>
        <v>0</v>
      </c>
      <c r="M8537" t="inlineStr">
        <is>
          <t>-389K2</t>
        </is>
      </c>
    </row>
    <row r="8538">
      <c r="A8538">
        <v>8537</v>
      </c>
      <c r="B8538">
        <f>GS14</f>
        <v>0</v>
      </c>
      <c r="C8538" t="inlineStr">
        <is>
          <t>+ES3</t>
        </is>
      </c>
      <c r="D8538" t="inlineStr">
        <is>
          <t>-389K3548.0</t>
        </is>
      </c>
      <c r="E8538" t="inlineStr">
        <is>
          <t>40_DIL-E</t>
        </is>
      </c>
      <c r="F8538" t="inlineStr">
        <is>
          <t>40_DIL-E</t>
        </is>
      </c>
      <c r="G8538" t="inlineStr">
        <is>
          <t>HILFSKONTAKTBLOCK</t>
        </is>
      </c>
      <c r="H8538" t="inlineStr">
        <is>
          <t>4S Last+Hilfsschuetz</t>
        </is>
      </c>
      <c r="I8538">
        <v>520</v>
      </c>
      <c r="J8538">
        <f>GS14/389.5</f>
        <v>0</v>
      </c>
      <c r="M8538" t="inlineStr">
        <is>
          <t>-389K3548.0</t>
        </is>
      </c>
    </row>
    <row r="8539">
      <c r="A8539">
        <v>8538</v>
      </c>
      <c r="B8539">
        <f>GS14</f>
        <v>0</v>
      </c>
      <c r="C8539" t="inlineStr">
        <is>
          <t>+ES3</t>
        </is>
      </c>
      <c r="D8539" t="inlineStr">
        <is>
          <t>-389K3548.0</t>
        </is>
      </c>
      <c r="E8539" t="inlineStr">
        <is>
          <t>DIL_ER-40-G</t>
        </is>
      </c>
      <c r="F8539" t="inlineStr">
        <is>
          <t>40_DIL-E</t>
        </is>
      </c>
      <c r="G8539" t="inlineStr">
        <is>
          <t>HILFSSCHUETZ</t>
        </is>
      </c>
      <c r="H8539" t="inlineStr">
        <is>
          <t>4S</t>
        </is>
      </c>
      <c r="I8539">
        <v>520</v>
      </c>
      <c r="J8539">
        <f>GS14/389.5</f>
        <v>0</v>
      </c>
      <c r="M8539" t="inlineStr">
        <is>
          <t>-389K3548.0</t>
        </is>
      </c>
    </row>
    <row r="8540">
      <c r="A8540">
        <v>8539</v>
      </c>
      <c r="B8540">
        <f>GS14</f>
        <v>0</v>
      </c>
      <c r="C8540" t="inlineStr">
        <is>
          <t>+ES3</t>
        </is>
      </c>
      <c r="D8540" t="inlineStr">
        <is>
          <t>-389K3548.0.1</t>
        </is>
      </c>
      <c r="E8540" t="inlineStr">
        <is>
          <t>40_DIL-E</t>
        </is>
      </c>
      <c r="F8540" t="inlineStr">
        <is>
          <t>40_DIL-E</t>
        </is>
      </c>
      <c r="G8540" t="inlineStr">
        <is>
          <t>HILFSKONTAKTBLOCK</t>
        </is>
      </c>
      <c r="H8540" t="inlineStr">
        <is>
          <t>4S Last+Hilfsschuetz</t>
        </is>
      </c>
      <c r="I8540">
        <v>520</v>
      </c>
      <c r="J8540">
        <f>GS14/389.6</f>
        <v>0</v>
      </c>
      <c r="M8540" t="inlineStr">
        <is>
          <t>-389K3548.0.1</t>
        </is>
      </c>
    </row>
    <row r="8541">
      <c r="A8541">
        <v>8540</v>
      </c>
      <c r="B8541">
        <f>GS14</f>
        <v>0</v>
      </c>
      <c r="C8541" t="inlineStr">
        <is>
          <t>+ES3</t>
        </is>
      </c>
      <c r="D8541" t="inlineStr">
        <is>
          <t>-389K3548.0.1</t>
        </is>
      </c>
      <c r="E8541" t="inlineStr">
        <is>
          <t>DIL_ER-40-G</t>
        </is>
      </c>
      <c r="F8541" t="inlineStr">
        <is>
          <t>40_DIL-E</t>
        </is>
      </c>
      <c r="G8541" t="inlineStr">
        <is>
          <t>HILFSSCHUETZ</t>
        </is>
      </c>
      <c r="H8541" t="inlineStr">
        <is>
          <t>4S</t>
        </is>
      </c>
      <c r="I8541">
        <v>520</v>
      </c>
      <c r="J8541">
        <f>GS14/389.6</f>
        <v>0</v>
      </c>
      <c r="M8541" t="inlineStr">
        <is>
          <t>-389K3548.0.1</t>
        </is>
      </c>
    </row>
    <row r="8542">
      <c r="A8542">
        <v>8541</v>
      </c>
      <c r="B8542">
        <f>GS14</f>
        <v>0</v>
      </c>
      <c r="C8542" t="inlineStr">
        <is>
          <t>+ES3</t>
        </is>
      </c>
      <c r="D8542" t="inlineStr">
        <is>
          <t>-389K3548.1</t>
        </is>
      </c>
      <c r="E8542" t="inlineStr">
        <is>
          <t>40_DIL-E</t>
        </is>
      </c>
      <c r="F8542" t="inlineStr">
        <is>
          <t>40_DIL-E</t>
        </is>
      </c>
      <c r="G8542" t="inlineStr">
        <is>
          <t>HILFSKONTAKTBLOCK</t>
        </is>
      </c>
      <c r="H8542" t="inlineStr">
        <is>
          <t>4S Last+Hilfsschuetz</t>
        </is>
      </c>
      <c r="I8542">
        <v>520</v>
      </c>
      <c r="J8542">
        <f>GS14/389.7</f>
        <v>0</v>
      </c>
      <c r="M8542" t="inlineStr">
        <is>
          <t>-389K3548.1</t>
        </is>
      </c>
    </row>
    <row r="8543">
      <c r="A8543">
        <v>8542</v>
      </c>
      <c r="B8543">
        <f>GS14</f>
        <v>0</v>
      </c>
      <c r="C8543" t="inlineStr">
        <is>
          <t>+ES3</t>
        </is>
      </c>
      <c r="D8543" t="inlineStr">
        <is>
          <t>-389K3548.1</t>
        </is>
      </c>
      <c r="E8543" t="inlineStr">
        <is>
          <t>DIL_ER-40-G</t>
        </is>
      </c>
      <c r="F8543" t="inlineStr">
        <is>
          <t>40_DIL-E</t>
        </is>
      </c>
      <c r="G8543" t="inlineStr">
        <is>
          <t>HILFSSCHUETZ</t>
        </is>
      </c>
      <c r="H8543" t="inlineStr">
        <is>
          <t>4S</t>
        </is>
      </c>
      <c r="I8543">
        <v>520</v>
      </c>
      <c r="J8543">
        <f>GS14/389.7</f>
        <v>0</v>
      </c>
      <c r="M8543" t="inlineStr">
        <is>
          <t>-389K3548.1</t>
        </is>
      </c>
    </row>
    <row r="8544">
      <c r="A8544">
        <v>8543</v>
      </c>
      <c r="B8544">
        <f>GS34</f>
        <v>0</v>
      </c>
      <c r="C8544" t="inlineStr">
        <is>
          <t>+LS8</t>
        </is>
      </c>
      <c r="D8544" t="inlineStr">
        <is>
          <t>-389K38.1</t>
        </is>
      </c>
      <c r="E8544" t="inlineStr">
        <is>
          <t>DIL_EM-10-G</t>
        </is>
      </c>
      <c r="F8544" t="inlineStr">
        <is>
          <t>#KALK!</t>
        </is>
      </c>
      <c r="G8544" t="inlineStr">
        <is>
          <t>LASTSCHUETZ</t>
        </is>
      </c>
      <c r="H8544" t="inlineStr">
        <is>
          <t>4kW 1S</t>
        </is>
      </c>
      <c r="I8544">
        <v>514</v>
      </c>
      <c r="J8544">
        <f>GS34/389.6</f>
        <v>0</v>
      </c>
      <c r="M8544" t="inlineStr">
        <is>
          <t>-389K38.1</t>
        </is>
      </c>
    </row>
    <row r="8545">
      <c r="A8545">
        <v>8544</v>
      </c>
      <c r="B8545">
        <f>GS34</f>
        <v>0</v>
      </c>
      <c r="C8545" t="inlineStr">
        <is>
          <t>+LS8</t>
        </is>
      </c>
      <c r="D8545" t="inlineStr">
        <is>
          <t>-389K38.2</t>
        </is>
      </c>
      <c r="E8545" t="inlineStr">
        <is>
          <t>DIL_EM-10-G</t>
        </is>
      </c>
      <c r="F8545" t="inlineStr">
        <is>
          <t>#KALK!</t>
        </is>
      </c>
      <c r="G8545" t="inlineStr">
        <is>
          <t>LASTSCHUETZ</t>
        </is>
      </c>
      <c r="H8545" t="inlineStr">
        <is>
          <t>4kW 1S</t>
        </is>
      </c>
      <c r="I8545">
        <v>514</v>
      </c>
      <c r="J8545">
        <f>GS34/389.6</f>
        <v>0</v>
      </c>
      <c r="M8545" t="inlineStr">
        <is>
          <t>-389K38.2</t>
        </is>
      </c>
    </row>
    <row r="8546">
      <c r="A8546">
        <v>8545</v>
      </c>
      <c r="B8546">
        <f>GS11</f>
        <v>0</v>
      </c>
      <c r="C8546" t="inlineStr">
        <is>
          <t>+LS10</t>
        </is>
      </c>
      <c r="D8546" t="inlineStr">
        <is>
          <t>-389K65.0</t>
        </is>
      </c>
      <c r="E8546" t="inlineStr">
        <is>
          <t>DIL_EM-10-G</t>
        </is>
      </c>
      <c r="F8546" t="inlineStr">
        <is>
          <t>#KALK!</t>
        </is>
      </c>
      <c r="G8546" t="inlineStr">
        <is>
          <t>LASTSCHUETZ</t>
        </is>
      </c>
      <c r="H8546" t="inlineStr">
        <is>
          <t>4kW 1S</t>
        </is>
      </c>
      <c r="I8546">
        <v>495</v>
      </c>
      <c r="J8546">
        <f>GS11/389.6</f>
        <v>0</v>
      </c>
      <c r="M8546" t="inlineStr">
        <is>
          <t>-389K65.0</t>
        </is>
      </c>
    </row>
    <row r="8547">
      <c r="A8547">
        <v>8546</v>
      </c>
      <c r="B8547">
        <f>GS21</f>
        <v>0</v>
      </c>
      <c r="C8547" t="inlineStr">
        <is>
          <t>+LS10</t>
        </is>
      </c>
      <c r="D8547" t="inlineStr">
        <is>
          <t>-389K65.0</t>
        </is>
      </c>
      <c r="E8547" t="inlineStr">
        <is>
          <t>DIL_EM-10-G</t>
        </is>
      </c>
      <c r="F8547" t="inlineStr">
        <is>
          <t>#KALK!</t>
        </is>
      </c>
      <c r="G8547" t="inlineStr">
        <is>
          <t>LASTSCHUETZ</t>
        </is>
      </c>
      <c r="H8547" t="inlineStr">
        <is>
          <t>4kW 1S</t>
        </is>
      </c>
      <c r="I8547">
        <v>477</v>
      </c>
      <c r="J8547">
        <f>GS21/389.6</f>
        <v>0</v>
      </c>
      <c r="M8547" t="inlineStr">
        <is>
          <t>-389K65.0</t>
        </is>
      </c>
    </row>
    <row r="8548">
      <c r="A8548">
        <v>8547</v>
      </c>
      <c r="B8548">
        <f>GS11</f>
        <v>0</v>
      </c>
      <c r="C8548" t="inlineStr">
        <is>
          <t>+LS10</t>
        </is>
      </c>
      <c r="D8548" t="inlineStr">
        <is>
          <t>-389K67.1</t>
        </is>
      </c>
      <c r="E8548" t="inlineStr">
        <is>
          <t>DIL_EM-10-G</t>
        </is>
      </c>
      <c r="F8548" t="inlineStr">
        <is>
          <t>#KALK!</t>
        </is>
      </c>
      <c r="G8548" t="inlineStr">
        <is>
          <t>LASTSCHUETZ</t>
        </is>
      </c>
      <c r="H8548" t="inlineStr">
        <is>
          <t>4kW 1S</t>
        </is>
      </c>
      <c r="I8548">
        <v>495</v>
      </c>
      <c r="J8548">
        <f>GS11/389.6</f>
        <v>0</v>
      </c>
      <c r="M8548" t="inlineStr">
        <is>
          <t>-389K67.1</t>
        </is>
      </c>
    </row>
    <row r="8549">
      <c r="A8549">
        <v>8548</v>
      </c>
      <c r="B8549">
        <f>GS21</f>
        <v>0</v>
      </c>
      <c r="C8549" t="inlineStr">
        <is>
          <t>+LS10</t>
        </is>
      </c>
      <c r="D8549" t="inlineStr">
        <is>
          <t>-389K67.1</t>
        </is>
      </c>
      <c r="E8549" t="inlineStr">
        <is>
          <t>DIL_EM-10-G</t>
        </is>
      </c>
      <c r="F8549" t="inlineStr">
        <is>
          <t>#KALK!</t>
        </is>
      </c>
      <c r="G8549" t="inlineStr">
        <is>
          <t>LASTSCHUETZ</t>
        </is>
      </c>
      <c r="H8549" t="inlineStr">
        <is>
          <t>4kW 1S</t>
        </is>
      </c>
      <c r="I8549">
        <v>477</v>
      </c>
      <c r="J8549">
        <f>GS21/389.6</f>
        <v>0</v>
      </c>
      <c r="M8549" t="inlineStr">
        <is>
          <t>-389K67.1</t>
        </is>
      </c>
    </row>
    <row r="8550">
      <c r="A8550">
        <v>8549</v>
      </c>
      <c r="B8550">
        <f>GS36</f>
        <v>0</v>
      </c>
      <c r="C8550" t="inlineStr">
        <is>
          <t>+LS10</t>
        </is>
      </c>
      <c r="D8550" t="inlineStr">
        <is>
          <t>-915K2</t>
        </is>
      </c>
      <c r="E8550" t="inlineStr">
        <is>
          <t>DILM-9-01</t>
        </is>
      </c>
      <c r="F8550" t="inlineStr">
        <is>
          <t>#KALK!</t>
        </is>
      </c>
      <c r="G8550" t="inlineStr">
        <is>
          <t>LASTSCHUETZ</t>
        </is>
      </c>
      <c r="H8550" t="inlineStr">
        <is>
          <t>4kW 1Oe Federzugkl.</t>
        </is>
      </c>
      <c r="I8550">
        <v>1496</v>
      </c>
      <c r="J8550">
        <f>GS36/915.7</f>
        <v>0</v>
      </c>
      <c r="L8550" t="inlineStr">
        <is>
          <t>Lichtvorhang KF</t>
        </is>
      </c>
      <c r="M8550" t="inlineStr">
        <is>
          <t>Lichtvorhang KF
-915K2</t>
        </is>
      </c>
    </row>
    <row r="8551">
      <c r="A8551">
        <v>8550</v>
      </c>
      <c r="B8551">
        <f>GS92</f>
        <v>0</v>
      </c>
      <c r="C8551" t="inlineStr">
        <is>
          <t>+LS07</t>
        </is>
      </c>
      <c r="D8551" t="inlineStr">
        <is>
          <t>-389Q462.2</t>
        </is>
      </c>
      <c r="E8551" t="inlineStr">
        <is>
          <t>DILM-9-10</t>
        </is>
      </c>
      <c r="F8551" t="inlineStr">
        <is>
          <t>#KALK!</t>
        </is>
      </c>
      <c r="G8551" t="inlineStr">
        <is>
          <t>LASTSCHUETZ</t>
        </is>
      </c>
      <c r="H8551" t="inlineStr">
        <is>
          <t>4kW 1S Federzugkl.</t>
        </is>
      </c>
      <c r="I8551">
        <v>535</v>
      </c>
      <c r="J8551">
        <f>GS92/389.5</f>
        <v>0</v>
      </c>
      <c r="M8551" t="inlineStr">
        <is>
          <t>-389Q462.2</t>
        </is>
      </c>
    </row>
    <row r="8552">
      <c r="A8552">
        <v>8551</v>
      </c>
      <c r="B8552">
        <f>GS25</f>
        <v>0</v>
      </c>
      <c r="C8552" t="inlineStr">
        <is>
          <t>+LS8</t>
        </is>
      </c>
      <c r="D8552" t="inlineStr">
        <is>
          <t>-390K1</t>
        </is>
      </c>
      <c r="E8552" t="inlineStr">
        <is>
          <t>DIL_EM-10-G</t>
        </is>
      </c>
      <c r="F8552" t="inlineStr">
        <is>
          <t>#KALK!</t>
        </is>
      </c>
      <c r="G8552" t="inlineStr">
        <is>
          <t>LASTSCHUETZ</t>
        </is>
      </c>
      <c r="H8552" t="inlineStr">
        <is>
          <t>4kW 1S</t>
        </is>
      </c>
      <c r="I8552">
        <v>514</v>
      </c>
      <c r="J8552">
        <f>GS25/390.5</f>
        <v>0</v>
      </c>
      <c r="M8552" t="inlineStr">
        <is>
          <t>-390K1</t>
        </is>
      </c>
    </row>
    <row r="8553">
      <c r="A8553">
        <v>8552</v>
      </c>
      <c r="B8553">
        <f>GS37</f>
        <v>0</v>
      </c>
      <c r="C8553" t="inlineStr">
        <is>
          <t>+LS08</t>
        </is>
      </c>
      <c r="D8553" t="inlineStr">
        <is>
          <t>-390K1</t>
        </is>
      </c>
      <c r="E8553" t="inlineStr">
        <is>
          <t>DILM-9-01</t>
        </is>
      </c>
      <c r="F8553" t="inlineStr">
        <is>
          <t>#KALK!</t>
        </is>
      </c>
      <c r="G8553" t="inlineStr">
        <is>
          <t>LASTSCHUETZ</t>
        </is>
      </c>
      <c r="H8553" t="inlineStr">
        <is>
          <t>4kW 1Oe Federzugkl.</t>
        </is>
      </c>
      <c r="I8553">
        <v>563</v>
      </c>
      <c r="J8553">
        <f>GS37/390.6</f>
        <v>0</v>
      </c>
      <c r="M8553" t="inlineStr">
        <is>
          <t>-390K1</t>
        </is>
      </c>
    </row>
    <row r="8554">
      <c r="A8554">
        <v>8553</v>
      </c>
      <c r="B8554">
        <f>GS38</f>
        <v>0</v>
      </c>
      <c r="C8554" t="inlineStr">
        <is>
          <t>+LS08</t>
        </is>
      </c>
      <c r="D8554" t="inlineStr">
        <is>
          <t>-390K1</t>
        </is>
      </c>
      <c r="E8554" t="inlineStr">
        <is>
          <t>DILA-XHI22</t>
        </is>
      </c>
      <c r="F8554" t="inlineStr">
        <is>
          <t>DILA-XHI22</t>
        </is>
      </c>
      <c r="G8554" t="inlineStr">
        <is>
          <t>HILFSKONTAKTBLOCK</t>
        </is>
      </c>
      <c r="H8554" t="inlineStr">
        <is>
          <t>2S 2OE Last+Hilfssch. Cage</t>
        </is>
      </c>
      <c r="I8554">
        <v>555</v>
      </c>
      <c r="J8554">
        <f>GS38/390.5</f>
        <v>0</v>
      </c>
      <c r="M8554" t="inlineStr">
        <is>
          <t>-390K1</t>
        </is>
      </c>
    </row>
    <row r="8555">
      <c r="A8555">
        <v>8554</v>
      </c>
      <c r="B8555">
        <f>GS38</f>
        <v>0</v>
      </c>
      <c r="C8555" t="inlineStr">
        <is>
          <t>+LS08</t>
        </is>
      </c>
      <c r="D8555" t="inlineStr">
        <is>
          <t>-390K1</t>
        </is>
      </c>
      <c r="E8555" t="inlineStr">
        <is>
          <t>DILM-9-10</t>
        </is>
      </c>
      <c r="F8555" t="inlineStr">
        <is>
          <t>DILA-XHI22</t>
        </is>
      </c>
      <c r="G8555" t="inlineStr">
        <is>
          <t>LASTSCHUETZ</t>
        </is>
      </c>
      <c r="H8555" t="inlineStr">
        <is>
          <t>4kW 1S Federzugkl.</t>
        </is>
      </c>
      <c r="I8555">
        <v>555</v>
      </c>
      <c r="J8555">
        <f>GS38/390.5</f>
        <v>0</v>
      </c>
      <c r="M8555" t="inlineStr">
        <is>
          <t>-390K1</t>
        </is>
      </c>
    </row>
    <row r="8556">
      <c r="A8556">
        <v>8555</v>
      </c>
      <c r="B8556">
        <f>GS39</f>
        <v>0</v>
      </c>
      <c r="C8556" t="inlineStr">
        <is>
          <t>+LS08</t>
        </is>
      </c>
      <c r="D8556" t="inlineStr">
        <is>
          <t>-390K1</t>
        </is>
      </c>
      <c r="E8556" t="inlineStr">
        <is>
          <t>DILA-XHI22</t>
        </is>
      </c>
      <c r="F8556" t="inlineStr">
        <is>
          <t>DILA-XHI22</t>
        </is>
      </c>
      <c r="G8556" t="inlineStr">
        <is>
          <t>HILFSKONTAKTBLOCK</t>
        </is>
      </c>
      <c r="H8556" t="inlineStr">
        <is>
          <t>2S 2OE Last+Hilfssch. Cage</t>
        </is>
      </c>
      <c r="I8556">
        <v>566</v>
      </c>
      <c r="J8556">
        <f>GS39/390.5</f>
        <v>0</v>
      </c>
      <c r="M8556" t="inlineStr">
        <is>
          <t>-390K1</t>
        </is>
      </c>
    </row>
    <row r="8557">
      <c r="A8557">
        <v>8556</v>
      </c>
      <c r="B8557">
        <f>GS39</f>
        <v>0</v>
      </c>
      <c r="C8557" t="inlineStr">
        <is>
          <t>+LS08</t>
        </is>
      </c>
      <c r="D8557" t="inlineStr">
        <is>
          <t>-390K1</t>
        </is>
      </c>
      <c r="E8557" t="inlineStr">
        <is>
          <t>DILM-9-10</t>
        </is>
      </c>
      <c r="F8557" t="inlineStr">
        <is>
          <t>DILA-XHI22</t>
        </is>
      </c>
      <c r="G8557" t="inlineStr">
        <is>
          <t>LASTSCHUETZ</t>
        </is>
      </c>
      <c r="H8557" t="inlineStr">
        <is>
          <t>4kW 1S Federzugkl.</t>
        </is>
      </c>
      <c r="I8557">
        <v>566</v>
      </c>
      <c r="J8557">
        <f>GS39/390.5</f>
        <v>0</v>
      </c>
      <c r="M8557" t="inlineStr">
        <is>
          <t>-390K1</t>
        </is>
      </c>
    </row>
    <row r="8558">
      <c r="A8558">
        <v>8557</v>
      </c>
      <c r="B8558">
        <f>GC03</f>
        <v>0</v>
      </c>
      <c r="C8558" t="inlineStr">
        <is>
          <t>+LS9</t>
        </is>
      </c>
      <c r="D8558" t="inlineStr">
        <is>
          <t>-390K13.0</t>
        </is>
      </c>
      <c r="E8558" t="inlineStr">
        <is>
          <t>DIL_EM-10-G</t>
        </is>
      </c>
      <c r="F8558" t="inlineStr">
        <is>
          <t>#KALK!</t>
        </is>
      </c>
      <c r="G8558" t="inlineStr">
        <is>
          <t>LASTSCHUETZ</t>
        </is>
      </c>
      <c r="H8558" t="inlineStr">
        <is>
          <t>4kW 1S</t>
        </is>
      </c>
      <c r="I8558">
        <v>3561</v>
      </c>
      <c r="J8558">
        <f>GC03/390.6</f>
        <v>0</v>
      </c>
      <c r="M8558" t="inlineStr">
        <is>
          <t>-390K13.0</t>
        </is>
      </c>
    </row>
    <row r="8559">
      <c r="A8559">
        <v>8558</v>
      </c>
      <c r="B8559">
        <f>GS35</f>
        <v>0</v>
      </c>
      <c r="C8559" t="inlineStr">
        <is>
          <t>+LS09</t>
        </is>
      </c>
      <c r="D8559" t="inlineStr">
        <is>
          <t>-390K151.4</t>
        </is>
      </c>
      <c r="E8559" t="inlineStr">
        <is>
          <t>DILA-40</t>
        </is>
      </c>
      <c r="F8559" t="inlineStr">
        <is>
          <t>#KALK!</t>
        </is>
      </c>
      <c r="G8559" t="inlineStr">
        <is>
          <t>HILFSSCHUETZ</t>
        </is>
      </c>
      <c r="H8559" t="inlineStr">
        <is>
          <t>4S Federzugkl.</t>
        </is>
      </c>
      <c r="I8559">
        <v>544</v>
      </c>
      <c r="J8559">
        <f>GS35/390.7</f>
        <v>0</v>
      </c>
      <c r="M8559" t="inlineStr">
        <is>
          <t>-390K151.4</t>
        </is>
      </c>
    </row>
    <row r="8560">
      <c r="A8560">
        <v>8559</v>
      </c>
      <c r="B8560">
        <f>GS91</f>
        <v>0</v>
      </c>
      <c r="C8560" t="inlineStr">
        <is>
          <t>+LS06</t>
        </is>
      </c>
      <c r="D8560" t="inlineStr">
        <is>
          <t>-390K197.0</t>
        </is>
      </c>
      <c r="E8560" t="inlineStr">
        <is>
          <t>DILA-40</t>
        </is>
      </c>
      <c r="F8560" t="inlineStr">
        <is>
          <t>#KALK!</t>
        </is>
      </c>
      <c r="G8560" t="inlineStr">
        <is>
          <t>HILFSSCHUETZ</t>
        </is>
      </c>
      <c r="H8560" t="inlineStr">
        <is>
          <t>4S Federzugkl.</t>
        </is>
      </c>
      <c r="I8560">
        <v>538</v>
      </c>
      <c r="J8560">
        <f>GS91/390.7</f>
        <v>0</v>
      </c>
      <c r="M8560" t="inlineStr">
        <is>
          <t>-390K197.0</t>
        </is>
      </c>
    </row>
    <row r="8561">
      <c r="A8561">
        <v>8560</v>
      </c>
      <c r="B8561">
        <f>GS15</f>
        <v>0</v>
      </c>
      <c r="C8561" t="inlineStr">
        <is>
          <t>+LS8</t>
        </is>
      </c>
      <c r="D8561" t="inlineStr">
        <is>
          <t>-390K2</t>
        </is>
      </c>
      <c r="E8561" t="inlineStr">
        <is>
          <t>22_DIL-M</t>
        </is>
      </c>
      <c r="F8561" t="inlineStr">
        <is>
          <t>22_DIL-M</t>
        </is>
      </c>
      <c r="G8561" t="inlineStr">
        <is>
          <t>HILFSKONTAKTBLOCK</t>
        </is>
      </c>
      <c r="H8561" t="inlineStr">
        <is>
          <t>2S 2OE Lastschuetz DIL M</t>
        </is>
      </c>
      <c r="I8561">
        <v>891</v>
      </c>
      <c r="J8561">
        <f>GS15/390.3</f>
        <v>0</v>
      </c>
      <c r="K8561" t="inlineStr">
        <is>
          <t>DIL0AM</t>
        </is>
      </c>
      <c r="M8561" t="inlineStr">
        <is>
          <t>-390K2</t>
        </is>
      </c>
    </row>
    <row r="8562">
      <c r="A8562">
        <v>8561</v>
      </c>
      <c r="B8562">
        <f>GS15</f>
        <v>0</v>
      </c>
      <c r="C8562" t="inlineStr">
        <is>
          <t>+LS8</t>
        </is>
      </c>
      <c r="D8562" t="inlineStr">
        <is>
          <t>-390K2</t>
        </is>
      </c>
      <c r="E8562" t="inlineStr">
        <is>
          <t>DIL_0AM</t>
        </is>
      </c>
      <c r="F8562" t="inlineStr">
        <is>
          <t>22_DIL-M</t>
        </is>
      </c>
      <c r="G8562" t="inlineStr">
        <is>
          <t>LASTSCHUETZ</t>
        </is>
      </c>
      <c r="H8562" t="inlineStr">
        <is>
          <t>11 kW</t>
        </is>
      </c>
      <c r="I8562">
        <v>891</v>
      </c>
      <c r="J8562">
        <f>GS15/390.3</f>
        <v>0</v>
      </c>
      <c r="K8562" t="inlineStr">
        <is>
          <t>DIL0AM</t>
        </is>
      </c>
      <c r="M8562" t="inlineStr">
        <is>
          <t>-390K2</t>
        </is>
      </c>
    </row>
    <row r="8563">
      <c r="A8563">
        <v>8562</v>
      </c>
      <c r="B8563">
        <f>GS37</f>
        <v>0</v>
      </c>
      <c r="C8563" t="inlineStr">
        <is>
          <t>+LS08</t>
        </is>
      </c>
      <c r="D8563" t="inlineStr">
        <is>
          <t>-390K2</t>
        </is>
      </c>
      <c r="E8563" t="inlineStr">
        <is>
          <t>DILM-9-01</t>
        </is>
      </c>
      <c r="F8563" t="inlineStr">
        <is>
          <t>#KALK!</t>
        </is>
      </c>
      <c r="G8563" t="inlineStr">
        <is>
          <t>LASTSCHUETZ</t>
        </is>
      </c>
      <c r="H8563" t="inlineStr">
        <is>
          <t>4kW 1Oe Federzugkl.</t>
        </is>
      </c>
      <c r="I8563">
        <v>563</v>
      </c>
      <c r="J8563">
        <f>GS37/390.7</f>
        <v>0</v>
      </c>
      <c r="M8563" t="inlineStr">
        <is>
          <t>-390K2</t>
        </is>
      </c>
    </row>
    <row r="8564">
      <c r="A8564">
        <v>8563</v>
      </c>
      <c r="B8564">
        <f>GS38</f>
        <v>0</v>
      </c>
      <c r="C8564" t="inlineStr">
        <is>
          <t>+LS08</t>
        </is>
      </c>
      <c r="D8564" t="inlineStr">
        <is>
          <t>-390K2</t>
        </is>
      </c>
      <c r="E8564" t="inlineStr">
        <is>
          <t>DILA-XHI22</t>
        </is>
      </c>
      <c r="F8564" t="inlineStr">
        <is>
          <t>DILA-XHI22</t>
        </is>
      </c>
      <c r="G8564" t="inlineStr">
        <is>
          <t>HILFSKONTAKTBLOCK</t>
        </is>
      </c>
      <c r="H8564" t="inlineStr">
        <is>
          <t>2S 2OE Last+Hilfssch. Cage</t>
        </is>
      </c>
      <c r="I8564">
        <v>555</v>
      </c>
      <c r="J8564">
        <f>GS38/390.6</f>
        <v>0</v>
      </c>
      <c r="M8564" t="inlineStr">
        <is>
          <t>-390K2</t>
        </is>
      </c>
    </row>
    <row r="8565">
      <c r="A8565">
        <v>8564</v>
      </c>
      <c r="B8565">
        <f>GS38</f>
        <v>0</v>
      </c>
      <c r="C8565" t="inlineStr">
        <is>
          <t>+LS08</t>
        </is>
      </c>
      <c r="D8565" t="inlineStr">
        <is>
          <t>-390K2</t>
        </is>
      </c>
      <c r="E8565" t="inlineStr">
        <is>
          <t>DILM-9-10</t>
        </is>
      </c>
      <c r="F8565" t="inlineStr">
        <is>
          <t>DILA-XHI22</t>
        </is>
      </c>
      <c r="G8565" t="inlineStr">
        <is>
          <t>LASTSCHUETZ</t>
        </is>
      </c>
      <c r="H8565" t="inlineStr">
        <is>
          <t>4kW 1S Federzugkl.</t>
        </is>
      </c>
      <c r="I8565">
        <v>555</v>
      </c>
      <c r="J8565">
        <f>GS38/390.6</f>
        <v>0</v>
      </c>
      <c r="M8565" t="inlineStr">
        <is>
          <t>-390K2</t>
        </is>
      </c>
    </row>
    <row r="8566">
      <c r="A8566">
        <v>8565</v>
      </c>
      <c r="B8566">
        <f>GS39</f>
        <v>0</v>
      </c>
      <c r="C8566" t="inlineStr">
        <is>
          <t>+LS08</t>
        </is>
      </c>
      <c r="D8566" t="inlineStr">
        <is>
          <t>-390K2</t>
        </is>
      </c>
      <c r="E8566" t="inlineStr">
        <is>
          <t>DILA-XHI22</t>
        </is>
      </c>
      <c r="F8566" t="inlineStr">
        <is>
          <t>DILA-XHI22</t>
        </is>
      </c>
      <c r="G8566" t="inlineStr">
        <is>
          <t>HILFSKONTAKTBLOCK</t>
        </is>
      </c>
      <c r="H8566" t="inlineStr">
        <is>
          <t>2S 2OE Last+Hilfssch. Cage</t>
        </is>
      </c>
      <c r="I8566">
        <v>566</v>
      </c>
      <c r="J8566">
        <f>GS39/390.6</f>
        <v>0</v>
      </c>
      <c r="M8566" t="inlineStr">
        <is>
          <t>-390K2</t>
        </is>
      </c>
    </row>
    <row r="8567">
      <c r="A8567">
        <v>8566</v>
      </c>
      <c r="B8567">
        <f>GS39</f>
        <v>0</v>
      </c>
      <c r="C8567" t="inlineStr">
        <is>
          <t>+LS08</t>
        </is>
      </c>
      <c r="D8567" t="inlineStr">
        <is>
          <t>-390K2</t>
        </is>
      </c>
      <c r="E8567" t="inlineStr">
        <is>
          <t>DILM-9-10</t>
        </is>
      </c>
      <c r="F8567" t="inlineStr">
        <is>
          <t>DILA-XHI22</t>
        </is>
      </c>
      <c r="G8567" t="inlineStr">
        <is>
          <t>LASTSCHUETZ</t>
        </is>
      </c>
      <c r="H8567" t="inlineStr">
        <is>
          <t>4kW 1S Federzugkl.</t>
        </is>
      </c>
      <c r="I8567">
        <v>566</v>
      </c>
      <c r="J8567">
        <f>GS39/390.6</f>
        <v>0</v>
      </c>
      <c r="M8567" t="inlineStr">
        <is>
          <t>-390K2</t>
        </is>
      </c>
    </row>
    <row r="8568">
      <c r="A8568">
        <v>8567</v>
      </c>
      <c r="B8568">
        <f>GS14</f>
        <v>0</v>
      </c>
      <c r="C8568" t="inlineStr">
        <is>
          <t>+ES3</t>
        </is>
      </c>
      <c r="D8568" t="inlineStr">
        <is>
          <t>-390K3548.3</t>
        </is>
      </c>
      <c r="E8568" t="inlineStr">
        <is>
          <t>DIL_ER-22-G</t>
        </is>
      </c>
      <c r="F8568" t="inlineStr">
        <is>
          <t>#KALK!</t>
        </is>
      </c>
      <c r="G8568" t="inlineStr">
        <is>
          <t>HILFSSCHUETZ</t>
        </is>
      </c>
      <c r="H8568" t="inlineStr">
        <is>
          <t>2S 2OE</t>
        </is>
      </c>
      <c r="I8568">
        <v>521</v>
      </c>
      <c r="J8568">
        <f>GS14/390.6</f>
        <v>0</v>
      </c>
      <c r="M8568" t="inlineStr">
        <is>
          <t>-390K3548.3</t>
        </is>
      </c>
    </row>
    <row r="8569">
      <c r="A8569">
        <v>8568</v>
      </c>
      <c r="B8569">
        <f>GS34</f>
        <v>0</v>
      </c>
      <c r="C8569" t="inlineStr">
        <is>
          <t>+LS8</t>
        </is>
      </c>
      <c r="D8569" t="inlineStr">
        <is>
          <t>-390K38.3</t>
        </is>
      </c>
      <c r="E8569" t="inlineStr">
        <is>
          <t>DIL_EM-10-G</t>
        </is>
      </c>
      <c r="F8569" t="inlineStr">
        <is>
          <t>#KALK!</t>
        </is>
      </c>
      <c r="G8569" t="inlineStr">
        <is>
          <t>LASTSCHUETZ</t>
        </is>
      </c>
      <c r="H8569" t="inlineStr">
        <is>
          <t>4kW 1S</t>
        </is>
      </c>
      <c r="I8569">
        <v>515</v>
      </c>
      <c r="J8569">
        <f>GS34/390.6</f>
        <v>0</v>
      </c>
      <c r="M8569" t="inlineStr">
        <is>
          <t>-390K38.3</t>
        </is>
      </c>
    </row>
    <row r="8570">
      <c r="A8570">
        <v>8569</v>
      </c>
      <c r="B8570">
        <f>GS34</f>
        <v>0</v>
      </c>
      <c r="C8570" t="inlineStr">
        <is>
          <t>+LS8</t>
        </is>
      </c>
      <c r="D8570" t="inlineStr">
        <is>
          <t>-390K38.4</t>
        </is>
      </c>
      <c r="E8570" t="inlineStr">
        <is>
          <t>DIL_EM-10-G</t>
        </is>
      </c>
      <c r="F8570" t="inlineStr">
        <is>
          <t>#KALK!</t>
        </is>
      </c>
      <c r="G8570" t="inlineStr">
        <is>
          <t>LASTSCHUETZ</t>
        </is>
      </c>
      <c r="H8570" t="inlineStr">
        <is>
          <t>4kW 1S</t>
        </is>
      </c>
      <c r="I8570">
        <v>515</v>
      </c>
      <c r="J8570">
        <f>GS34/390.6</f>
        <v>0</v>
      </c>
      <c r="M8570" t="inlineStr">
        <is>
          <t>-390K38.4</t>
        </is>
      </c>
    </row>
    <row r="8571">
      <c r="A8571">
        <v>8570</v>
      </c>
      <c r="B8571">
        <f>GS48</f>
        <v>0</v>
      </c>
      <c r="C8571" t="inlineStr">
        <is>
          <t>+LS06</t>
        </is>
      </c>
      <c r="D8571" t="inlineStr">
        <is>
          <t>-390K455.0</t>
        </is>
      </c>
      <c r="E8571" t="inlineStr">
        <is>
          <t>DILA-40</t>
        </is>
      </c>
      <c r="F8571" t="inlineStr">
        <is>
          <t>#KALK!</t>
        </is>
      </c>
      <c r="G8571" t="inlineStr">
        <is>
          <t>HILFSSCHUETZ</t>
        </is>
      </c>
      <c r="H8571" t="inlineStr">
        <is>
          <t>4S Federzugkl.</t>
        </is>
      </c>
      <c r="I8571">
        <v>525</v>
      </c>
      <c r="J8571">
        <f>GS48/390.7</f>
        <v>0</v>
      </c>
      <c r="M8571" t="inlineStr">
        <is>
          <t>-390K455.0</t>
        </is>
      </c>
    </row>
    <row r="8572">
      <c r="A8572">
        <v>8571</v>
      </c>
      <c r="B8572">
        <f>GS93</f>
        <v>0</v>
      </c>
      <c r="C8572" t="inlineStr">
        <is>
          <t>+LS07</t>
        </is>
      </c>
      <c r="D8572" t="inlineStr">
        <is>
          <t>-390K466.0</t>
        </is>
      </c>
      <c r="E8572" t="inlineStr">
        <is>
          <t>DILA-40</t>
        </is>
      </c>
      <c r="F8572" t="inlineStr">
        <is>
          <t>#KALK!</t>
        </is>
      </c>
      <c r="G8572" t="inlineStr">
        <is>
          <t>HILFSSCHUETZ</t>
        </is>
      </c>
      <c r="H8572" t="inlineStr">
        <is>
          <t>4S Federzugkl.</t>
        </is>
      </c>
      <c r="I8572">
        <v>944</v>
      </c>
      <c r="J8572">
        <f>GS93/390.7</f>
        <v>0</v>
      </c>
      <c r="M8572" t="inlineStr">
        <is>
          <t>-390K466.0</t>
        </is>
      </c>
    </row>
    <row r="8573">
      <c r="A8573">
        <v>8572</v>
      </c>
      <c r="B8573">
        <f>GC22</f>
        <v>0</v>
      </c>
      <c r="C8573" t="inlineStr">
        <is>
          <t>+LS5</t>
        </is>
      </c>
      <c r="D8573" t="inlineStr">
        <is>
          <t>-390K47.3</t>
        </is>
      </c>
      <c r="E8573" t="inlineStr">
        <is>
          <t>DIL_EM-10-G</t>
        </is>
      </c>
      <c r="F8573" t="inlineStr">
        <is>
          <t>#KALK!</t>
        </is>
      </c>
      <c r="G8573" t="inlineStr">
        <is>
          <t>LASTSCHUETZ</t>
        </is>
      </c>
      <c r="H8573" t="inlineStr">
        <is>
          <t>4kW 1S</t>
        </is>
      </c>
      <c r="I8573">
        <v>385</v>
      </c>
      <c r="J8573">
        <f>GC22/390.7</f>
        <v>0</v>
      </c>
      <c r="M8573" t="inlineStr">
        <is>
          <t>-390K47.3</t>
        </is>
      </c>
    </row>
    <row r="8574">
      <c r="A8574">
        <v>8573</v>
      </c>
      <c r="B8574">
        <f>GS12</f>
        <v>0</v>
      </c>
      <c r="C8574" t="inlineStr">
        <is>
          <t>+LS5</t>
        </is>
      </c>
      <c r="D8574" t="inlineStr">
        <is>
          <t>-390K47.3</t>
        </is>
      </c>
      <c r="E8574" t="inlineStr">
        <is>
          <t>DIL_EM-10-G</t>
        </is>
      </c>
      <c r="F8574" t="inlineStr">
        <is>
          <t>#KALK!</t>
        </is>
      </c>
      <c r="G8574" t="inlineStr">
        <is>
          <t>LASTSCHUETZ</t>
        </is>
      </c>
      <c r="H8574" t="inlineStr">
        <is>
          <t>4kW 1S</t>
        </is>
      </c>
      <c r="I8574">
        <v>522</v>
      </c>
      <c r="J8574">
        <f>GS12/390.7</f>
        <v>0</v>
      </c>
      <c r="M8574" t="inlineStr">
        <is>
          <t>-390K47.3</t>
        </is>
      </c>
    </row>
    <row r="8575">
      <c r="A8575">
        <v>8574</v>
      </c>
      <c r="B8575">
        <f>GS11</f>
        <v>0</v>
      </c>
      <c r="C8575" t="inlineStr">
        <is>
          <t>+LS10</t>
        </is>
      </c>
      <c r="D8575" t="inlineStr">
        <is>
          <t>-390K65.1</t>
        </is>
      </c>
      <c r="E8575" t="inlineStr">
        <is>
          <t>DIL_EM-10-G</t>
        </is>
      </c>
      <c r="F8575" t="inlineStr">
        <is>
          <t>#KALK!</t>
        </is>
      </c>
      <c r="G8575" t="inlineStr">
        <is>
          <t>LASTSCHUETZ</t>
        </is>
      </c>
      <c r="H8575" t="inlineStr">
        <is>
          <t>4kW 1S</t>
        </is>
      </c>
      <c r="I8575">
        <v>496</v>
      </c>
      <c r="J8575">
        <f>GS11/390.6</f>
        <v>0</v>
      </c>
      <c r="M8575" t="inlineStr">
        <is>
          <t>-390K65.1</t>
        </is>
      </c>
    </row>
    <row r="8576">
      <c r="A8576">
        <v>8575</v>
      </c>
      <c r="B8576">
        <f>GS21</f>
        <v>0</v>
      </c>
      <c r="C8576" t="inlineStr">
        <is>
          <t>+LS10</t>
        </is>
      </c>
      <c r="D8576" t="inlineStr">
        <is>
          <t>-390K65.1</t>
        </is>
      </c>
      <c r="E8576" t="inlineStr">
        <is>
          <t>DIL_EM-10-G</t>
        </is>
      </c>
      <c r="F8576" t="inlineStr">
        <is>
          <t>#KALK!</t>
        </is>
      </c>
      <c r="G8576" t="inlineStr">
        <is>
          <t>LASTSCHUETZ</t>
        </is>
      </c>
      <c r="H8576" t="inlineStr">
        <is>
          <t>4kW 1S</t>
        </is>
      </c>
      <c r="I8576">
        <v>478</v>
      </c>
      <c r="J8576">
        <f>GS21/390.6</f>
        <v>0</v>
      </c>
      <c r="M8576" t="inlineStr">
        <is>
          <t>-390K65.1</t>
        </is>
      </c>
    </row>
    <row r="8577">
      <c r="A8577">
        <v>8576</v>
      </c>
      <c r="B8577">
        <f>GS11</f>
        <v>0</v>
      </c>
      <c r="C8577" t="inlineStr">
        <is>
          <t>+LS10</t>
        </is>
      </c>
      <c r="D8577" t="inlineStr">
        <is>
          <t>-390K67.2</t>
        </is>
      </c>
      <c r="E8577" t="inlineStr">
        <is>
          <t>DIL_EM-10-G</t>
        </is>
      </c>
      <c r="F8577" t="inlineStr">
        <is>
          <t>#KALK!</t>
        </is>
      </c>
      <c r="G8577" t="inlineStr">
        <is>
          <t>LASTSCHUETZ</t>
        </is>
      </c>
      <c r="H8577" t="inlineStr">
        <is>
          <t>4kW 1S</t>
        </is>
      </c>
      <c r="I8577">
        <v>496</v>
      </c>
      <c r="J8577">
        <f>GS11/390.6</f>
        <v>0</v>
      </c>
      <c r="M8577" t="inlineStr">
        <is>
          <t>-390K67.2</t>
        </is>
      </c>
    </row>
    <row r="8578">
      <c r="A8578">
        <v>8577</v>
      </c>
      <c r="B8578">
        <f>GS21</f>
        <v>0</v>
      </c>
      <c r="C8578" t="inlineStr">
        <is>
          <t>+LS10</t>
        </is>
      </c>
      <c r="D8578" t="inlineStr">
        <is>
          <t>-390K67.2</t>
        </is>
      </c>
      <c r="E8578" t="inlineStr">
        <is>
          <t>DIL_EM-10-G</t>
        </is>
      </c>
      <c r="F8578" t="inlineStr">
        <is>
          <t>#KALK!</t>
        </is>
      </c>
      <c r="G8578" t="inlineStr">
        <is>
          <t>LASTSCHUETZ</t>
        </is>
      </c>
      <c r="H8578" t="inlineStr">
        <is>
          <t>4kW 1S</t>
        </is>
      </c>
      <c r="I8578">
        <v>478</v>
      </c>
      <c r="J8578">
        <f>GS21/390.6</f>
        <v>0</v>
      </c>
      <c r="M8578" t="inlineStr">
        <is>
          <t>-390K67.2</t>
        </is>
      </c>
    </row>
    <row r="8579">
      <c r="A8579">
        <v>8578</v>
      </c>
      <c r="B8579">
        <f>GS02</f>
        <v>0</v>
      </c>
      <c r="C8579" t="inlineStr">
        <is>
          <t>+LS9</t>
        </is>
      </c>
      <c r="D8579" t="inlineStr">
        <is>
          <t>-390K69.2</t>
        </is>
      </c>
      <c r="E8579" t="inlineStr">
        <is>
          <t>DIL_EM-10-G</t>
        </is>
      </c>
      <c r="F8579" t="inlineStr">
        <is>
          <t>#KALK!</t>
        </is>
      </c>
      <c r="G8579" t="inlineStr">
        <is>
          <t>LASTSCHUETZ</t>
        </is>
      </c>
      <c r="H8579" t="inlineStr">
        <is>
          <t>4kW 1S</t>
        </is>
      </c>
      <c r="I8579">
        <v>797</v>
      </c>
      <c r="J8579">
        <f>GS02/390.5</f>
        <v>0</v>
      </c>
      <c r="M8579" t="inlineStr">
        <is>
          <t>-390K69.2</t>
        </is>
      </c>
    </row>
    <row r="8580">
      <c r="A8580">
        <v>8579</v>
      </c>
      <c r="B8580">
        <f>GS02</f>
        <v>0</v>
      </c>
      <c r="C8580" t="inlineStr">
        <is>
          <t>+LS9</t>
        </is>
      </c>
      <c r="D8580" t="inlineStr">
        <is>
          <t>-390K69.3</t>
        </is>
      </c>
      <c r="E8580" t="inlineStr">
        <is>
          <t>DIL_EM-10-G</t>
        </is>
      </c>
      <c r="F8580" t="inlineStr">
        <is>
          <t>#KALK!</t>
        </is>
      </c>
      <c r="G8580" t="inlineStr">
        <is>
          <t>LASTSCHUETZ</t>
        </is>
      </c>
      <c r="H8580" t="inlineStr">
        <is>
          <t>4kW 1S</t>
        </is>
      </c>
      <c r="I8580">
        <v>797</v>
      </c>
      <c r="J8580">
        <f>GS02/390.6</f>
        <v>0</v>
      </c>
      <c r="M8580" t="inlineStr">
        <is>
          <t>-390K69.3</t>
        </is>
      </c>
    </row>
    <row r="8581">
      <c r="A8581">
        <v>8580</v>
      </c>
      <c r="B8581">
        <f>GS02</f>
        <v>0</v>
      </c>
      <c r="C8581" t="inlineStr">
        <is>
          <t>+LS9</t>
        </is>
      </c>
      <c r="D8581" t="inlineStr">
        <is>
          <t>-390K69.4</t>
        </is>
      </c>
      <c r="E8581" t="inlineStr">
        <is>
          <t>DIL_EM-01-G</t>
        </is>
      </c>
      <c r="F8581" t="inlineStr">
        <is>
          <t>#KALK!</t>
        </is>
      </c>
      <c r="G8581" t="inlineStr">
        <is>
          <t>LASTSCHUETZ</t>
        </is>
      </c>
      <c r="H8581" t="inlineStr">
        <is>
          <t>4kW 1OE</t>
        </is>
      </c>
      <c r="I8581">
        <v>797</v>
      </c>
      <c r="J8581">
        <f>GS02/390.7</f>
        <v>0</v>
      </c>
      <c r="M8581" t="inlineStr">
        <is>
          <t>-390K69.4</t>
        </is>
      </c>
    </row>
    <row r="8582">
      <c r="A8582">
        <v>8581</v>
      </c>
      <c r="B8582">
        <f>GS02</f>
        <v>0</v>
      </c>
      <c r="C8582" t="inlineStr">
        <is>
          <t>+LS9</t>
        </is>
      </c>
      <c r="D8582" t="inlineStr">
        <is>
          <t>-390K69.5</t>
        </is>
      </c>
      <c r="E8582" t="inlineStr">
        <is>
          <t>DIL_EM-01-G</t>
        </is>
      </c>
      <c r="F8582" t="inlineStr">
        <is>
          <t>#KALK!</t>
        </is>
      </c>
      <c r="G8582" t="inlineStr">
        <is>
          <t>LASTSCHUETZ</t>
        </is>
      </c>
      <c r="H8582" t="inlineStr">
        <is>
          <t>4kW 1OE</t>
        </is>
      </c>
      <c r="I8582">
        <v>797</v>
      </c>
      <c r="J8582">
        <f>GS02/390.8</f>
        <v>0</v>
      </c>
      <c r="M8582" t="inlineStr">
        <is>
          <t>-390K69.5</t>
        </is>
      </c>
    </row>
    <row r="8583">
      <c r="A8583">
        <v>8582</v>
      </c>
      <c r="B8583">
        <f>GS35</f>
        <v>0</v>
      </c>
      <c r="C8583" t="inlineStr">
        <is>
          <t>+LS09</t>
        </is>
      </c>
      <c r="D8583" t="inlineStr">
        <is>
          <t>-390Q1</t>
        </is>
      </c>
      <c r="E8583" t="inlineStr">
        <is>
          <t>DILM-25-10</t>
        </is>
      </c>
      <c r="F8583" t="inlineStr">
        <is>
          <t>DILA-XHI22</t>
        </is>
      </c>
      <c r="G8583" t="inlineStr">
        <is>
          <t>LASTSCHUETZ</t>
        </is>
      </c>
      <c r="H8583" t="inlineStr">
        <is>
          <t>11kW 1S Federzugkl.</t>
        </is>
      </c>
      <c r="I8583">
        <v>544</v>
      </c>
      <c r="J8583">
        <f>GS35/390.4</f>
        <v>0</v>
      </c>
      <c r="K8583" t="inlineStr">
        <is>
          <t>DIL MC25</t>
        </is>
      </c>
      <c r="M8583" t="inlineStr">
        <is>
          <t>-390Q1</t>
        </is>
      </c>
    </row>
    <row r="8584">
      <c r="A8584">
        <v>8583</v>
      </c>
      <c r="B8584">
        <f>GS35</f>
        <v>0</v>
      </c>
      <c r="C8584" t="inlineStr">
        <is>
          <t>+LS09</t>
        </is>
      </c>
      <c r="D8584" t="inlineStr">
        <is>
          <t>-390Q1</t>
        </is>
      </c>
      <c r="E8584" t="inlineStr">
        <is>
          <t>DILA-XHI22</t>
        </is>
      </c>
      <c r="F8584" t="inlineStr">
        <is>
          <t>DILA-XHI22</t>
        </is>
      </c>
      <c r="G8584" t="inlineStr">
        <is>
          <t>HILFSKONTAKTBLOCK</t>
        </is>
      </c>
      <c r="H8584" t="inlineStr">
        <is>
          <t>2S 2OE Last+Hilfssch. Cage</t>
        </is>
      </c>
      <c r="I8584">
        <v>544</v>
      </c>
      <c r="J8584">
        <f>GS35/390.4</f>
        <v>0</v>
      </c>
      <c r="K8584" t="inlineStr">
        <is>
          <t>DIL MC25</t>
        </is>
      </c>
      <c r="M8584" t="inlineStr">
        <is>
          <t>-390Q1</t>
        </is>
      </c>
    </row>
    <row r="8585">
      <c r="A8585">
        <v>8584</v>
      </c>
      <c r="B8585">
        <f>GS48</f>
        <v>0</v>
      </c>
      <c r="C8585" t="inlineStr">
        <is>
          <t>+LS06</t>
        </is>
      </c>
      <c r="D8585" t="inlineStr">
        <is>
          <t>-390Q1</t>
        </is>
      </c>
      <c r="E8585" t="inlineStr">
        <is>
          <t>DILA-XHI22</t>
        </is>
      </c>
      <c r="F8585" t="inlineStr">
        <is>
          <t>DILA-XHI22</t>
        </is>
      </c>
      <c r="G8585" t="inlineStr">
        <is>
          <t>HILFSKONTAKTBLOCK</t>
        </is>
      </c>
      <c r="H8585" t="inlineStr">
        <is>
          <t>2S 2OE Last+Hilfssch. Cage</t>
        </is>
      </c>
      <c r="I8585">
        <v>525</v>
      </c>
      <c r="J8585">
        <f>GS48/390.4</f>
        <v>0</v>
      </c>
      <c r="K8585" t="inlineStr">
        <is>
          <t>DIL MC25</t>
        </is>
      </c>
      <c r="M8585" t="inlineStr">
        <is>
          <t>-390Q1</t>
        </is>
      </c>
    </row>
    <row r="8586">
      <c r="A8586">
        <v>8585</v>
      </c>
      <c r="B8586">
        <f>GS48</f>
        <v>0</v>
      </c>
      <c r="C8586" t="inlineStr">
        <is>
          <t>+LS06</t>
        </is>
      </c>
      <c r="D8586" t="inlineStr">
        <is>
          <t>-390Q1</t>
        </is>
      </c>
      <c r="E8586" t="inlineStr">
        <is>
          <t>DILMC25-10(RDC24)</t>
        </is>
      </c>
      <c r="F8586" t="inlineStr">
        <is>
          <t>DILA-XHI22</t>
        </is>
      </c>
      <c r="G8586" t="inlineStr">
        <is>
          <t>LASTSCHUETZ</t>
        </is>
      </c>
      <c r="H8586" t="inlineStr">
        <is>
          <t>11kW 1S Federzugkl.</t>
        </is>
      </c>
      <c r="I8586">
        <v>525</v>
      </c>
      <c r="J8586">
        <f>GS48/390.4</f>
        <v>0</v>
      </c>
      <c r="K8586" t="inlineStr">
        <is>
          <t>DIL MC25</t>
        </is>
      </c>
      <c r="M8586" t="inlineStr">
        <is>
          <t>-390Q1</t>
        </is>
      </c>
    </row>
    <row r="8587">
      <c r="A8587">
        <v>8586</v>
      </c>
      <c r="B8587">
        <f>GS91</f>
        <v>0</v>
      </c>
      <c r="C8587" t="inlineStr">
        <is>
          <t>+LS06</t>
        </is>
      </c>
      <c r="D8587" t="inlineStr">
        <is>
          <t>-390Q1</t>
        </is>
      </c>
      <c r="E8587" t="inlineStr">
        <is>
          <t>DILA-XHI22</t>
        </is>
      </c>
      <c r="F8587" t="inlineStr">
        <is>
          <t>DILA-XHI22</t>
        </is>
      </c>
      <c r="G8587" t="inlineStr">
        <is>
          <t>HILFSKONTAKTBLOCK</t>
        </is>
      </c>
      <c r="H8587" t="inlineStr">
        <is>
          <t>2S 2OE Last+Hilfssch. Cage</t>
        </is>
      </c>
      <c r="I8587">
        <v>538</v>
      </c>
      <c r="J8587">
        <f>GS91/390.4</f>
        <v>0</v>
      </c>
      <c r="K8587" t="inlineStr">
        <is>
          <t>DIL MC25</t>
        </is>
      </c>
      <c r="M8587" t="inlineStr">
        <is>
          <t>-390Q1</t>
        </is>
      </c>
    </row>
    <row r="8588">
      <c r="A8588">
        <v>8587</v>
      </c>
      <c r="B8588">
        <f>GS91</f>
        <v>0</v>
      </c>
      <c r="C8588" t="inlineStr">
        <is>
          <t>+LS06</t>
        </is>
      </c>
      <c r="D8588" t="inlineStr">
        <is>
          <t>-390Q1</t>
        </is>
      </c>
      <c r="E8588" t="inlineStr">
        <is>
          <t>DILMC25-10(RDC24)</t>
        </is>
      </c>
      <c r="F8588" t="inlineStr">
        <is>
          <t>DILA-XHI22</t>
        </is>
      </c>
      <c r="G8588" t="inlineStr">
        <is>
          <t>LASTSCHUETZ</t>
        </is>
      </c>
      <c r="H8588" t="inlineStr">
        <is>
          <t>11kW 1S Federzugkl.</t>
        </is>
      </c>
      <c r="I8588">
        <v>538</v>
      </c>
      <c r="J8588">
        <f>GS91/390.4</f>
        <v>0</v>
      </c>
      <c r="K8588" t="inlineStr">
        <is>
          <t>DIL MC25</t>
        </is>
      </c>
      <c r="M8588" t="inlineStr">
        <is>
          <t>-390Q1</t>
        </is>
      </c>
    </row>
    <row r="8589">
      <c r="A8589">
        <v>8588</v>
      </c>
      <c r="B8589">
        <f>GS93</f>
        <v>0</v>
      </c>
      <c r="C8589" t="inlineStr">
        <is>
          <t>+LS07</t>
        </is>
      </c>
      <c r="D8589" t="inlineStr">
        <is>
          <t>-390Q1</t>
        </is>
      </c>
      <c r="E8589" t="inlineStr">
        <is>
          <t>DILMC25-10(RDC24)</t>
        </is>
      </c>
      <c r="F8589" t="inlineStr">
        <is>
          <t>DILA-XHI22</t>
        </is>
      </c>
      <c r="G8589" t="inlineStr">
        <is>
          <t>LASTSCHUETZ</t>
        </is>
      </c>
      <c r="H8589" t="inlineStr">
        <is>
          <t>11kW 1S Federzugkl.</t>
        </is>
      </c>
      <c r="I8589">
        <v>944</v>
      </c>
      <c r="J8589">
        <f>GS93/390.4</f>
        <v>0</v>
      </c>
      <c r="K8589" t="inlineStr">
        <is>
          <t>DIL MC25</t>
        </is>
      </c>
      <c r="M8589" t="inlineStr">
        <is>
          <t>-390Q1</t>
        </is>
      </c>
    </row>
    <row r="8590">
      <c r="A8590">
        <v>8589</v>
      </c>
      <c r="B8590">
        <f>GS93</f>
        <v>0</v>
      </c>
      <c r="C8590" t="inlineStr">
        <is>
          <t>+LS07</t>
        </is>
      </c>
      <c r="D8590" t="inlineStr">
        <is>
          <t>-390Q1</t>
        </is>
      </c>
      <c r="E8590" t="inlineStr">
        <is>
          <t>DILA-XHI22</t>
        </is>
      </c>
      <c r="F8590" t="inlineStr">
        <is>
          <t>DILA-XHI22</t>
        </is>
      </c>
      <c r="G8590" t="inlineStr">
        <is>
          <t>HILFSKONTAKTBLOCK</t>
        </is>
      </c>
      <c r="H8590" t="inlineStr">
        <is>
          <t>2S 2OE Last+Hilfssch. Cage</t>
        </is>
      </c>
      <c r="I8590">
        <v>944</v>
      </c>
      <c r="J8590">
        <f>GS93/390.4</f>
        <v>0</v>
      </c>
      <c r="K8590" t="inlineStr">
        <is>
          <t>DIL MC25</t>
        </is>
      </c>
      <c r="M8590" t="inlineStr">
        <is>
          <t>-390Q1</t>
        </is>
      </c>
    </row>
    <row r="8591">
      <c r="A8591">
        <v>8590</v>
      </c>
      <c r="B8591">
        <f>GS92</f>
        <v>0</v>
      </c>
      <c r="C8591" t="inlineStr">
        <is>
          <t>+LS07</t>
        </is>
      </c>
      <c r="D8591" t="inlineStr">
        <is>
          <t>-390Q462.3</t>
        </is>
      </c>
      <c r="E8591" t="inlineStr">
        <is>
          <t>DILM-9-10</t>
        </is>
      </c>
      <c r="F8591" t="inlineStr">
        <is>
          <t>#KALK!</t>
        </is>
      </c>
      <c r="G8591" t="inlineStr">
        <is>
          <t>LASTSCHUETZ</t>
        </is>
      </c>
      <c r="H8591" t="inlineStr">
        <is>
          <t>4kW 1S Federzugkl.</t>
        </is>
      </c>
      <c r="I8591">
        <v>536</v>
      </c>
      <c r="J8591">
        <f>GS92/390.5</f>
        <v>0</v>
      </c>
      <c r="M8591" t="inlineStr">
        <is>
          <t>-390Q462.3</t>
        </is>
      </c>
    </row>
    <row r="8592">
      <c r="A8592">
        <v>8591</v>
      </c>
      <c r="B8592">
        <f>GS16</f>
        <v>0</v>
      </c>
      <c r="C8592" t="inlineStr">
        <is>
          <t>+LS6</t>
        </is>
      </c>
      <c r="D8592" t="inlineStr">
        <is>
          <t>-391K1</t>
        </is>
      </c>
      <c r="E8592" t="inlineStr">
        <is>
          <t>22_DIL-M</t>
        </is>
      </c>
      <c r="F8592" t="inlineStr">
        <is>
          <t>22_DIL-M</t>
        </is>
      </c>
      <c r="G8592" t="inlineStr">
        <is>
          <t>HILFSKONTAKTBLOCK</t>
        </is>
      </c>
      <c r="H8592" t="inlineStr">
        <is>
          <t>2S 2OE Lastschuetz DIL M</t>
        </is>
      </c>
      <c r="I8592">
        <v>626</v>
      </c>
      <c r="J8592">
        <f>GS16/391.2</f>
        <v>0</v>
      </c>
      <c r="K8592" t="inlineStr">
        <is>
          <t>DIL0AM</t>
        </is>
      </c>
      <c r="M8592" t="inlineStr">
        <is>
          <t>-391K1</t>
        </is>
      </c>
    </row>
    <row r="8593">
      <c r="A8593">
        <v>8592</v>
      </c>
      <c r="B8593">
        <f>GS16</f>
        <v>0</v>
      </c>
      <c r="C8593" t="inlineStr">
        <is>
          <t>+LS6</t>
        </is>
      </c>
      <c r="D8593" t="inlineStr">
        <is>
          <t>-391K1</t>
        </is>
      </c>
      <c r="E8593" t="inlineStr">
        <is>
          <t>DIL_0AM</t>
        </is>
      </c>
      <c r="F8593" t="inlineStr">
        <is>
          <t>22_DIL-M</t>
        </is>
      </c>
      <c r="G8593" t="inlineStr">
        <is>
          <t>LASTSCHUETZ</t>
        </is>
      </c>
      <c r="H8593" t="inlineStr">
        <is>
          <t>11 kW</t>
        </is>
      </c>
      <c r="I8593">
        <v>626</v>
      </c>
      <c r="J8593">
        <f>GS16/391.2</f>
        <v>0</v>
      </c>
      <c r="K8593" t="inlineStr">
        <is>
          <t>DIL0AM</t>
        </is>
      </c>
      <c r="M8593" t="inlineStr">
        <is>
          <t>-391K1</t>
        </is>
      </c>
    </row>
    <row r="8594">
      <c r="A8594">
        <v>8593</v>
      </c>
      <c r="B8594">
        <f>GS37</f>
        <v>0</v>
      </c>
      <c r="C8594" t="inlineStr">
        <is>
          <t>+LS08</t>
        </is>
      </c>
      <c r="D8594" t="inlineStr">
        <is>
          <t>-391K1</t>
        </is>
      </c>
      <c r="E8594" t="inlineStr">
        <is>
          <t>DILM-9-01</t>
        </is>
      </c>
      <c r="F8594" t="inlineStr">
        <is>
          <t>#KALK!</t>
        </is>
      </c>
      <c r="G8594" t="inlineStr">
        <is>
          <t>LASTSCHUETZ</t>
        </is>
      </c>
      <c r="H8594" t="inlineStr">
        <is>
          <t>4kW 1Oe Federzugkl.</t>
        </is>
      </c>
      <c r="I8594">
        <v>562</v>
      </c>
      <c r="J8594">
        <f>GS37/391.6</f>
        <v>0</v>
      </c>
      <c r="M8594" t="inlineStr">
        <is>
          <t>-391K1</t>
        </is>
      </c>
    </row>
    <row r="8595">
      <c r="A8595">
        <v>8594</v>
      </c>
      <c r="B8595">
        <f>GC03</f>
        <v>0</v>
      </c>
      <c r="C8595" t="inlineStr">
        <is>
          <t>+LS9</t>
        </is>
      </c>
      <c r="D8595" t="inlineStr">
        <is>
          <t>-391K13.1</t>
        </is>
      </c>
      <c r="E8595" t="inlineStr">
        <is>
          <t>DIL_EM-10-G</t>
        </is>
      </c>
      <c r="F8595" t="inlineStr">
        <is>
          <t>#KALK!</t>
        </is>
      </c>
      <c r="G8595" t="inlineStr">
        <is>
          <t>LASTSCHUETZ</t>
        </is>
      </c>
      <c r="H8595" t="inlineStr">
        <is>
          <t>4kW 1S</t>
        </is>
      </c>
      <c r="I8595">
        <v>3562</v>
      </c>
      <c r="J8595">
        <f>GC03/391.6</f>
        <v>0</v>
      </c>
      <c r="M8595" t="inlineStr">
        <is>
          <t>-391K13.1</t>
        </is>
      </c>
    </row>
    <row r="8596">
      <c r="A8596">
        <v>8595</v>
      </c>
      <c r="B8596">
        <f>GC03</f>
        <v>0</v>
      </c>
      <c r="C8596" t="inlineStr">
        <is>
          <t>+LS9</t>
        </is>
      </c>
      <c r="D8596" t="inlineStr">
        <is>
          <t>-391K13.2</t>
        </is>
      </c>
      <c r="E8596" t="inlineStr">
        <is>
          <t>DIL_EM-10-G</t>
        </is>
      </c>
      <c r="F8596" t="inlineStr">
        <is>
          <t>#KALK!</t>
        </is>
      </c>
      <c r="G8596" t="inlineStr">
        <is>
          <t>LASTSCHUETZ</t>
        </is>
      </c>
      <c r="H8596" t="inlineStr">
        <is>
          <t>4kW 1S</t>
        </is>
      </c>
      <c r="I8596">
        <v>3562</v>
      </c>
      <c r="J8596">
        <f>GC03/391.7</f>
        <v>0</v>
      </c>
      <c r="M8596" t="inlineStr">
        <is>
          <t>-391K13.2</t>
        </is>
      </c>
    </row>
    <row r="8597">
      <c r="A8597">
        <v>8596</v>
      </c>
      <c r="B8597">
        <f>GS37</f>
        <v>0</v>
      </c>
      <c r="C8597" t="inlineStr">
        <is>
          <t>+LS08</t>
        </is>
      </c>
      <c r="D8597" t="inlineStr">
        <is>
          <t>-391K2</t>
        </is>
      </c>
      <c r="E8597" t="inlineStr">
        <is>
          <t>DILM-9-01</t>
        </is>
      </c>
      <c r="F8597" t="inlineStr">
        <is>
          <t>#KALK!</t>
        </is>
      </c>
      <c r="G8597" t="inlineStr">
        <is>
          <t>LASTSCHUETZ</t>
        </is>
      </c>
      <c r="H8597" t="inlineStr">
        <is>
          <t>4kW 1Oe Federzugkl.</t>
        </is>
      </c>
      <c r="I8597">
        <v>562</v>
      </c>
      <c r="J8597">
        <f>GS37/391.7</f>
        <v>0</v>
      </c>
      <c r="M8597" t="inlineStr">
        <is>
          <t>-391K2</t>
        </is>
      </c>
    </row>
    <row r="8598">
      <c r="A8598">
        <v>8597</v>
      </c>
      <c r="B8598">
        <f>GC22</f>
        <v>0</v>
      </c>
      <c r="C8598" t="inlineStr">
        <is>
          <t>+LS5</t>
        </is>
      </c>
      <c r="D8598" t="inlineStr">
        <is>
          <t>-391K47.4</t>
        </is>
      </c>
      <c r="E8598" t="inlineStr">
        <is>
          <t>DILM-9-01</t>
        </is>
      </c>
      <c r="F8598" t="inlineStr">
        <is>
          <t>#KALK!</t>
        </is>
      </c>
      <c r="G8598" t="inlineStr">
        <is>
          <t>LASTSCHUETZ</t>
        </is>
      </c>
      <c r="H8598" t="inlineStr">
        <is>
          <t>4kW 1Oe Federzugkl.</t>
        </is>
      </c>
      <c r="I8598">
        <v>726</v>
      </c>
      <c r="J8598">
        <f>GC22/391.6</f>
        <v>0</v>
      </c>
      <c r="M8598" t="inlineStr">
        <is>
          <t>-391K47.4</t>
        </is>
      </c>
    </row>
    <row r="8599">
      <c r="A8599">
        <v>8598</v>
      </c>
      <c r="B8599">
        <f>GS12</f>
        <v>0</v>
      </c>
      <c r="C8599" t="inlineStr">
        <is>
          <t>+LS5</t>
        </is>
      </c>
      <c r="D8599" t="inlineStr">
        <is>
          <t>-391K47.4</t>
        </is>
      </c>
      <c r="E8599" t="inlineStr">
        <is>
          <t>DILM-9-01</t>
        </is>
      </c>
      <c r="F8599" t="inlineStr">
        <is>
          <t>#KALK!</t>
        </is>
      </c>
      <c r="G8599" t="inlineStr">
        <is>
          <t>LASTSCHUETZ</t>
        </is>
      </c>
      <c r="H8599" t="inlineStr">
        <is>
          <t>4kW 1Oe Federzugkl.</t>
        </is>
      </c>
      <c r="I8599">
        <v>523</v>
      </c>
      <c r="J8599">
        <f>GS12/391.6</f>
        <v>0</v>
      </c>
      <c r="M8599" t="inlineStr">
        <is>
          <t>-391K47.4</t>
        </is>
      </c>
    </row>
    <row r="8600">
      <c r="A8600">
        <v>8599</v>
      </c>
      <c r="B8600">
        <f>GC22</f>
        <v>0</v>
      </c>
      <c r="C8600" t="inlineStr">
        <is>
          <t>+LS5</t>
        </is>
      </c>
      <c r="D8600" t="inlineStr">
        <is>
          <t>-391K47.5</t>
        </is>
      </c>
      <c r="E8600" t="inlineStr">
        <is>
          <t>DIL_EM-10-G</t>
        </is>
      </c>
      <c r="F8600" t="inlineStr">
        <is>
          <t>#KALK!</t>
        </is>
      </c>
      <c r="G8600" t="inlineStr">
        <is>
          <t>LASTSCHUETZ</t>
        </is>
      </c>
      <c r="H8600" t="inlineStr">
        <is>
          <t>4kW 1S</t>
        </is>
      </c>
      <c r="I8600">
        <v>726</v>
      </c>
      <c r="J8600">
        <f>GC22/391.7</f>
        <v>0</v>
      </c>
      <c r="M8600" t="inlineStr">
        <is>
          <t>-391K47.5</t>
        </is>
      </c>
    </row>
    <row r="8601">
      <c r="A8601">
        <v>8600</v>
      </c>
      <c r="B8601">
        <f>GS12</f>
        <v>0</v>
      </c>
      <c r="C8601" t="inlineStr">
        <is>
          <t>+LS5</t>
        </is>
      </c>
      <c r="D8601" t="inlineStr">
        <is>
          <t>-391K47.5</t>
        </is>
      </c>
      <c r="E8601" t="inlineStr">
        <is>
          <t>DIL_EM-10-G</t>
        </is>
      </c>
      <c r="F8601" t="inlineStr">
        <is>
          <t>#KALK!</t>
        </is>
      </c>
      <c r="G8601" t="inlineStr">
        <is>
          <t>LASTSCHUETZ</t>
        </is>
      </c>
      <c r="H8601" t="inlineStr">
        <is>
          <t>4kW 1S</t>
        </is>
      </c>
      <c r="I8601">
        <v>523</v>
      </c>
      <c r="J8601">
        <f>GS12/391.7</f>
        <v>0</v>
      </c>
      <c r="M8601" t="inlineStr">
        <is>
          <t>-391K47.5</t>
        </is>
      </c>
    </row>
    <row r="8602">
      <c r="A8602">
        <v>8601</v>
      </c>
      <c r="B8602">
        <f>GS31</f>
        <v>0</v>
      </c>
      <c r="C8602" t="inlineStr">
        <is>
          <t>+LS8</t>
        </is>
      </c>
      <c r="D8602" t="inlineStr">
        <is>
          <t>-391K49.0</t>
        </is>
      </c>
      <c r="E8602" t="inlineStr">
        <is>
          <t>DIL_EM-10-G</t>
        </is>
      </c>
      <c r="F8602" t="inlineStr">
        <is>
          <t>#KALK!</t>
        </is>
      </c>
      <c r="G8602" t="inlineStr">
        <is>
          <t>LASTSCHUETZ</t>
        </is>
      </c>
      <c r="H8602" t="inlineStr">
        <is>
          <t>4kW 1S</t>
        </is>
      </c>
      <c r="I8602">
        <v>682</v>
      </c>
      <c r="J8602">
        <f>GS31/391.6</f>
        <v>0</v>
      </c>
      <c r="M8602" t="inlineStr">
        <is>
          <t>-391K49.0</t>
        </is>
      </c>
    </row>
    <row r="8603">
      <c r="A8603">
        <v>8602</v>
      </c>
      <c r="B8603">
        <f>GS31</f>
        <v>0</v>
      </c>
      <c r="C8603" t="inlineStr">
        <is>
          <t>+LS8</t>
        </is>
      </c>
      <c r="D8603" t="inlineStr">
        <is>
          <t>-391K49.1</t>
        </is>
      </c>
      <c r="E8603" t="inlineStr">
        <is>
          <t>DIL_EM-10-G</t>
        </is>
      </c>
      <c r="F8603" t="inlineStr">
        <is>
          <t>#KALK!</t>
        </is>
      </c>
      <c r="G8603" t="inlineStr">
        <is>
          <t>LASTSCHUETZ</t>
        </is>
      </c>
      <c r="H8603" t="inlineStr">
        <is>
          <t>4kW 1S</t>
        </is>
      </c>
      <c r="I8603">
        <v>682</v>
      </c>
      <c r="J8603">
        <f>GS31/391.6</f>
        <v>0</v>
      </c>
      <c r="M8603" t="inlineStr">
        <is>
          <t>-391K49.1</t>
        </is>
      </c>
    </row>
    <row r="8604">
      <c r="A8604">
        <v>8603</v>
      </c>
      <c r="B8604">
        <f>GC22</f>
        <v>0</v>
      </c>
      <c r="C8604" t="inlineStr">
        <is>
          <t>+LS5</t>
        </is>
      </c>
      <c r="D8604" t="inlineStr">
        <is>
          <t>-391K49.6</t>
        </is>
      </c>
      <c r="E8604" t="inlineStr">
        <is>
          <t>DILM-9-01</t>
        </is>
      </c>
      <c r="F8604" t="inlineStr">
        <is>
          <t>#KALK!</t>
        </is>
      </c>
      <c r="G8604" t="inlineStr">
        <is>
          <t>LASTSCHUETZ</t>
        </is>
      </c>
      <c r="H8604" t="inlineStr">
        <is>
          <t>4kW 1Oe Federzugkl.</t>
        </is>
      </c>
      <c r="I8604">
        <v>726</v>
      </c>
      <c r="J8604">
        <f>GC22/391.6</f>
        <v>0</v>
      </c>
      <c r="M8604" t="inlineStr">
        <is>
          <t>-391K49.6</t>
        </is>
      </c>
    </row>
    <row r="8605">
      <c r="A8605">
        <v>8604</v>
      </c>
      <c r="B8605">
        <f>GS12</f>
        <v>0</v>
      </c>
      <c r="C8605" t="inlineStr">
        <is>
          <t>+LS5</t>
        </is>
      </c>
      <c r="D8605" t="inlineStr">
        <is>
          <t>-391K49.6</t>
        </is>
      </c>
      <c r="E8605" t="inlineStr">
        <is>
          <t>DILM-9-01</t>
        </is>
      </c>
      <c r="F8605" t="inlineStr">
        <is>
          <t>#KALK!</t>
        </is>
      </c>
      <c r="G8605" t="inlineStr">
        <is>
          <t>LASTSCHUETZ</t>
        </is>
      </c>
      <c r="H8605" t="inlineStr">
        <is>
          <t>4kW 1Oe Federzugkl.</t>
        </is>
      </c>
      <c r="I8605">
        <v>523</v>
      </c>
      <c r="J8605">
        <f>GS12/391.6</f>
        <v>0</v>
      </c>
      <c r="M8605" t="inlineStr">
        <is>
          <t>-391K49.6</t>
        </is>
      </c>
    </row>
    <row r="8606">
      <c r="A8606">
        <v>8605</v>
      </c>
      <c r="B8606">
        <f>GS11</f>
        <v>0</v>
      </c>
      <c r="C8606" t="inlineStr">
        <is>
          <t>+LS10</t>
        </is>
      </c>
      <c r="D8606" t="inlineStr">
        <is>
          <t>-391K65.2</t>
        </is>
      </c>
      <c r="E8606" t="inlineStr">
        <is>
          <t>DIL_EM-10-G</t>
        </is>
      </c>
      <c r="F8606" t="inlineStr">
        <is>
          <t>#KALK!</t>
        </is>
      </c>
      <c r="G8606" t="inlineStr">
        <is>
          <t>LASTSCHUETZ</t>
        </is>
      </c>
      <c r="H8606" t="inlineStr">
        <is>
          <t>4kW 1S</t>
        </is>
      </c>
      <c r="I8606">
        <v>497</v>
      </c>
      <c r="J8606">
        <f>GS11/391.6</f>
        <v>0</v>
      </c>
      <c r="M8606" t="inlineStr">
        <is>
          <t>-391K65.2</t>
        </is>
      </c>
    </row>
    <row r="8607">
      <c r="A8607">
        <v>8606</v>
      </c>
      <c r="B8607">
        <f>GS21</f>
        <v>0</v>
      </c>
      <c r="C8607" t="inlineStr">
        <is>
          <t>+LS10</t>
        </is>
      </c>
      <c r="D8607" t="inlineStr">
        <is>
          <t>-391K65.2</t>
        </is>
      </c>
      <c r="E8607" t="inlineStr">
        <is>
          <t>DIL_EM-10-G</t>
        </is>
      </c>
      <c r="F8607" t="inlineStr">
        <is>
          <t>#KALK!</t>
        </is>
      </c>
      <c r="G8607" t="inlineStr">
        <is>
          <t>LASTSCHUETZ</t>
        </is>
      </c>
      <c r="H8607" t="inlineStr">
        <is>
          <t>4kW 1S</t>
        </is>
      </c>
      <c r="I8607">
        <v>479</v>
      </c>
      <c r="J8607">
        <f>GS21/391.6</f>
        <v>0</v>
      </c>
      <c r="M8607" t="inlineStr">
        <is>
          <t>-391K65.2</t>
        </is>
      </c>
    </row>
    <row r="8608">
      <c r="A8608">
        <v>8607</v>
      </c>
      <c r="B8608">
        <f>GS02</f>
        <v>0</v>
      </c>
      <c r="C8608" t="inlineStr">
        <is>
          <t>+LS9</t>
        </is>
      </c>
      <c r="D8608" t="inlineStr">
        <is>
          <t>-391K70.3</t>
        </is>
      </c>
      <c r="E8608" t="inlineStr">
        <is>
          <t>DIL_EM-10-G</t>
        </is>
      </c>
      <c r="F8608" t="inlineStr">
        <is>
          <t>#KALK!</t>
        </is>
      </c>
      <c r="G8608" t="inlineStr">
        <is>
          <t>LASTSCHUETZ</t>
        </is>
      </c>
      <c r="H8608" t="inlineStr">
        <is>
          <t>4kW 1S</t>
        </is>
      </c>
      <c r="I8608">
        <v>798</v>
      </c>
      <c r="J8608">
        <f>GS02/391.7</f>
        <v>0</v>
      </c>
      <c r="M8608" t="inlineStr">
        <is>
          <t>-391K70.3</t>
        </is>
      </c>
    </row>
    <row r="8609">
      <c r="A8609">
        <v>8608</v>
      </c>
      <c r="B8609">
        <f>GS91</f>
        <v>0</v>
      </c>
      <c r="C8609" t="inlineStr">
        <is>
          <t>+LS06</t>
        </is>
      </c>
      <c r="D8609" t="inlineStr">
        <is>
          <t>-391Q197.2</t>
        </is>
      </c>
      <c r="E8609" t="inlineStr">
        <is>
          <t>DILM-9-10</t>
        </is>
      </c>
      <c r="F8609" t="inlineStr">
        <is>
          <t>#KALK!</t>
        </is>
      </c>
      <c r="G8609" t="inlineStr">
        <is>
          <t>LASTSCHUETZ</t>
        </is>
      </c>
      <c r="H8609" t="inlineStr">
        <is>
          <t>4kW 1S Federzugkl.</t>
        </is>
      </c>
      <c r="I8609">
        <v>539</v>
      </c>
      <c r="J8609">
        <f>GS91/391.5</f>
        <v>0</v>
      </c>
      <c r="M8609" t="inlineStr">
        <is>
          <t>-391Q197.2</t>
        </is>
      </c>
    </row>
    <row r="8610">
      <c r="A8610">
        <v>8609</v>
      </c>
      <c r="B8610">
        <f>GS93</f>
        <v>0</v>
      </c>
      <c r="C8610" t="inlineStr">
        <is>
          <t>+LS07</t>
        </is>
      </c>
      <c r="D8610" t="inlineStr">
        <is>
          <t>-391Q466.1</t>
        </is>
      </c>
      <c r="E8610" t="inlineStr">
        <is>
          <t>DILM-9-10</t>
        </is>
      </c>
      <c r="F8610" t="inlineStr">
        <is>
          <t>#KALK!</t>
        </is>
      </c>
      <c r="G8610" t="inlineStr">
        <is>
          <t>LASTSCHUETZ</t>
        </is>
      </c>
      <c r="H8610" t="inlineStr">
        <is>
          <t>4kW 1S Federzugkl.</t>
        </is>
      </c>
      <c r="I8610">
        <v>945</v>
      </c>
      <c r="J8610">
        <f>GS93/391.5</f>
        <v>0</v>
      </c>
      <c r="M8610" t="inlineStr">
        <is>
          <t>-391Q466.1</t>
        </is>
      </c>
    </row>
    <row r="8611">
      <c r="A8611">
        <v>8610</v>
      </c>
      <c r="B8611">
        <f>GS37</f>
        <v>0</v>
      </c>
      <c r="C8611" t="inlineStr">
        <is>
          <t>+LS08</t>
        </is>
      </c>
      <c r="D8611" t="inlineStr">
        <is>
          <t>-392K1</t>
        </is>
      </c>
      <c r="E8611" t="inlineStr">
        <is>
          <t>DILM-9-01</t>
        </is>
      </c>
      <c r="F8611" t="inlineStr">
        <is>
          <t>#KALK!</t>
        </is>
      </c>
      <c r="G8611" t="inlineStr">
        <is>
          <t>LASTSCHUETZ</t>
        </is>
      </c>
      <c r="H8611" t="inlineStr">
        <is>
          <t>4kW 1Oe Federzugkl.</t>
        </is>
      </c>
      <c r="I8611">
        <v>561</v>
      </c>
      <c r="J8611">
        <f>GS37/392.6</f>
        <v>0</v>
      </c>
      <c r="M8611" t="inlineStr">
        <is>
          <t>-392K1</t>
        </is>
      </c>
    </row>
    <row r="8612">
      <c r="A8612">
        <v>8611</v>
      </c>
      <c r="B8612">
        <f>GC03</f>
        <v>0</v>
      </c>
      <c r="C8612" t="inlineStr">
        <is>
          <t>+LS9</t>
        </is>
      </c>
      <c r="D8612" t="inlineStr">
        <is>
          <t>-392K13.3</t>
        </is>
      </c>
      <c r="E8612" t="inlineStr">
        <is>
          <t>DIL_EM-10-G</t>
        </is>
      </c>
      <c r="F8612" t="inlineStr">
        <is>
          <t>#KALK!</t>
        </is>
      </c>
      <c r="G8612" t="inlineStr">
        <is>
          <t>LASTSCHUETZ</t>
        </is>
      </c>
      <c r="H8612" t="inlineStr">
        <is>
          <t>4kW 1S</t>
        </is>
      </c>
      <c r="I8612">
        <v>3563</v>
      </c>
      <c r="J8612">
        <f>GC03/392.6</f>
        <v>0</v>
      </c>
      <c r="M8612" t="inlineStr">
        <is>
          <t>-392K13.3</t>
        </is>
      </c>
    </row>
    <row r="8613">
      <c r="A8613">
        <v>8612</v>
      </c>
      <c r="B8613">
        <f>GC03</f>
        <v>0</v>
      </c>
      <c r="C8613" t="inlineStr">
        <is>
          <t>+LS9</t>
        </is>
      </c>
      <c r="D8613" t="inlineStr">
        <is>
          <t>-392K13.4</t>
        </is>
      </c>
      <c r="E8613" t="inlineStr">
        <is>
          <t>DIL_EM-10-G</t>
        </is>
      </c>
      <c r="F8613" t="inlineStr">
        <is>
          <t>#KALK!</t>
        </is>
      </c>
      <c r="G8613" t="inlineStr">
        <is>
          <t>LASTSCHUETZ</t>
        </is>
      </c>
      <c r="H8613" t="inlineStr">
        <is>
          <t>4kW 1S</t>
        </is>
      </c>
      <c r="I8613">
        <v>3563</v>
      </c>
      <c r="J8613">
        <f>GC03/392.7</f>
        <v>0</v>
      </c>
      <c r="M8613" t="inlineStr">
        <is>
          <t>-392K13.4</t>
        </is>
      </c>
    </row>
    <row r="8614">
      <c r="A8614">
        <v>8613</v>
      </c>
      <c r="B8614">
        <f>GS37</f>
        <v>0</v>
      </c>
      <c r="C8614" t="inlineStr">
        <is>
          <t>+LS08</t>
        </is>
      </c>
      <c r="D8614" t="inlineStr">
        <is>
          <t>-392K2</t>
        </is>
      </c>
      <c r="E8614" t="inlineStr">
        <is>
          <t>DILM-9-01</t>
        </is>
      </c>
      <c r="F8614" t="inlineStr">
        <is>
          <t>#KALK!</t>
        </is>
      </c>
      <c r="G8614" t="inlineStr">
        <is>
          <t>LASTSCHUETZ</t>
        </is>
      </c>
      <c r="H8614" t="inlineStr">
        <is>
          <t>4kW 1Oe Federzugkl.</t>
        </is>
      </c>
      <c r="I8614">
        <v>561</v>
      </c>
      <c r="J8614">
        <f>GS37/392.7</f>
        <v>0</v>
      </c>
      <c r="M8614" t="inlineStr">
        <is>
          <t>-392K2</t>
        </is>
      </c>
    </row>
    <row r="8615">
      <c r="A8615">
        <v>8614</v>
      </c>
      <c r="B8615">
        <f>GS15</f>
        <v>0</v>
      </c>
      <c r="C8615" t="inlineStr">
        <is>
          <t>+LS8</t>
        </is>
      </c>
      <c r="D8615" t="inlineStr">
        <is>
          <t>-392K28.3</t>
        </is>
      </c>
      <c r="E8615" t="inlineStr">
        <is>
          <t>DIL_EM-10-G</t>
        </is>
      </c>
      <c r="F8615" t="inlineStr">
        <is>
          <t>#KALK!</t>
        </is>
      </c>
      <c r="G8615" t="inlineStr">
        <is>
          <t>LASTSCHUETZ</t>
        </is>
      </c>
      <c r="H8615" t="inlineStr">
        <is>
          <t>4kW 1S</t>
        </is>
      </c>
      <c r="I8615">
        <v>893</v>
      </c>
      <c r="J8615">
        <f>GS15/392.7</f>
        <v>0</v>
      </c>
      <c r="M8615" t="inlineStr">
        <is>
          <t>-392K28.3</t>
        </is>
      </c>
    </row>
    <row r="8616">
      <c r="A8616">
        <v>8615</v>
      </c>
      <c r="B8616">
        <f>GS16</f>
        <v>0</v>
      </c>
      <c r="C8616" t="inlineStr">
        <is>
          <t>+LS6</t>
        </is>
      </c>
      <c r="D8616" t="inlineStr">
        <is>
          <t>-392K46.3</t>
        </is>
      </c>
      <c r="E8616" t="inlineStr">
        <is>
          <t>DIL_EM-10-G</t>
        </is>
      </c>
      <c r="F8616" t="inlineStr">
        <is>
          <t>#KALK!</t>
        </is>
      </c>
      <c r="G8616" t="inlineStr">
        <is>
          <t>LASTSCHUETZ</t>
        </is>
      </c>
      <c r="H8616" t="inlineStr">
        <is>
          <t>4kW 1S</t>
        </is>
      </c>
      <c r="I8616">
        <v>627</v>
      </c>
      <c r="J8616">
        <f>GS16/392.7</f>
        <v>0</v>
      </c>
      <c r="M8616" t="inlineStr">
        <is>
          <t>-392K46.3</t>
        </is>
      </c>
    </row>
    <row r="8617">
      <c r="A8617">
        <v>8616</v>
      </c>
      <c r="B8617">
        <f>GS92</f>
        <v>0</v>
      </c>
      <c r="C8617" t="inlineStr">
        <is>
          <t>+LS07</t>
        </is>
      </c>
      <c r="D8617" t="inlineStr">
        <is>
          <t>-392K462.4</t>
        </is>
      </c>
      <c r="E8617" t="inlineStr">
        <is>
          <t>DILA-22</t>
        </is>
      </c>
      <c r="F8617" t="inlineStr">
        <is>
          <t>#KALK!</t>
        </is>
      </c>
      <c r="G8617" t="inlineStr">
        <is>
          <t>HILFSSCHUETZ</t>
        </is>
      </c>
      <c r="H8617" t="inlineStr">
        <is>
          <t>2S 2Oe Federzugkl.</t>
        </is>
      </c>
      <c r="I8617">
        <v>537</v>
      </c>
      <c r="J8617">
        <f>GS92/392.6</f>
        <v>0</v>
      </c>
      <c r="M8617" t="inlineStr">
        <is>
          <t>-392K462.4</t>
        </is>
      </c>
    </row>
    <row r="8618">
      <c r="A8618">
        <v>8617</v>
      </c>
      <c r="B8618">
        <f>GC22</f>
        <v>0</v>
      </c>
      <c r="C8618" t="inlineStr">
        <is>
          <t>+LS5</t>
        </is>
      </c>
      <c r="D8618" t="inlineStr">
        <is>
          <t>-392K48.3</t>
        </is>
      </c>
      <c r="E8618" t="inlineStr">
        <is>
          <t>DIL_EM-10-G</t>
        </is>
      </c>
      <c r="F8618" t="inlineStr">
        <is>
          <t>#KALK!</t>
        </is>
      </c>
      <c r="G8618" t="inlineStr">
        <is>
          <t>LASTSCHUETZ</t>
        </is>
      </c>
      <c r="H8618" t="inlineStr">
        <is>
          <t>4kW 1S</t>
        </is>
      </c>
      <c r="I8618">
        <v>725</v>
      </c>
      <c r="J8618">
        <f>GC22/392.7</f>
        <v>0</v>
      </c>
      <c r="M8618" t="inlineStr">
        <is>
          <t>-392K48.3</t>
        </is>
      </c>
    </row>
    <row r="8619">
      <c r="A8619">
        <v>8618</v>
      </c>
      <c r="B8619">
        <f>GS12</f>
        <v>0</v>
      </c>
      <c r="C8619" t="inlineStr">
        <is>
          <t>+LS5</t>
        </is>
      </c>
      <c r="D8619" t="inlineStr">
        <is>
          <t>-392K48.3</t>
        </is>
      </c>
      <c r="E8619" t="inlineStr">
        <is>
          <t>DIL_EM-10-G</t>
        </is>
      </c>
      <c r="F8619" t="inlineStr">
        <is>
          <t>#KALK!</t>
        </is>
      </c>
      <c r="G8619" t="inlineStr">
        <is>
          <t>LASTSCHUETZ</t>
        </is>
      </c>
      <c r="H8619" t="inlineStr">
        <is>
          <t>4kW 1S</t>
        </is>
      </c>
      <c r="I8619">
        <v>524</v>
      </c>
      <c r="J8619">
        <f>GS12/392.7</f>
        <v>0</v>
      </c>
      <c r="M8619" t="inlineStr">
        <is>
          <t>-392K48.3</t>
        </is>
      </c>
    </row>
    <row r="8620">
      <c r="A8620">
        <v>8619</v>
      </c>
      <c r="B8620">
        <f>GS31</f>
        <v>0</v>
      </c>
      <c r="C8620" t="inlineStr">
        <is>
          <t>+LS8</t>
        </is>
      </c>
      <c r="D8620" t="inlineStr">
        <is>
          <t>-392K50.2</t>
        </is>
      </c>
      <c r="E8620" t="inlineStr">
        <is>
          <t>DIL_EM-10-G</t>
        </is>
      </c>
      <c r="F8620" t="inlineStr">
        <is>
          <t>#KALK!</t>
        </is>
      </c>
      <c r="G8620" t="inlineStr">
        <is>
          <t>LASTSCHUETZ</t>
        </is>
      </c>
      <c r="H8620" t="inlineStr">
        <is>
          <t>4kW 1S</t>
        </is>
      </c>
      <c r="I8620">
        <v>683</v>
      </c>
      <c r="J8620">
        <f>GS31/392.6</f>
        <v>0</v>
      </c>
      <c r="M8620" t="inlineStr">
        <is>
          <t>-392K50.2</t>
        </is>
      </c>
    </row>
    <row r="8621">
      <c r="A8621">
        <v>8620</v>
      </c>
      <c r="B8621">
        <f>GS11</f>
        <v>0</v>
      </c>
      <c r="C8621" t="inlineStr">
        <is>
          <t>+LS10</t>
        </is>
      </c>
      <c r="D8621" t="inlineStr">
        <is>
          <t>-392K65.4</t>
        </is>
      </c>
      <c r="E8621" t="inlineStr">
        <is>
          <t>DIL_EM-10-G</t>
        </is>
      </c>
      <c r="F8621" t="inlineStr">
        <is>
          <t>#KALK!</t>
        </is>
      </c>
      <c r="G8621" t="inlineStr">
        <is>
          <t>LASTSCHUETZ</t>
        </is>
      </c>
      <c r="H8621" t="inlineStr">
        <is>
          <t>4kW 1S</t>
        </is>
      </c>
      <c r="I8621">
        <v>498</v>
      </c>
      <c r="J8621">
        <f>GS11/392.6</f>
        <v>0</v>
      </c>
      <c r="M8621" t="inlineStr">
        <is>
          <t>-392K65.4</t>
        </is>
      </c>
    </row>
    <row r="8622">
      <c r="A8622">
        <v>8621</v>
      </c>
      <c r="B8622">
        <f>GS21</f>
        <v>0</v>
      </c>
      <c r="C8622" t="inlineStr">
        <is>
          <t>+LS10</t>
        </is>
      </c>
      <c r="D8622" t="inlineStr">
        <is>
          <t>-392K65.4</t>
        </is>
      </c>
      <c r="E8622" t="inlineStr">
        <is>
          <t>DIL_EM-10-G</t>
        </is>
      </c>
      <c r="F8622" t="inlineStr">
        <is>
          <t>#KALK!</t>
        </is>
      </c>
      <c r="G8622" t="inlineStr">
        <is>
          <t>LASTSCHUETZ</t>
        </is>
      </c>
      <c r="H8622" t="inlineStr">
        <is>
          <t>4kW 1S</t>
        </is>
      </c>
      <c r="I8622">
        <v>480</v>
      </c>
      <c r="J8622">
        <f>GS21/392.6</f>
        <v>0</v>
      </c>
      <c r="M8622" t="inlineStr">
        <is>
          <t>-392K65.4</t>
        </is>
      </c>
    </row>
    <row r="8623">
      <c r="A8623">
        <v>8622</v>
      </c>
      <c r="B8623">
        <f>GS11</f>
        <v>0</v>
      </c>
      <c r="C8623" t="inlineStr">
        <is>
          <t>+LS10</t>
        </is>
      </c>
      <c r="D8623" t="inlineStr">
        <is>
          <t>-392K67.3</t>
        </is>
      </c>
      <c r="E8623" t="inlineStr">
        <is>
          <t>DIL_EM-10-G</t>
        </is>
      </c>
      <c r="F8623" t="inlineStr">
        <is>
          <t>#KALK!</t>
        </is>
      </c>
      <c r="G8623" t="inlineStr">
        <is>
          <t>LASTSCHUETZ</t>
        </is>
      </c>
      <c r="H8623" t="inlineStr">
        <is>
          <t>4kW 1S</t>
        </is>
      </c>
      <c r="I8623">
        <v>498</v>
      </c>
      <c r="J8623">
        <f>GS11/392.6</f>
        <v>0</v>
      </c>
      <c r="M8623" t="inlineStr">
        <is>
          <t>-392K67.3</t>
        </is>
      </c>
    </row>
    <row r="8624">
      <c r="A8624">
        <v>8623</v>
      </c>
      <c r="B8624">
        <f>GS21</f>
        <v>0</v>
      </c>
      <c r="C8624" t="inlineStr">
        <is>
          <t>+LS10</t>
        </is>
      </c>
      <c r="D8624" t="inlineStr">
        <is>
          <t>-392K67.3</t>
        </is>
      </c>
      <c r="E8624" t="inlineStr">
        <is>
          <t>DIL_EM-10-G</t>
        </is>
      </c>
      <c r="F8624" t="inlineStr">
        <is>
          <t>#KALK!</t>
        </is>
      </c>
      <c r="G8624" t="inlineStr">
        <is>
          <t>LASTSCHUETZ</t>
        </is>
      </c>
      <c r="H8624" t="inlineStr">
        <is>
          <t>4kW 1S</t>
        </is>
      </c>
      <c r="I8624">
        <v>480</v>
      </c>
      <c r="J8624">
        <f>GS21/392.6</f>
        <v>0</v>
      </c>
      <c r="M8624" t="inlineStr">
        <is>
          <t>-392K67.3</t>
        </is>
      </c>
    </row>
    <row r="8625">
      <c r="A8625">
        <v>8624</v>
      </c>
      <c r="B8625">
        <f>GS02</f>
        <v>0</v>
      </c>
      <c r="C8625" t="inlineStr">
        <is>
          <t>+LS9</t>
        </is>
      </c>
      <c r="D8625" t="inlineStr">
        <is>
          <t>-392K71.3</t>
        </is>
      </c>
      <c r="E8625" t="inlineStr">
        <is>
          <t>DIL_EM-10-G</t>
        </is>
      </c>
      <c r="F8625" t="inlineStr">
        <is>
          <t>#KALK!</t>
        </is>
      </c>
      <c r="G8625" t="inlineStr">
        <is>
          <t>LASTSCHUETZ</t>
        </is>
      </c>
      <c r="H8625" t="inlineStr">
        <is>
          <t>4kW 1S</t>
        </is>
      </c>
      <c r="I8625">
        <v>799</v>
      </c>
      <c r="J8625">
        <f>GS02/392.7</f>
        <v>0</v>
      </c>
      <c r="M8625" t="inlineStr">
        <is>
          <t>-392K71.3</t>
        </is>
      </c>
    </row>
    <row r="8626">
      <c r="A8626">
        <v>8625</v>
      </c>
      <c r="B8626">
        <f>GS02</f>
        <v>0</v>
      </c>
      <c r="C8626" t="inlineStr">
        <is>
          <t>+LS9</t>
        </is>
      </c>
      <c r="D8626" t="inlineStr">
        <is>
          <t>-392K71.4</t>
        </is>
      </c>
      <c r="E8626" t="inlineStr">
        <is>
          <t>DIL_EM-10-G</t>
        </is>
      </c>
      <c r="F8626" t="inlineStr">
        <is>
          <t>#KALK!</t>
        </is>
      </c>
      <c r="G8626" t="inlineStr">
        <is>
          <t>LASTSCHUETZ</t>
        </is>
      </c>
      <c r="H8626" t="inlineStr">
        <is>
          <t>4kW 1S</t>
        </is>
      </c>
      <c r="I8626">
        <v>799</v>
      </c>
      <c r="J8626">
        <f>GS02/392.7</f>
        <v>0</v>
      </c>
      <c r="M8626" t="inlineStr">
        <is>
          <t>-392K71.4</t>
        </is>
      </c>
    </row>
    <row r="8627">
      <c r="A8627">
        <v>8626</v>
      </c>
      <c r="B8627">
        <f>GS92</f>
        <v>0</v>
      </c>
      <c r="C8627" t="inlineStr">
        <is>
          <t>+LS07</t>
        </is>
      </c>
      <c r="D8627" t="inlineStr">
        <is>
          <t>-392Q1</t>
        </is>
      </c>
      <c r="E8627" t="inlineStr">
        <is>
          <t>DILMC25-10(RDC24)</t>
        </is>
      </c>
      <c r="F8627" t="inlineStr">
        <is>
          <t>DILA-XHIC31</t>
        </is>
      </c>
      <c r="G8627" t="inlineStr">
        <is>
          <t>LASTSCHUETZ</t>
        </is>
      </c>
      <c r="H8627" t="inlineStr">
        <is>
          <t>11kW 1S Federzugkl.</t>
        </is>
      </c>
      <c r="I8627">
        <v>537</v>
      </c>
      <c r="J8627">
        <f>GS92/392.2</f>
        <v>0</v>
      </c>
      <c r="M8627" t="inlineStr">
        <is>
          <t>-392Q1</t>
        </is>
      </c>
    </row>
    <row r="8628">
      <c r="A8628">
        <v>8627</v>
      </c>
      <c r="B8628">
        <f>GS92</f>
        <v>0</v>
      </c>
      <c r="C8628" t="inlineStr">
        <is>
          <t>+LS07</t>
        </is>
      </c>
      <c r="D8628" t="inlineStr">
        <is>
          <t>-392Q1</t>
        </is>
      </c>
      <c r="E8628" t="inlineStr">
        <is>
          <t>DILA-XHIC31</t>
        </is>
      </c>
      <c r="F8628" t="inlineStr">
        <is>
          <t>DILA-XHIC31</t>
        </is>
      </c>
      <c r="G8628" t="inlineStr">
        <is>
          <t>HILFSKONTAKTBLOCK</t>
        </is>
      </c>
      <c r="H8628" t="inlineStr">
        <is>
          <t>3S 1OE Last+Hilfssch. Cage</t>
        </is>
      </c>
      <c r="I8628">
        <v>537</v>
      </c>
      <c r="J8628">
        <f>GS92/392.2</f>
        <v>0</v>
      </c>
      <c r="M8628" t="inlineStr">
        <is>
          <t>-392Q1</t>
        </is>
      </c>
    </row>
    <row r="8629">
      <c r="A8629">
        <v>8628</v>
      </c>
      <c r="B8629">
        <f>GS35</f>
        <v>0</v>
      </c>
      <c r="C8629" t="inlineStr">
        <is>
          <t>+LS09</t>
        </is>
      </c>
      <c r="D8629" t="inlineStr">
        <is>
          <t>-392Q151.6</t>
        </is>
      </c>
      <c r="E8629" t="inlineStr">
        <is>
          <t>DILM-12-10</t>
        </is>
      </c>
      <c r="F8629" t="inlineStr">
        <is>
          <t>#KALK!</t>
        </is>
      </c>
      <c r="G8629" t="inlineStr">
        <is>
          <t>LASTSCHUETZ</t>
        </is>
      </c>
      <c r="H8629" t="inlineStr">
        <is>
          <t>5,5kW 1S Federzugkl.</t>
        </is>
      </c>
      <c r="I8629">
        <v>546</v>
      </c>
      <c r="J8629">
        <f>GS35/392.5</f>
        <v>0</v>
      </c>
      <c r="K8629" t="inlineStr">
        <is>
          <t>DIL MC12</t>
        </is>
      </c>
      <c r="M8629" t="inlineStr">
        <is>
          <t>-392Q151.6</t>
        </is>
      </c>
    </row>
    <row r="8630">
      <c r="A8630">
        <v>8629</v>
      </c>
      <c r="B8630">
        <f>GS91</f>
        <v>0</v>
      </c>
      <c r="C8630" t="inlineStr">
        <is>
          <t>+LS06</t>
        </is>
      </c>
      <c r="D8630" t="inlineStr">
        <is>
          <t>-392Q197.3</t>
        </is>
      </c>
      <c r="E8630" t="inlineStr">
        <is>
          <t>DILM-9-10</t>
        </is>
      </c>
      <c r="F8630" t="inlineStr">
        <is>
          <t>#KALK!</t>
        </is>
      </c>
      <c r="G8630" t="inlineStr">
        <is>
          <t>LASTSCHUETZ</t>
        </is>
      </c>
      <c r="H8630" t="inlineStr">
        <is>
          <t>4kW 1S Federzugkl.</t>
        </is>
      </c>
      <c r="I8630">
        <v>540</v>
      </c>
      <c r="J8630">
        <f>GS91/392.5</f>
        <v>0</v>
      </c>
      <c r="M8630" t="inlineStr">
        <is>
          <t>-392Q197.3</t>
        </is>
      </c>
    </row>
    <row r="8631">
      <c r="A8631">
        <v>8630</v>
      </c>
      <c r="B8631">
        <f>GS37</f>
        <v>0</v>
      </c>
      <c r="C8631" t="inlineStr">
        <is>
          <t>+LS08</t>
        </is>
      </c>
      <c r="D8631" t="inlineStr">
        <is>
          <t>-393K1</t>
        </is>
      </c>
      <c r="E8631" t="inlineStr">
        <is>
          <t>DILM-9-01</t>
        </is>
      </c>
      <c r="F8631" t="inlineStr">
        <is>
          <t>#KALK!</t>
        </is>
      </c>
      <c r="G8631" t="inlineStr">
        <is>
          <t>LASTSCHUETZ</t>
        </is>
      </c>
      <c r="H8631" t="inlineStr">
        <is>
          <t>4kW 1Oe Federzugkl.</t>
        </is>
      </c>
      <c r="I8631">
        <v>560</v>
      </c>
      <c r="J8631">
        <f>GS37/393.6</f>
        <v>0</v>
      </c>
      <c r="M8631" t="inlineStr">
        <is>
          <t>-393K1</t>
        </is>
      </c>
    </row>
    <row r="8632">
      <c r="A8632">
        <v>8631</v>
      </c>
      <c r="B8632">
        <f>GC03</f>
        <v>0</v>
      </c>
      <c r="C8632" t="inlineStr">
        <is>
          <t>+LS9</t>
        </is>
      </c>
      <c r="D8632" t="inlineStr">
        <is>
          <t>-393K13.5</t>
        </is>
      </c>
      <c r="E8632" t="inlineStr">
        <is>
          <t>DIL_EM-10-G</t>
        </is>
      </c>
      <c r="F8632" t="inlineStr">
        <is>
          <t>#KALK!</t>
        </is>
      </c>
      <c r="G8632" t="inlineStr">
        <is>
          <t>LASTSCHUETZ</t>
        </is>
      </c>
      <c r="H8632" t="inlineStr">
        <is>
          <t>4kW 1S</t>
        </is>
      </c>
      <c r="I8632">
        <v>3564</v>
      </c>
      <c r="J8632">
        <f>GC03/393.6</f>
        <v>0</v>
      </c>
      <c r="M8632" t="inlineStr">
        <is>
          <t>-393K13.5</t>
        </is>
      </c>
    </row>
    <row r="8633">
      <c r="A8633">
        <v>8632</v>
      </c>
      <c r="B8633">
        <f>GC03</f>
        <v>0</v>
      </c>
      <c r="C8633" t="inlineStr">
        <is>
          <t>+LS9</t>
        </is>
      </c>
      <c r="D8633" t="inlineStr">
        <is>
          <t>-393K13.6</t>
        </is>
      </c>
      <c r="E8633" t="inlineStr">
        <is>
          <t>DIL_EM-10-G</t>
        </is>
      </c>
      <c r="F8633" t="inlineStr">
        <is>
          <t>#KALK!</t>
        </is>
      </c>
      <c r="G8633" t="inlineStr">
        <is>
          <t>LASTSCHUETZ</t>
        </is>
      </c>
      <c r="H8633" t="inlineStr">
        <is>
          <t>4kW 1S</t>
        </is>
      </c>
      <c r="I8633">
        <v>3564</v>
      </c>
      <c r="J8633">
        <f>GC03/393.7</f>
        <v>0</v>
      </c>
      <c r="M8633" t="inlineStr">
        <is>
          <t>-393K13.6</t>
        </is>
      </c>
    </row>
    <row r="8634">
      <c r="A8634">
        <v>8633</v>
      </c>
      <c r="B8634">
        <f>GS37</f>
        <v>0</v>
      </c>
      <c r="C8634" t="inlineStr">
        <is>
          <t>+LS08</t>
        </is>
      </c>
      <c r="D8634" t="inlineStr">
        <is>
          <t>-393K2</t>
        </is>
      </c>
      <c r="E8634" t="inlineStr">
        <is>
          <t>DILM-9-01</t>
        </is>
      </c>
      <c r="F8634" t="inlineStr">
        <is>
          <t>#KALK!</t>
        </is>
      </c>
      <c r="G8634" t="inlineStr">
        <is>
          <t>LASTSCHUETZ</t>
        </is>
      </c>
      <c r="H8634" t="inlineStr">
        <is>
          <t>4kW 1Oe Federzugkl.</t>
        </is>
      </c>
      <c r="I8634">
        <v>560</v>
      </c>
      <c r="J8634">
        <f>GS37/393.7</f>
        <v>0</v>
      </c>
      <c r="M8634" t="inlineStr">
        <is>
          <t>-393K2</t>
        </is>
      </c>
    </row>
    <row r="8635">
      <c r="A8635">
        <v>8634</v>
      </c>
      <c r="B8635">
        <f>GS16</f>
        <v>0</v>
      </c>
      <c r="C8635" t="inlineStr">
        <is>
          <t>+LS6</t>
        </is>
      </c>
      <c r="D8635" t="inlineStr">
        <is>
          <t>-393K46.6</t>
        </is>
      </c>
      <c r="E8635" t="inlineStr">
        <is>
          <t>DIL_EM-01-G</t>
        </is>
      </c>
      <c r="F8635" t="inlineStr">
        <is>
          <t>22_DIL-E</t>
        </is>
      </c>
      <c r="G8635" t="inlineStr">
        <is>
          <t>LASTSCHUETZ</t>
        </is>
      </c>
      <c r="H8635" t="inlineStr">
        <is>
          <t>4kW 1OE</t>
        </is>
      </c>
      <c r="I8635">
        <v>628</v>
      </c>
      <c r="J8635">
        <f>GS16/393.6</f>
        <v>0</v>
      </c>
      <c r="M8635" t="inlineStr">
        <is>
          <t>-393K46.6</t>
        </is>
      </c>
    </row>
    <row r="8636">
      <c r="A8636">
        <v>8635</v>
      </c>
      <c r="B8636">
        <f>GS16</f>
        <v>0</v>
      </c>
      <c r="C8636" t="inlineStr">
        <is>
          <t>+LS6</t>
        </is>
      </c>
      <c r="D8636" t="inlineStr">
        <is>
          <t>-393K46.6</t>
        </is>
      </c>
      <c r="E8636" t="inlineStr">
        <is>
          <t>22_DIL-E</t>
        </is>
      </c>
      <c r="F8636" t="inlineStr">
        <is>
          <t>22_DIL-E</t>
        </is>
      </c>
      <c r="G8636" t="inlineStr">
        <is>
          <t>HILFSKONTAKTBLOCK</t>
        </is>
      </c>
      <c r="H8636" t="inlineStr">
        <is>
          <t>2S 2OE Last+Hilfsschuetz</t>
        </is>
      </c>
      <c r="I8636">
        <v>628</v>
      </c>
      <c r="J8636">
        <f>GS16/393.6</f>
        <v>0</v>
      </c>
      <c r="M8636" t="inlineStr">
        <is>
          <t>-393K46.6</t>
        </is>
      </c>
    </row>
    <row r="8637">
      <c r="A8637">
        <v>8636</v>
      </c>
      <c r="B8637">
        <f>GS16</f>
        <v>0</v>
      </c>
      <c r="C8637" t="inlineStr">
        <is>
          <t>+LS6</t>
        </is>
      </c>
      <c r="D8637" t="inlineStr">
        <is>
          <t>-393K46.7</t>
        </is>
      </c>
      <c r="E8637" t="inlineStr">
        <is>
          <t>DIL_EM-01-G</t>
        </is>
      </c>
      <c r="F8637" t="inlineStr">
        <is>
          <t>#KALK!</t>
        </is>
      </c>
      <c r="G8637" t="inlineStr">
        <is>
          <t>LASTSCHUETZ</t>
        </is>
      </c>
      <c r="H8637" t="inlineStr">
        <is>
          <t>4kW 1OE</t>
        </is>
      </c>
      <c r="I8637">
        <v>628</v>
      </c>
      <c r="J8637">
        <f>GS16/393.6</f>
        <v>0</v>
      </c>
      <c r="M8637" t="inlineStr">
        <is>
          <t>-393K46.7</t>
        </is>
      </c>
    </row>
    <row r="8638">
      <c r="A8638">
        <v>8637</v>
      </c>
      <c r="B8638">
        <f>GC22</f>
        <v>0</v>
      </c>
      <c r="C8638" t="inlineStr">
        <is>
          <t>+LS5</t>
        </is>
      </c>
      <c r="D8638" t="inlineStr">
        <is>
          <t>-393K48.4</t>
        </is>
      </c>
      <c r="E8638" t="inlineStr">
        <is>
          <t>DILM-9-01</t>
        </is>
      </c>
      <c r="F8638" t="inlineStr">
        <is>
          <t>#KALK!</t>
        </is>
      </c>
      <c r="G8638" t="inlineStr">
        <is>
          <t>LASTSCHUETZ</t>
        </is>
      </c>
      <c r="H8638" t="inlineStr">
        <is>
          <t>4kW 1Oe Federzugkl.</t>
        </is>
      </c>
      <c r="I8638">
        <v>716</v>
      </c>
      <c r="J8638">
        <f>GC22/393.6</f>
        <v>0</v>
      </c>
      <c r="M8638" t="inlineStr">
        <is>
          <t>-393K48.4</t>
        </is>
      </c>
    </row>
    <row r="8639">
      <c r="A8639">
        <v>8638</v>
      </c>
      <c r="B8639">
        <f>GS12</f>
        <v>0</v>
      </c>
      <c r="C8639" t="inlineStr">
        <is>
          <t>+LS5</t>
        </is>
      </c>
      <c r="D8639" t="inlineStr">
        <is>
          <t>-393K48.4</t>
        </is>
      </c>
      <c r="E8639" t="inlineStr">
        <is>
          <t>DILM-9-01</t>
        </is>
      </c>
      <c r="F8639" t="inlineStr">
        <is>
          <t>#KALK!</t>
        </is>
      </c>
      <c r="G8639" t="inlineStr">
        <is>
          <t>LASTSCHUETZ</t>
        </is>
      </c>
      <c r="H8639" t="inlineStr">
        <is>
          <t>4kW 1Oe Federzugkl.</t>
        </is>
      </c>
      <c r="I8639">
        <v>525</v>
      </c>
      <c r="J8639">
        <f>GS12/393.6</f>
        <v>0</v>
      </c>
      <c r="M8639" t="inlineStr">
        <is>
          <t>-393K48.4</t>
        </is>
      </c>
    </row>
    <row r="8640">
      <c r="A8640">
        <v>8639</v>
      </c>
      <c r="B8640">
        <f>GC22</f>
        <v>0</v>
      </c>
      <c r="C8640" t="inlineStr">
        <is>
          <t>+LS5</t>
        </is>
      </c>
      <c r="D8640" t="inlineStr">
        <is>
          <t>-393K48.5</t>
        </is>
      </c>
      <c r="E8640" t="inlineStr">
        <is>
          <t>DIL_EM-10-G</t>
        </is>
      </c>
      <c r="F8640" t="inlineStr">
        <is>
          <t>#KALK!</t>
        </is>
      </c>
      <c r="G8640" t="inlineStr">
        <is>
          <t>LASTSCHUETZ</t>
        </is>
      </c>
      <c r="H8640" t="inlineStr">
        <is>
          <t>4kW 1S</t>
        </is>
      </c>
      <c r="I8640">
        <v>716</v>
      </c>
      <c r="J8640">
        <f>GC22/393.7</f>
        <v>0</v>
      </c>
      <c r="M8640" t="inlineStr">
        <is>
          <t>-393K48.5</t>
        </is>
      </c>
    </row>
    <row r="8641">
      <c r="A8641">
        <v>8640</v>
      </c>
      <c r="B8641">
        <f>GS12</f>
        <v>0</v>
      </c>
      <c r="C8641" t="inlineStr">
        <is>
          <t>+LS5</t>
        </is>
      </c>
      <c r="D8641" t="inlineStr">
        <is>
          <t>-393K48.5</t>
        </is>
      </c>
      <c r="E8641" t="inlineStr">
        <is>
          <t>DIL_EM-10-G</t>
        </is>
      </c>
      <c r="F8641" t="inlineStr">
        <is>
          <t>#KALK!</t>
        </is>
      </c>
      <c r="G8641" t="inlineStr">
        <is>
          <t>LASTSCHUETZ</t>
        </is>
      </c>
      <c r="H8641" t="inlineStr">
        <is>
          <t>4kW 1S</t>
        </is>
      </c>
      <c r="I8641">
        <v>525</v>
      </c>
      <c r="J8641">
        <f>GS12/393.7</f>
        <v>0</v>
      </c>
      <c r="M8641" t="inlineStr">
        <is>
          <t>-393K48.5</t>
        </is>
      </c>
    </row>
    <row r="8642">
      <c r="A8642">
        <v>8641</v>
      </c>
      <c r="B8642">
        <f>GC22</f>
        <v>0</v>
      </c>
      <c r="C8642" t="inlineStr">
        <is>
          <t>+LS5</t>
        </is>
      </c>
      <c r="D8642" t="inlineStr">
        <is>
          <t>-393K49.7</t>
        </is>
      </c>
      <c r="E8642" t="inlineStr">
        <is>
          <t>DILM-9-01</t>
        </is>
      </c>
      <c r="F8642" t="inlineStr">
        <is>
          <t>#KALK!</t>
        </is>
      </c>
      <c r="G8642" t="inlineStr">
        <is>
          <t>LASTSCHUETZ</t>
        </is>
      </c>
      <c r="H8642" t="inlineStr">
        <is>
          <t>4kW 1Oe Federzugkl.</t>
        </is>
      </c>
      <c r="I8642">
        <v>716</v>
      </c>
      <c r="J8642">
        <f>GC22/393.6</f>
        <v>0</v>
      </c>
      <c r="M8642" t="inlineStr">
        <is>
          <t>-393K49.7</t>
        </is>
      </c>
    </row>
    <row r="8643">
      <c r="A8643">
        <v>8642</v>
      </c>
      <c r="B8643">
        <f>GS12</f>
        <v>0</v>
      </c>
      <c r="C8643" t="inlineStr">
        <is>
          <t>+LS5</t>
        </is>
      </c>
      <c r="D8643" t="inlineStr">
        <is>
          <t>-393K49.7</t>
        </is>
      </c>
      <c r="E8643" t="inlineStr">
        <is>
          <t>DILM-9-01</t>
        </is>
      </c>
      <c r="F8643" t="inlineStr">
        <is>
          <t>#KALK!</t>
        </is>
      </c>
      <c r="G8643" t="inlineStr">
        <is>
          <t>LASTSCHUETZ</t>
        </is>
      </c>
      <c r="H8643" t="inlineStr">
        <is>
          <t>4kW 1Oe Federzugkl.</t>
        </is>
      </c>
      <c r="I8643">
        <v>525</v>
      </c>
      <c r="J8643">
        <f>GS12/393.6</f>
        <v>0</v>
      </c>
      <c r="M8643" t="inlineStr">
        <is>
          <t>-393K49.7</t>
        </is>
      </c>
    </row>
    <row r="8644">
      <c r="A8644">
        <v>8643</v>
      </c>
      <c r="B8644">
        <f>GS31</f>
        <v>0</v>
      </c>
      <c r="C8644" t="inlineStr">
        <is>
          <t>+LS8</t>
        </is>
      </c>
      <c r="D8644" t="inlineStr">
        <is>
          <t>-393K52.3</t>
        </is>
      </c>
      <c r="E8644" t="inlineStr">
        <is>
          <t>DIL_EM-10-G</t>
        </is>
      </c>
      <c r="F8644" t="inlineStr">
        <is>
          <t>#KALK!</t>
        </is>
      </c>
      <c r="G8644" t="inlineStr">
        <is>
          <t>LASTSCHUETZ</t>
        </is>
      </c>
      <c r="H8644" t="inlineStr">
        <is>
          <t>4kW 1S</t>
        </is>
      </c>
      <c r="I8644">
        <v>684</v>
      </c>
      <c r="J8644">
        <f>GS31/393.6</f>
        <v>0</v>
      </c>
      <c r="M8644" t="inlineStr">
        <is>
          <t>-393K52.3</t>
        </is>
      </c>
    </row>
    <row r="8645">
      <c r="A8645">
        <v>8644</v>
      </c>
      <c r="B8645">
        <f>GS11</f>
        <v>0</v>
      </c>
      <c r="C8645" t="inlineStr">
        <is>
          <t>+LS10</t>
        </is>
      </c>
      <c r="D8645" t="inlineStr">
        <is>
          <t>-393K65.5</t>
        </is>
      </c>
      <c r="E8645" t="inlineStr">
        <is>
          <t>DIL_EM-10-G</t>
        </is>
      </c>
      <c r="F8645" t="inlineStr">
        <is>
          <t>#KALK!</t>
        </is>
      </c>
      <c r="G8645" t="inlineStr">
        <is>
          <t>LASTSCHUETZ</t>
        </is>
      </c>
      <c r="H8645" t="inlineStr">
        <is>
          <t>4kW 1S</t>
        </is>
      </c>
      <c r="I8645">
        <v>499</v>
      </c>
      <c r="J8645">
        <f>GS11/393.6</f>
        <v>0</v>
      </c>
      <c r="M8645" t="inlineStr">
        <is>
          <t>-393K65.5</t>
        </is>
      </c>
    </row>
    <row r="8646">
      <c r="A8646">
        <v>8645</v>
      </c>
      <c r="B8646">
        <f>GS21</f>
        <v>0</v>
      </c>
      <c r="C8646" t="inlineStr">
        <is>
          <t>+LS10</t>
        </is>
      </c>
      <c r="D8646" t="inlineStr">
        <is>
          <t>-393K65.5</t>
        </is>
      </c>
      <c r="E8646" t="inlineStr">
        <is>
          <t>DIL_EM-10-G</t>
        </is>
      </c>
      <c r="F8646" t="inlineStr">
        <is>
          <t>#KALK!</t>
        </is>
      </c>
      <c r="G8646" t="inlineStr">
        <is>
          <t>LASTSCHUETZ</t>
        </is>
      </c>
      <c r="H8646" t="inlineStr">
        <is>
          <t>4kW 1S</t>
        </is>
      </c>
      <c r="I8646">
        <v>481</v>
      </c>
      <c r="J8646">
        <f>GS21/393.6</f>
        <v>0</v>
      </c>
      <c r="M8646" t="inlineStr">
        <is>
          <t>-393K65.5</t>
        </is>
      </c>
    </row>
    <row r="8647">
      <c r="A8647">
        <v>8646</v>
      </c>
      <c r="B8647">
        <f>GS11</f>
        <v>0</v>
      </c>
      <c r="C8647" t="inlineStr">
        <is>
          <t>+LS10</t>
        </is>
      </c>
      <c r="D8647" t="inlineStr">
        <is>
          <t>-393K67.4</t>
        </is>
      </c>
      <c r="E8647" t="inlineStr">
        <is>
          <t>DIL_EM-10-G</t>
        </is>
      </c>
      <c r="F8647" t="inlineStr">
        <is>
          <t>#KALK!</t>
        </is>
      </c>
      <c r="G8647" t="inlineStr">
        <is>
          <t>LASTSCHUETZ</t>
        </is>
      </c>
      <c r="H8647" t="inlineStr">
        <is>
          <t>4kW 1S</t>
        </is>
      </c>
      <c r="I8647">
        <v>499</v>
      </c>
      <c r="J8647">
        <f>GS11/393.6</f>
        <v>0</v>
      </c>
      <c r="M8647" t="inlineStr">
        <is>
          <t>-393K67.4</t>
        </is>
      </c>
    </row>
    <row r="8648">
      <c r="A8648">
        <v>8647</v>
      </c>
      <c r="B8648">
        <f>GS21</f>
        <v>0</v>
      </c>
      <c r="C8648" t="inlineStr">
        <is>
          <t>+LS10</t>
        </is>
      </c>
      <c r="D8648" t="inlineStr">
        <is>
          <t>-393K67.4</t>
        </is>
      </c>
      <c r="E8648" t="inlineStr">
        <is>
          <t>DIL_EM-10-G</t>
        </is>
      </c>
      <c r="F8648" t="inlineStr">
        <is>
          <t>#KALK!</t>
        </is>
      </c>
      <c r="G8648" t="inlineStr">
        <is>
          <t>LASTSCHUETZ</t>
        </is>
      </c>
      <c r="H8648" t="inlineStr">
        <is>
          <t>4kW 1S</t>
        </is>
      </c>
      <c r="I8648">
        <v>481</v>
      </c>
      <c r="J8648">
        <f>GS21/393.6</f>
        <v>0</v>
      </c>
      <c r="M8648" t="inlineStr">
        <is>
          <t>-393K67.4</t>
        </is>
      </c>
    </row>
    <row r="8649">
      <c r="A8649">
        <v>8648</v>
      </c>
      <c r="B8649">
        <f>GS34</f>
        <v>0</v>
      </c>
      <c r="C8649" t="inlineStr">
        <is>
          <t>+LS8</t>
        </is>
      </c>
      <c r="D8649" t="inlineStr">
        <is>
          <t>-394.1K1</t>
        </is>
      </c>
      <c r="E8649" t="inlineStr">
        <is>
          <t>22_DIL-M</t>
        </is>
      </c>
      <c r="F8649" t="inlineStr">
        <is>
          <t>22_DIL-M</t>
        </is>
      </c>
      <c r="G8649" t="inlineStr">
        <is>
          <t>HILFSKONTAKTBLOCK</t>
        </is>
      </c>
      <c r="H8649" t="inlineStr">
        <is>
          <t>2S 2OE Lastschuetz DIL M</t>
        </is>
      </c>
      <c r="I8649">
        <v>1324</v>
      </c>
      <c r="J8649">
        <f>GS34/394.1.2</f>
        <v>0</v>
      </c>
      <c r="K8649" t="inlineStr">
        <is>
          <t>DIL0AM</t>
        </is>
      </c>
      <c r="M8649" t="inlineStr">
        <is>
          <t>-394.1K1</t>
        </is>
      </c>
    </row>
    <row r="8650">
      <c r="A8650">
        <v>8649</v>
      </c>
      <c r="B8650">
        <f>GS34</f>
        <v>0</v>
      </c>
      <c r="C8650" t="inlineStr">
        <is>
          <t>+LS8</t>
        </is>
      </c>
      <c r="D8650" t="inlineStr">
        <is>
          <t>-394.1K1</t>
        </is>
      </c>
      <c r="E8650" t="inlineStr">
        <is>
          <t>DIL_0AM</t>
        </is>
      </c>
      <c r="F8650" t="inlineStr">
        <is>
          <t>22_DIL-M</t>
        </is>
      </c>
      <c r="G8650" t="inlineStr">
        <is>
          <t>LASTSCHUETZ</t>
        </is>
      </c>
      <c r="H8650" t="inlineStr">
        <is>
          <t>11 kW</t>
        </is>
      </c>
      <c r="I8650">
        <v>1324</v>
      </c>
      <c r="J8650">
        <f>GS34/394.1.2</f>
        <v>0</v>
      </c>
      <c r="K8650" t="inlineStr">
        <is>
          <t>DIL0AM</t>
        </is>
      </c>
      <c r="M8650" t="inlineStr">
        <is>
          <t>-394.1K1</t>
        </is>
      </c>
    </row>
    <row r="8651">
      <c r="A8651">
        <v>8650</v>
      </c>
      <c r="B8651">
        <f>GS34</f>
        <v>0</v>
      </c>
      <c r="C8651" t="inlineStr">
        <is>
          <t>+LS8</t>
        </is>
      </c>
      <c r="D8651" t="inlineStr">
        <is>
          <t>-394.2K39.3</t>
        </is>
      </c>
      <c r="E8651" t="inlineStr">
        <is>
          <t>DIL_EM-10-G</t>
        </is>
      </c>
      <c r="F8651" t="inlineStr">
        <is>
          <t>#KALK!</t>
        </is>
      </c>
      <c r="G8651" t="inlineStr">
        <is>
          <t>LASTSCHUETZ</t>
        </is>
      </c>
      <c r="H8651" t="inlineStr">
        <is>
          <t>4kW 1S</t>
        </is>
      </c>
      <c r="I8651">
        <v>1325</v>
      </c>
      <c r="J8651">
        <f>GS34/394.2.7</f>
        <v>0</v>
      </c>
      <c r="M8651" t="inlineStr">
        <is>
          <t>-394.2K39.3</t>
        </is>
      </c>
    </row>
    <row r="8652">
      <c r="A8652">
        <v>8651</v>
      </c>
      <c r="B8652">
        <f>GS34</f>
        <v>0</v>
      </c>
      <c r="C8652" t="inlineStr">
        <is>
          <t>+LS8</t>
        </is>
      </c>
      <c r="D8652" t="inlineStr">
        <is>
          <t>-394.4K40.1</t>
        </is>
      </c>
      <c r="E8652" t="inlineStr">
        <is>
          <t>DIL_EM-10-G</t>
        </is>
      </c>
      <c r="F8652" t="inlineStr">
        <is>
          <t>#KALK!</t>
        </is>
      </c>
      <c r="G8652" t="inlineStr">
        <is>
          <t>LASTSCHUETZ</t>
        </is>
      </c>
      <c r="H8652" t="inlineStr">
        <is>
          <t>4kW 1S</t>
        </is>
      </c>
      <c r="I8652">
        <v>1327</v>
      </c>
      <c r="J8652">
        <f>GS34/394.4.5</f>
        <v>0</v>
      </c>
      <c r="M8652" t="inlineStr">
        <is>
          <t>-394.4K40.1</t>
        </is>
      </c>
    </row>
    <row r="8653">
      <c r="A8653">
        <v>8652</v>
      </c>
      <c r="B8653">
        <f>GS34</f>
        <v>0</v>
      </c>
      <c r="C8653" t="inlineStr">
        <is>
          <t>+LS8</t>
        </is>
      </c>
      <c r="D8653" t="inlineStr">
        <is>
          <t>-394.4K40.2</t>
        </is>
      </c>
      <c r="E8653" t="inlineStr">
        <is>
          <t>DIL_EM-10-G</t>
        </is>
      </c>
      <c r="F8653" t="inlineStr">
        <is>
          <t>#KALK!</t>
        </is>
      </c>
      <c r="G8653" t="inlineStr">
        <is>
          <t>LASTSCHUETZ</t>
        </is>
      </c>
      <c r="H8653" t="inlineStr">
        <is>
          <t>4kW 1S</t>
        </is>
      </c>
      <c r="I8653">
        <v>1327</v>
      </c>
      <c r="J8653">
        <f>GS34/394.4.6</f>
        <v>0</v>
      </c>
      <c r="M8653" t="inlineStr">
        <is>
          <t>-394.4K40.2</t>
        </is>
      </c>
    </row>
    <row r="8654">
      <c r="A8654">
        <v>8653</v>
      </c>
      <c r="B8654">
        <f>GS34</f>
        <v>0</v>
      </c>
      <c r="C8654" t="inlineStr">
        <is>
          <t>+LS8</t>
        </is>
      </c>
      <c r="D8654" t="inlineStr">
        <is>
          <t>-394.4K40.3</t>
        </is>
      </c>
      <c r="E8654" t="inlineStr">
        <is>
          <t>DIL_EM-01-G</t>
        </is>
      </c>
      <c r="F8654" t="inlineStr">
        <is>
          <t>#KALK!</t>
        </is>
      </c>
      <c r="G8654" t="inlineStr">
        <is>
          <t>LASTSCHUETZ</t>
        </is>
      </c>
      <c r="H8654" t="inlineStr">
        <is>
          <t>4kW 1OE</t>
        </is>
      </c>
      <c r="I8654">
        <v>1327</v>
      </c>
      <c r="J8654">
        <f>GS34/394.4.7</f>
        <v>0</v>
      </c>
      <c r="M8654" t="inlineStr">
        <is>
          <t>-394.4K40.3</t>
        </is>
      </c>
    </row>
    <row r="8655">
      <c r="A8655">
        <v>8654</v>
      </c>
      <c r="B8655">
        <f>GS34</f>
        <v>0</v>
      </c>
      <c r="C8655" t="inlineStr">
        <is>
          <t>+LS8</t>
        </is>
      </c>
      <c r="D8655" t="inlineStr">
        <is>
          <t>-394.4K40.4</t>
        </is>
      </c>
      <c r="E8655" t="inlineStr">
        <is>
          <t>DIL_EM-01-G</t>
        </is>
      </c>
      <c r="F8655" t="inlineStr">
        <is>
          <t>#KALK!</t>
        </is>
      </c>
      <c r="G8655" t="inlineStr">
        <is>
          <t>LASTSCHUETZ</t>
        </is>
      </c>
      <c r="H8655" t="inlineStr">
        <is>
          <t>4kW 1OE</t>
        </is>
      </c>
      <c r="I8655">
        <v>1327</v>
      </c>
      <c r="J8655">
        <f>GS34/394.4.8</f>
        <v>0</v>
      </c>
      <c r="M8655" t="inlineStr">
        <is>
          <t>-394.4K40.4</t>
        </is>
      </c>
    </row>
    <row r="8656">
      <c r="A8656">
        <v>8655</v>
      </c>
      <c r="B8656">
        <f>GS34</f>
        <v>0</v>
      </c>
      <c r="C8656" t="inlineStr">
        <is>
          <t>+LS8</t>
        </is>
      </c>
      <c r="D8656" t="inlineStr">
        <is>
          <t>-394.5K41.0</t>
        </is>
      </c>
      <c r="E8656" t="inlineStr">
        <is>
          <t>DIL_EM-10-G</t>
        </is>
      </c>
      <c r="F8656" t="inlineStr">
        <is>
          <t>#KALK!</t>
        </is>
      </c>
      <c r="G8656" t="inlineStr">
        <is>
          <t>LASTSCHUETZ</t>
        </is>
      </c>
      <c r="H8656" t="inlineStr">
        <is>
          <t>4kW 1S</t>
        </is>
      </c>
      <c r="I8656">
        <v>1328</v>
      </c>
      <c r="J8656">
        <f>GS34/394.5.7</f>
        <v>0</v>
      </c>
      <c r="M8656" t="inlineStr">
        <is>
          <t>-394.5K41.0</t>
        </is>
      </c>
    </row>
    <row r="8657">
      <c r="A8657">
        <v>8656</v>
      </c>
      <c r="B8657">
        <f>GS34</f>
        <v>0</v>
      </c>
      <c r="C8657" t="inlineStr">
        <is>
          <t>+LS8</t>
        </is>
      </c>
      <c r="D8657" t="inlineStr">
        <is>
          <t>-394.6K41.1</t>
        </is>
      </c>
      <c r="E8657" t="inlineStr">
        <is>
          <t>DIL_EM-10-G</t>
        </is>
      </c>
      <c r="F8657" t="inlineStr">
        <is>
          <t>#KALK!</t>
        </is>
      </c>
      <c r="G8657" t="inlineStr">
        <is>
          <t>LASTSCHUETZ</t>
        </is>
      </c>
      <c r="H8657" t="inlineStr">
        <is>
          <t>4kW 1S</t>
        </is>
      </c>
      <c r="I8657">
        <v>1329</v>
      </c>
      <c r="J8657">
        <f>GS34/394.6.6</f>
        <v>0</v>
      </c>
      <c r="M8657" t="inlineStr">
        <is>
          <t>-394.6K41.1</t>
        </is>
      </c>
    </row>
    <row r="8658">
      <c r="A8658">
        <v>8657</v>
      </c>
      <c r="B8658">
        <f>GS34</f>
        <v>0</v>
      </c>
      <c r="C8658" t="inlineStr">
        <is>
          <t>+LS8</t>
        </is>
      </c>
      <c r="D8658" t="inlineStr">
        <is>
          <t>-394.6K41.2</t>
        </is>
      </c>
      <c r="E8658" t="inlineStr">
        <is>
          <t>DIL_EM-10-G</t>
        </is>
      </c>
      <c r="F8658" t="inlineStr">
        <is>
          <t>#KALK!</t>
        </is>
      </c>
      <c r="G8658" t="inlineStr">
        <is>
          <t>LASTSCHUETZ</t>
        </is>
      </c>
      <c r="H8658" t="inlineStr">
        <is>
          <t>4kW 1S</t>
        </is>
      </c>
      <c r="I8658">
        <v>1329</v>
      </c>
      <c r="J8658">
        <f>GS34/394.6.6</f>
        <v>0</v>
      </c>
      <c r="M8658" t="inlineStr">
        <is>
          <t>-394.6K41.2</t>
        </is>
      </c>
    </row>
    <row r="8659">
      <c r="A8659">
        <v>8658</v>
      </c>
      <c r="B8659">
        <f>GS34</f>
        <v>0</v>
      </c>
      <c r="C8659" t="inlineStr">
        <is>
          <t>+LS8</t>
        </is>
      </c>
      <c r="D8659" t="inlineStr">
        <is>
          <t>-394.7K41.3</t>
        </is>
      </c>
      <c r="E8659" t="inlineStr">
        <is>
          <t>DIL_EM-10-G</t>
        </is>
      </c>
      <c r="F8659" t="inlineStr">
        <is>
          <t>#KALK!</t>
        </is>
      </c>
      <c r="G8659" t="inlineStr">
        <is>
          <t>LASTSCHUETZ</t>
        </is>
      </c>
      <c r="H8659" t="inlineStr">
        <is>
          <t>4kW 1S</t>
        </is>
      </c>
      <c r="I8659">
        <v>1330</v>
      </c>
      <c r="J8659">
        <f>GS34/394.7.6</f>
        <v>0</v>
      </c>
      <c r="M8659" t="inlineStr">
        <is>
          <t>-394.7K41.3</t>
        </is>
      </c>
    </row>
    <row r="8660">
      <c r="A8660">
        <v>8659</v>
      </c>
      <c r="B8660">
        <f>GS34</f>
        <v>0</v>
      </c>
      <c r="C8660" t="inlineStr">
        <is>
          <t>+LS8</t>
        </is>
      </c>
      <c r="D8660" t="inlineStr">
        <is>
          <t>-394.7K41.4</t>
        </is>
      </c>
      <c r="E8660" t="inlineStr">
        <is>
          <t>DIL_EM-10-G</t>
        </is>
      </c>
      <c r="F8660" t="inlineStr">
        <is>
          <t>#KALK!</t>
        </is>
      </c>
      <c r="G8660" t="inlineStr">
        <is>
          <t>LASTSCHUETZ</t>
        </is>
      </c>
      <c r="H8660" t="inlineStr">
        <is>
          <t>4kW 1S</t>
        </is>
      </c>
      <c r="I8660">
        <v>1330</v>
      </c>
      <c r="J8660">
        <f>GS34/394.7.6</f>
        <v>0</v>
      </c>
      <c r="M8660" t="inlineStr">
        <is>
          <t>-394.7K41.4</t>
        </is>
      </c>
    </row>
    <row r="8661">
      <c r="A8661">
        <v>8660</v>
      </c>
      <c r="B8661">
        <f>GS34</f>
        <v>0</v>
      </c>
      <c r="C8661" t="inlineStr">
        <is>
          <t>+LS8</t>
        </is>
      </c>
      <c r="D8661" t="inlineStr">
        <is>
          <t>-394.8K41.5</t>
        </is>
      </c>
      <c r="E8661" t="inlineStr">
        <is>
          <t>DIL_EM-10-G</t>
        </is>
      </c>
      <c r="F8661" t="inlineStr">
        <is>
          <t>#KALK!</t>
        </is>
      </c>
      <c r="G8661" t="inlineStr">
        <is>
          <t>LASTSCHUETZ</t>
        </is>
      </c>
      <c r="H8661" t="inlineStr">
        <is>
          <t>4kW 1S</t>
        </is>
      </c>
      <c r="I8661">
        <v>1332</v>
      </c>
      <c r="J8661">
        <f>GS34/394.8.6</f>
        <v>0</v>
      </c>
      <c r="M8661" t="inlineStr">
        <is>
          <t>-394.8K41.5</t>
        </is>
      </c>
    </row>
    <row r="8662">
      <c r="A8662">
        <v>8661</v>
      </c>
      <c r="B8662">
        <f>GS34</f>
        <v>0</v>
      </c>
      <c r="C8662" t="inlineStr">
        <is>
          <t>+LS8</t>
        </is>
      </c>
      <c r="D8662" t="inlineStr">
        <is>
          <t>-394.8K41.6</t>
        </is>
      </c>
      <c r="E8662" t="inlineStr">
        <is>
          <t>DIL_EM-10-G</t>
        </is>
      </c>
      <c r="F8662" t="inlineStr">
        <is>
          <t>#KALK!</t>
        </is>
      </c>
      <c r="G8662" t="inlineStr">
        <is>
          <t>LASTSCHUETZ</t>
        </is>
      </c>
      <c r="H8662" t="inlineStr">
        <is>
          <t>4kW 1S</t>
        </is>
      </c>
      <c r="I8662">
        <v>1332</v>
      </c>
      <c r="J8662">
        <f>GS34/394.8.6</f>
        <v>0</v>
      </c>
      <c r="M8662" t="inlineStr">
        <is>
          <t>-394.8K41.6</t>
        </is>
      </c>
    </row>
    <row r="8663">
      <c r="A8663">
        <v>8662</v>
      </c>
      <c r="B8663">
        <f>GS34</f>
        <v>0</v>
      </c>
      <c r="C8663" t="inlineStr">
        <is>
          <t>+LS8</t>
        </is>
      </c>
      <c r="D8663" t="inlineStr">
        <is>
          <t>-394.9K41.7</t>
        </is>
      </c>
      <c r="E8663" t="inlineStr">
        <is>
          <t>DIL_EM-10-G</t>
        </is>
      </c>
      <c r="F8663" t="inlineStr">
        <is>
          <t>#KALK!</t>
        </is>
      </c>
      <c r="G8663" t="inlineStr">
        <is>
          <t>LASTSCHUETZ</t>
        </is>
      </c>
      <c r="H8663" t="inlineStr">
        <is>
          <t>4kW 1S</t>
        </is>
      </c>
      <c r="I8663">
        <v>1331</v>
      </c>
      <c r="J8663">
        <f>GS34/394.9.6</f>
        <v>0</v>
      </c>
      <c r="M8663" t="inlineStr">
        <is>
          <t>-394.9K41.7</t>
        </is>
      </c>
    </row>
    <row r="8664">
      <c r="A8664">
        <v>8663</v>
      </c>
      <c r="B8664">
        <f>GS15</f>
        <v>0</v>
      </c>
      <c r="C8664" t="inlineStr">
        <is>
          <t>+LS8</t>
        </is>
      </c>
      <c r="D8664" t="inlineStr">
        <is>
          <t>-394K29.3</t>
        </is>
      </c>
      <c r="E8664" t="inlineStr">
        <is>
          <t>DIL_EM-10-G</t>
        </is>
      </c>
      <c r="F8664" t="inlineStr">
        <is>
          <t>#KALK!</t>
        </is>
      </c>
      <c r="G8664" t="inlineStr">
        <is>
          <t>LASTSCHUETZ</t>
        </is>
      </c>
      <c r="H8664" t="inlineStr">
        <is>
          <t>4kW 1S</t>
        </is>
      </c>
      <c r="I8664">
        <v>895</v>
      </c>
      <c r="J8664">
        <f>GS15/394.5</f>
        <v>0</v>
      </c>
      <c r="M8664" t="inlineStr">
        <is>
          <t>-394K29.3</t>
        </is>
      </c>
    </row>
    <row r="8665">
      <c r="A8665">
        <v>8664</v>
      </c>
      <c r="B8665">
        <f>GS15</f>
        <v>0</v>
      </c>
      <c r="C8665" t="inlineStr">
        <is>
          <t>+LS8</t>
        </is>
      </c>
      <c r="D8665" t="inlineStr">
        <is>
          <t>-394K29.4</t>
        </is>
      </c>
      <c r="E8665" t="inlineStr">
        <is>
          <t>DIL_EM-10-G</t>
        </is>
      </c>
      <c r="F8665" t="inlineStr">
        <is>
          <t>#KALK!</t>
        </is>
      </c>
      <c r="G8665" t="inlineStr">
        <is>
          <t>LASTSCHUETZ</t>
        </is>
      </c>
      <c r="H8665" t="inlineStr">
        <is>
          <t>4kW 1S</t>
        </is>
      </c>
      <c r="I8665">
        <v>895</v>
      </c>
      <c r="J8665">
        <f>GS15/394.6</f>
        <v>0</v>
      </c>
      <c r="M8665" t="inlineStr">
        <is>
          <t>-394K29.4</t>
        </is>
      </c>
    </row>
    <row r="8666">
      <c r="A8666">
        <v>8665</v>
      </c>
      <c r="B8666">
        <f>GS15</f>
        <v>0</v>
      </c>
      <c r="C8666" t="inlineStr">
        <is>
          <t>+LS8</t>
        </is>
      </c>
      <c r="D8666" t="inlineStr">
        <is>
          <t>-394K29.5</t>
        </is>
      </c>
      <c r="E8666" t="inlineStr">
        <is>
          <t>DIL_EM-01-G</t>
        </is>
      </c>
      <c r="F8666" t="inlineStr">
        <is>
          <t>#KALK!</t>
        </is>
      </c>
      <c r="G8666" t="inlineStr">
        <is>
          <t>LASTSCHUETZ</t>
        </is>
      </c>
      <c r="H8666" t="inlineStr">
        <is>
          <t>4kW 1OE</t>
        </is>
      </c>
      <c r="I8666">
        <v>895</v>
      </c>
      <c r="J8666">
        <f>GS15/394.7</f>
        <v>0</v>
      </c>
      <c r="M8666" t="inlineStr">
        <is>
          <t>-394K29.5</t>
        </is>
      </c>
    </row>
    <row r="8667">
      <c r="A8667">
        <v>8666</v>
      </c>
      <c r="B8667">
        <f>GS15</f>
        <v>0</v>
      </c>
      <c r="C8667" t="inlineStr">
        <is>
          <t>+LS8</t>
        </is>
      </c>
      <c r="D8667" t="inlineStr">
        <is>
          <t>-394K29.6</t>
        </is>
      </c>
      <c r="E8667" t="inlineStr">
        <is>
          <t>DIL_EM-01-G</t>
        </is>
      </c>
      <c r="F8667" t="inlineStr">
        <is>
          <t>#KALK!</t>
        </is>
      </c>
      <c r="G8667" t="inlineStr">
        <is>
          <t>LASTSCHUETZ</t>
        </is>
      </c>
      <c r="H8667" t="inlineStr">
        <is>
          <t>4kW 1OE</t>
        </is>
      </c>
      <c r="I8667">
        <v>895</v>
      </c>
      <c r="J8667">
        <f>GS15/394.8</f>
        <v>0</v>
      </c>
      <c r="M8667" t="inlineStr">
        <is>
          <t>-394K29.6</t>
        </is>
      </c>
    </row>
    <row r="8668">
      <c r="A8668">
        <v>8667</v>
      </c>
      <c r="B8668">
        <f>GS16</f>
        <v>0</v>
      </c>
      <c r="C8668" t="inlineStr">
        <is>
          <t>+LS6</t>
        </is>
      </c>
      <c r="D8668" t="inlineStr">
        <is>
          <t>-394K47.0</t>
        </is>
      </c>
      <c r="E8668" t="inlineStr">
        <is>
          <t>DIL_ER-22-G</t>
        </is>
      </c>
      <c r="F8668" t="inlineStr">
        <is>
          <t>#KALK!</t>
        </is>
      </c>
      <c r="G8668" t="inlineStr">
        <is>
          <t>HILFSSCHUETZ</t>
        </is>
      </c>
      <c r="H8668" t="inlineStr">
        <is>
          <t>2S 2OE</t>
        </is>
      </c>
      <c r="I8668">
        <v>629</v>
      </c>
      <c r="J8668">
        <f>GS16/394.5</f>
        <v>0</v>
      </c>
      <c r="M8668" t="inlineStr">
        <is>
          <t>-394K47.0</t>
        </is>
      </c>
    </row>
    <row r="8669">
      <c r="A8669">
        <v>8668</v>
      </c>
      <c r="B8669">
        <f>GC22</f>
        <v>0</v>
      </c>
      <c r="C8669" t="inlineStr">
        <is>
          <t>+LS5</t>
        </is>
      </c>
      <c r="D8669" t="inlineStr">
        <is>
          <t>-394K49.1</t>
        </is>
      </c>
      <c r="E8669" t="inlineStr">
        <is>
          <t>DIL_EM-10-G</t>
        </is>
      </c>
      <c r="F8669" t="inlineStr">
        <is>
          <t>#KALK!</t>
        </is>
      </c>
      <c r="G8669" t="inlineStr">
        <is>
          <t>LASTSCHUETZ</t>
        </is>
      </c>
      <c r="H8669" t="inlineStr">
        <is>
          <t>4kW 1S</t>
        </is>
      </c>
      <c r="I8669">
        <v>715</v>
      </c>
      <c r="J8669">
        <f>GC22/394.7</f>
        <v>0</v>
      </c>
      <c r="M8669" t="inlineStr">
        <is>
          <t>-394K49.1</t>
        </is>
      </c>
    </row>
    <row r="8670">
      <c r="A8670">
        <v>8669</v>
      </c>
      <c r="B8670">
        <f>GS12</f>
        <v>0</v>
      </c>
      <c r="C8670" t="inlineStr">
        <is>
          <t>+LS5</t>
        </is>
      </c>
      <c r="D8670" t="inlineStr">
        <is>
          <t>-394K49.1</t>
        </is>
      </c>
      <c r="E8670" t="inlineStr">
        <is>
          <t>DIL_EM-10-G</t>
        </is>
      </c>
      <c r="F8670" t="inlineStr">
        <is>
          <t>#KALK!</t>
        </is>
      </c>
      <c r="G8670" t="inlineStr">
        <is>
          <t>LASTSCHUETZ</t>
        </is>
      </c>
      <c r="H8670" t="inlineStr">
        <is>
          <t>4kW 1S</t>
        </is>
      </c>
      <c r="I8670">
        <v>526</v>
      </c>
      <c r="J8670">
        <f>GS12/394.7</f>
        <v>0</v>
      </c>
      <c r="M8670" t="inlineStr">
        <is>
          <t>-394K49.1</t>
        </is>
      </c>
    </row>
    <row r="8671">
      <c r="A8671">
        <v>8670</v>
      </c>
      <c r="B8671">
        <f>GS31</f>
        <v>0</v>
      </c>
      <c r="C8671" t="inlineStr">
        <is>
          <t>+LS8</t>
        </is>
      </c>
      <c r="D8671" t="inlineStr">
        <is>
          <t>-394K53.4</t>
        </is>
      </c>
      <c r="E8671" t="inlineStr">
        <is>
          <t>DIL_EM-10-G</t>
        </is>
      </c>
      <c r="F8671" t="inlineStr">
        <is>
          <t>#KALK!</t>
        </is>
      </c>
      <c r="G8671" t="inlineStr">
        <is>
          <t>LASTSCHUETZ</t>
        </is>
      </c>
      <c r="H8671" t="inlineStr">
        <is>
          <t>4kW 1S</t>
        </is>
      </c>
      <c r="I8671">
        <v>685</v>
      </c>
      <c r="J8671">
        <f>GS31/394.6</f>
        <v>0</v>
      </c>
      <c r="M8671" t="inlineStr">
        <is>
          <t>-394K53.4</t>
        </is>
      </c>
    </row>
    <row r="8672">
      <c r="A8672">
        <v>8671</v>
      </c>
      <c r="B8672">
        <f>GS11</f>
        <v>0</v>
      </c>
      <c r="C8672" t="inlineStr">
        <is>
          <t>+LS10</t>
        </is>
      </c>
      <c r="D8672" t="inlineStr">
        <is>
          <t>-394K65.6</t>
        </is>
      </c>
      <c r="E8672" t="inlineStr">
        <is>
          <t>DIL_EM-10-G</t>
        </is>
      </c>
      <c r="F8672" t="inlineStr">
        <is>
          <t>#KALK!</t>
        </is>
      </c>
      <c r="G8672" t="inlineStr">
        <is>
          <t>LASTSCHUETZ</t>
        </is>
      </c>
      <c r="H8672" t="inlineStr">
        <is>
          <t>4kW 1S</t>
        </is>
      </c>
      <c r="I8672">
        <v>500</v>
      </c>
      <c r="J8672">
        <f>GS11/394.6</f>
        <v>0</v>
      </c>
      <c r="M8672" t="inlineStr">
        <is>
          <t>-394K65.6</t>
        </is>
      </c>
    </row>
    <row r="8673">
      <c r="A8673">
        <v>8672</v>
      </c>
      <c r="B8673">
        <f>GS21</f>
        <v>0</v>
      </c>
      <c r="C8673" t="inlineStr">
        <is>
          <t>+LS10</t>
        </is>
      </c>
      <c r="D8673" t="inlineStr">
        <is>
          <t>-394K65.6</t>
        </is>
      </c>
      <c r="E8673" t="inlineStr">
        <is>
          <t>DIL_EM-10-G</t>
        </is>
      </c>
      <c r="F8673" t="inlineStr">
        <is>
          <t>#KALK!</t>
        </is>
      </c>
      <c r="G8673" t="inlineStr">
        <is>
          <t>LASTSCHUETZ</t>
        </is>
      </c>
      <c r="H8673" t="inlineStr">
        <is>
          <t>4kW 1S</t>
        </is>
      </c>
      <c r="I8673">
        <v>482</v>
      </c>
      <c r="J8673">
        <f>GS21/394.6</f>
        <v>0</v>
      </c>
      <c r="M8673" t="inlineStr">
        <is>
          <t>-394K65.6</t>
        </is>
      </c>
    </row>
    <row r="8674">
      <c r="A8674">
        <v>8673</v>
      </c>
      <c r="B8674">
        <f>GS13</f>
        <v>0</v>
      </c>
      <c r="C8674" t="inlineStr">
        <is>
          <t>+LS10</t>
        </is>
      </c>
      <c r="D8674" t="inlineStr">
        <is>
          <t>-3954</t>
        </is>
      </c>
      <c r="E8674" t="inlineStr">
        <is>
          <t>DILA-40</t>
        </is>
      </c>
      <c r="F8674" t="inlineStr">
        <is>
          <t>#KALK!</t>
        </is>
      </c>
      <c r="G8674" t="inlineStr">
        <is>
          <t>HILFSSCHUETZ</t>
        </is>
      </c>
      <c r="H8674" t="inlineStr">
        <is>
          <t>4S Federzugkl.</t>
        </is>
      </c>
      <c r="I8674">
        <v>641</v>
      </c>
      <c r="J8674">
        <f>GS13/395.5</f>
        <v>0</v>
      </c>
      <c r="M8674" t="inlineStr">
        <is>
          <t>-3954</t>
        </is>
      </c>
    </row>
    <row r="8675">
      <c r="A8675">
        <v>8674</v>
      </c>
      <c r="B8675">
        <f>GS13</f>
        <v>0</v>
      </c>
      <c r="C8675" t="inlineStr">
        <is>
          <t>+LS10</t>
        </is>
      </c>
      <c r="D8675" t="inlineStr">
        <is>
          <t>-3955</t>
        </is>
      </c>
      <c r="E8675" t="inlineStr">
        <is>
          <t>DILA-40</t>
        </is>
      </c>
      <c r="F8675" t="inlineStr">
        <is>
          <t>#KALK!</t>
        </is>
      </c>
      <c r="G8675" t="inlineStr">
        <is>
          <t>HILFSSCHUETZ</t>
        </is>
      </c>
      <c r="H8675" t="inlineStr">
        <is>
          <t>4S Federzugkl.</t>
        </is>
      </c>
      <c r="I8675">
        <v>641</v>
      </c>
      <c r="J8675">
        <f>GS13/395.6</f>
        <v>0</v>
      </c>
      <c r="M8675" t="inlineStr">
        <is>
          <t>-3955</t>
        </is>
      </c>
    </row>
    <row r="8676">
      <c r="A8676">
        <v>8675</v>
      </c>
      <c r="B8676">
        <f>GS05</f>
        <v>0</v>
      </c>
      <c r="C8676" t="inlineStr">
        <is>
          <t>+LS06</t>
        </is>
      </c>
      <c r="D8676" t="inlineStr">
        <is>
          <t>-395K1</t>
        </is>
      </c>
      <c r="E8676" t="inlineStr">
        <is>
          <t>DILA-22</t>
        </is>
      </c>
      <c r="F8676" t="inlineStr">
        <is>
          <t>#KALK!</t>
        </is>
      </c>
      <c r="G8676" t="inlineStr">
        <is>
          <t>HILFSSCHUETZ</t>
        </is>
      </c>
      <c r="H8676" t="inlineStr">
        <is>
          <t>2S 2Oe Federzugkl.</t>
        </is>
      </c>
      <c r="I8676">
        <v>2142</v>
      </c>
      <c r="J8676">
        <f>GS05/395.8</f>
        <v>0</v>
      </c>
      <c r="M8676" t="inlineStr">
        <is>
          <t>-395K1</t>
        </is>
      </c>
    </row>
    <row r="8677">
      <c r="A8677">
        <v>8676</v>
      </c>
      <c r="B8677">
        <f>GS13</f>
        <v>0</v>
      </c>
      <c r="C8677" t="inlineStr">
        <is>
          <t>+LS10</t>
        </is>
      </c>
      <c r="D8677" t="inlineStr">
        <is>
          <t>-395K1</t>
        </is>
      </c>
      <c r="E8677" t="inlineStr">
        <is>
          <t>DIL_2AM</t>
        </is>
      </c>
      <c r="F8677" t="inlineStr">
        <is>
          <t>22_DIL-M</t>
        </is>
      </c>
      <c r="G8677" t="inlineStr">
        <is>
          <t>LASTSCHUETZ</t>
        </is>
      </c>
      <c r="H8677" t="inlineStr">
        <is>
          <t>30 kW</t>
        </is>
      </c>
      <c r="I8677">
        <v>641</v>
      </c>
      <c r="J8677">
        <f>GS13/395.2</f>
        <v>0</v>
      </c>
      <c r="K8677" t="inlineStr">
        <is>
          <t>DIL2AM</t>
        </is>
      </c>
      <c r="M8677" t="inlineStr">
        <is>
          <t>-395K1</t>
        </is>
      </c>
    </row>
    <row r="8678">
      <c r="A8678">
        <v>8677</v>
      </c>
      <c r="B8678">
        <f>GS13</f>
        <v>0</v>
      </c>
      <c r="C8678" t="inlineStr">
        <is>
          <t>+LS10</t>
        </is>
      </c>
      <c r="D8678" t="inlineStr">
        <is>
          <t>-395K1</t>
        </is>
      </c>
      <c r="E8678" t="inlineStr">
        <is>
          <t>22_DIL-M</t>
        </is>
      </c>
      <c r="F8678" t="inlineStr">
        <is>
          <t>22_DIL-M</t>
        </is>
      </c>
      <c r="G8678" t="inlineStr">
        <is>
          <t>HILFSKONTAKTBLOCK</t>
        </is>
      </c>
      <c r="H8678" t="inlineStr">
        <is>
          <t>2S 2OE Lastschuetz DIL M</t>
        </is>
      </c>
      <c r="I8678">
        <v>641</v>
      </c>
      <c r="J8678">
        <f>GS13/395.2</f>
        <v>0</v>
      </c>
      <c r="K8678" t="inlineStr">
        <is>
          <t>DIL2AM</t>
        </is>
      </c>
      <c r="M8678" t="inlineStr">
        <is>
          <t>-395K1</t>
        </is>
      </c>
    </row>
    <row r="8679">
      <c r="A8679">
        <v>8678</v>
      </c>
      <c r="B8679">
        <f>GS23</f>
        <v>0</v>
      </c>
      <c r="C8679" t="inlineStr">
        <is>
          <t>+LS10</t>
        </is>
      </c>
      <c r="D8679" t="inlineStr">
        <is>
          <t>-395K1</t>
        </is>
      </c>
      <c r="E8679" t="inlineStr">
        <is>
          <t>22_DIL-M</t>
        </is>
      </c>
      <c r="F8679" t="inlineStr">
        <is>
          <t>22_DIL-M</t>
        </is>
      </c>
      <c r="G8679" t="inlineStr">
        <is>
          <t>HILFSKONTAKTBLOCK</t>
        </is>
      </c>
      <c r="H8679" t="inlineStr">
        <is>
          <t>2S 2OE Lastschuetz DIL M</t>
        </is>
      </c>
      <c r="I8679">
        <v>696</v>
      </c>
      <c r="J8679">
        <f>GS23/395.2</f>
        <v>0</v>
      </c>
      <c r="K8679" t="inlineStr">
        <is>
          <t>DIL2AM</t>
        </is>
      </c>
      <c r="M8679" t="inlineStr">
        <is>
          <t>-395K1</t>
        </is>
      </c>
    </row>
    <row r="8680">
      <c r="A8680">
        <v>8679</v>
      </c>
      <c r="B8680">
        <f>GS23</f>
        <v>0</v>
      </c>
      <c r="C8680" t="inlineStr">
        <is>
          <t>+LS10</t>
        </is>
      </c>
      <c r="D8680" t="inlineStr">
        <is>
          <t>-395K1</t>
        </is>
      </c>
      <c r="E8680" t="inlineStr">
        <is>
          <t>DIL_2AM</t>
        </is>
      </c>
      <c r="F8680" t="inlineStr">
        <is>
          <t>22_DIL-M</t>
        </is>
      </c>
      <c r="G8680" t="inlineStr">
        <is>
          <t>LASTSCHUETZ</t>
        </is>
      </c>
      <c r="H8680" t="inlineStr">
        <is>
          <t>30 kW</t>
        </is>
      </c>
      <c r="I8680">
        <v>696</v>
      </c>
      <c r="J8680">
        <f>GS23/395.2</f>
        <v>0</v>
      </c>
      <c r="K8680" t="inlineStr">
        <is>
          <t>DIL2AM</t>
        </is>
      </c>
      <c r="M8680" t="inlineStr">
        <is>
          <t>-395K1</t>
        </is>
      </c>
    </row>
    <row r="8681">
      <c r="A8681">
        <v>8680</v>
      </c>
      <c r="B8681">
        <f>GS24</f>
        <v>0</v>
      </c>
      <c r="C8681" t="inlineStr">
        <is>
          <t>+LS8</t>
        </is>
      </c>
      <c r="D8681" t="inlineStr">
        <is>
          <t>-395K1</t>
        </is>
      </c>
      <c r="E8681" t="inlineStr">
        <is>
          <t>22_DIL-M</t>
        </is>
      </c>
      <c r="F8681" t="inlineStr">
        <is>
          <t>22_DIL-M</t>
        </is>
      </c>
      <c r="G8681" t="inlineStr">
        <is>
          <t>HILFSKONTAKTBLOCK</t>
        </is>
      </c>
      <c r="H8681" t="inlineStr">
        <is>
          <t>2S 2OE Lastschuetz DIL M</t>
        </is>
      </c>
      <c r="I8681">
        <v>692</v>
      </c>
      <c r="J8681">
        <f>GS24/395.2</f>
        <v>0</v>
      </c>
      <c r="K8681" t="inlineStr">
        <is>
          <t>DIL0AM</t>
        </is>
      </c>
      <c r="M8681" t="inlineStr">
        <is>
          <t>-395K1</t>
        </is>
      </c>
    </row>
    <row r="8682">
      <c r="A8682">
        <v>8681</v>
      </c>
      <c r="B8682">
        <f>GS24</f>
        <v>0</v>
      </c>
      <c r="C8682" t="inlineStr">
        <is>
          <t>+LS8</t>
        </is>
      </c>
      <c r="D8682" t="inlineStr">
        <is>
          <t>-395K1</t>
        </is>
      </c>
      <c r="E8682" t="inlineStr">
        <is>
          <t>DIL_0AM</t>
        </is>
      </c>
      <c r="F8682" t="inlineStr">
        <is>
          <t>22_DIL-M</t>
        </is>
      </c>
      <c r="G8682" t="inlineStr">
        <is>
          <t>LASTSCHUETZ</t>
        </is>
      </c>
      <c r="H8682" t="inlineStr">
        <is>
          <t>11 kW</t>
        </is>
      </c>
      <c r="I8682">
        <v>692</v>
      </c>
      <c r="J8682">
        <f>GS24/395.2</f>
        <v>0</v>
      </c>
      <c r="K8682" t="inlineStr">
        <is>
          <t>DIL0AM</t>
        </is>
      </c>
      <c r="M8682" t="inlineStr">
        <is>
          <t>-395K1</t>
        </is>
      </c>
    </row>
    <row r="8683">
      <c r="A8683">
        <v>8682</v>
      </c>
      <c r="B8683">
        <f>GS38</f>
        <v>0</v>
      </c>
      <c r="C8683" t="inlineStr">
        <is>
          <t>+LS08</t>
        </is>
      </c>
      <c r="D8683" t="inlineStr">
        <is>
          <t>-395K144.4</t>
        </is>
      </c>
      <c r="E8683" t="inlineStr">
        <is>
          <t>DILA-40</t>
        </is>
      </c>
      <c r="F8683" t="inlineStr">
        <is>
          <t>#KALK!</t>
        </is>
      </c>
      <c r="G8683" t="inlineStr">
        <is>
          <t>HILFSSCHUETZ</t>
        </is>
      </c>
      <c r="H8683" t="inlineStr">
        <is>
          <t>4S Federzugkl.</t>
        </is>
      </c>
      <c r="I8683">
        <v>560</v>
      </c>
      <c r="J8683">
        <f>GS38/395.7</f>
        <v>0</v>
      </c>
      <c r="M8683" t="inlineStr">
        <is>
          <t>-395K144.4</t>
        </is>
      </c>
    </row>
    <row r="8684">
      <c r="A8684">
        <v>8683</v>
      </c>
      <c r="B8684">
        <f>GS39</f>
        <v>0</v>
      </c>
      <c r="C8684" t="inlineStr">
        <is>
          <t>+LS08</t>
        </is>
      </c>
      <c r="D8684" t="inlineStr">
        <is>
          <t>-395K144.4</t>
        </is>
      </c>
      <c r="E8684" t="inlineStr">
        <is>
          <t>DILA-40</t>
        </is>
      </c>
      <c r="F8684" t="inlineStr">
        <is>
          <t>#KALK!</t>
        </is>
      </c>
      <c r="G8684" t="inlineStr">
        <is>
          <t>HILFSSCHUETZ</t>
        </is>
      </c>
      <c r="H8684" t="inlineStr">
        <is>
          <t>4S Federzugkl.</t>
        </is>
      </c>
      <c r="I8684">
        <v>571</v>
      </c>
      <c r="J8684">
        <f>GS39/395.7</f>
        <v>0</v>
      </c>
      <c r="M8684" t="inlineStr">
        <is>
          <t>-395K144.4</t>
        </is>
      </c>
    </row>
    <row r="8685">
      <c r="A8685">
        <v>8684</v>
      </c>
      <c r="B8685">
        <f>GS13</f>
        <v>0</v>
      </c>
      <c r="C8685" t="inlineStr">
        <is>
          <t>+LS10</t>
        </is>
      </c>
      <c r="D8685" t="inlineStr">
        <is>
          <t>-395K2</t>
        </is>
      </c>
      <c r="E8685" t="inlineStr">
        <is>
          <t>DIL_0AM</t>
        </is>
      </c>
      <c r="F8685" t="inlineStr">
        <is>
          <t>22_DIL-M</t>
        </is>
      </c>
      <c r="G8685" t="inlineStr">
        <is>
          <t>LASTSCHUETZ</t>
        </is>
      </c>
      <c r="H8685" t="inlineStr">
        <is>
          <t>11 kW</t>
        </is>
      </c>
      <c r="I8685">
        <v>641</v>
      </c>
      <c r="J8685">
        <f>GS13/395.3</f>
        <v>0</v>
      </c>
      <c r="K8685" t="inlineStr">
        <is>
          <t>DIL0AM</t>
        </is>
      </c>
      <c r="M8685" t="inlineStr">
        <is>
          <t>-395K2</t>
        </is>
      </c>
    </row>
    <row r="8686">
      <c r="A8686">
        <v>8685</v>
      </c>
      <c r="B8686">
        <f>GS13</f>
        <v>0</v>
      </c>
      <c r="C8686" t="inlineStr">
        <is>
          <t>+LS10</t>
        </is>
      </c>
      <c r="D8686" t="inlineStr">
        <is>
          <t>-395K2</t>
        </is>
      </c>
      <c r="E8686" t="inlineStr">
        <is>
          <t>22_DIL-M</t>
        </is>
      </c>
      <c r="F8686" t="inlineStr">
        <is>
          <t>22_DIL-M</t>
        </is>
      </c>
      <c r="G8686" t="inlineStr">
        <is>
          <t>HILFSKONTAKTBLOCK</t>
        </is>
      </c>
      <c r="H8686" t="inlineStr">
        <is>
          <t>2S 2OE Lastschuetz DIL M</t>
        </is>
      </c>
      <c r="I8686">
        <v>641</v>
      </c>
      <c r="J8686">
        <f>GS13/395.3</f>
        <v>0</v>
      </c>
      <c r="K8686" t="inlineStr">
        <is>
          <t>DIL0AM</t>
        </is>
      </c>
      <c r="M8686" t="inlineStr">
        <is>
          <t>-395K2</t>
        </is>
      </c>
    </row>
    <row r="8687">
      <c r="A8687">
        <v>8686</v>
      </c>
      <c r="B8687">
        <f>GS23</f>
        <v>0</v>
      </c>
      <c r="C8687" t="inlineStr">
        <is>
          <t>+LS10</t>
        </is>
      </c>
      <c r="D8687" t="inlineStr">
        <is>
          <t>-395K2</t>
        </is>
      </c>
      <c r="E8687" t="inlineStr">
        <is>
          <t>22_DIL-M</t>
        </is>
      </c>
      <c r="F8687" t="inlineStr">
        <is>
          <t>22_DIL-M</t>
        </is>
      </c>
      <c r="G8687" t="inlineStr">
        <is>
          <t>HILFSKONTAKTBLOCK</t>
        </is>
      </c>
      <c r="H8687" t="inlineStr">
        <is>
          <t>2S 2OE Lastschuetz DIL M</t>
        </is>
      </c>
      <c r="I8687">
        <v>696</v>
      </c>
      <c r="J8687">
        <f>GS23/395.3</f>
        <v>0</v>
      </c>
      <c r="K8687" t="inlineStr">
        <is>
          <t>DIL0AM</t>
        </is>
      </c>
      <c r="M8687" t="inlineStr">
        <is>
          <t>-395K2</t>
        </is>
      </c>
    </row>
    <row r="8688">
      <c r="A8688">
        <v>8687</v>
      </c>
      <c r="B8688">
        <f>GS23</f>
        <v>0</v>
      </c>
      <c r="C8688" t="inlineStr">
        <is>
          <t>+LS10</t>
        </is>
      </c>
      <c r="D8688" t="inlineStr">
        <is>
          <t>-395K2</t>
        </is>
      </c>
      <c r="E8688" t="inlineStr">
        <is>
          <t>DIL_0AM</t>
        </is>
      </c>
      <c r="F8688" t="inlineStr">
        <is>
          <t>22_DIL-M</t>
        </is>
      </c>
      <c r="G8688" t="inlineStr">
        <is>
          <t>LASTSCHUETZ</t>
        </is>
      </c>
      <c r="H8688" t="inlineStr">
        <is>
          <t>11 kW</t>
        </is>
      </c>
      <c r="I8688">
        <v>696</v>
      </c>
      <c r="J8688">
        <f>GS23/395.3</f>
        <v>0</v>
      </c>
      <c r="K8688" t="inlineStr">
        <is>
          <t>DIL0AM</t>
        </is>
      </c>
      <c r="M8688" t="inlineStr">
        <is>
          <t>-395K2</t>
        </is>
      </c>
    </row>
    <row r="8689">
      <c r="A8689">
        <v>8688</v>
      </c>
      <c r="B8689">
        <f>GS90</f>
        <v>0</v>
      </c>
      <c r="C8689" t="inlineStr">
        <is>
          <t>+LS07</t>
        </is>
      </c>
      <c r="D8689" t="inlineStr">
        <is>
          <t>-395K202.4</t>
        </is>
      </c>
      <c r="E8689" t="inlineStr">
        <is>
          <t>DILA-40</t>
        </is>
      </c>
      <c r="F8689" t="inlineStr">
        <is>
          <t>#KALK!</t>
        </is>
      </c>
      <c r="G8689" t="inlineStr">
        <is>
          <t>HILFSSCHUETZ</t>
        </is>
      </c>
      <c r="H8689" t="inlineStr">
        <is>
          <t>4S Federzugkl.</t>
        </is>
      </c>
      <c r="I8689">
        <v>845</v>
      </c>
      <c r="J8689">
        <f>GS90/395.7</f>
        <v>0</v>
      </c>
      <c r="M8689" t="inlineStr">
        <is>
          <t>-395K202.4</t>
        </is>
      </c>
    </row>
    <row r="8690">
      <c r="A8690">
        <v>8689</v>
      </c>
      <c r="B8690">
        <f>GS13</f>
        <v>0</v>
      </c>
      <c r="C8690" t="inlineStr">
        <is>
          <t>+LS10</t>
        </is>
      </c>
      <c r="D8690" t="inlineStr">
        <is>
          <t>-395K3</t>
        </is>
      </c>
      <c r="E8690" t="inlineStr">
        <is>
          <t>DIL_0AM</t>
        </is>
      </c>
      <c r="F8690" t="inlineStr">
        <is>
          <t>22_DIL-M</t>
        </is>
      </c>
      <c r="G8690" t="inlineStr">
        <is>
          <t>LASTSCHUETZ</t>
        </is>
      </c>
      <c r="H8690" t="inlineStr">
        <is>
          <t>11 kW</t>
        </is>
      </c>
      <c r="I8690">
        <v>641</v>
      </c>
      <c r="J8690">
        <f>GS13/395.4</f>
        <v>0</v>
      </c>
      <c r="K8690" t="inlineStr">
        <is>
          <t>DIL0AM</t>
        </is>
      </c>
      <c r="M8690" t="inlineStr">
        <is>
          <t>-395K3</t>
        </is>
      </c>
    </row>
    <row r="8691">
      <c r="A8691">
        <v>8690</v>
      </c>
      <c r="B8691">
        <f>GS13</f>
        <v>0</v>
      </c>
      <c r="C8691" t="inlineStr">
        <is>
          <t>+LS10</t>
        </is>
      </c>
      <c r="D8691" t="inlineStr">
        <is>
          <t>-395K3</t>
        </is>
      </c>
      <c r="E8691" t="inlineStr">
        <is>
          <t>22_DIL-M</t>
        </is>
      </c>
      <c r="F8691" t="inlineStr">
        <is>
          <t>22_DIL-M</t>
        </is>
      </c>
      <c r="G8691" t="inlineStr">
        <is>
          <t>HILFSKONTAKTBLOCK</t>
        </is>
      </c>
      <c r="H8691" t="inlineStr">
        <is>
          <t>2S 2OE Lastschuetz DIL M</t>
        </is>
      </c>
      <c r="I8691">
        <v>641</v>
      </c>
      <c r="J8691">
        <f>GS13/395.4</f>
        <v>0</v>
      </c>
      <c r="K8691" t="inlineStr">
        <is>
          <t>DIL0AM</t>
        </is>
      </c>
      <c r="M8691" t="inlineStr">
        <is>
          <t>-395K3</t>
        </is>
      </c>
    </row>
    <row r="8692">
      <c r="A8692">
        <v>8691</v>
      </c>
      <c r="B8692">
        <f>GS23</f>
        <v>0</v>
      </c>
      <c r="C8692" t="inlineStr">
        <is>
          <t>+LS10</t>
        </is>
      </c>
      <c r="D8692" t="inlineStr">
        <is>
          <t>-395K3</t>
        </is>
      </c>
      <c r="E8692" t="inlineStr">
        <is>
          <t>22_DIL-M</t>
        </is>
      </c>
      <c r="F8692" t="inlineStr">
        <is>
          <t>22_DIL-M</t>
        </is>
      </c>
      <c r="G8692" t="inlineStr">
        <is>
          <t>HILFSKONTAKTBLOCK</t>
        </is>
      </c>
      <c r="H8692" t="inlineStr">
        <is>
          <t>2S 2OE Lastschuetz DIL M</t>
        </is>
      </c>
      <c r="I8692">
        <v>696</v>
      </c>
      <c r="J8692">
        <f>GS23/395.4</f>
        <v>0</v>
      </c>
      <c r="K8692" t="inlineStr">
        <is>
          <t>DIL0AM</t>
        </is>
      </c>
      <c r="M8692" t="inlineStr">
        <is>
          <t>-395K3</t>
        </is>
      </c>
    </row>
    <row r="8693">
      <c r="A8693">
        <v>8692</v>
      </c>
      <c r="B8693">
        <f>GS23</f>
        <v>0</v>
      </c>
      <c r="C8693" t="inlineStr">
        <is>
          <t>+LS10</t>
        </is>
      </c>
      <c r="D8693" t="inlineStr">
        <is>
          <t>-395K3</t>
        </is>
      </c>
      <c r="E8693" t="inlineStr">
        <is>
          <t>DIL_0AM</t>
        </is>
      </c>
      <c r="F8693" t="inlineStr">
        <is>
          <t>22_DIL-M</t>
        </is>
      </c>
      <c r="G8693" t="inlineStr">
        <is>
          <t>LASTSCHUETZ</t>
        </is>
      </c>
      <c r="H8693" t="inlineStr">
        <is>
          <t>11 kW</t>
        </is>
      </c>
      <c r="I8693">
        <v>696</v>
      </c>
      <c r="J8693">
        <f>GS23/395.4</f>
        <v>0</v>
      </c>
      <c r="K8693" t="inlineStr">
        <is>
          <t>DIL0AM</t>
        </is>
      </c>
      <c r="M8693" t="inlineStr">
        <is>
          <t>-395K3</t>
        </is>
      </c>
    </row>
    <row r="8694">
      <c r="A8694">
        <v>8693</v>
      </c>
      <c r="B8694">
        <f>GS15</f>
        <v>0</v>
      </c>
      <c r="C8694" t="inlineStr">
        <is>
          <t>+LS8</t>
        </is>
      </c>
      <c r="D8694" t="inlineStr">
        <is>
          <t>-395K30.0</t>
        </is>
      </c>
      <c r="E8694" t="inlineStr">
        <is>
          <t>DIL_EM-10-G</t>
        </is>
      </c>
      <c r="F8694" t="inlineStr">
        <is>
          <t>#KALK!</t>
        </is>
      </c>
      <c r="G8694" t="inlineStr">
        <is>
          <t>LASTSCHUETZ</t>
        </is>
      </c>
      <c r="H8694" t="inlineStr">
        <is>
          <t>4kW 1S</t>
        </is>
      </c>
      <c r="I8694">
        <v>896</v>
      </c>
      <c r="J8694">
        <f>GS15/395.6</f>
        <v>0</v>
      </c>
      <c r="M8694" t="inlineStr">
        <is>
          <t>-395K30.0</t>
        </is>
      </c>
    </row>
    <row r="8695">
      <c r="A8695">
        <v>8694</v>
      </c>
      <c r="B8695">
        <f>GS15</f>
        <v>0</v>
      </c>
      <c r="C8695" t="inlineStr">
        <is>
          <t>+LS8</t>
        </is>
      </c>
      <c r="D8695" t="inlineStr">
        <is>
          <t>-395K30.1</t>
        </is>
      </c>
      <c r="E8695" t="inlineStr">
        <is>
          <t>DIL_EM-10-G</t>
        </is>
      </c>
      <c r="F8695" t="inlineStr">
        <is>
          <t>#KALK!</t>
        </is>
      </c>
      <c r="G8695" t="inlineStr">
        <is>
          <t>LASTSCHUETZ</t>
        </is>
      </c>
      <c r="H8695" t="inlineStr">
        <is>
          <t>4kW 1S</t>
        </is>
      </c>
      <c r="I8695">
        <v>896</v>
      </c>
      <c r="J8695">
        <f>GS15/395.6</f>
        <v>0</v>
      </c>
      <c r="M8695" t="inlineStr">
        <is>
          <t>-395K30.1</t>
        </is>
      </c>
    </row>
    <row r="8696">
      <c r="A8696">
        <v>8695</v>
      </c>
      <c r="B8696">
        <f>GS23</f>
        <v>0</v>
      </c>
      <c r="C8696" t="inlineStr">
        <is>
          <t>+LS10</t>
        </is>
      </c>
      <c r="D8696" t="inlineStr">
        <is>
          <t>-395K4</t>
        </is>
      </c>
      <c r="E8696" t="inlineStr">
        <is>
          <t>DILA-40</t>
        </is>
      </c>
      <c r="F8696" t="inlineStr">
        <is>
          <t>#KALK!</t>
        </is>
      </c>
      <c r="G8696" t="inlineStr">
        <is>
          <t>HILFSSCHUETZ</t>
        </is>
      </c>
      <c r="H8696" t="inlineStr">
        <is>
          <t>4S Federzugkl.</t>
        </is>
      </c>
      <c r="I8696">
        <v>696</v>
      </c>
      <c r="J8696">
        <f>GS23/395.5</f>
        <v>0</v>
      </c>
      <c r="M8696" t="inlineStr">
        <is>
          <t>-395K4</t>
        </is>
      </c>
    </row>
    <row r="8697">
      <c r="A8697">
        <v>8696</v>
      </c>
      <c r="B8697">
        <f>GS92</f>
        <v>0</v>
      </c>
      <c r="C8697" t="inlineStr">
        <is>
          <t>+LS07</t>
        </is>
      </c>
      <c r="D8697" t="inlineStr">
        <is>
          <t>-395K464.0</t>
        </is>
      </c>
      <c r="E8697" t="inlineStr">
        <is>
          <t>DILA-40</t>
        </is>
      </c>
      <c r="F8697" t="inlineStr">
        <is>
          <t>#KALK!</t>
        </is>
      </c>
      <c r="G8697" t="inlineStr">
        <is>
          <t>HILFSSCHUETZ</t>
        </is>
      </c>
      <c r="H8697" t="inlineStr">
        <is>
          <t>4S Federzugkl.</t>
        </is>
      </c>
      <c r="I8697">
        <v>540</v>
      </c>
      <c r="J8697">
        <f>GS92/395.7</f>
        <v>0</v>
      </c>
      <c r="M8697" t="inlineStr">
        <is>
          <t>-395K464.0</t>
        </is>
      </c>
    </row>
    <row r="8698">
      <c r="A8698">
        <v>8697</v>
      </c>
      <c r="B8698">
        <f>GS16</f>
        <v>0</v>
      </c>
      <c r="C8698" t="inlineStr">
        <is>
          <t>+LS6</t>
        </is>
      </c>
      <c r="D8698" t="inlineStr">
        <is>
          <t>-395K47.4</t>
        </is>
      </c>
      <c r="E8698" t="inlineStr">
        <is>
          <t>DIL_EM-10-G</t>
        </is>
      </c>
      <c r="F8698" t="inlineStr">
        <is>
          <t>#KALK!</t>
        </is>
      </c>
      <c r="G8698" t="inlineStr">
        <is>
          <t>LASTSCHUETZ</t>
        </is>
      </c>
      <c r="H8698" t="inlineStr">
        <is>
          <t>4kW 1S</t>
        </is>
      </c>
      <c r="I8698">
        <v>630</v>
      </c>
      <c r="J8698">
        <f>GS16/395.7</f>
        <v>0</v>
      </c>
      <c r="M8698" t="inlineStr">
        <is>
          <t>-395K47.4</t>
        </is>
      </c>
    </row>
    <row r="8699">
      <c r="A8699">
        <v>8698</v>
      </c>
      <c r="B8699">
        <f>GS23</f>
        <v>0</v>
      </c>
      <c r="C8699" t="inlineStr">
        <is>
          <t>+LS10</t>
        </is>
      </c>
      <c r="D8699" t="inlineStr">
        <is>
          <t>-395K5</t>
        </is>
      </c>
      <c r="E8699" t="inlineStr">
        <is>
          <t>DILA-40</t>
        </is>
      </c>
      <c r="F8699" t="inlineStr">
        <is>
          <t>#KALK!</t>
        </is>
      </c>
      <c r="G8699" t="inlineStr">
        <is>
          <t>HILFSSCHUETZ</t>
        </is>
      </c>
      <c r="H8699" t="inlineStr">
        <is>
          <t>4S Federzugkl.</t>
        </is>
      </c>
      <c r="I8699">
        <v>696</v>
      </c>
      <c r="J8699">
        <f>GS23/395.6</f>
        <v>0</v>
      </c>
      <c r="M8699" t="inlineStr">
        <is>
          <t>-395K5</t>
        </is>
      </c>
    </row>
    <row r="8700">
      <c r="A8700">
        <v>8699</v>
      </c>
      <c r="B8700">
        <f>GS31</f>
        <v>0</v>
      </c>
      <c r="C8700" t="inlineStr">
        <is>
          <t>+LS8</t>
        </is>
      </c>
      <c r="D8700" t="inlineStr">
        <is>
          <t>-395K54.4</t>
        </is>
      </c>
      <c r="E8700" t="inlineStr">
        <is>
          <t>DIL_EM-10-G</t>
        </is>
      </c>
      <c r="F8700" t="inlineStr">
        <is>
          <t>#KALK!</t>
        </is>
      </c>
      <c r="G8700" t="inlineStr">
        <is>
          <t>LASTSCHUETZ</t>
        </is>
      </c>
      <c r="H8700" t="inlineStr">
        <is>
          <t>4kW 1S</t>
        </is>
      </c>
      <c r="I8700">
        <v>686</v>
      </c>
      <c r="J8700">
        <f>GS31/395.8</f>
        <v>0</v>
      </c>
      <c r="M8700" t="inlineStr">
        <is>
          <t>-395K54.4</t>
        </is>
      </c>
    </row>
    <row r="8701">
      <c r="A8701">
        <v>8700</v>
      </c>
      <c r="B8701">
        <f>GS11</f>
        <v>0</v>
      </c>
      <c r="C8701" t="inlineStr">
        <is>
          <t>+LS10</t>
        </is>
      </c>
      <c r="D8701" t="inlineStr">
        <is>
          <t>-395K66.0</t>
        </is>
      </c>
      <c r="E8701" t="inlineStr">
        <is>
          <t>DIL_EM-10-G</t>
        </is>
      </c>
      <c r="F8701" t="inlineStr">
        <is>
          <t>#KALK!</t>
        </is>
      </c>
      <c r="G8701" t="inlineStr">
        <is>
          <t>LASTSCHUETZ</t>
        </is>
      </c>
      <c r="H8701" t="inlineStr">
        <is>
          <t>4kW 1S</t>
        </is>
      </c>
      <c r="I8701">
        <v>501</v>
      </c>
      <c r="J8701">
        <f>GS11/395.6</f>
        <v>0</v>
      </c>
      <c r="M8701" t="inlineStr">
        <is>
          <t>-395K66.0</t>
        </is>
      </c>
    </row>
    <row r="8702">
      <c r="A8702">
        <v>8701</v>
      </c>
      <c r="B8702">
        <f>GS21</f>
        <v>0</v>
      </c>
      <c r="C8702" t="inlineStr">
        <is>
          <t>+LS10</t>
        </is>
      </c>
      <c r="D8702" t="inlineStr">
        <is>
          <t>-395K66.0</t>
        </is>
      </c>
      <c r="E8702" t="inlineStr">
        <is>
          <t>DIL_EM-10-G</t>
        </is>
      </c>
      <c r="F8702" t="inlineStr">
        <is>
          <t>#KALK!</t>
        </is>
      </c>
      <c r="G8702" t="inlineStr">
        <is>
          <t>LASTSCHUETZ</t>
        </is>
      </c>
      <c r="H8702" t="inlineStr">
        <is>
          <t>4kW 1S</t>
        </is>
      </c>
      <c r="I8702">
        <v>483</v>
      </c>
      <c r="J8702">
        <f>GS21/395.6</f>
        <v>0</v>
      </c>
      <c r="M8702" t="inlineStr">
        <is>
          <t>-395K66.0</t>
        </is>
      </c>
    </row>
    <row r="8703">
      <c r="A8703">
        <v>8702</v>
      </c>
      <c r="B8703">
        <f>GS11</f>
        <v>0</v>
      </c>
      <c r="C8703" t="inlineStr">
        <is>
          <t>+LS10</t>
        </is>
      </c>
      <c r="D8703" t="inlineStr">
        <is>
          <t>-395K67.5</t>
        </is>
      </c>
      <c r="E8703" t="inlineStr">
        <is>
          <t>DIL_EM-10-G</t>
        </is>
      </c>
      <c r="F8703" t="inlineStr">
        <is>
          <t>#KALK!</t>
        </is>
      </c>
      <c r="G8703" t="inlineStr">
        <is>
          <t>LASTSCHUETZ</t>
        </is>
      </c>
      <c r="H8703" t="inlineStr">
        <is>
          <t>4kW 1S</t>
        </is>
      </c>
      <c r="I8703">
        <v>501</v>
      </c>
      <c r="J8703">
        <f>GS11/395.6</f>
        <v>0</v>
      </c>
      <c r="M8703" t="inlineStr">
        <is>
          <t>-395K67.5</t>
        </is>
      </c>
    </row>
    <row r="8704">
      <c r="A8704">
        <v>8703</v>
      </c>
      <c r="B8704">
        <f>GS21</f>
        <v>0</v>
      </c>
      <c r="C8704" t="inlineStr">
        <is>
          <t>+LS10</t>
        </is>
      </c>
      <c r="D8704" t="inlineStr">
        <is>
          <t>-395K67.5</t>
        </is>
      </c>
      <c r="E8704" t="inlineStr">
        <is>
          <t>DIL_EM-10-G</t>
        </is>
      </c>
      <c r="F8704" t="inlineStr">
        <is>
          <t>#KALK!</t>
        </is>
      </c>
      <c r="G8704" t="inlineStr">
        <is>
          <t>LASTSCHUETZ</t>
        </is>
      </c>
      <c r="H8704" t="inlineStr">
        <is>
          <t>4kW 1S</t>
        </is>
      </c>
      <c r="I8704">
        <v>483</v>
      </c>
      <c r="J8704">
        <f>GS21/395.6</f>
        <v>0</v>
      </c>
      <c r="M8704" t="inlineStr">
        <is>
          <t>-395K67.5</t>
        </is>
      </c>
    </row>
    <row r="8705">
      <c r="A8705">
        <v>8704</v>
      </c>
      <c r="B8705">
        <f>GS05</f>
        <v>0</v>
      </c>
      <c r="C8705" t="inlineStr">
        <is>
          <t>+LS06</t>
        </is>
      </c>
      <c r="D8705" t="inlineStr">
        <is>
          <t>-395Q1</t>
        </is>
      </c>
      <c r="E8705" t="inlineStr">
        <is>
          <t>DILMC40(RDC24)</t>
        </is>
      </c>
      <c r="F8705" t="inlineStr">
        <is>
          <t>DILM150-XHIC22</t>
        </is>
      </c>
      <c r="G8705" t="inlineStr">
        <is>
          <t>LASTSCHUETZ</t>
        </is>
      </c>
      <c r="H8705" t="inlineStr">
        <is>
          <t>18,5kW Federzugkl.</t>
        </is>
      </c>
      <c r="I8705">
        <v>2142</v>
      </c>
      <c r="J8705">
        <f>GS05/395.7</f>
        <v>0</v>
      </c>
      <c r="K8705" t="inlineStr">
        <is>
          <t>DIL MC40</t>
        </is>
      </c>
      <c r="M8705" t="inlineStr">
        <is>
          <t>-395Q1</t>
        </is>
      </c>
    </row>
    <row r="8706">
      <c r="A8706">
        <v>8705</v>
      </c>
      <c r="B8706">
        <f>GS05</f>
        <v>0</v>
      </c>
      <c r="C8706" t="inlineStr">
        <is>
          <t>+LS06</t>
        </is>
      </c>
      <c r="D8706" t="inlineStr">
        <is>
          <t>-395Q1</t>
        </is>
      </c>
      <c r="E8706" t="inlineStr">
        <is>
          <t>DILM150-XHIC22</t>
        </is>
      </c>
      <c r="F8706" t="inlineStr">
        <is>
          <t>DILM150-XHIC22</t>
        </is>
      </c>
      <c r="G8706" t="inlineStr">
        <is>
          <t>HILFSKONTAKTBLOCK</t>
        </is>
      </c>
      <c r="H8706" t="inlineStr">
        <is>
          <t>2S 2OE ab DILMC40</t>
        </is>
      </c>
      <c r="I8706">
        <v>2142</v>
      </c>
      <c r="J8706">
        <f>GS05/395.7</f>
        <v>0</v>
      </c>
      <c r="K8706" t="inlineStr">
        <is>
          <t>DIL MC40</t>
        </is>
      </c>
      <c r="M8706" t="inlineStr">
        <is>
          <t>-395Q1</t>
        </is>
      </c>
    </row>
    <row r="8707">
      <c r="A8707">
        <v>8706</v>
      </c>
      <c r="B8707">
        <f>GS38</f>
        <v>0</v>
      </c>
      <c r="C8707" t="inlineStr">
        <is>
          <t>+LS08</t>
        </is>
      </c>
      <c r="D8707" t="inlineStr">
        <is>
          <t>-395Q1</t>
        </is>
      </c>
      <c r="E8707" t="inlineStr">
        <is>
          <t>DILA-XHI22</t>
        </is>
      </c>
      <c r="F8707" t="inlineStr">
        <is>
          <t>DILA-XHI22</t>
        </is>
      </c>
      <c r="G8707" t="inlineStr">
        <is>
          <t>HILFSKONTAKTBLOCK</t>
        </is>
      </c>
      <c r="H8707" t="inlineStr">
        <is>
          <t>2S 2OE Last+Hilfssch. Cage</t>
        </is>
      </c>
      <c r="I8707">
        <v>560</v>
      </c>
      <c r="J8707">
        <f>GS38/395.4</f>
        <v>0</v>
      </c>
      <c r="K8707" t="inlineStr">
        <is>
          <t>DIL MC25</t>
        </is>
      </c>
      <c r="M8707" t="inlineStr">
        <is>
          <t>-395Q1</t>
        </is>
      </c>
    </row>
    <row r="8708">
      <c r="A8708">
        <v>8707</v>
      </c>
      <c r="B8708">
        <f>GS38</f>
        <v>0</v>
      </c>
      <c r="C8708" t="inlineStr">
        <is>
          <t>+LS08</t>
        </is>
      </c>
      <c r="D8708" t="inlineStr">
        <is>
          <t>-395Q1</t>
        </is>
      </c>
      <c r="E8708" t="inlineStr">
        <is>
          <t>DILMC25-10(RDC24)</t>
        </is>
      </c>
      <c r="F8708" t="inlineStr">
        <is>
          <t>DILA-XHI22</t>
        </is>
      </c>
      <c r="G8708" t="inlineStr">
        <is>
          <t>LASTSCHUETZ</t>
        </is>
      </c>
      <c r="H8708" t="inlineStr">
        <is>
          <t>11kW 1S Federzugkl.</t>
        </is>
      </c>
      <c r="I8708">
        <v>560</v>
      </c>
      <c r="J8708">
        <f>GS38/395.4</f>
        <v>0</v>
      </c>
      <c r="K8708" t="inlineStr">
        <is>
          <t>DIL MC25</t>
        </is>
      </c>
      <c r="M8708" t="inlineStr">
        <is>
          <t>-395Q1</t>
        </is>
      </c>
    </row>
    <row r="8709">
      <c r="A8709">
        <v>8708</v>
      </c>
      <c r="B8709">
        <f>GS39</f>
        <v>0</v>
      </c>
      <c r="C8709" t="inlineStr">
        <is>
          <t>+LS08</t>
        </is>
      </c>
      <c r="D8709" t="inlineStr">
        <is>
          <t>-395Q1</t>
        </is>
      </c>
      <c r="E8709" t="inlineStr">
        <is>
          <t>DILA-XHI22</t>
        </is>
      </c>
      <c r="F8709" t="inlineStr">
        <is>
          <t>DILA-XHI22</t>
        </is>
      </c>
      <c r="G8709" t="inlineStr">
        <is>
          <t>HILFSKONTAKTBLOCK</t>
        </is>
      </c>
      <c r="H8709" t="inlineStr">
        <is>
          <t>2S 2OE Last+Hilfssch. Cage</t>
        </is>
      </c>
      <c r="I8709">
        <v>571</v>
      </c>
      <c r="J8709">
        <f>GS39/395.4</f>
        <v>0</v>
      </c>
      <c r="K8709" t="inlineStr">
        <is>
          <t>DIL MC25</t>
        </is>
      </c>
      <c r="M8709" t="inlineStr">
        <is>
          <t>-395Q1</t>
        </is>
      </c>
    </row>
    <row r="8710">
      <c r="A8710">
        <v>8709</v>
      </c>
      <c r="B8710">
        <f>GS39</f>
        <v>0</v>
      </c>
      <c r="C8710" t="inlineStr">
        <is>
          <t>+LS08</t>
        </is>
      </c>
      <c r="D8710" t="inlineStr">
        <is>
          <t>-395Q1</t>
        </is>
      </c>
      <c r="E8710" t="inlineStr">
        <is>
          <t>DILMC25-10(RDC24)</t>
        </is>
      </c>
      <c r="F8710" t="inlineStr">
        <is>
          <t>DILA-XHI22</t>
        </is>
      </c>
      <c r="G8710" t="inlineStr">
        <is>
          <t>LASTSCHUETZ</t>
        </is>
      </c>
      <c r="H8710" t="inlineStr">
        <is>
          <t>11kW 1S Federzugkl.</t>
        </is>
      </c>
      <c r="I8710">
        <v>571</v>
      </c>
      <c r="J8710">
        <f>GS39/395.4</f>
        <v>0</v>
      </c>
      <c r="K8710" t="inlineStr">
        <is>
          <t>DIL MC25</t>
        </is>
      </c>
      <c r="M8710" t="inlineStr">
        <is>
          <t>-395Q1</t>
        </is>
      </c>
    </row>
    <row r="8711">
      <c r="A8711">
        <v>8710</v>
      </c>
      <c r="B8711">
        <f>GS51</f>
        <v>0</v>
      </c>
      <c r="C8711" t="inlineStr">
        <is>
          <t>+LS05</t>
        </is>
      </c>
      <c r="D8711" t="inlineStr">
        <is>
          <t>-395Q1</t>
        </is>
      </c>
      <c r="E8711" t="inlineStr">
        <is>
          <t>DILA-XHI22</t>
        </is>
      </c>
      <c r="F8711" t="inlineStr">
        <is>
          <t>DILA-XHI22</t>
        </is>
      </c>
      <c r="G8711" t="inlineStr">
        <is>
          <t>HILFSKONTAKTBLOCK</t>
        </is>
      </c>
      <c r="H8711" t="inlineStr">
        <is>
          <t>2S 2OE Last+Hilfssch. Cage</t>
        </is>
      </c>
      <c r="I8711">
        <v>572</v>
      </c>
      <c r="J8711">
        <f>GS51/395.6</f>
        <v>0</v>
      </c>
      <c r="K8711" t="inlineStr">
        <is>
          <t>DIL MC25</t>
        </is>
      </c>
      <c r="M8711" t="inlineStr">
        <is>
          <t>-395Q1</t>
        </is>
      </c>
    </row>
    <row r="8712">
      <c r="A8712">
        <v>8711</v>
      </c>
      <c r="B8712">
        <f>GS51</f>
        <v>0</v>
      </c>
      <c r="C8712" t="inlineStr">
        <is>
          <t>+LS05</t>
        </is>
      </c>
      <c r="D8712" t="inlineStr">
        <is>
          <t>-395Q1</t>
        </is>
      </c>
      <c r="E8712" t="inlineStr">
        <is>
          <t>DILMC25-10(RDC24)</t>
        </is>
      </c>
      <c r="F8712" t="inlineStr">
        <is>
          <t>DILA-XHI22</t>
        </is>
      </c>
      <c r="G8712" t="inlineStr">
        <is>
          <t>LASTSCHUETZ</t>
        </is>
      </c>
      <c r="H8712" t="inlineStr">
        <is>
          <t>11kW 1S Federzugkl.</t>
        </is>
      </c>
      <c r="I8712">
        <v>572</v>
      </c>
      <c r="J8712">
        <f>GS51/395.6</f>
        <v>0</v>
      </c>
      <c r="K8712" t="inlineStr">
        <is>
          <t>DIL MC25</t>
        </is>
      </c>
      <c r="M8712" t="inlineStr">
        <is>
          <t>-395Q1</t>
        </is>
      </c>
    </row>
    <row r="8713">
      <c r="A8713">
        <v>8712</v>
      </c>
      <c r="B8713">
        <f>GS90</f>
        <v>0</v>
      </c>
      <c r="C8713" t="inlineStr">
        <is>
          <t>+LS07</t>
        </is>
      </c>
      <c r="D8713" t="inlineStr">
        <is>
          <t>-395Q1</t>
        </is>
      </c>
      <c r="E8713" t="inlineStr">
        <is>
          <t>DILMC25-10(RDC24)</t>
        </is>
      </c>
      <c r="F8713" t="inlineStr">
        <is>
          <t>DILA-XHI22</t>
        </is>
      </c>
      <c r="G8713" t="inlineStr">
        <is>
          <t>LASTSCHUETZ</t>
        </is>
      </c>
      <c r="H8713" t="inlineStr">
        <is>
          <t>11kW 1S Federzugkl.</t>
        </is>
      </c>
      <c r="I8713">
        <v>845</v>
      </c>
      <c r="J8713">
        <f>GS90/395.4</f>
        <v>0</v>
      </c>
      <c r="K8713" t="inlineStr">
        <is>
          <t>DIL MC25</t>
        </is>
      </c>
      <c r="M8713" t="inlineStr">
        <is>
          <t>-395Q1</t>
        </is>
      </c>
    </row>
    <row r="8714">
      <c r="A8714">
        <v>8713</v>
      </c>
      <c r="B8714">
        <f>GS90</f>
        <v>0</v>
      </c>
      <c r="C8714" t="inlineStr">
        <is>
          <t>+LS07</t>
        </is>
      </c>
      <c r="D8714" t="inlineStr">
        <is>
          <t>-395Q1</t>
        </is>
      </c>
      <c r="E8714" t="inlineStr">
        <is>
          <t>DILA-XHI22</t>
        </is>
      </c>
      <c r="F8714" t="inlineStr">
        <is>
          <t>DILA-XHI22</t>
        </is>
      </c>
      <c r="G8714" t="inlineStr">
        <is>
          <t>HILFSKONTAKTBLOCK</t>
        </is>
      </c>
      <c r="H8714" t="inlineStr">
        <is>
          <t>2S 2OE Last+Hilfssch. Cage</t>
        </is>
      </c>
      <c r="I8714">
        <v>845</v>
      </c>
      <c r="J8714">
        <f>GS90/395.4</f>
        <v>0</v>
      </c>
      <c r="K8714" t="inlineStr">
        <is>
          <t>DIL MC25</t>
        </is>
      </c>
      <c r="M8714" t="inlineStr">
        <is>
          <t>-395Q1</t>
        </is>
      </c>
    </row>
    <row r="8715">
      <c r="A8715">
        <v>8714</v>
      </c>
      <c r="B8715">
        <f>GS92</f>
        <v>0</v>
      </c>
      <c r="C8715" t="inlineStr">
        <is>
          <t>+LS07</t>
        </is>
      </c>
      <c r="D8715" t="inlineStr">
        <is>
          <t>-395Q1</t>
        </is>
      </c>
      <c r="E8715" t="inlineStr">
        <is>
          <t>DILMC25-10(RDC24)</t>
        </is>
      </c>
      <c r="F8715" t="inlineStr">
        <is>
          <t>DILA-XHI22</t>
        </is>
      </c>
      <c r="G8715" t="inlineStr">
        <is>
          <t>LASTSCHUETZ</t>
        </is>
      </c>
      <c r="H8715" t="inlineStr">
        <is>
          <t>11kW 1S Federzugkl.</t>
        </is>
      </c>
      <c r="I8715">
        <v>540</v>
      </c>
      <c r="J8715">
        <f>GS92/395.4</f>
        <v>0</v>
      </c>
      <c r="K8715" t="inlineStr">
        <is>
          <t>DIL MC25</t>
        </is>
      </c>
      <c r="M8715" t="inlineStr">
        <is>
          <t>-395Q1</t>
        </is>
      </c>
    </row>
    <row r="8716">
      <c r="A8716">
        <v>8715</v>
      </c>
      <c r="B8716">
        <f>GS92</f>
        <v>0</v>
      </c>
      <c r="C8716" t="inlineStr">
        <is>
          <t>+LS07</t>
        </is>
      </c>
      <c r="D8716" t="inlineStr">
        <is>
          <t>-395Q1</t>
        </is>
      </c>
      <c r="E8716" t="inlineStr">
        <is>
          <t>DILA-XHI22</t>
        </is>
      </c>
      <c r="F8716" t="inlineStr">
        <is>
          <t>DILA-XHI22</t>
        </is>
      </c>
      <c r="G8716" t="inlineStr">
        <is>
          <t>HILFSKONTAKTBLOCK</t>
        </is>
      </c>
      <c r="H8716" t="inlineStr">
        <is>
          <t>2S 2OE Last+Hilfssch. Cage</t>
        </is>
      </c>
      <c r="I8716">
        <v>540</v>
      </c>
      <c r="J8716">
        <f>GS92/395.4</f>
        <v>0</v>
      </c>
      <c r="K8716" t="inlineStr">
        <is>
          <t>DIL MC25</t>
        </is>
      </c>
      <c r="M8716" t="inlineStr">
        <is>
          <t>-395Q1</t>
        </is>
      </c>
    </row>
    <row r="8717">
      <c r="A8717">
        <v>8716</v>
      </c>
      <c r="B8717">
        <f>GS15</f>
        <v>0</v>
      </c>
      <c r="C8717" t="inlineStr">
        <is>
          <t>+LS8</t>
        </is>
      </c>
      <c r="D8717" t="inlineStr">
        <is>
          <t>-396K30.5</t>
        </is>
      </c>
      <c r="E8717" t="inlineStr">
        <is>
          <t>DIL_EM-10-G</t>
        </is>
      </c>
      <c r="F8717" t="inlineStr">
        <is>
          <t>#KALK!</t>
        </is>
      </c>
      <c r="G8717" t="inlineStr">
        <is>
          <t>LASTSCHUETZ</t>
        </is>
      </c>
      <c r="H8717" t="inlineStr">
        <is>
          <t>4kW 1S</t>
        </is>
      </c>
      <c r="I8717">
        <v>897</v>
      </c>
      <c r="J8717">
        <f>GS15/396.7</f>
        <v>0</v>
      </c>
      <c r="M8717" t="inlineStr">
        <is>
          <t>-396K30.5</t>
        </is>
      </c>
    </row>
    <row r="8718">
      <c r="A8718">
        <v>8717</v>
      </c>
      <c r="B8718">
        <f>GS16</f>
        <v>0</v>
      </c>
      <c r="C8718" t="inlineStr">
        <is>
          <t>+LS6</t>
        </is>
      </c>
      <c r="D8718" t="inlineStr">
        <is>
          <t>-396K47.7</t>
        </is>
      </c>
      <c r="E8718" t="inlineStr">
        <is>
          <t>DIL_EM-10-G</t>
        </is>
      </c>
      <c r="F8718" t="inlineStr">
        <is>
          <t>#KALK!</t>
        </is>
      </c>
      <c r="G8718" t="inlineStr">
        <is>
          <t>LASTSCHUETZ</t>
        </is>
      </c>
      <c r="H8718" t="inlineStr">
        <is>
          <t>4kW 1S</t>
        </is>
      </c>
      <c r="I8718">
        <v>631</v>
      </c>
      <c r="J8718">
        <f>GS16/396.6</f>
        <v>0</v>
      </c>
      <c r="M8718" t="inlineStr">
        <is>
          <t>-396K47.7</t>
        </is>
      </c>
    </row>
    <row r="8719">
      <c r="A8719">
        <v>8718</v>
      </c>
      <c r="B8719">
        <f>GS16</f>
        <v>0</v>
      </c>
      <c r="C8719" t="inlineStr">
        <is>
          <t>+LS6</t>
        </is>
      </c>
      <c r="D8719" t="inlineStr">
        <is>
          <t>-396K48.0</t>
        </is>
      </c>
      <c r="E8719" t="inlineStr">
        <is>
          <t>DIL_EM-10-G</t>
        </is>
      </c>
      <c r="F8719" t="inlineStr">
        <is>
          <t>#KALK!</t>
        </is>
      </c>
      <c r="G8719" t="inlineStr">
        <is>
          <t>LASTSCHUETZ</t>
        </is>
      </c>
      <c r="H8719" t="inlineStr">
        <is>
          <t>4kW 1S</t>
        </is>
      </c>
      <c r="I8719">
        <v>631</v>
      </c>
      <c r="J8719">
        <f>GS16/396.6</f>
        <v>0</v>
      </c>
      <c r="M8719" t="inlineStr">
        <is>
          <t>-396K48.0</t>
        </is>
      </c>
    </row>
    <row r="8720">
      <c r="A8720">
        <v>8719</v>
      </c>
      <c r="B8720">
        <f>GS11</f>
        <v>0</v>
      </c>
      <c r="C8720" t="inlineStr">
        <is>
          <t>+LS10</t>
        </is>
      </c>
      <c r="D8720" t="inlineStr">
        <is>
          <t>-396K66.4</t>
        </is>
      </c>
      <c r="E8720" t="inlineStr">
        <is>
          <t>DIL_EM-10-G</t>
        </is>
      </c>
      <c r="F8720" t="inlineStr">
        <is>
          <t>#KALK!</t>
        </is>
      </c>
      <c r="G8720" t="inlineStr">
        <is>
          <t>LASTSCHUETZ</t>
        </is>
      </c>
      <c r="H8720" t="inlineStr">
        <is>
          <t>4kW 1S</t>
        </is>
      </c>
      <c r="I8720">
        <v>502</v>
      </c>
      <c r="J8720">
        <f>GS11/396.7</f>
        <v>0</v>
      </c>
      <c r="M8720" t="inlineStr">
        <is>
          <t>-396K66.4</t>
        </is>
      </c>
    </row>
    <row r="8721">
      <c r="A8721">
        <v>8720</v>
      </c>
      <c r="B8721">
        <f>GS21</f>
        <v>0</v>
      </c>
      <c r="C8721" t="inlineStr">
        <is>
          <t>+LS10</t>
        </is>
      </c>
      <c r="D8721" t="inlineStr">
        <is>
          <t>-396K66.4</t>
        </is>
      </c>
      <c r="E8721" t="inlineStr">
        <is>
          <t>DIL_EM-10-G</t>
        </is>
      </c>
      <c r="F8721" t="inlineStr">
        <is>
          <t>#KALK!</t>
        </is>
      </c>
      <c r="G8721" t="inlineStr">
        <is>
          <t>LASTSCHUETZ</t>
        </is>
      </c>
      <c r="H8721" t="inlineStr">
        <is>
          <t>4kW 1S</t>
        </is>
      </c>
      <c r="I8721">
        <v>484</v>
      </c>
      <c r="J8721">
        <f>GS21/396.7</f>
        <v>0</v>
      </c>
      <c r="M8721" t="inlineStr">
        <is>
          <t>-396K66.4</t>
        </is>
      </c>
    </row>
    <row r="8722">
      <c r="A8722">
        <v>8721</v>
      </c>
      <c r="B8722">
        <f>GS02</f>
        <v>0</v>
      </c>
      <c r="C8722" t="inlineStr">
        <is>
          <t>+LS10</t>
        </is>
      </c>
      <c r="D8722" t="inlineStr">
        <is>
          <t>-396K68.3</t>
        </is>
      </c>
      <c r="E8722" t="inlineStr">
        <is>
          <t>DIL_EM-10-G</t>
        </is>
      </c>
      <c r="F8722" t="inlineStr">
        <is>
          <t>#KALK!</t>
        </is>
      </c>
      <c r="G8722" t="inlineStr">
        <is>
          <t>LASTSCHUETZ</t>
        </is>
      </c>
      <c r="H8722" t="inlineStr">
        <is>
          <t>4kW 1S</t>
        </is>
      </c>
      <c r="I8722">
        <v>803</v>
      </c>
      <c r="J8722">
        <f>GS02/396.6</f>
        <v>0</v>
      </c>
      <c r="M8722" t="inlineStr">
        <is>
          <t>-396K68.3</t>
        </is>
      </c>
    </row>
    <row r="8723">
      <c r="A8723">
        <v>8722</v>
      </c>
      <c r="B8723">
        <f>GS02</f>
        <v>0</v>
      </c>
      <c r="C8723" t="inlineStr">
        <is>
          <t>+LS10</t>
        </is>
      </c>
      <c r="D8723" t="inlineStr">
        <is>
          <t>-396K68.4</t>
        </is>
      </c>
      <c r="E8723" t="inlineStr">
        <is>
          <t>DIL_EM-10-G</t>
        </is>
      </c>
      <c r="F8723" t="inlineStr">
        <is>
          <t>#KALK!</t>
        </is>
      </c>
      <c r="G8723" t="inlineStr">
        <is>
          <t>LASTSCHUETZ</t>
        </is>
      </c>
      <c r="H8723" t="inlineStr">
        <is>
          <t>4kW 1S</t>
        </is>
      </c>
      <c r="I8723">
        <v>803</v>
      </c>
      <c r="J8723">
        <f>GS02/396.6</f>
        <v>0</v>
      </c>
      <c r="M8723" t="inlineStr">
        <is>
          <t>-396K68.4</t>
        </is>
      </c>
    </row>
    <row r="8724">
      <c r="A8724">
        <v>8723</v>
      </c>
      <c r="B8724">
        <f>GS51</f>
        <v>0</v>
      </c>
      <c r="C8724" t="inlineStr">
        <is>
          <t>+LS05</t>
        </is>
      </c>
      <c r="D8724" t="inlineStr">
        <is>
          <t>-396Q151.1</t>
        </is>
      </c>
      <c r="E8724" t="inlineStr">
        <is>
          <t>DILA-XHI22</t>
        </is>
      </c>
      <c r="F8724" t="inlineStr">
        <is>
          <t>DILA-XHI22</t>
        </is>
      </c>
      <c r="G8724" t="inlineStr">
        <is>
          <t>HILFSKONTAKTBLOCK</t>
        </is>
      </c>
      <c r="H8724" t="inlineStr">
        <is>
          <t>2S 2OE Last+Hilfssch. Cage</t>
        </is>
      </c>
      <c r="I8724">
        <v>573</v>
      </c>
      <c r="J8724">
        <f>GS51/396.6</f>
        <v>0</v>
      </c>
      <c r="K8724" t="inlineStr">
        <is>
          <t>DIL MC9</t>
        </is>
      </c>
      <c r="M8724" t="inlineStr">
        <is>
          <t>-396Q151.1</t>
        </is>
      </c>
    </row>
    <row r="8725">
      <c r="A8725">
        <v>8724</v>
      </c>
      <c r="B8725">
        <f>GS51</f>
        <v>0</v>
      </c>
      <c r="C8725" t="inlineStr">
        <is>
          <t>+LS05</t>
        </is>
      </c>
      <c r="D8725" t="inlineStr">
        <is>
          <t>-396Q151.1</t>
        </is>
      </c>
      <c r="E8725" t="inlineStr">
        <is>
          <t>DILM-9-10</t>
        </is>
      </c>
      <c r="F8725" t="inlineStr">
        <is>
          <t>DILA-XHI22</t>
        </is>
      </c>
      <c r="G8725" t="inlineStr">
        <is>
          <t>LASTSCHUETZ</t>
        </is>
      </c>
      <c r="H8725" t="inlineStr">
        <is>
          <t>4kW 1S Federzugkl.</t>
        </is>
      </c>
      <c r="I8725">
        <v>573</v>
      </c>
      <c r="J8725">
        <f>GS51/396.6</f>
        <v>0</v>
      </c>
      <c r="K8725" t="inlineStr">
        <is>
          <t>DIL MC9</t>
        </is>
      </c>
      <c r="M8725" t="inlineStr">
        <is>
          <t>-396Q151.1</t>
        </is>
      </c>
    </row>
    <row r="8726">
      <c r="A8726">
        <v>8725</v>
      </c>
      <c r="B8726">
        <f>GS51</f>
        <v>0</v>
      </c>
      <c r="C8726" t="inlineStr">
        <is>
          <t>+LS05</t>
        </is>
      </c>
      <c r="D8726" t="inlineStr">
        <is>
          <t>-396Q151.2</t>
        </is>
      </c>
      <c r="E8726" t="inlineStr">
        <is>
          <t>DILA-XHI22</t>
        </is>
      </c>
      <c r="F8726" t="inlineStr">
        <is>
          <t>DILA-XHI22</t>
        </is>
      </c>
      <c r="G8726" t="inlineStr">
        <is>
          <t>HILFSKONTAKTBLOCK</t>
        </is>
      </c>
      <c r="H8726" t="inlineStr">
        <is>
          <t>2S 2OE Last+Hilfssch. Cage</t>
        </is>
      </c>
      <c r="I8726">
        <v>573</v>
      </c>
      <c r="J8726">
        <f>GS51/396.7</f>
        <v>0</v>
      </c>
      <c r="K8726" t="inlineStr">
        <is>
          <t>DIL MC9</t>
        </is>
      </c>
      <c r="M8726" t="inlineStr">
        <is>
          <t>-396Q151.2</t>
        </is>
      </c>
    </row>
    <row r="8727">
      <c r="A8727">
        <v>8726</v>
      </c>
      <c r="B8727">
        <f>GS51</f>
        <v>0</v>
      </c>
      <c r="C8727" t="inlineStr">
        <is>
          <t>+LS05</t>
        </is>
      </c>
      <c r="D8727" t="inlineStr">
        <is>
          <t>-396Q151.2</t>
        </is>
      </c>
      <c r="E8727" t="inlineStr">
        <is>
          <t>DILM-9-10</t>
        </is>
      </c>
      <c r="F8727" t="inlineStr">
        <is>
          <t>DILA-XHI22</t>
        </is>
      </c>
      <c r="G8727" t="inlineStr">
        <is>
          <t>LASTSCHUETZ</t>
        </is>
      </c>
      <c r="H8727" t="inlineStr">
        <is>
          <t>4kW 1S Federzugkl.</t>
        </is>
      </c>
      <c r="I8727">
        <v>573</v>
      </c>
      <c r="J8727">
        <f>GS51/396.7</f>
        <v>0</v>
      </c>
      <c r="K8727" t="inlineStr">
        <is>
          <t>DIL MC9</t>
        </is>
      </c>
      <c r="M8727" t="inlineStr">
        <is>
          <t>-396Q151.2</t>
        </is>
      </c>
    </row>
    <row r="8728">
      <c r="A8728">
        <v>8727</v>
      </c>
      <c r="B8728">
        <f>GS35</f>
        <v>0</v>
      </c>
      <c r="C8728" t="inlineStr">
        <is>
          <t>+LS09</t>
        </is>
      </c>
      <c r="D8728" t="inlineStr">
        <is>
          <t>-396Q152.3</t>
        </is>
      </c>
      <c r="E8728" t="inlineStr">
        <is>
          <t>DILM-9-10</t>
        </is>
      </c>
      <c r="F8728" t="inlineStr">
        <is>
          <t>#KALK!</t>
        </is>
      </c>
      <c r="G8728" t="inlineStr">
        <is>
          <t>LASTSCHUETZ</t>
        </is>
      </c>
      <c r="H8728" t="inlineStr">
        <is>
          <t>4kW 1S Federzugkl.</t>
        </is>
      </c>
      <c r="I8728">
        <v>550</v>
      </c>
      <c r="J8728">
        <f>GS35/396.6</f>
        <v>0</v>
      </c>
      <c r="M8728" t="inlineStr">
        <is>
          <t>-396Q152.3</t>
        </is>
      </c>
    </row>
    <row r="8729">
      <c r="A8729">
        <v>8728</v>
      </c>
      <c r="B8729">
        <f>GS92</f>
        <v>0</v>
      </c>
      <c r="C8729" t="inlineStr">
        <is>
          <t>+LS07</t>
        </is>
      </c>
      <c r="D8729" t="inlineStr">
        <is>
          <t>-396Q464.1</t>
        </is>
      </c>
      <c r="E8729" t="inlineStr">
        <is>
          <t>DILA-XHI22</t>
        </is>
      </c>
      <c r="F8729" t="inlineStr">
        <is>
          <t>DILA-XHI22</t>
        </is>
      </c>
      <c r="G8729" t="inlineStr">
        <is>
          <t>HILFSKONTAKTBLOCK</t>
        </is>
      </c>
      <c r="H8729" t="inlineStr">
        <is>
          <t>2S 2OE Last+Hilfssch. Cage</t>
        </is>
      </c>
      <c r="I8729">
        <v>541</v>
      </c>
      <c r="J8729">
        <f>GS92/396.5</f>
        <v>0</v>
      </c>
      <c r="M8729" t="inlineStr">
        <is>
          <t>-396Q464.1</t>
        </is>
      </c>
    </row>
    <row r="8730">
      <c r="A8730">
        <v>8729</v>
      </c>
      <c r="B8730">
        <f>GS92</f>
        <v>0</v>
      </c>
      <c r="C8730" t="inlineStr">
        <is>
          <t>+LS07</t>
        </is>
      </c>
      <c r="D8730" t="inlineStr">
        <is>
          <t>-396Q464.1</t>
        </is>
      </c>
      <c r="E8730" t="inlineStr">
        <is>
          <t>DILM-9-10</t>
        </is>
      </c>
      <c r="F8730" t="inlineStr">
        <is>
          <t>DILA-XHI22</t>
        </is>
      </c>
      <c r="G8730" t="inlineStr">
        <is>
          <t>LASTSCHUETZ</t>
        </is>
      </c>
      <c r="H8730" t="inlineStr">
        <is>
          <t>4kW 1S Federzugkl.</t>
        </is>
      </c>
      <c r="I8730">
        <v>541</v>
      </c>
      <c r="J8730">
        <f>GS92/396.5</f>
        <v>0</v>
      </c>
      <c r="M8730" t="inlineStr">
        <is>
          <t>-396Q464.1</t>
        </is>
      </c>
    </row>
    <row r="8731">
      <c r="A8731">
        <v>8730</v>
      </c>
      <c r="B8731">
        <f>GS92</f>
        <v>0</v>
      </c>
      <c r="C8731" t="inlineStr">
        <is>
          <t>+LS07</t>
        </is>
      </c>
      <c r="D8731" t="inlineStr">
        <is>
          <t>-396Q464.2</t>
        </is>
      </c>
      <c r="E8731" t="inlineStr">
        <is>
          <t>DILA-XHI22</t>
        </is>
      </c>
      <c r="F8731" t="inlineStr">
        <is>
          <t>DILA-XHI22</t>
        </is>
      </c>
      <c r="G8731" t="inlineStr">
        <is>
          <t>HILFSKONTAKTBLOCK</t>
        </is>
      </c>
      <c r="H8731" t="inlineStr">
        <is>
          <t>2S 2OE Last+Hilfssch. Cage</t>
        </is>
      </c>
      <c r="I8731">
        <v>541</v>
      </c>
      <c r="J8731">
        <f>GS92/396.6</f>
        <v>0</v>
      </c>
      <c r="M8731" t="inlineStr">
        <is>
          <t>-396Q464.2</t>
        </is>
      </c>
    </row>
    <row r="8732">
      <c r="A8732">
        <v>8731</v>
      </c>
      <c r="B8732">
        <f>GS92</f>
        <v>0</v>
      </c>
      <c r="C8732" t="inlineStr">
        <is>
          <t>+LS07</t>
        </is>
      </c>
      <c r="D8732" t="inlineStr">
        <is>
          <t>-396Q464.2</t>
        </is>
      </c>
      <c r="E8732" t="inlineStr">
        <is>
          <t>DILM-9-10</t>
        </is>
      </c>
      <c r="F8732" t="inlineStr">
        <is>
          <t>DILA-XHI22</t>
        </is>
      </c>
      <c r="G8732" t="inlineStr">
        <is>
          <t>LASTSCHUETZ</t>
        </is>
      </c>
      <c r="H8732" t="inlineStr">
        <is>
          <t>4kW 1S Federzugkl.</t>
        </is>
      </c>
      <c r="I8732">
        <v>541</v>
      </c>
      <c r="J8732">
        <f>GS92/396.6</f>
        <v>0</v>
      </c>
      <c r="M8732" t="inlineStr">
        <is>
          <t>-396Q464.2</t>
        </is>
      </c>
    </row>
    <row r="8733">
      <c r="A8733">
        <v>8732</v>
      </c>
      <c r="B8733">
        <f>GS24</f>
        <v>0</v>
      </c>
      <c r="C8733" t="inlineStr">
        <is>
          <t>+LS8</t>
        </is>
      </c>
      <c r="D8733" t="inlineStr">
        <is>
          <t>-397K42.0</t>
        </is>
      </c>
      <c r="E8733" t="inlineStr">
        <is>
          <t>DIL_EM-10-G</t>
        </is>
      </c>
      <c r="F8733" t="inlineStr">
        <is>
          <t>#KALK!</t>
        </is>
      </c>
      <c r="G8733" t="inlineStr">
        <is>
          <t>LASTSCHUETZ</t>
        </is>
      </c>
      <c r="H8733" t="inlineStr">
        <is>
          <t>4kW 1S</t>
        </is>
      </c>
      <c r="I8733">
        <v>690</v>
      </c>
      <c r="J8733">
        <f>GS24/397.6</f>
        <v>0</v>
      </c>
      <c r="M8733" t="inlineStr">
        <is>
          <t>-397K42.0</t>
        </is>
      </c>
    </row>
    <row r="8734">
      <c r="A8734">
        <v>8733</v>
      </c>
      <c r="B8734">
        <f>GS24</f>
        <v>0</v>
      </c>
      <c r="C8734" t="inlineStr">
        <is>
          <t>+LS8</t>
        </is>
      </c>
      <c r="D8734" t="inlineStr">
        <is>
          <t>-397K42.1</t>
        </is>
      </c>
      <c r="E8734" t="inlineStr">
        <is>
          <t>DIL_EM-10-G</t>
        </is>
      </c>
      <c r="F8734" t="inlineStr">
        <is>
          <t>#KALK!</t>
        </is>
      </c>
      <c r="G8734" t="inlineStr">
        <is>
          <t>LASTSCHUETZ</t>
        </is>
      </c>
      <c r="H8734" t="inlineStr">
        <is>
          <t>4kW 1S</t>
        </is>
      </c>
      <c r="I8734">
        <v>690</v>
      </c>
      <c r="J8734">
        <f>GS24/397.6</f>
        <v>0</v>
      </c>
      <c r="M8734" t="inlineStr">
        <is>
          <t>-397K42.1</t>
        </is>
      </c>
    </row>
    <row r="8735">
      <c r="A8735">
        <v>8734</v>
      </c>
      <c r="B8735">
        <f>GS16</f>
        <v>0</v>
      </c>
      <c r="C8735" t="inlineStr">
        <is>
          <t>+LS6</t>
        </is>
      </c>
      <c r="D8735" t="inlineStr">
        <is>
          <t>-397K48.1</t>
        </is>
      </c>
      <c r="E8735" t="inlineStr">
        <is>
          <t>DIL_EM-10-G</t>
        </is>
      </c>
      <c r="F8735" t="inlineStr">
        <is>
          <t>#KALK!</t>
        </is>
      </c>
      <c r="G8735" t="inlineStr">
        <is>
          <t>LASTSCHUETZ</t>
        </is>
      </c>
      <c r="H8735" t="inlineStr">
        <is>
          <t>4kW 1S</t>
        </is>
      </c>
      <c r="I8735">
        <v>632</v>
      </c>
      <c r="J8735">
        <f>GS16/397.6</f>
        <v>0</v>
      </c>
      <c r="M8735" t="inlineStr">
        <is>
          <t>-397K48.1</t>
        </is>
      </c>
    </row>
    <row r="8736">
      <c r="A8736">
        <v>8735</v>
      </c>
      <c r="B8736">
        <f>GS16</f>
        <v>0</v>
      </c>
      <c r="C8736" t="inlineStr">
        <is>
          <t>+LS6</t>
        </is>
      </c>
      <c r="D8736" t="inlineStr">
        <is>
          <t>-397K48.2</t>
        </is>
      </c>
      <c r="E8736" t="inlineStr">
        <is>
          <t>DIL_EM-10-G</t>
        </is>
      </c>
      <c r="F8736" t="inlineStr">
        <is>
          <t>#KALK!</t>
        </is>
      </c>
      <c r="G8736" t="inlineStr">
        <is>
          <t>LASTSCHUETZ</t>
        </is>
      </c>
      <c r="H8736" t="inlineStr">
        <is>
          <t>4kW 1S</t>
        </is>
      </c>
      <c r="I8736">
        <v>632</v>
      </c>
      <c r="J8736">
        <f>GS16/397.6</f>
        <v>0</v>
      </c>
      <c r="M8736" t="inlineStr">
        <is>
          <t>-397K48.2</t>
        </is>
      </c>
    </row>
    <row r="8737">
      <c r="A8737">
        <v>8736</v>
      </c>
      <c r="B8737">
        <f>GS02</f>
        <v>0</v>
      </c>
      <c r="C8737" t="inlineStr">
        <is>
          <t>+LS10</t>
        </is>
      </c>
      <c r="D8737" t="inlineStr">
        <is>
          <t>-397K69.6</t>
        </is>
      </c>
      <c r="E8737" t="inlineStr">
        <is>
          <t>DIL_EM-10-G</t>
        </is>
      </c>
      <c r="F8737" t="inlineStr">
        <is>
          <t>#KALK!</t>
        </is>
      </c>
      <c r="G8737" t="inlineStr">
        <is>
          <t>LASTSCHUETZ</t>
        </is>
      </c>
      <c r="H8737" t="inlineStr">
        <is>
          <t>4kW 1S</t>
        </is>
      </c>
      <c r="I8737">
        <v>804</v>
      </c>
      <c r="J8737">
        <f>GS02/397.6</f>
        <v>0</v>
      </c>
      <c r="M8737" t="inlineStr">
        <is>
          <t>-397K69.6</t>
        </is>
      </c>
    </row>
    <row r="8738">
      <c r="A8738">
        <v>8737</v>
      </c>
      <c r="B8738">
        <f>GS02</f>
        <v>0</v>
      </c>
      <c r="C8738" t="inlineStr">
        <is>
          <t>+LS10</t>
        </is>
      </c>
      <c r="D8738" t="inlineStr">
        <is>
          <t>-397K69.7</t>
        </is>
      </c>
      <c r="E8738" t="inlineStr">
        <is>
          <t>DIL_EM-10-G</t>
        </is>
      </c>
      <c r="F8738" t="inlineStr">
        <is>
          <t>#KALK!</t>
        </is>
      </c>
      <c r="G8738" t="inlineStr">
        <is>
          <t>LASTSCHUETZ</t>
        </is>
      </c>
      <c r="H8738" t="inlineStr">
        <is>
          <t>4kW 1S</t>
        </is>
      </c>
      <c r="I8738">
        <v>804</v>
      </c>
      <c r="J8738">
        <f>GS02/397.6</f>
        <v>0</v>
      </c>
      <c r="M8738" t="inlineStr">
        <is>
          <t>-397K69.7</t>
        </is>
      </c>
    </row>
    <row r="8739">
      <c r="A8739">
        <v>8738</v>
      </c>
      <c r="B8739">
        <f>GS90</f>
        <v>0</v>
      </c>
      <c r="C8739" t="inlineStr">
        <is>
          <t>+LS07</t>
        </is>
      </c>
      <c r="D8739" t="inlineStr">
        <is>
          <t>-397Q202.5</t>
        </is>
      </c>
      <c r="E8739" t="inlineStr">
        <is>
          <t>DILM-9-10</t>
        </is>
      </c>
      <c r="F8739" t="inlineStr">
        <is>
          <t>#KALK!</t>
        </is>
      </c>
      <c r="G8739" t="inlineStr">
        <is>
          <t>LASTSCHUETZ</t>
        </is>
      </c>
      <c r="H8739" t="inlineStr">
        <is>
          <t>4kW 1S Federzugkl.</t>
        </is>
      </c>
      <c r="I8739">
        <v>843</v>
      </c>
      <c r="J8739">
        <f>GS90/397.5</f>
        <v>0</v>
      </c>
      <c r="M8739" t="inlineStr">
        <is>
          <t>-397Q202.5</t>
        </is>
      </c>
    </row>
    <row r="8740">
      <c r="A8740">
        <v>8739</v>
      </c>
      <c r="B8740">
        <f>GS92</f>
        <v>0</v>
      </c>
      <c r="C8740" t="inlineStr">
        <is>
          <t>+LS07</t>
        </is>
      </c>
      <c r="D8740" t="inlineStr">
        <is>
          <t>-397Q464.3</t>
        </is>
      </c>
      <c r="E8740" t="inlineStr">
        <is>
          <t>DILM-9-10</t>
        </is>
      </c>
      <c r="F8740" t="inlineStr">
        <is>
          <t>#KALK!</t>
        </is>
      </c>
      <c r="G8740" t="inlineStr">
        <is>
          <t>LASTSCHUETZ</t>
        </is>
      </c>
      <c r="H8740" t="inlineStr">
        <is>
          <t>4kW 1S Federzugkl.</t>
        </is>
      </c>
      <c r="I8740">
        <v>542</v>
      </c>
      <c r="J8740">
        <f>GS92/397.5</f>
        <v>0</v>
      </c>
      <c r="M8740" t="inlineStr">
        <is>
          <t>-397Q464.3</t>
        </is>
      </c>
    </row>
    <row r="8741">
      <c r="A8741">
        <v>8740</v>
      </c>
      <c r="B8741">
        <f>GS02</f>
        <v>0</v>
      </c>
      <c r="C8741" t="inlineStr">
        <is>
          <t>+LS10</t>
        </is>
      </c>
      <c r="D8741" t="inlineStr">
        <is>
          <t>-398.1K63.1</t>
        </is>
      </c>
      <c r="E8741" t="inlineStr">
        <is>
          <t>DIL_EM-10-G</t>
        </is>
      </c>
      <c r="F8741" t="inlineStr">
        <is>
          <t>#KALK!</t>
        </is>
      </c>
      <c r="G8741" t="inlineStr">
        <is>
          <t>LASTSCHUETZ</t>
        </is>
      </c>
      <c r="H8741" t="inlineStr">
        <is>
          <t>4kW 1S</t>
        </is>
      </c>
      <c r="I8741">
        <v>806</v>
      </c>
      <c r="J8741">
        <f>GS02/398.1.6</f>
        <v>0</v>
      </c>
      <c r="M8741" t="inlineStr">
        <is>
          <t>-398.1K63.1</t>
        </is>
      </c>
    </row>
    <row r="8742">
      <c r="A8742">
        <v>8741</v>
      </c>
      <c r="B8742">
        <f>GS02</f>
        <v>0</v>
      </c>
      <c r="C8742" t="inlineStr">
        <is>
          <t>+LS10</t>
        </is>
      </c>
      <c r="D8742" t="inlineStr">
        <is>
          <t>-398.1K63.2</t>
        </is>
      </c>
      <c r="E8742" t="inlineStr">
        <is>
          <t>DIL_EM-10-G</t>
        </is>
      </c>
      <c r="F8742" t="inlineStr">
        <is>
          <t>#KALK!</t>
        </is>
      </c>
      <c r="G8742" t="inlineStr">
        <is>
          <t>LASTSCHUETZ</t>
        </is>
      </c>
      <c r="H8742" t="inlineStr">
        <is>
          <t>4kW 1S</t>
        </is>
      </c>
      <c r="I8742">
        <v>806</v>
      </c>
      <c r="J8742">
        <f>GS02/398.1.6</f>
        <v>0</v>
      </c>
      <c r="M8742" t="inlineStr">
        <is>
          <t>-398.1K63.2</t>
        </is>
      </c>
    </row>
    <row r="8743">
      <c r="A8743">
        <v>8742</v>
      </c>
      <c r="B8743">
        <f>GS02</f>
        <v>0</v>
      </c>
      <c r="C8743" t="inlineStr">
        <is>
          <t>+LS10</t>
        </is>
      </c>
      <c r="D8743" t="inlineStr">
        <is>
          <t>-398.2K71.1</t>
        </is>
      </c>
      <c r="E8743" t="inlineStr">
        <is>
          <t>DIL_ER-22-G</t>
        </is>
      </c>
      <c r="F8743" t="inlineStr">
        <is>
          <t>#KALK!</t>
        </is>
      </c>
      <c r="G8743" t="inlineStr">
        <is>
          <t>HILFSSCHUETZ</t>
        </is>
      </c>
      <c r="H8743" t="inlineStr">
        <is>
          <t>2S 2OE</t>
        </is>
      </c>
      <c r="I8743">
        <v>807</v>
      </c>
      <c r="J8743">
        <f>GS02/398.2.5</f>
        <v>0</v>
      </c>
      <c r="M8743" t="inlineStr">
        <is>
          <t>-398.2K71.1</t>
        </is>
      </c>
    </row>
    <row r="8744">
      <c r="A8744">
        <v>8743</v>
      </c>
      <c r="B8744">
        <f>GS02</f>
        <v>0</v>
      </c>
      <c r="C8744" t="inlineStr">
        <is>
          <t>+LS10</t>
        </is>
      </c>
      <c r="D8744" t="inlineStr">
        <is>
          <t>-398.3K1</t>
        </is>
      </c>
      <c r="E8744" t="inlineStr">
        <is>
          <t>DIL_EM-10-G</t>
        </is>
      </c>
      <c r="F8744" t="inlineStr">
        <is>
          <t>22_DIL-E</t>
        </is>
      </c>
      <c r="G8744" t="inlineStr">
        <is>
          <t>LASTSCHUETZ</t>
        </is>
      </c>
      <c r="H8744" t="inlineStr">
        <is>
          <t>4kW 1S</t>
        </is>
      </c>
      <c r="I8744">
        <v>808</v>
      </c>
      <c r="J8744">
        <f>GS02/398.3.7</f>
        <v>0</v>
      </c>
      <c r="M8744" t="inlineStr">
        <is>
          <t>-398.3K1</t>
        </is>
      </c>
    </row>
    <row r="8745">
      <c r="A8745">
        <v>8744</v>
      </c>
      <c r="B8745">
        <f>GS02</f>
        <v>0</v>
      </c>
      <c r="C8745" t="inlineStr">
        <is>
          <t>+LS10</t>
        </is>
      </c>
      <c r="D8745" t="inlineStr">
        <is>
          <t>-398.3K1</t>
        </is>
      </c>
      <c r="E8745" t="inlineStr">
        <is>
          <t>22_DIL-E</t>
        </is>
      </c>
      <c r="F8745" t="inlineStr">
        <is>
          <t>22_DIL-E</t>
        </is>
      </c>
      <c r="G8745" t="inlineStr">
        <is>
          <t>HILFSKONTAKTBLOCK</t>
        </is>
      </c>
      <c r="H8745" t="inlineStr">
        <is>
          <t>2S 2OE Last+Hilfsschuetz</t>
        </is>
      </c>
      <c r="I8745">
        <v>808</v>
      </c>
      <c r="J8745">
        <f>GS02/398.3.7</f>
        <v>0</v>
      </c>
      <c r="M8745" t="inlineStr">
        <is>
          <t>-398.3K1</t>
        </is>
      </c>
    </row>
    <row r="8746">
      <c r="A8746">
        <v>8745</v>
      </c>
      <c r="B8746">
        <f>GS02</f>
        <v>0</v>
      </c>
      <c r="C8746" t="inlineStr">
        <is>
          <t>+LS10</t>
        </is>
      </c>
      <c r="D8746" t="inlineStr">
        <is>
          <t>-398.3K2</t>
        </is>
      </c>
      <c r="E8746" t="inlineStr">
        <is>
          <t>DIL_EM-10-G</t>
        </is>
      </c>
      <c r="F8746" t="inlineStr">
        <is>
          <t>22_DIL-E</t>
        </is>
      </c>
      <c r="G8746" t="inlineStr">
        <is>
          <t>LASTSCHUETZ</t>
        </is>
      </c>
      <c r="H8746" t="inlineStr">
        <is>
          <t>4kW 1S</t>
        </is>
      </c>
      <c r="I8746">
        <v>808</v>
      </c>
      <c r="J8746">
        <f>GS02/398.3.7</f>
        <v>0</v>
      </c>
      <c r="M8746" t="inlineStr">
        <is>
          <t>-398.3K2</t>
        </is>
      </c>
    </row>
    <row r="8747">
      <c r="A8747">
        <v>8746</v>
      </c>
      <c r="B8747">
        <f>GS02</f>
        <v>0</v>
      </c>
      <c r="C8747" t="inlineStr">
        <is>
          <t>+LS10</t>
        </is>
      </c>
      <c r="D8747" t="inlineStr">
        <is>
          <t>-398.3K2</t>
        </is>
      </c>
      <c r="E8747" t="inlineStr">
        <is>
          <t>22_DIL-E</t>
        </is>
      </c>
      <c r="F8747" t="inlineStr">
        <is>
          <t>22_DIL-E</t>
        </is>
      </c>
      <c r="G8747" t="inlineStr">
        <is>
          <t>HILFSKONTAKTBLOCK</t>
        </is>
      </c>
      <c r="H8747" t="inlineStr">
        <is>
          <t>2S 2OE Last+Hilfsschuetz</t>
        </is>
      </c>
      <c r="I8747">
        <v>808</v>
      </c>
      <c r="J8747">
        <f>GS02/398.3.7</f>
        <v>0</v>
      </c>
      <c r="M8747" t="inlineStr">
        <is>
          <t>-398.3K2</t>
        </is>
      </c>
    </row>
    <row r="8748">
      <c r="A8748">
        <v>8747</v>
      </c>
      <c r="B8748">
        <f>GS02</f>
        <v>0</v>
      </c>
      <c r="C8748" t="inlineStr">
        <is>
          <t>+LS10</t>
        </is>
      </c>
      <c r="D8748" t="inlineStr">
        <is>
          <t>-398.4K63.3</t>
        </is>
      </c>
      <c r="E8748" t="inlineStr">
        <is>
          <t>DIL_ER-22-G</t>
        </is>
      </c>
      <c r="F8748" t="inlineStr">
        <is>
          <t>#KALK!</t>
        </is>
      </c>
      <c r="G8748" t="inlineStr">
        <is>
          <t>HILFSSCHUETZ</t>
        </is>
      </c>
      <c r="H8748" t="inlineStr">
        <is>
          <t>2S 2OE</t>
        </is>
      </c>
      <c r="I8748">
        <v>809</v>
      </c>
      <c r="J8748">
        <f>GS02/398.4.5</f>
        <v>0</v>
      </c>
      <c r="M8748" t="inlineStr">
        <is>
          <t>-398.4K63.3</t>
        </is>
      </c>
    </row>
    <row r="8749">
      <c r="A8749">
        <v>8748</v>
      </c>
      <c r="B8749">
        <f>GS05</f>
        <v>0</v>
      </c>
      <c r="C8749" t="inlineStr">
        <is>
          <t>+LS06</t>
        </is>
      </c>
      <c r="D8749" t="inlineStr">
        <is>
          <t>-398K1</t>
        </is>
      </c>
      <c r="E8749" t="inlineStr">
        <is>
          <t>DILM-9-10</t>
        </is>
      </c>
      <c r="F8749" t="inlineStr">
        <is>
          <t>#KALK!</t>
        </is>
      </c>
      <c r="G8749" t="inlineStr">
        <is>
          <t>LASTSCHUETZ</t>
        </is>
      </c>
      <c r="H8749" t="inlineStr">
        <is>
          <t>4kW 1S Federzugkl.</t>
        </is>
      </c>
      <c r="I8749">
        <v>2258</v>
      </c>
      <c r="J8749">
        <f>GS05/398.5</f>
        <v>0</v>
      </c>
      <c r="M8749" t="inlineStr">
        <is>
          <t>-398K1</t>
        </is>
      </c>
    </row>
    <row r="8750">
      <c r="A8750">
        <v>8749</v>
      </c>
      <c r="B8750">
        <f>GS16</f>
        <v>0</v>
      </c>
      <c r="C8750" t="inlineStr">
        <is>
          <t>+LS6</t>
        </is>
      </c>
      <c r="D8750" t="inlineStr">
        <is>
          <t>-398K48.3</t>
        </is>
      </c>
      <c r="E8750" t="inlineStr">
        <is>
          <t>DIL_EM-10-G</t>
        </is>
      </c>
      <c r="F8750" t="inlineStr">
        <is>
          <t>#KALK!</t>
        </is>
      </c>
      <c r="G8750" t="inlineStr">
        <is>
          <t>LASTSCHUETZ</t>
        </is>
      </c>
      <c r="H8750" t="inlineStr">
        <is>
          <t>4kW 1S</t>
        </is>
      </c>
      <c r="I8750">
        <v>633</v>
      </c>
      <c r="J8750">
        <f>GS16/398.6</f>
        <v>0</v>
      </c>
      <c r="M8750" t="inlineStr">
        <is>
          <t>-398K48.3</t>
        </is>
      </c>
    </row>
    <row r="8751">
      <c r="A8751">
        <v>8750</v>
      </c>
      <c r="B8751">
        <f>GS16</f>
        <v>0</v>
      </c>
      <c r="C8751" t="inlineStr">
        <is>
          <t>+LS6</t>
        </is>
      </c>
      <c r="D8751" t="inlineStr">
        <is>
          <t>-398K48.4</t>
        </is>
      </c>
      <c r="E8751" t="inlineStr">
        <is>
          <t>DIL_EM-10-G</t>
        </is>
      </c>
      <c r="F8751" t="inlineStr">
        <is>
          <t>#KALK!</t>
        </is>
      </c>
      <c r="G8751" t="inlineStr">
        <is>
          <t>LASTSCHUETZ</t>
        </is>
      </c>
      <c r="H8751" t="inlineStr">
        <is>
          <t>4kW 1S</t>
        </is>
      </c>
      <c r="I8751">
        <v>633</v>
      </c>
      <c r="J8751">
        <f>GS16/398.6</f>
        <v>0</v>
      </c>
      <c r="M8751" t="inlineStr">
        <is>
          <t>-398K48.4</t>
        </is>
      </c>
    </row>
    <row r="8752">
      <c r="A8752">
        <v>8751</v>
      </c>
      <c r="B8752">
        <f>GS02</f>
        <v>0</v>
      </c>
      <c r="C8752" t="inlineStr">
        <is>
          <t>+LS10</t>
        </is>
      </c>
      <c r="D8752" t="inlineStr">
        <is>
          <t>-398K66.0</t>
        </is>
      </c>
      <c r="E8752" t="inlineStr">
        <is>
          <t>DIL_EM-10-G</t>
        </is>
      </c>
      <c r="F8752" t="inlineStr">
        <is>
          <t>#KALK!</t>
        </is>
      </c>
      <c r="G8752" t="inlineStr">
        <is>
          <t>LASTSCHUETZ</t>
        </is>
      </c>
      <c r="H8752" t="inlineStr">
        <is>
          <t>4kW 1S</t>
        </is>
      </c>
      <c r="I8752">
        <v>805</v>
      </c>
      <c r="J8752">
        <f>GS02/398.6</f>
        <v>0</v>
      </c>
      <c r="M8752" t="inlineStr">
        <is>
          <t>-398K66.0</t>
        </is>
      </c>
    </row>
    <row r="8753">
      <c r="A8753">
        <v>8752</v>
      </c>
      <c r="B8753">
        <f>GS02</f>
        <v>0</v>
      </c>
      <c r="C8753" t="inlineStr">
        <is>
          <t>+LS10</t>
        </is>
      </c>
      <c r="D8753" t="inlineStr">
        <is>
          <t>-398K66.1</t>
        </is>
      </c>
      <c r="E8753" t="inlineStr">
        <is>
          <t>DIL_EM-10-G</t>
        </is>
      </c>
      <c r="F8753" t="inlineStr">
        <is>
          <t>#KALK!</t>
        </is>
      </c>
      <c r="G8753" t="inlineStr">
        <is>
          <t>LASTSCHUETZ</t>
        </is>
      </c>
      <c r="H8753" t="inlineStr">
        <is>
          <t>4kW 1S</t>
        </is>
      </c>
      <c r="I8753">
        <v>805</v>
      </c>
      <c r="J8753">
        <f>GS02/398.6</f>
        <v>0</v>
      </c>
      <c r="M8753" t="inlineStr">
        <is>
          <t>-398K66.1</t>
        </is>
      </c>
    </row>
    <row r="8754">
      <c r="A8754">
        <v>8753</v>
      </c>
      <c r="B8754">
        <f>GS51</f>
        <v>0</v>
      </c>
      <c r="C8754" t="inlineStr">
        <is>
          <t>+LS05</t>
        </is>
      </c>
      <c r="D8754" t="inlineStr">
        <is>
          <t>-398Q151.3</t>
        </is>
      </c>
      <c r="E8754" t="inlineStr">
        <is>
          <t>DILM-9-10</t>
        </is>
      </c>
      <c r="F8754" t="inlineStr">
        <is>
          <t>#KALK!</t>
        </is>
      </c>
      <c r="G8754" t="inlineStr">
        <is>
          <t>LASTSCHUETZ</t>
        </is>
      </c>
      <c r="H8754" t="inlineStr">
        <is>
          <t>4kW 1S Federzugkl.</t>
        </is>
      </c>
      <c r="I8754">
        <v>579</v>
      </c>
      <c r="J8754">
        <f>GS51/398.6</f>
        <v>0</v>
      </c>
      <c r="K8754" t="inlineStr">
        <is>
          <t>DIL MC9</t>
        </is>
      </c>
      <c r="M8754" t="inlineStr">
        <is>
          <t>-398Q151.3</t>
        </is>
      </c>
    </row>
    <row r="8755">
      <c r="A8755">
        <v>8754</v>
      </c>
      <c r="B8755">
        <f>GS02</f>
        <v>0</v>
      </c>
      <c r="C8755" t="inlineStr">
        <is>
          <t>+LS10</t>
        </is>
      </c>
      <c r="D8755" t="inlineStr">
        <is>
          <t>-399.1K66.2</t>
        </is>
      </c>
      <c r="E8755" t="inlineStr">
        <is>
          <t>DIL_ER-22-G</t>
        </is>
      </c>
      <c r="F8755" t="inlineStr">
        <is>
          <t>#KALK!</t>
        </is>
      </c>
      <c r="G8755" t="inlineStr">
        <is>
          <t>HILFSSCHUETZ</t>
        </is>
      </c>
      <c r="H8755" t="inlineStr">
        <is>
          <t>2S 2OE</t>
        </is>
      </c>
      <c r="I8755">
        <v>811</v>
      </c>
      <c r="J8755">
        <f>GS02/399.1.5</f>
        <v>0</v>
      </c>
      <c r="M8755" t="inlineStr">
        <is>
          <t>-399.1K66.2</t>
        </is>
      </c>
    </row>
    <row r="8756">
      <c r="A8756">
        <v>8755</v>
      </c>
      <c r="B8756">
        <f>GS38</f>
        <v>0</v>
      </c>
      <c r="C8756" t="inlineStr">
        <is>
          <t>+LS08</t>
        </is>
      </c>
      <c r="D8756" t="inlineStr">
        <is>
          <t>-399K1</t>
        </is>
      </c>
      <c r="E8756" t="inlineStr">
        <is>
          <t>DILM-9-01</t>
        </is>
      </c>
      <c r="F8756" t="inlineStr">
        <is>
          <t>#KALK!</t>
        </is>
      </c>
      <c r="G8756" t="inlineStr">
        <is>
          <t>LASTSCHUETZ</t>
        </is>
      </c>
      <c r="H8756" t="inlineStr">
        <is>
          <t>4kW 1Oe Federzugkl.</t>
        </is>
      </c>
      <c r="I8756">
        <v>564</v>
      </c>
      <c r="J8756">
        <f>GS38/399.5</f>
        <v>0</v>
      </c>
      <c r="M8756" t="inlineStr">
        <is>
          <t>-399K1</t>
        </is>
      </c>
    </row>
    <row r="8757">
      <c r="A8757">
        <v>8756</v>
      </c>
      <c r="B8757">
        <f>GS39</f>
        <v>0</v>
      </c>
      <c r="C8757" t="inlineStr">
        <is>
          <t>+LS08</t>
        </is>
      </c>
      <c r="D8757" t="inlineStr">
        <is>
          <t>-399K1</t>
        </is>
      </c>
      <c r="E8757" t="inlineStr">
        <is>
          <t>DILM-9-01</t>
        </is>
      </c>
      <c r="F8757" t="inlineStr">
        <is>
          <t>#KALK!</t>
        </is>
      </c>
      <c r="G8757" t="inlineStr">
        <is>
          <t>LASTSCHUETZ</t>
        </is>
      </c>
      <c r="H8757" t="inlineStr">
        <is>
          <t>4kW 1Oe Federzugkl.</t>
        </is>
      </c>
      <c r="I8757">
        <v>578</v>
      </c>
      <c r="J8757">
        <f>GS39/399.5</f>
        <v>0</v>
      </c>
      <c r="M8757" t="inlineStr">
        <is>
          <t>-399K1</t>
        </is>
      </c>
    </row>
    <row r="8758">
      <c r="A8758">
        <v>8757</v>
      </c>
      <c r="B8758">
        <f>GS38</f>
        <v>0</v>
      </c>
      <c r="C8758" t="inlineStr">
        <is>
          <t>+LS08</t>
        </is>
      </c>
      <c r="D8758" t="inlineStr">
        <is>
          <t>-399K2</t>
        </is>
      </c>
      <c r="E8758" t="inlineStr">
        <is>
          <t>DILM-9-01</t>
        </is>
      </c>
      <c r="F8758" t="inlineStr">
        <is>
          <t>#KALK!</t>
        </is>
      </c>
      <c r="G8758" t="inlineStr">
        <is>
          <t>LASTSCHUETZ</t>
        </is>
      </c>
      <c r="H8758" t="inlineStr">
        <is>
          <t>4kW 1Oe Federzugkl.</t>
        </is>
      </c>
      <c r="I8758">
        <v>564</v>
      </c>
      <c r="J8758">
        <f>GS38/399.6</f>
        <v>0</v>
      </c>
      <c r="M8758" t="inlineStr">
        <is>
          <t>-399K2</t>
        </is>
      </c>
    </row>
    <row r="8759">
      <c r="A8759">
        <v>8758</v>
      </c>
      <c r="B8759">
        <f>GS39</f>
        <v>0</v>
      </c>
      <c r="C8759" t="inlineStr">
        <is>
          <t>+LS08</t>
        </is>
      </c>
      <c r="D8759" t="inlineStr">
        <is>
          <t>-399K2</t>
        </is>
      </c>
      <c r="E8759" t="inlineStr">
        <is>
          <t>DILM-9-01</t>
        </is>
      </c>
      <c r="F8759" t="inlineStr">
        <is>
          <t>#KALK!</t>
        </is>
      </c>
      <c r="G8759" t="inlineStr">
        <is>
          <t>LASTSCHUETZ</t>
        </is>
      </c>
      <c r="H8759" t="inlineStr">
        <is>
          <t>4kW 1Oe Federzugkl.</t>
        </is>
      </c>
      <c r="I8759">
        <v>578</v>
      </c>
      <c r="J8759">
        <f>GS39/399.6</f>
        <v>0</v>
      </c>
      <c r="M8759" t="inlineStr">
        <is>
          <t>-399K2</t>
        </is>
      </c>
    </row>
    <row r="8760">
      <c r="A8760">
        <v>8759</v>
      </c>
      <c r="B8760">
        <f>GS13</f>
        <v>0</v>
      </c>
      <c r="C8760" t="inlineStr">
        <is>
          <t>+LS10</t>
        </is>
      </c>
      <c r="D8760" t="inlineStr">
        <is>
          <t>-399K3610.0</t>
        </is>
      </c>
      <c r="E8760" t="inlineStr">
        <is>
          <t>DIL_ER-22-G</t>
        </is>
      </c>
      <c r="F8760" t="inlineStr">
        <is>
          <t>#KALK!</t>
        </is>
      </c>
      <c r="G8760" t="inlineStr">
        <is>
          <t>HILFSSCHUETZ</t>
        </is>
      </c>
      <c r="H8760" t="inlineStr">
        <is>
          <t>2S 2OE</t>
        </is>
      </c>
      <c r="I8760">
        <v>645</v>
      </c>
      <c r="J8760">
        <f>GS13/399.5</f>
        <v>0</v>
      </c>
      <c r="M8760" t="inlineStr">
        <is>
          <t>-399K3610.0</t>
        </is>
      </c>
    </row>
    <row r="8761">
      <c r="A8761">
        <v>8760</v>
      </c>
      <c r="B8761">
        <f>GS23</f>
        <v>0</v>
      </c>
      <c r="C8761" t="inlineStr">
        <is>
          <t>+LS10</t>
        </is>
      </c>
      <c r="D8761" t="inlineStr">
        <is>
          <t>-399K3610.0</t>
        </is>
      </c>
      <c r="E8761" t="inlineStr">
        <is>
          <t>DIL_ER-22-G</t>
        </is>
      </c>
      <c r="F8761" t="inlineStr">
        <is>
          <t>#KALK!</t>
        </is>
      </c>
      <c r="G8761" t="inlineStr">
        <is>
          <t>HILFSSCHUETZ</t>
        </is>
      </c>
      <c r="H8761" t="inlineStr">
        <is>
          <t>2S 2OE</t>
        </is>
      </c>
      <c r="I8761">
        <v>700</v>
      </c>
      <c r="J8761">
        <f>GS23/399.5</f>
        <v>0</v>
      </c>
      <c r="M8761" t="inlineStr">
        <is>
          <t>-399K3610.0</t>
        </is>
      </c>
    </row>
    <row r="8762">
      <c r="A8762">
        <v>8761</v>
      </c>
      <c r="B8762">
        <f>GS13</f>
        <v>0</v>
      </c>
      <c r="C8762" t="inlineStr">
        <is>
          <t>+LS10</t>
        </is>
      </c>
      <c r="D8762" t="inlineStr">
        <is>
          <t>-399K3610.1</t>
        </is>
      </c>
      <c r="E8762" t="inlineStr">
        <is>
          <t>DIL_ER-22-G</t>
        </is>
      </c>
      <c r="F8762" t="inlineStr">
        <is>
          <t>#KALK!</t>
        </is>
      </c>
      <c r="G8762" t="inlineStr">
        <is>
          <t>HILFSSCHUETZ</t>
        </is>
      </c>
      <c r="H8762" t="inlineStr">
        <is>
          <t>2S 2OE</t>
        </is>
      </c>
      <c r="I8762">
        <v>645</v>
      </c>
      <c r="J8762">
        <f>GS13/399.6</f>
        <v>0</v>
      </c>
      <c r="M8762" t="inlineStr">
        <is>
          <t>-399K3610.1</t>
        </is>
      </c>
    </row>
    <row r="8763">
      <c r="A8763">
        <v>8762</v>
      </c>
      <c r="B8763">
        <f>GS23</f>
        <v>0</v>
      </c>
      <c r="C8763" t="inlineStr">
        <is>
          <t>+LS10</t>
        </is>
      </c>
      <c r="D8763" t="inlineStr">
        <is>
          <t>-399K3610.1</t>
        </is>
      </c>
      <c r="E8763" t="inlineStr">
        <is>
          <t>DIL_ER-22-G</t>
        </is>
      </c>
      <c r="F8763" t="inlineStr">
        <is>
          <t>#KALK!</t>
        </is>
      </c>
      <c r="G8763" t="inlineStr">
        <is>
          <t>HILFSSCHUETZ</t>
        </is>
      </c>
      <c r="H8763" t="inlineStr">
        <is>
          <t>2S 2OE</t>
        </is>
      </c>
      <c r="I8763">
        <v>700</v>
      </c>
      <c r="J8763">
        <f>GS23/399.6</f>
        <v>0</v>
      </c>
      <c r="M8763" t="inlineStr">
        <is>
          <t>-399K3610.1</t>
        </is>
      </c>
    </row>
    <row r="8764">
      <c r="A8764">
        <v>8763</v>
      </c>
      <c r="B8764">
        <f>GS13</f>
        <v>0</v>
      </c>
      <c r="C8764" t="inlineStr">
        <is>
          <t>+LS10</t>
        </is>
      </c>
      <c r="D8764" t="inlineStr">
        <is>
          <t>-399K3610.2</t>
        </is>
      </c>
      <c r="E8764" t="inlineStr">
        <is>
          <t>DIL_ER-22-G</t>
        </is>
      </c>
      <c r="F8764" t="inlineStr">
        <is>
          <t>#KALK!</t>
        </is>
      </c>
      <c r="G8764" t="inlineStr">
        <is>
          <t>HILFSSCHUETZ</t>
        </is>
      </c>
      <c r="H8764" t="inlineStr">
        <is>
          <t>2S 2OE</t>
        </is>
      </c>
      <c r="I8764">
        <v>645</v>
      </c>
      <c r="J8764">
        <f>GS13/399.7</f>
        <v>0</v>
      </c>
      <c r="M8764" t="inlineStr">
        <is>
          <t>-399K3610.2</t>
        </is>
      </c>
    </row>
    <row r="8765">
      <c r="A8765">
        <v>8764</v>
      </c>
      <c r="B8765">
        <f>GS23</f>
        <v>0</v>
      </c>
      <c r="C8765" t="inlineStr">
        <is>
          <t>+LS10</t>
        </is>
      </c>
      <c r="D8765" t="inlineStr">
        <is>
          <t>-399K3610.2</t>
        </is>
      </c>
      <c r="E8765" t="inlineStr">
        <is>
          <t>DIL_ER-22-G</t>
        </is>
      </c>
      <c r="F8765" t="inlineStr">
        <is>
          <t>#KALK!</t>
        </is>
      </c>
      <c r="G8765" t="inlineStr">
        <is>
          <t>HILFSSCHUETZ</t>
        </is>
      </c>
      <c r="H8765" t="inlineStr">
        <is>
          <t>2S 2OE</t>
        </is>
      </c>
      <c r="I8765">
        <v>700</v>
      </c>
      <c r="J8765">
        <f>GS23/399.7</f>
        <v>0</v>
      </c>
      <c r="M8765" t="inlineStr">
        <is>
          <t>-399K3610.2</t>
        </is>
      </c>
    </row>
    <row r="8766">
      <c r="A8766">
        <v>8765</v>
      </c>
      <c r="B8766">
        <f>GS13</f>
        <v>0</v>
      </c>
      <c r="C8766" t="inlineStr">
        <is>
          <t>+LS10</t>
        </is>
      </c>
      <c r="D8766" t="inlineStr">
        <is>
          <t>-399K3610.4</t>
        </is>
      </c>
      <c r="E8766" t="inlineStr">
        <is>
          <t>DIL_EM-10-G</t>
        </is>
      </c>
      <c r="F8766" t="inlineStr">
        <is>
          <t>#KALK!</t>
        </is>
      </c>
      <c r="G8766" t="inlineStr">
        <is>
          <t>LASTSCHUETZ</t>
        </is>
      </c>
      <c r="H8766" t="inlineStr">
        <is>
          <t>4kW 1S</t>
        </is>
      </c>
      <c r="I8766">
        <v>645</v>
      </c>
      <c r="J8766">
        <f>GS13/399.7</f>
        <v>0</v>
      </c>
      <c r="M8766" t="inlineStr">
        <is>
          <t>-399K3610.4</t>
        </is>
      </c>
    </row>
    <row r="8767">
      <c r="A8767">
        <v>8766</v>
      </c>
      <c r="B8767">
        <f>GS23</f>
        <v>0</v>
      </c>
      <c r="C8767" t="inlineStr">
        <is>
          <t>+LS10</t>
        </is>
      </c>
      <c r="D8767" t="inlineStr">
        <is>
          <t>-399K3610.4</t>
        </is>
      </c>
      <c r="E8767" t="inlineStr">
        <is>
          <t>DIL_EM-10-G</t>
        </is>
      </c>
      <c r="F8767" t="inlineStr">
        <is>
          <t>#KALK!</t>
        </is>
      </c>
      <c r="G8767" t="inlineStr">
        <is>
          <t>LASTSCHUETZ</t>
        </is>
      </c>
      <c r="H8767" t="inlineStr">
        <is>
          <t>4kW 1S</t>
        </is>
      </c>
      <c r="I8767">
        <v>700</v>
      </c>
      <c r="J8767">
        <f>GS23/399.7</f>
        <v>0</v>
      </c>
      <c r="M8767" t="inlineStr">
        <is>
          <t>-399K3610.4</t>
        </is>
      </c>
    </row>
    <row r="8768">
      <c r="A8768">
        <v>8767</v>
      </c>
      <c r="B8768">
        <f>GS24</f>
        <v>0</v>
      </c>
      <c r="C8768" t="inlineStr">
        <is>
          <t>+LS8</t>
        </is>
      </c>
      <c r="D8768" t="inlineStr">
        <is>
          <t>-399K42.7</t>
        </is>
      </c>
      <c r="E8768" t="inlineStr">
        <is>
          <t>DIL_EM-10-G</t>
        </is>
      </c>
      <c r="F8768" t="inlineStr">
        <is>
          <t>#KALK!</t>
        </is>
      </c>
      <c r="G8768" t="inlineStr">
        <is>
          <t>LASTSCHUETZ</t>
        </is>
      </c>
      <c r="H8768" t="inlineStr">
        <is>
          <t>4kW 1S</t>
        </is>
      </c>
      <c r="I8768">
        <v>688</v>
      </c>
      <c r="J8768">
        <f>GS24/399.5</f>
        <v>0</v>
      </c>
      <c r="M8768" t="inlineStr">
        <is>
          <t>-399K42.7</t>
        </is>
      </c>
    </row>
    <row r="8769">
      <c r="A8769">
        <v>8768</v>
      </c>
      <c r="B8769">
        <f>GS24</f>
        <v>0</v>
      </c>
      <c r="C8769" t="inlineStr">
        <is>
          <t>+LS8</t>
        </is>
      </c>
      <c r="D8769" t="inlineStr">
        <is>
          <t>-399K43.0</t>
        </is>
      </c>
      <c r="E8769" t="inlineStr">
        <is>
          <t>DIL_EM-10-G</t>
        </is>
      </c>
      <c r="F8769" t="inlineStr">
        <is>
          <t>#KALK!</t>
        </is>
      </c>
      <c r="G8769" t="inlineStr">
        <is>
          <t>LASTSCHUETZ</t>
        </is>
      </c>
      <c r="H8769" t="inlineStr">
        <is>
          <t>4kW 1S</t>
        </is>
      </c>
      <c r="I8769">
        <v>688</v>
      </c>
      <c r="J8769">
        <f>GS24/399.6</f>
        <v>0</v>
      </c>
      <c r="M8769" t="inlineStr">
        <is>
          <t>-399K43.0</t>
        </is>
      </c>
    </row>
    <row r="8770">
      <c r="A8770">
        <v>8769</v>
      </c>
      <c r="B8770">
        <f>GS24</f>
        <v>0</v>
      </c>
      <c r="C8770" t="inlineStr">
        <is>
          <t>+LS8</t>
        </is>
      </c>
      <c r="D8770" t="inlineStr">
        <is>
          <t>-399K43.1</t>
        </is>
      </c>
      <c r="E8770" t="inlineStr">
        <is>
          <t>DIL_EM-01-G</t>
        </is>
      </c>
      <c r="F8770" t="inlineStr">
        <is>
          <t>#KALK!</t>
        </is>
      </c>
      <c r="G8770" t="inlineStr">
        <is>
          <t>LASTSCHUETZ</t>
        </is>
      </c>
      <c r="H8770" t="inlineStr">
        <is>
          <t>4kW 1OE</t>
        </is>
      </c>
      <c r="I8770">
        <v>688</v>
      </c>
      <c r="J8770">
        <f>GS24/399.7</f>
        <v>0</v>
      </c>
      <c r="M8770" t="inlineStr">
        <is>
          <t>-399K43.1</t>
        </is>
      </c>
    </row>
    <row r="8771">
      <c r="A8771">
        <v>8770</v>
      </c>
      <c r="B8771">
        <f>GS24</f>
        <v>0</v>
      </c>
      <c r="C8771" t="inlineStr">
        <is>
          <t>+LS8</t>
        </is>
      </c>
      <c r="D8771" t="inlineStr">
        <is>
          <t>-399K43.2</t>
        </is>
      </c>
      <c r="E8771" t="inlineStr">
        <is>
          <t>DIL_EM-01-G</t>
        </is>
      </c>
      <c r="F8771" t="inlineStr">
        <is>
          <t>#KALK!</t>
        </is>
      </c>
      <c r="G8771" t="inlineStr">
        <is>
          <t>LASTSCHUETZ</t>
        </is>
      </c>
      <c r="H8771" t="inlineStr">
        <is>
          <t>4kW 1OE</t>
        </is>
      </c>
      <c r="I8771">
        <v>688</v>
      </c>
      <c r="J8771">
        <f>GS24/399.8</f>
        <v>0</v>
      </c>
      <c r="M8771" t="inlineStr">
        <is>
          <t>-399K43.2</t>
        </is>
      </c>
    </row>
    <row r="8772">
      <c r="A8772">
        <v>8771</v>
      </c>
      <c r="B8772">
        <f>GS16</f>
        <v>0</v>
      </c>
      <c r="C8772" t="inlineStr">
        <is>
          <t>+LS6</t>
        </is>
      </c>
      <c r="D8772" t="inlineStr">
        <is>
          <t>-399K48.5</t>
        </is>
      </c>
      <c r="E8772" t="inlineStr">
        <is>
          <t>DIL_EM-10-G</t>
        </is>
      </c>
      <c r="F8772" t="inlineStr">
        <is>
          <t>#KALK!</t>
        </is>
      </c>
      <c r="G8772" t="inlineStr">
        <is>
          <t>LASTSCHUETZ</t>
        </is>
      </c>
      <c r="H8772" t="inlineStr">
        <is>
          <t>4kW 1S</t>
        </is>
      </c>
      <c r="I8772">
        <v>634</v>
      </c>
      <c r="J8772">
        <f>GS16/399.6</f>
        <v>0</v>
      </c>
      <c r="M8772" t="inlineStr">
        <is>
          <t>-399K48.5</t>
        </is>
      </c>
    </row>
    <row r="8773">
      <c r="A8773">
        <v>8772</v>
      </c>
      <c r="B8773">
        <f>GS16</f>
        <v>0</v>
      </c>
      <c r="C8773" t="inlineStr">
        <is>
          <t>+LS6</t>
        </is>
      </c>
      <c r="D8773" t="inlineStr">
        <is>
          <t>-399K48.6</t>
        </is>
      </c>
      <c r="E8773" t="inlineStr">
        <is>
          <t>DIL_EM-10-G</t>
        </is>
      </c>
      <c r="F8773" t="inlineStr">
        <is>
          <t>#KALK!</t>
        </is>
      </c>
      <c r="G8773" t="inlineStr">
        <is>
          <t>LASTSCHUETZ</t>
        </is>
      </c>
      <c r="H8773" t="inlineStr">
        <is>
          <t>4kW 1S</t>
        </is>
      </c>
      <c r="I8773">
        <v>634</v>
      </c>
      <c r="J8773">
        <f>GS16/399.6</f>
        <v>0</v>
      </c>
      <c r="M8773" t="inlineStr">
        <is>
          <t>-399K48.6</t>
        </is>
      </c>
    </row>
    <row r="8774">
      <c r="A8774">
        <v>8773</v>
      </c>
      <c r="B8774">
        <f>GS02</f>
        <v>0</v>
      </c>
      <c r="C8774" t="inlineStr">
        <is>
          <t>+LS10</t>
        </is>
      </c>
      <c r="D8774" t="inlineStr">
        <is>
          <t>-399K67.7</t>
        </is>
      </c>
      <c r="E8774" t="inlineStr">
        <is>
          <t>DIL_EM-10-G</t>
        </is>
      </c>
      <c r="F8774" t="inlineStr">
        <is>
          <t>22_DIL-E</t>
        </is>
      </c>
      <c r="G8774" t="inlineStr">
        <is>
          <t>LASTSCHUETZ</t>
        </is>
      </c>
      <c r="H8774" t="inlineStr">
        <is>
          <t>4kW 1S</t>
        </is>
      </c>
      <c r="I8774">
        <v>810</v>
      </c>
      <c r="J8774">
        <f>GS02/399.6</f>
        <v>0</v>
      </c>
      <c r="M8774" t="inlineStr">
        <is>
          <t>-399K67.7</t>
        </is>
      </c>
    </row>
    <row r="8775">
      <c r="A8775">
        <v>8774</v>
      </c>
      <c r="B8775">
        <f>GS02</f>
        <v>0</v>
      </c>
      <c r="C8775" t="inlineStr">
        <is>
          <t>+LS10</t>
        </is>
      </c>
      <c r="D8775" t="inlineStr">
        <is>
          <t>-399K67.7</t>
        </is>
      </c>
      <c r="E8775" t="inlineStr">
        <is>
          <t>22_DIL-E</t>
        </is>
      </c>
      <c r="F8775" t="inlineStr">
        <is>
          <t>22_DIL-E</t>
        </is>
      </c>
      <c r="G8775" t="inlineStr">
        <is>
          <t>HILFSKONTAKTBLOCK</t>
        </is>
      </c>
      <c r="H8775" t="inlineStr">
        <is>
          <t>2S 2OE Last+Hilfsschuetz</t>
        </is>
      </c>
      <c r="I8775">
        <v>810</v>
      </c>
      <c r="J8775">
        <f>GS02/399.6</f>
        <v>0</v>
      </c>
      <c r="M8775" t="inlineStr">
        <is>
          <t>-399K67.7</t>
        </is>
      </c>
    </row>
    <row r="8776">
      <c r="A8776">
        <v>8775</v>
      </c>
      <c r="B8776">
        <f>GS02</f>
        <v>0</v>
      </c>
      <c r="C8776" t="inlineStr">
        <is>
          <t>+LS10</t>
        </is>
      </c>
      <c r="D8776" t="inlineStr">
        <is>
          <t>-399K68.2</t>
        </is>
      </c>
      <c r="E8776" t="inlineStr">
        <is>
          <t>DIL_EM-10-G</t>
        </is>
      </c>
      <c r="F8776" t="inlineStr">
        <is>
          <t>#KALK!</t>
        </is>
      </c>
      <c r="G8776" t="inlineStr">
        <is>
          <t>LASTSCHUETZ</t>
        </is>
      </c>
      <c r="H8776" t="inlineStr">
        <is>
          <t>4kW 1S</t>
        </is>
      </c>
      <c r="I8776">
        <v>810</v>
      </c>
      <c r="J8776">
        <f>GS02/399.6</f>
        <v>0</v>
      </c>
      <c r="M8776" t="inlineStr">
        <is>
          <t>-399K68.2</t>
        </is>
      </c>
    </row>
    <row r="8777">
      <c r="A8777">
        <v>8776</v>
      </c>
      <c r="B8777">
        <f>GS02</f>
        <v>0</v>
      </c>
      <c r="C8777" t="inlineStr">
        <is>
          <t>+HT1711</t>
        </is>
      </c>
      <c r="D8777" t="inlineStr">
        <is>
          <t>-399M1</t>
        </is>
      </c>
      <c r="E8777" t="inlineStr">
        <is>
          <t>DIL_EM-10-G</t>
        </is>
      </c>
      <c r="F8777" t="inlineStr">
        <is>
          <t>#KALK!</t>
        </is>
      </c>
      <c r="G8777" t="inlineStr">
        <is>
          <t>LASTSCHUETZ</t>
        </is>
      </c>
      <c r="H8777" t="inlineStr">
        <is>
          <t>4kW 1S</t>
        </is>
      </c>
      <c r="I8777">
        <v>810</v>
      </c>
      <c r="J8777">
        <f>GS02/399.2</f>
        <v>0</v>
      </c>
      <c r="M8777" t="inlineStr">
        <is>
          <t>-399M1</t>
        </is>
      </c>
    </row>
    <row r="8778">
      <c r="A8778">
        <v>8777</v>
      </c>
      <c r="B8778">
        <f>GS51</f>
        <v>0</v>
      </c>
      <c r="C8778" t="inlineStr">
        <is>
          <t>+LS05</t>
        </is>
      </c>
      <c r="D8778" t="inlineStr">
        <is>
          <t>-399Q151.4</t>
        </is>
      </c>
      <c r="E8778" t="inlineStr">
        <is>
          <t>DILM-9-10</t>
        </is>
      </c>
      <c r="F8778" t="inlineStr">
        <is>
          <t>#KALK!</t>
        </is>
      </c>
      <c r="G8778" t="inlineStr">
        <is>
          <t>LASTSCHUETZ</t>
        </is>
      </c>
      <c r="H8778" t="inlineStr">
        <is>
          <t>4kW 1S Federzugkl.</t>
        </is>
      </c>
      <c r="I8778">
        <v>581</v>
      </c>
      <c r="J8778">
        <f>GS51/399.6</f>
        <v>0</v>
      </c>
      <c r="K8778" t="inlineStr">
        <is>
          <t>DIL MC9</t>
        </is>
      </c>
      <c r="M8778" t="inlineStr">
        <is>
          <t>-399Q151.4</t>
        </is>
      </c>
    </row>
    <row r="8779">
      <c r="A8779">
        <v>8778</v>
      </c>
      <c r="B8779">
        <f>GS65</f>
        <v>0</v>
      </c>
      <c r="C8779" t="inlineStr">
        <is>
          <t>+KKHW081</t>
        </is>
      </c>
      <c r="D8779" t="inlineStr">
        <is>
          <t>-39Q2</t>
        </is>
      </c>
      <c r="E8779" t="inlineStr">
        <is>
          <t>DILM-9-10</t>
        </is>
      </c>
      <c r="F8779" t="inlineStr">
        <is>
          <t>#KALK!</t>
        </is>
      </c>
      <c r="G8779" t="inlineStr">
        <is>
          <t>LASTSCHUETZ</t>
        </is>
      </c>
      <c r="H8779" t="inlineStr">
        <is>
          <t>4kW 1S Federzugkl.</t>
        </is>
      </c>
      <c r="I8779">
        <v>177</v>
      </c>
      <c r="J8779">
        <f>GS65/39.7</f>
        <v>0</v>
      </c>
      <c r="M8779" t="inlineStr">
        <is>
          <t>-39Q2</t>
        </is>
      </c>
    </row>
    <row r="8780">
      <c r="A8780">
        <v>8779</v>
      </c>
      <c r="B8780">
        <f>EPM</f>
        <v>0</v>
      </c>
      <c r="C8780" t="inlineStr">
        <is>
          <t>+LS</t>
        </is>
      </c>
      <c r="D8780" t="inlineStr">
        <is>
          <t>-3K3500.2</t>
        </is>
      </c>
      <c r="E8780" t="inlineStr">
        <is>
          <t>DIL_EM-01-G</t>
        </is>
      </c>
      <c r="F8780" t="inlineStr">
        <is>
          <t>#KALK!</t>
        </is>
      </c>
      <c r="G8780" t="inlineStr">
        <is>
          <t>LASTSCHUETZ</t>
        </is>
      </c>
      <c r="H8780" t="inlineStr">
        <is>
          <t>4kW 1OE</t>
        </is>
      </c>
      <c r="I8780">
        <v>104</v>
      </c>
      <c r="J8780">
        <f>EPM/3.5</f>
        <v>0</v>
      </c>
      <c r="M8780" t="inlineStr">
        <is>
          <t>-3K3500.2</t>
        </is>
      </c>
    </row>
    <row r="8781">
      <c r="A8781">
        <v>8780</v>
      </c>
      <c r="B8781">
        <f>GC03</f>
        <v>0</v>
      </c>
      <c r="C8781" t="inlineStr">
        <is>
          <t>+LS9</t>
        </is>
      </c>
      <c r="D8781" t="inlineStr">
        <is>
          <t>-400K1</t>
        </is>
      </c>
      <c r="E8781" t="inlineStr">
        <is>
          <t>22_DIL-M</t>
        </is>
      </c>
      <c r="F8781" t="inlineStr">
        <is>
          <t>22_DIL-M</t>
        </is>
      </c>
      <c r="G8781" t="inlineStr">
        <is>
          <t>HILFSKONTAKTBLOCK</t>
        </is>
      </c>
      <c r="H8781" t="inlineStr">
        <is>
          <t>2S 2OE Lastschuetz DIL M</t>
        </is>
      </c>
      <c r="I8781">
        <v>2114</v>
      </c>
      <c r="J8781">
        <f>GC03/400.2</f>
        <v>0</v>
      </c>
      <c r="K8781" t="inlineStr">
        <is>
          <t>DIL0AM</t>
        </is>
      </c>
      <c r="M8781" t="inlineStr">
        <is>
          <t>-400K1</t>
        </is>
      </c>
    </row>
    <row r="8782">
      <c r="A8782">
        <v>8781</v>
      </c>
      <c r="B8782">
        <f>GC03</f>
        <v>0</v>
      </c>
      <c r="C8782" t="inlineStr">
        <is>
          <t>+LS9</t>
        </is>
      </c>
      <c r="D8782" t="inlineStr">
        <is>
          <t>-400K1</t>
        </is>
      </c>
      <c r="E8782" t="inlineStr">
        <is>
          <t>DIL_0AM</t>
        </is>
      </c>
      <c r="F8782" t="inlineStr">
        <is>
          <t>22_DIL-M</t>
        </is>
      </c>
      <c r="G8782" t="inlineStr">
        <is>
          <t>LASTSCHUETZ</t>
        </is>
      </c>
      <c r="H8782" t="inlineStr">
        <is>
          <t>11 kW</t>
        </is>
      </c>
      <c r="I8782">
        <v>2114</v>
      </c>
      <c r="J8782">
        <f>GC03/400.2</f>
        <v>0</v>
      </c>
      <c r="K8782" t="inlineStr">
        <is>
          <t>DIL0AM</t>
        </is>
      </c>
      <c r="M8782" t="inlineStr">
        <is>
          <t>-400K1</t>
        </is>
      </c>
    </row>
    <row r="8783">
      <c r="A8783">
        <v>8782</v>
      </c>
      <c r="B8783">
        <f>GS25</f>
        <v>0</v>
      </c>
      <c r="C8783" t="inlineStr">
        <is>
          <t>+LS9</t>
        </is>
      </c>
      <c r="D8783" t="inlineStr">
        <is>
          <t>-400K1</t>
        </is>
      </c>
      <c r="E8783" t="inlineStr">
        <is>
          <t>DIL_0AM</t>
        </is>
      </c>
      <c r="F8783" t="inlineStr">
        <is>
          <t>22_DIL-M</t>
        </is>
      </c>
      <c r="G8783" t="inlineStr">
        <is>
          <t>LASTSCHUETZ</t>
        </is>
      </c>
      <c r="H8783" t="inlineStr">
        <is>
          <t>11 kW</t>
        </is>
      </c>
      <c r="I8783">
        <v>524</v>
      </c>
      <c r="J8783">
        <f>GS25/400.2</f>
        <v>0</v>
      </c>
      <c r="K8783" t="inlineStr">
        <is>
          <t>DIL0AM</t>
        </is>
      </c>
      <c r="M8783" t="inlineStr">
        <is>
          <t>-400K1</t>
        </is>
      </c>
    </row>
    <row r="8784">
      <c r="A8784">
        <v>8783</v>
      </c>
      <c r="B8784">
        <f>GS25</f>
        <v>0</v>
      </c>
      <c r="C8784" t="inlineStr">
        <is>
          <t>+LS9</t>
        </is>
      </c>
      <c r="D8784" t="inlineStr">
        <is>
          <t>-400K1</t>
        </is>
      </c>
      <c r="E8784" t="inlineStr">
        <is>
          <t>22_DIL-M</t>
        </is>
      </c>
      <c r="F8784" t="inlineStr">
        <is>
          <t>22_DIL-M</t>
        </is>
      </c>
      <c r="G8784" t="inlineStr">
        <is>
          <t>HILFSKONTAKTBLOCK</t>
        </is>
      </c>
      <c r="H8784" t="inlineStr">
        <is>
          <t>2S 2OE Lastschuetz DIL M</t>
        </is>
      </c>
      <c r="I8784">
        <v>524</v>
      </c>
      <c r="J8784">
        <f>GS25/400.2</f>
        <v>0</v>
      </c>
      <c r="K8784" t="inlineStr">
        <is>
          <t>DIL0AM</t>
        </is>
      </c>
      <c r="M8784" t="inlineStr">
        <is>
          <t>-400K1</t>
        </is>
      </c>
    </row>
    <row r="8785">
      <c r="A8785">
        <v>8784</v>
      </c>
      <c r="B8785">
        <f>GS33</f>
        <v>0</v>
      </c>
      <c r="C8785" t="inlineStr">
        <is>
          <t>+LS9</t>
        </is>
      </c>
      <c r="D8785" t="inlineStr">
        <is>
          <t>-400K1</t>
        </is>
      </c>
      <c r="E8785" t="inlineStr">
        <is>
          <t>DIL_0AM</t>
        </is>
      </c>
      <c r="F8785" t="inlineStr">
        <is>
          <t>22_DIL-M</t>
        </is>
      </c>
      <c r="G8785" t="inlineStr">
        <is>
          <t>LASTSCHUETZ</t>
        </is>
      </c>
      <c r="H8785" t="inlineStr">
        <is>
          <t>11 kW</t>
        </is>
      </c>
      <c r="I8785">
        <v>854</v>
      </c>
      <c r="J8785">
        <f>GS33/400.2</f>
        <v>0</v>
      </c>
      <c r="K8785" t="inlineStr">
        <is>
          <t>DIL0AM</t>
        </is>
      </c>
      <c r="M8785" t="inlineStr">
        <is>
          <t>-400K1</t>
        </is>
      </c>
    </row>
    <row r="8786">
      <c r="A8786">
        <v>8785</v>
      </c>
      <c r="B8786">
        <f>GS33</f>
        <v>0</v>
      </c>
      <c r="C8786" t="inlineStr">
        <is>
          <t>+LS9</t>
        </is>
      </c>
      <c r="D8786" t="inlineStr">
        <is>
          <t>-400K1</t>
        </is>
      </c>
      <c r="E8786" t="inlineStr">
        <is>
          <t>22_DIL-M</t>
        </is>
      </c>
      <c r="F8786" t="inlineStr">
        <is>
          <t>22_DIL-M</t>
        </is>
      </c>
      <c r="G8786" t="inlineStr">
        <is>
          <t>HILFSKONTAKTBLOCK</t>
        </is>
      </c>
      <c r="H8786" t="inlineStr">
        <is>
          <t>2S 2OE Lastschuetz DIL M</t>
        </is>
      </c>
      <c r="I8786">
        <v>854</v>
      </c>
      <c r="J8786">
        <f>GS33/400.2</f>
        <v>0</v>
      </c>
      <c r="K8786" t="inlineStr">
        <is>
          <t>DIL0AM</t>
        </is>
      </c>
      <c r="M8786" t="inlineStr">
        <is>
          <t>-400K1</t>
        </is>
      </c>
    </row>
    <row r="8787">
      <c r="A8787">
        <v>8786</v>
      </c>
      <c r="B8787">
        <f>GS34</f>
        <v>0</v>
      </c>
      <c r="C8787" t="inlineStr">
        <is>
          <t>+LS9</t>
        </is>
      </c>
      <c r="D8787" t="inlineStr">
        <is>
          <t>-400K1</t>
        </is>
      </c>
      <c r="E8787" t="inlineStr">
        <is>
          <t>22_DIL-M</t>
        </is>
      </c>
      <c r="F8787" t="inlineStr">
        <is>
          <t>22_DIL-M</t>
        </is>
      </c>
      <c r="G8787" t="inlineStr">
        <is>
          <t>HILFSKONTAKTBLOCK</t>
        </is>
      </c>
      <c r="H8787" t="inlineStr">
        <is>
          <t>2S 2OE Lastschuetz DIL M</t>
        </is>
      </c>
      <c r="I8787">
        <v>525</v>
      </c>
      <c r="J8787">
        <f>GS34/400.2</f>
        <v>0</v>
      </c>
      <c r="K8787" t="inlineStr">
        <is>
          <t>DIL2AM</t>
        </is>
      </c>
      <c r="M8787" t="inlineStr">
        <is>
          <t>-400K1</t>
        </is>
      </c>
    </row>
    <row r="8788">
      <c r="A8788">
        <v>8787</v>
      </c>
      <c r="B8788">
        <f>GS34</f>
        <v>0</v>
      </c>
      <c r="C8788" t="inlineStr">
        <is>
          <t>+LS9</t>
        </is>
      </c>
      <c r="D8788" t="inlineStr">
        <is>
          <t>-400K1</t>
        </is>
      </c>
      <c r="E8788" t="inlineStr">
        <is>
          <t>DIL_2AM</t>
        </is>
      </c>
      <c r="F8788" t="inlineStr">
        <is>
          <t>22_DIL-M</t>
        </is>
      </c>
      <c r="G8788" t="inlineStr">
        <is>
          <t>LASTSCHUETZ</t>
        </is>
      </c>
      <c r="H8788" t="inlineStr">
        <is>
          <t>30 kW</t>
        </is>
      </c>
      <c r="I8788">
        <v>525</v>
      </c>
      <c r="J8788">
        <f>GS34/400.2</f>
        <v>0</v>
      </c>
      <c r="K8788" t="inlineStr">
        <is>
          <t>DIL2AM</t>
        </is>
      </c>
      <c r="M8788" t="inlineStr">
        <is>
          <t>-400K1</t>
        </is>
      </c>
    </row>
    <row r="8789">
      <c r="A8789">
        <v>8788</v>
      </c>
      <c r="B8789">
        <f>GS01</f>
        <v>0</v>
      </c>
      <c r="C8789" t="inlineStr">
        <is>
          <t>+ES3</t>
        </is>
      </c>
      <c r="D8789" t="inlineStr">
        <is>
          <t>-400K100.0</t>
        </is>
      </c>
      <c r="E8789" t="inlineStr">
        <is>
          <t>DIL_ER-40-G</t>
        </is>
      </c>
      <c r="F8789" t="inlineStr">
        <is>
          <t>40_DIL-E</t>
        </is>
      </c>
      <c r="G8789" t="inlineStr">
        <is>
          <t>HILFSSCHUETZ</t>
        </is>
      </c>
      <c r="H8789" t="inlineStr">
        <is>
          <t>4S</t>
        </is>
      </c>
      <c r="I8789">
        <v>564</v>
      </c>
      <c r="J8789">
        <f>GS01/400.6</f>
        <v>0</v>
      </c>
      <c r="M8789" t="inlineStr">
        <is>
          <t>-400K100.0</t>
        </is>
      </c>
    </row>
    <row r="8790">
      <c r="A8790">
        <v>8789</v>
      </c>
      <c r="B8790">
        <f>GS01</f>
        <v>0</v>
      </c>
      <c r="C8790" t="inlineStr">
        <is>
          <t>+ES3</t>
        </is>
      </c>
      <c r="D8790" t="inlineStr">
        <is>
          <t>-400K100.0</t>
        </is>
      </c>
      <c r="E8790" t="inlineStr">
        <is>
          <t>40_DIL-E</t>
        </is>
      </c>
      <c r="F8790" t="inlineStr">
        <is>
          <t>40_DIL-E</t>
        </is>
      </c>
      <c r="G8790" t="inlineStr">
        <is>
          <t>HILFSKONTAKTBLOCK</t>
        </is>
      </c>
      <c r="H8790" t="inlineStr">
        <is>
          <t>4S Last+Hilfsschuetz</t>
        </is>
      </c>
      <c r="I8790">
        <v>564</v>
      </c>
      <c r="J8790">
        <f>GS01/400.6</f>
        <v>0</v>
      </c>
      <c r="M8790" t="inlineStr">
        <is>
          <t>-400K100.0</t>
        </is>
      </c>
    </row>
    <row r="8791">
      <c r="A8791">
        <v>8790</v>
      </c>
      <c r="B8791">
        <f>GS01</f>
        <v>0</v>
      </c>
      <c r="C8791" t="inlineStr">
        <is>
          <t>+ES3</t>
        </is>
      </c>
      <c r="D8791" t="inlineStr">
        <is>
          <t>-400K100.1</t>
        </is>
      </c>
      <c r="E8791" t="inlineStr">
        <is>
          <t>DIL_ER-40-G</t>
        </is>
      </c>
      <c r="F8791" t="inlineStr">
        <is>
          <t>40_DIL-E</t>
        </is>
      </c>
      <c r="G8791" t="inlineStr">
        <is>
          <t>HILFSSCHUETZ</t>
        </is>
      </c>
      <c r="H8791" t="inlineStr">
        <is>
          <t>4S</t>
        </is>
      </c>
      <c r="I8791">
        <v>564</v>
      </c>
      <c r="J8791">
        <f>GS01/400.6</f>
        <v>0</v>
      </c>
      <c r="M8791" t="inlineStr">
        <is>
          <t>-400K100.1</t>
        </is>
      </c>
    </row>
    <row r="8792">
      <c r="A8792">
        <v>8791</v>
      </c>
      <c r="B8792">
        <f>GS01</f>
        <v>0</v>
      </c>
      <c r="C8792" t="inlineStr">
        <is>
          <t>+ES3</t>
        </is>
      </c>
      <c r="D8792" t="inlineStr">
        <is>
          <t>-400K100.1</t>
        </is>
      </c>
      <c r="E8792" t="inlineStr">
        <is>
          <t>40_DIL-E</t>
        </is>
      </c>
      <c r="F8792" t="inlineStr">
        <is>
          <t>40_DIL-E</t>
        </is>
      </c>
      <c r="G8792" t="inlineStr">
        <is>
          <t>HILFSKONTAKTBLOCK</t>
        </is>
      </c>
      <c r="H8792" t="inlineStr">
        <is>
          <t>4S Last+Hilfsschuetz</t>
        </is>
      </c>
      <c r="I8792">
        <v>564</v>
      </c>
      <c r="J8792">
        <f>GS01/400.6</f>
        <v>0</v>
      </c>
      <c r="M8792" t="inlineStr">
        <is>
          <t>-400K100.1</t>
        </is>
      </c>
    </row>
    <row r="8793">
      <c r="A8793">
        <v>8792</v>
      </c>
      <c r="B8793">
        <f>GS34</f>
        <v>0</v>
      </c>
      <c r="C8793" t="inlineStr">
        <is>
          <t>+LS9</t>
        </is>
      </c>
      <c r="D8793" t="inlineStr">
        <is>
          <t>-400K2</t>
        </is>
      </c>
      <c r="E8793" t="inlineStr">
        <is>
          <t>22_DIL-M</t>
        </is>
      </c>
      <c r="F8793" t="inlineStr">
        <is>
          <t>22_DIL-M</t>
        </is>
      </c>
      <c r="G8793" t="inlineStr">
        <is>
          <t>HILFSKONTAKTBLOCK</t>
        </is>
      </c>
      <c r="H8793" t="inlineStr">
        <is>
          <t>2S 2OE Lastschuetz DIL M</t>
        </is>
      </c>
      <c r="I8793">
        <v>525</v>
      </c>
      <c r="J8793">
        <f>GS34/400.3</f>
        <v>0</v>
      </c>
      <c r="K8793" t="inlineStr">
        <is>
          <t>DIL0AM</t>
        </is>
      </c>
      <c r="M8793" t="inlineStr">
        <is>
          <t>-400K2</t>
        </is>
      </c>
    </row>
    <row r="8794">
      <c r="A8794">
        <v>8793</v>
      </c>
      <c r="B8794">
        <f>GS34</f>
        <v>0</v>
      </c>
      <c r="C8794" t="inlineStr">
        <is>
          <t>+LS9</t>
        </is>
      </c>
      <c r="D8794" t="inlineStr">
        <is>
          <t>-400K2</t>
        </is>
      </c>
      <c r="E8794" t="inlineStr">
        <is>
          <t>DIL_0AM</t>
        </is>
      </c>
      <c r="F8794" t="inlineStr">
        <is>
          <t>22_DIL-M</t>
        </is>
      </c>
      <c r="G8794" t="inlineStr">
        <is>
          <t>LASTSCHUETZ</t>
        </is>
      </c>
      <c r="H8794" t="inlineStr">
        <is>
          <t>11 kW</t>
        </is>
      </c>
      <c r="I8794">
        <v>525</v>
      </c>
      <c r="J8794">
        <f>GS34/400.3</f>
        <v>0</v>
      </c>
      <c r="K8794" t="inlineStr">
        <is>
          <t>DIL0AM</t>
        </is>
      </c>
      <c r="M8794" t="inlineStr">
        <is>
          <t>-400K2</t>
        </is>
      </c>
    </row>
    <row r="8795">
      <c r="A8795">
        <v>8794</v>
      </c>
      <c r="B8795">
        <f>GS93</f>
        <v>0</v>
      </c>
      <c r="C8795" t="inlineStr">
        <is>
          <t>+LS07</t>
        </is>
      </c>
      <c r="D8795" t="inlineStr">
        <is>
          <t>-400K467.0</t>
        </is>
      </c>
      <c r="E8795" t="inlineStr">
        <is>
          <t>DILA-40</t>
        </is>
      </c>
      <c r="F8795" t="inlineStr">
        <is>
          <t>#KALK!</t>
        </is>
      </c>
      <c r="G8795" t="inlineStr">
        <is>
          <t>HILFSSCHUETZ</t>
        </is>
      </c>
      <c r="H8795" t="inlineStr">
        <is>
          <t>4S Federzugkl.</t>
        </is>
      </c>
      <c r="I8795">
        <v>954</v>
      </c>
      <c r="J8795">
        <f>GS93/400.7</f>
        <v>0</v>
      </c>
      <c r="M8795" t="inlineStr">
        <is>
          <t>-400K467.0</t>
        </is>
      </c>
    </row>
    <row r="8796">
      <c r="A8796">
        <v>8795</v>
      </c>
      <c r="B8796">
        <f>GS02</f>
        <v>0</v>
      </c>
      <c r="C8796" t="inlineStr">
        <is>
          <t>+LS10</t>
        </is>
      </c>
      <c r="D8796" t="inlineStr">
        <is>
          <t>-400K68.0</t>
        </is>
      </c>
      <c r="E8796" t="inlineStr">
        <is>
          <t>DIL_EM-10-G</t>
        </is>
      </c>
      <c r="F8796" t="inlineStr">
        <is>
          <t>#KALK!</t>
        </is>
      </c>
      <c r="G8796" t="inlineStr">
        <is>
          <t>LASTSCHUETZ</t>
        </is>
      </c>
      <c r="H8796" t="inlineStr">
        <is>
          <t>4kW 1S</t>
        </is>
      </c>
      <c r="I8796">
        <v>812</v>
      </c>
      <c r="J8796">
        <f>GS02/400.6</f>
        <v>0</v>
      </c>
      <c r="M8796" t="inlineStr">
        <is>
          <t>-400K68.0</t>
        </is>
      </c>
    </row>
    <row r="8797">
      <c r="A8797">
        <v>8796</v>
      </c>
      <c r="B8797">
        <f>GS02</f>
        <v>0</v>
      </c>
      <c r="C8797" t="inlineStr">
        <is>
          <t>+LS10</t>
        </is>
      </c>
      <c r="D8797" t="inlineStr">
        <is>
          <t>-400K68.1</t>
        </is>
      </c>
      <c r="E8797" t="inlineStr">
        <is>
          <t>DIL_EM-10-G</t>
        </is>
      </c>
      <c r="F8797" t="inlineStr">
        <is>
          <t>#KALK!</t>
        </is>
      </c>
      <c r="G8797" t="inlineStr">
        <is>
          <t>LASTSCHUETZ</t>
        </is>
      </c>
      <c r="H8797" t="inlineStr">
        <is>
          <t>4kW 1S</t>
        </is>
      </c>
      <c r="I8797">
        <v>812</v>
      </c>
      <c r="J8797">
        <f>GS02/400.6</f>
        <v>0</v>
      </c>
      <c r="M8797" t="inlineStr">
        <is>
          <t>-400K68.1</t>
        </is>
      </c>
    </row>
    <row r="8798">
      <c r="A8798">
        <v>8797</v>
      </c>
      <c r="B8798">
        <f>GS93</f>
        <v>0</v>
      </c>
      <c r="C8798" t="inlineStr">
        <is>
          <t>+LS07</t>
        </is>
      </c>
      <c r="D8798" t="inlineStr">
        <is>
          <t>-400Q1</t>
        </is>
      </c>
      <c r="E8798" t="inlineStr">
        <is>
          <t>DILMC25-10(RDC24)</t>
        </is>
      </c>
      <c r="F8798" t="inlineStr">
        <is>
          <t>DILA-XHI22</t>
        </is>
      </c>
      <c r="G8798" t="inlineStr">
        <is>
          <t>LASTSCHUETZ</t>
        </is>
      </c>
      <c r="H8798" t="inlineStr">
        <is>
          <t>11kW 1S Federzugkl.</t>
        </is>
      </c>
      <c r="I8798">
        <v>954</v>
      </c>
      <c r="J8798">
        <f>GS93/400.4</f>
        <v>0</v>
      </c>
      <c r="K8798" t="inlineStr">
        <is>
          <t>DIL MC25</t>
        </is>
      </c>
      <c r="M8798" t="inlineStr">
        <is>
          <t>-400Q1</t>
        </is>
      </c>
    </row>
    <row r="8799">
      <c r="A8799">
        <v>8798</v>
      </c>
      <c r="B8799">
        <f>GS93</f>
        <v>0</v>
      </c>
      <c r="C8799" t="inlineStr">
        <is>
          <t>+LS07</t>
        </is>
      </c>
      <c r="D8799" t="inlineStr">
        <is>
          <t>-400Q1</t>
        </is>
      </c>
      <c r="E8799" t="inlineStr">
        <is>
          <t>DILA-XHI22</t>
        </is>
      </c>
      <c r="F8799" t="inlineStr">
        <is>
          <t>DILA-XHI22</t>
        </is>
      </c>
      <c r="G8799" t="inlineStr">
        <is>
          <t>HILFSKONTAKTBLOCK</t>
        </is>
      </c>
      <c r="H8799" t="inlineStr">
        <is>
          <t>2S 2OE Last+Hilfssch. Cage</t>
        </is>
      </c>
      <c r="I8799">
        <v>954</v>
      </c>
      <c r="J8799">
        <f>GS93/400.4</f>
        <v>0</v>
      </c>
      <c r="K8799" t="inlineStr">
        <is>
          <t>DIL MC25</t>
        </is>
      </c>
      <c r="M8799" t="inlineStr">
        <is>
          <t>-400Q1</t>
        </is>
      </c>
    </row>
    <row r="8800">
      <c r="A8800">
        <v>8799</v>
      </c>
      <c r="B8800">
        <f>GS08</f>
        <v>0</v>
      </c>
      <c r="C8800" t="inlineStr">
        <is>
          <t>+LS06</t>
        </is>
      </c>
      <c r="D8800" t="inlineStr">
        <is>
          <t>-401K236.2</t>
        </is>
      </c>
      <c r="E8800" t="inlineStr">
        <is>
          <t>DILA-31</t>
        </is>
      </c>
      <c r="F8800" t="inlineStr">
        <is>
          <t>#KALK!</t>
        </is>
      </c>
      <c r="G8800" t="inlineStr">
        <is>
          <t>HILFSSCHUETZ</t>
        </is>
      </c>
      <c r="H8800" t="inlineStr">
        <is>
          <t>3S 1Oe Federzugkl.</t>
        </is>
      </c>
      <c r="I8800">
        <v>321</v>
      </c>
      <c r="J8800">
        <f>GS08/401.2</f>
        <v>0</v>
      </c>
      <c r="M8800" t="inlineStr">
        <is>
          <t>-401K236.2</t>
        </is>
      </c>
    </row>
    <row r="8801">
      <c r="A8801">
        <v>8800</v>
      </c>
      <c r="B8801">
        <f>GS08</f>
        <v>0</v>
      </c>
      <c r="C8801" t="inlineStr">
        <is>
          <t>+LS06</t>
        </is>
      </c>
      <c r="D8801" t="inlineStr">
        <is>
          <t>-401K236.3</t>
        </is>
      </c>
      <c r="E8801" t="inlineStr">
        <is>
          <t>DILM-9-10</t>
        </is>
      </c>
      <c r="F8801" t="inlineStr">
        <is>
          <t>#KALK!</t>
        </is>
      </c>
      <c r="G8801" t="inlineStr">
        <is>
          <t>LASTSCHUETZ</t>
        </is>
      </c>
      <c r="H8801" t="inlineStr">
        <is>
          <t>4kW 1S Federzugkl.</t>
        </is>
      </c>
      <c r="I8801">
        <v>321</v>
      </c>
      <c r="J8801">
        <f>GS08/401.3</f>
        <v>0</v>
      </c>
      <c r="M8801" t="inlineStr">
        <is>
          <t>-401K236.3</t>
        </is>
      </c>
    </row>
    <row r="8802">
      <c r="A8802">
        <v>8801</v>
      </c>
      <c r="B8802">
        <f>GS24</f>
        <v>0</v>
      </c>
      <c r="C8802" t="inlineStr">
        <is>
          <t>+LS8</t>
        </is>
      </c>
      <c r="D8802" t="inlineStr">
        <is>
          <t>-401K44.1</t>
        </is>
      </c>
      <c r="E8802" t="inlineStr">
        <is>
          <t>DIL_EM-10-G</t>
        </is>
      </c>
      <c r="F8802" t="inlineStr">
        <is>
          <t>#KALK!</t>
        </is>
      </c>
      <c r="G8802" t="inlineStr">
        <is>
          <t>LASTSCHUETZ</t>
        </is>
      </c>
      <c r="H8802" t="inlineStr">
        <is>
          <t>4kW 1S</t>
        </is>
      </c>
      <c r="I8802">
        <v>686</v>
      </c>
      <c r="J8802">
        <f>GS24/401.5</f>
        <v>0</v>
      </c>
      <c r="M8802" t="inlineStr">
        <is>
          <t>-401K44.1</t>
        </is>
      </c>
    </row>
    <row r="8803">
      <c r="A8803">
        <v>8802</v>
      </c>
      <c r="B8803">
        <f>GS24</f>
        <v>0</v>
      </c>
      <c r="C8803" t="inlineStr">
        <is>
          <t>+LS8</t>
        </is>
      </c>
      <c r="D8803" t="inlineStr">
        <is>
          <t>-401K44.2</t>
        </is>
      </c>
      <c r="E8803" t="inlineStr">
        <is>
          <t>DIL_EM-10-G</t>
        </is>
      </c>
      <c r="F8803" t="inlineStr">
        <is>
          <t>#KALK!</t>
        </is>
      </c>
      <c r="G8803" t="inlineStr">
        <is>
          <t>LASTSCHUETZ</t>
        </is>
      </c>
      <c r="H8803" t="inlineStr">
        <is>
          <t>4kW 1S</t>
        </is>
      </c>
      <c r="I8803">
        <v>686</v>
      </c>
      <c r="J8803">
        <f>GS24/401.6</f>
        <v>0</v>
      </c>
      <c r="M8803" t="inlineStr">
        <is>
          <t>-401K44.2</t>
        </is>
      </c>
    </row>
    <row r="8804">
      <c r="A8804">
        <v>8803</v>
      </c>
      <c r="B8804">
        <f>GS24</f>
        <v>0</v>
      </c>
      <c r="C8804" t="inlineStr">
        <is>
          <t>+LS8</t>
        </is>
      </c>
      <c r="D8804" t="inlineStr">
        <is>
          <t>-401K44.3</t>
        </is>
      </c>
      <c r="E8804" t="inlineStr">
        <is>
          <t>DIL_EM-01-G</t>
        </is>
      </c>
      <c r="F8804" t="inlineStr">
        <is>
          <t>#KALK!</t>
        </is>
      </c>
      <c r="G8804" t="inlineStr">
        <is>
          <t>LASTSCHUETZ</t>
        </is>
      </c>
      <c r="H8804" t="inlineStr">
        <is>
          <t>4kW 1OE</t>
        </is>
      </c>
      <c r="I8804">
        <v>686</v>
      </c>
      <c r="J8804">
        <f>GS24/401.7</f>
        <v>0</v>
      </c>
      <c r="M8804" t="inlineStr">
        <is>
          <t>-401K44.3</t>
        </is>
      </c>
    </row>
    <row r="8805">
      <c r="A8805">
        <v>8804</v>
      </c>
      <c r="B8805">
        <f>GS24</f>
        <v>0</v>
      </c>
      <c r="C8805" t="inlineStr">
        <is>
          <t>+LS8</t>
        </is>
      </c>
      <c r="D8805" t="inlineStr">
        <is>
          <t>-401K44.4</t>
        </is>
      </c>
      <c r="E8805" t="inlineStr">
        <is>
          <t>DIL_EM-01-G</t>
        </is>
      </c>
      <c r="F8805" t="inlineStr">
        <is>
          <t>#KALK!</t>
        </is>
      </c>
      <c r="G8805" t="inlineStr">
        <is>
          <t>LASTSCHUETZ</t>
        </is>
      </c>
      <c r="H8805" t="inlineStr">
        <is>
          <t>4kW 1OE</t>
        </is>
      </c>
      <c r="I8805">
        <v>686</v>
      </c>
      <c r="J8805">
        <f>GS24/401.8</f>
        <v>0</v>
      </c>
      <c r="M8805" t="inlineStr">
        <is>
          <t>-401K44.4</t>
        </is>
      </c>
    </row>
    <row r="8806">
      <c r="A8806">
        <v>8805</v>
      </c>
      <c r="B8806">
        <f>GS02</f>
        <v>0</v>
      </c>
      <c r="C8806" t="inlineStr">
        <is>
          <t>+LS10</t>
        </is>
      </c>
      <c r="D8806" t="inlineStr">
        <is>
          <t>-401K70.4</t>
        </is>
      </c>
      <c r="E8806" t="inlineStr">
        <is>
          <t>DIL_EM-10-G</t>
        </is>
      </c>
      <c r="F8806" t="inlineStr">
        <is>
          <t>#KALK!</t>
        </is>
      </c>
      <c r="G8806" t="inlineStr">
        <is>
          <t>LASTSCHUETZ</t>
        </is>
      </c>
      <c r="H8806" t="inlineStr">
        <is>
          <t>4kW 1S</t>
        </is>
      </c>
      <c r="I8806">
        <v>813</v>
      </c>
      <c r="J8806">
        <f>GS02/401.6</f>
        <v>0</v>
      </c>
      <c r="M8806" t="inlineStr">
        <is>
          <t>-401K70.4</t>
        </is>
      </c>
    </row>
    <row r="8807">
      <c r="A8807">
        <v>8806</v>
      </c>
      <c r="B8807">
        <f>GS02</f>
        <v>0</v>
      </c>
      <c r="C8807" t="inlineStr">
        <is>
          <t>+LS10</t>
        </is>
      </c>
      <c r="D8807" t="inlineStr">
        <is>
          <t>-401K70.5</t>
        </is>
      </c>
      <c r="E8807" t="inlineStr">
        <is>
          <t>DIL_EM-10-G</t>
        </is>
      </c>
      <c r="F8807" t="inlineStr">
        <is>
          <t>#KALK!</t>
        </is>
      </c>
      <c r="G8807" t="inlineStr">
        <is>
          <t>LASTSCHUETZ</t>
        </is>
      </c>
      <c r="H8807" t="inlineStr">
        <is>
          <t>4kW 1S</t>
        </is>
      </c>
      <c r="I8807">
        <v>813</v>
      </c>
      <c r="J8807">
        <f>GS02/401.6</f>
        <v>0</v>
      </c>
      <c r="M8807" t="inlineStr">
        <is>
          <t>-401K70.5</t>
        </is>
      </c>
    </row>
    <row r="8808">
      <c r="A8808">
        <v>8807</v>
      </c>
      <c r="B8808">
        <f>GS51</f>
        <v>0</v>
      </c>
      <c r="C8808" t="inlineStr">
        <is>
          <t>+LS05</t>
        </is>
      </c>
      <c r="D8808" t="inlineStr">
        <is>
          <t>-401Q151.5</t>
        </is>
      </c>
      <c r="E8808" t="inlineStr">
        <is>
          <t>DILM-9-10</t>
        </is>
      </c>
      <c r="F8808" t="inlineStr">
        <is>
          <t>#KALK!</t>
        </is>
      </c>
      <c r="G8808" t="inlineStr">
        <is>
          <t>LASTSCHUETZ</t>
        </is>
      </c>
      <c r="H8808" t="inlineStr">
        <is>
          <t>4kW 1S Federzugkl.</t>
        </is>
      </c>
      <c r="I8808">
        <v>583</v>
      </c>
      <c r="J8808">
        <f>GS51/401.6</f>
        <v>0</v>
      </c>
      <c r="K8808" t="inlineStr">
        <is>
          <t>DIL MC9</t>
        </is>
      </c>
      <c r="M8808" t="inlineStr">
        <is>
          <t>-401Q151.5</t>
        </is>
      </c>
    </row>
    <row r="8809">
      <c r="A8809">
        <v>8808</v>
      </c>
      <c r="B8809">
        <f>GS93</f>
        <v>0</v>
      </c>
      <c r="C8809" t="inlineStr">
        <is>
          <t>+LS07</t>
        </is>
      </c>
      <c r="D8809" t="inlineStr">
        <is>
          <t>-401Q467.1</t>
        </is>
      </c>
      <c r="E8809" t="inlineStr">
        <is>
          <t>DILM-9-10</t>
        </is>
      </c>
      <c r="F8809" t="inlineStr">
        <is>
          <t>DILA-XHI22</t>
        </is>
      </c>
      <c r="G8809" t="inlineStr">
        <is>
          <t>LASTSCHUETZ</t>
        </is>
      </c>
      <c r="H8809" t="inlineStr">
        <is>
          <t>4kW 1S Federzugkl.</t>
        </is>
      </c>
      <c r="I8809">
        <v>955</v>
      </c>
      <c r="J8809">
        <f>GS93/401.5</f>
        <v>0</v>
      </c>
      <c r="M8809" t="inlineStr">
        <is>
          <t>-401Q467.1</t>
        </is>
      </c>
    </row>
    <row r="8810">
      <c r="A8810">
        <v>8809</v>
      </c>
      <c r="B8810">
        <f>GS93</f>
        <v>0</v>
      </c>
      <c r="C8810" t="inlineStr">
        <is>
          <t>+LS07</t>
        </is>
      </c>
      <c r="D8810" t="inlineStr">
        <is>
          <t>-401Q467.1</t>
        </is>
      </c>
      <c r="E8810" t="inlineStr">
        <is>
          <t>DILA-XHI22</t>
        </is>
      </c>
      <c r="F8810" t="inlineStr">
        <is>
          <t>DILA-XHI22</t>
        </is>
      </c>
      <c r="G8810" t="inlineStr">
        <is>
          <t>HILFSKONTAKTBLOCK</t>
        </is>
      </c>
      <c r="H8810" t="inlineStr">
        <is>
          <t>2S 2OE Last+Hilfssch. Cage</t>
        </is>
      </c>
      <c r="I8810">
        <v>955</v>
      </c>
      <c r="J8810">
        <f>GS93/401.5</f>
        <v>0</v>
      </c>
      <c r="M8810" t="inlineStr">
        <is>
          <t>-401Q467.1</t>
        </is>
      </c>
    </row>
    <row r="8811">
      <c r="A8811">
        <v>8810</v>
      </c>
      <c r="B8811">
        <f>GS93</f>
        <v>0</v>
      </c>
      <c r="C8811" t="inlineStr">
        <is>
          <t>+LS07</t>
        </is>
      </c>
      <c r="D8811" t="inlineStr">
        <is>
          <t>-401Q467.2</t>
        </is>
      </c>
      <c r="E8811" t="inlineStr">
        <is>
          <t>DILM-9-10</t>
        </is>
      </c>
      <c r="F8811" t="inlineStr">
        <is>
          <t>DILA-XHI22</t>
        </is>
      </c>
      <c r="G8811" t="inlineStr">
        <is>
          <t>LASTSCHUETZ</t>
        </is>
      </c>
      <c r="H8811" t="inlineStr">
        <is>
          <t>4kW 1S Federzugkl.</t>
        </is>
      </c>
      <c r="I8811">
        <v>955</v>
      </c>
      <c r="J8811">
        <f>GS93/401.6</f>
        <v>0</v>
      </c>
      <c r="M8811" t="inlineStr">
        <is>
          <t>-401Q467.2</t>
        </is>
      </c>
    </row>
    <row r="8812">
      <c r="A8812">
        <v>8811</v>
      </c>
      <c r="B8812">
        <f>GS93</f>
        <v>0</v>
      </c>
      <c r="C8812" t="inlineStr">
        <is>
          <t>+LS07</t>
        </is>
      </c>
      <c r="D8812" t="inlineStr">
        <is>
          <t>-401Q467.2</t>
        </is>
      </c>
      <c r="E8812" t="inlineStr">
        <is>
          <t>DILA-XHI22</t>
        </is>
      </c>
      <c r="F8812" t="inlineStr">
        <is>
          <t>DILA-XHI22</t>
        </is>
      </c>
      <c r="G8812" t="inlineStr">
        <is>
          <t>HILFSKONTAKTBLOCK</t>
        </is>
      </c>
      <c r="H8812" t="inlineStr">
        <is>
          <t>2S 2OE Last+Hilfssch. Cage</t>
        </is>
      </c>
      <c r="I8812">
        <v>955</v>
      </c>
      <c r="J8812">
        <f>GS93/401.6</f>
        <v>0</v>
      </c>
      <c r="M8812" t="inlineStr">
        <is>
          <t>-401Q467.2</t>
        </is>
      </c>
    </row>
    <row r="8813">
      <c r="A8813">
        <v>8812</v>
      </c>
      <c r="B8813">
        <f>GS13</f>
        <v>0</v>
      </c>
      <c r="C8813" t="inlineStr">
        <is>
          <t>+LS10</t>
        </is>
      </c>
      <c r="D8813" t="inlineStr">
        <is>
          <t>-4021</t>
        </is>
      </c>
      <c r="E8813" t="inlineStr">
        <is>
          <t>DILM-9-01</t>
        </is>
      </c>
      <c r="F8813" t="inlineStr">
        <is>
          <t>#KALK!</t>
        </is>
      </c>
      <c r="G8813" t="inlineStr">
        <is>
          <t>LASTSCHUETZ</t>
        </is>
      </c>
      <c r="H8813" t="inlineStr">
        <is>
          <t>4kW 1Oe Federzugkl.</t>
        </is>
      </c>
      <c r="I8813">
        <v>649</v>
      </c>
      <c r="J8813">
        <f>GS13/402.6</f>
        <v>0</v>
      </c>
      <c r="M8813" t="inlineStr">
        <is>
          <t>-4021</t>
        </is>
      </c>
    </row>
    <row r="8814">
      <c r="A8814">
        <v>8813</v>
      </c>
      <c r="B8814">
        <f>GS13</f>
        <v>0</v>
      </c>
      <c r="C8814" t="inlineStr">
        <is>
          <t>+LS10</t>
        </is>
      </c>
      <c r="D8814" t="inlineStr">
        <is>
          <t>-4022</t>
        </is>
      </c>
      <c r="E8814" t="inlineStr">
        <is>
          <t>DILM-9-01</t>
        </is>
      </c>
      <c r="F8814" t="inlineStr">
        <is>
          <t>#KALK!</t>
        </is>
      </c>
      <c r="G8814" t="inlineStr">
        <is>
          <t>LASTSCHUETZ</t>
        </is>
      </c>
      <c r="H8814" t="inlineStr">
        <is>
          <t>4kW 1Oe Federzugkl.</t>
        </is>
      </c>
      <c r="I8814">
        <v>649</v>
      </c>
      <c r="J8814">
        <f>GS13/402.7</f>
        <v>0</v>
      </c>
      <c r="M8814" t="inlineStr">
        <is>
          <t>-4022</t>
        </is>
      </c>
    </row>
    <row r="8815">
      <c r="A8815">
        <v>8814</v>
      </c>
      <c r="B8815">
        <f>GS23</f>
        <v>0</v>
      </c>
      <c r="C8815" t="inlineStr">
        <is>
          <t>+LS10</t>
        </is>
      </c>
      <c r="D8815" t="inlineStr">
        <is>
          <t>-402K1</t>
        </is>
      </c>
      <c r="E8815" t="inlineStr">
        <is>
          <t>DILM-9-01</t>
        </is>
      </c>
      <c r="F8815" t="inlineStr">
        <is>
          <t>#KALK!</t>
        </is>
      </c>
      <c r="G8815" t="inlineStr">
        <is>
          <t>LASTSCHUETZ</t>
        </is>
      </c>
      <c r="H8815" t="inlineStr">
        <is>
          <t>4kW 1Oe Federzugkl.</t>
        </is>
      </c>
      <c r="I8815">
        <v>703</v>
      </c>
      <c r="J8815">
        <f>GS23/402.6</f>
        <v>0</v>
      </c>
      <c r="M8815" t="inlineStr">
        <is>
          <t>-402K1</t>
        </is>
      </c>
    </row>
    <row r="8816">
      <c r="A8816">
        <v>8815</v>
      </c>
      <c r="B8816">
        <f>GC03</f>
        <v>0</v>
      </c>
      <c r="C8816" t="inlineStr">
        <is>
          <t>+LS9</t>
        </is>
      </c>
      <c r="D8816" t="inlineStr">
        <is>
          <t>-402K15.3</t>
        </is>
      </c>
      <c r="E8816" t="inlineStr">
        <is>
          <t>DIL_EM-10-G</t>
        </is>
      </c>
      <c r="F8816" t="inlineStr">
        <is>
          <t>#KALK!</t>
        </is>
      </c>
      <c r="G8816" t="inlineStr">
        <is>
          <t>LASTSCHUETZ</t>
        </is>
      </c>
      <c r="H8816" t="inlineStr">
        <is>
          <t>4kW 1S</t>
        </is>
      </c>
      <c r="I8816">
        <v>2116</v>
      </c>
      <c r="J8816">
        <f>GC03/402.7</f>
        <v>0</v>
      </c>
      <c r="M8816" t="inlineStr">
        <is>
          <t>-402K15.3</t>
        </is>
      </c>
    </row>
    <row r="8817">
      <c r="A8817">
        <v>8816</v>
      </c>
      <c r="B8817">
        <f>GS23</f>
        <v>0</v>
      </c>
      <c r="C8817" t="inlineStr">
        <is>
          <t>+LS10</t>
        </is>
      </c>
      <c r="D8817" t="inlineStr">
        <is>
          <t>-402K2</t>
        </is>
      </c>
      <c r="E8817" t="inlineStr">
        <is>
          <t>DILM-9-01</t>
        </is>
      </c>
      <c r="F8817" t="inlineStr">
        <is>
          <t>#KALK!</t>
        </is>
      </c>
      <c r="G8817" t="inlineStr">
        <is>
          <t>LASTSCHUETZ</t>
        </is>
      </c>
      <c r="H8817" t="inlineStr">
        <is>
          <t>4kW 1Oe Federzugkl.</t>
        </is>
      </c>
      <c r="I8817">
        <v>703</v>
      </c>
      <c r="J8817">
        <f>GS23/402.7</f>
        <v>0</v>
      </c>
      <c r="M8817" t="inlineStr">
        <is>
          <t>-402K2</t>
        </is>
      </c>
    </row>
    <row r="8818">
      <c r="A8818">
        <v>8817</v>
      </c>
      <c r="B8818">
        <f>GS25</f>
        <v>0</v>
      </c>
      <c r="C8818" t="inlineStr">
        <is>
          <t>+LS9</t>
        </is>
      </c>
      <c r="D8818" t="inlineStr">
        <is>
          <t>-402K38.0</t>
        </is>
      </c>
      <c r="E8818" t="inlineStr">
        <is>
          <t>DIL_EM-10-G</t>
        </is>
      </c>
      <c r="F8818" t="inlineStr">
        <is>
          <t>#KALK!</t>
        </is>
      </c>
      <c r="G8818" t="inlineStr">
        <is>
          <t>LASTSCHUETZ</t>
        </is>
      </c>
      <c r="H8818" t="inlineStr">
        <is>
          <t>4kW 1S</t>
        </is>
      </c>
      <c r="I8818">
        <v>526</v>
      </c>
      <c r="J8818">
        <f>GS25/402.6</f>
        <v>0</v>
      </c>
      <c r="M8818" t="inlineStr">
        <is>
          <t>-402K38.0</t>
        </is>
      </c>
    </row>
    <row r="8819">
      <c r="A8819">
        <v>8818</v>
      </c>
      <c r="B8819">
        <f>GS25</f>
        <v>0</v>
      </c>
      <c r="C8819" t="inlineStr">
        <is>
          <t>+LS9</t>
        </is>
      </c>
      <c r="D8819" t="inlineStr">
        <is>
          <t>-402K38.1</t>
        </is>
      </c>
      <c r="E8819" t="inlineStr">
        <is>
          <t>DIL_EM-10-G</t>
        </is>
      </c>
      <c r="F8819" t="inlineStr">
        <is>
          <t>#KALK!</t>
        </is>
      </c>
      <c r="G8819" t="inlineStr">
        <is>
          <t>LASTSCHUETZ</t>
        </is>
      </c>
      <c r="H8819" t="inlineStr">
        <is>
          <t>4kW 1S</t>
        </is>
      </c>
      <c r="I8819">
        <v>526</v>
      </c>
      <c r="J8819">
        <f>GS25/402.6</f>
        <v>0</v>
      </c>
      <c r="M8819" t="inlineStr">
        <is>
          <t>-402K38.1</t>
        </is>
      </c>
    </row>
    <row r="8820">
      <c r="A8820">
        <v>8819</v>
      </c>
      <c r="B8820">
        <f>GS24</f>
        <v>0</v>
      </c>
      <c r="C8820" t="inlineStr">
        <is>
          <t>+LS8</t>
        </is>
      </c>
      <c r="D8820" t="inlineStr">
        <is>
          <t>-402K44.5</t>
        </is>
      </c>
      <c r="E8820" t="inlineStr">
        <is>
          <t>DIL_EM-10-G</t>
        </is>
      </c>
      <c r="F8820" t="inlineStr">
        <is>
          <t>#KALK!</t>
        </is>
      </c>
      <c r="G8820" t="inlineStr">
        <is>
          <t>LASTSCHUETZ</t>
        </is>
      </c>
      <c r="H8820" t="inlineStr">
        <is>
          <t>4kW 1S</t>
        </is>
      </c>
      <c r="I8820">
        <v>685</v>
      </c>
      <c r="J8820">
        <f>GS24/402.6</f>
        <v>0</v>
      </c>
      <c r="M8820" t="inlineStr">
        <is>
          <t>-402K44.5</t>
        </is>
      </c>
    </row>
    <row r="8821">
      <c r="A8821">
        <v>8820</v>
      </c>
      <c r="B8821">
        <f>GS24</f>
        <v>0</v>
      </c>
      <c r="C8821" t="inlineStr">
        <is>
          <t>+LS8</t>
        </is>
      </c>
      <c r="D8821" t="inlineStr">
        <is>
          <t>-402K44.6</t>
        </is>
      </c>
      <c r="E8821" t="inlineStr">
        <is>
          <t>DIL_EM-10-G</t>
        </is>
      </c>
      <c r="F8821" t="inlineStr">
        <is>
          <t>#KALK!</t>
        </is>
      </c>
      <c r="G8821" t="inlineStr">
        <is>
          <t>LASTSCHUETZ</t>
        </is>
      </c>
      <c r="H8821" t="inlineStr">
        <is>
          <t>4kW 1S</t>
        </is>
      </c>
      <c r="I8821">
        <v>685</v>
      </c>
      <c r="J8821">
        <f>GS24/402.6</f>
        <v>0</v>
      </c>
      <c r="M8821" t="inlineStr">
        <is>
          <t>-402K44.6</t>
        </is>
      </c>
    </row>
    <row r="8822">
      <c r="A8822">
        <v>8821</v>
      </c>
      <c r="B8822">
        <f>GS33</f>
        <v>0</v>
      </c>
      <c r="C8822" t="inlineStr">
        <is>
          <t>+LS9</t>
        </is>
      </c>
      <c r="D8822" t="inlineStr">
        <is>
          <t>-402K48.0</t>
        </is>
      </c>
      <c r="E8822" t="inlineStr">
        <is>
          <t>DIL_EM-10-G</t>
        </is>
      </c>
      <c r="F8822" t="inlineStr">
        <is>
          <t>#KALK!</t>
        </is>
      </c>
      <c r="G8822" t="inlineStr">
        <is>
          <t>LASTSCHUETZ</t>
        </is>
      </c>
      <c r="H8822" t="inlineStr">
        <is>
          <t>4kW 1S</t>
        </is>
      </c>
      <c r="I8822">
        <v>856</v>
      </c>
      <c r="J8822">
        <f>GS33/402.6</f>
        <v>0</v>
      </c>
      <c r="M8822" t="inlineStr">
        <is>
          <t>-402K48.0</t>
        </is>
      </c>
    </row>
    <row r="8823">
      <c r="A8823">
        <v>8822</v>
      </c>
      <c r="B8823">
        <f>GS33</f>
        <v>0</v>
      </c>
      <c r="C8823" t="inlineStr">
        <is>
          <t>+LS9</t>
        </is>
      </c>
      <c r="D8823" t="inlineStr">
        <is>
          <t>-402K50.0</t>
        </is>
      </c>
      <c r="E8823" t="inlineStr">
        <is>
          <t>DIL_EM-10-G</t>
        </is>
      </c>
      <c r="F8823" t="inlineStr">
        <is>
          <t>#KALK!</t>
        </is>
      </c>
      <c r="G8823" t="inlineStr">
        <is>
          <t>LASTSCHUETZ</t>
        </is>
      </c>
      <c r="H8823" t="inlineStr">
        <is>
          <t>4kW 1S</t>
        </is>
      </c>
      <c r="I8823">
        <v>856</v>
      </c>
      <c r="J8823">
        <f>GS33/402.6</f>
        <v>0</v>
      </c>
      <c r="M8823" t="inlineStr">
        <is>
          <t>-402K50.0</t>
        </is>
      </c>
    </row>
    <row r="8824">
      <c r="A8824">
        <v>8823</v>
      </c>
      <c r="B8824">
        <f>GS51</f>
        <v>0</v>
      </c>
      <c r="C8824" t="inlineStr">
        <is>
          <t>+LS05</t>
        </is>
      </c>
      <c r="D8824" t="inlineStr">
        <is>
          <t>-402Q151.6</t>
        </is>
      </c>
      <c r="E8824" t="inlineStr">
        <is>
          <t>DILM-9-10</t>
        </is>
      </c>
      <c r="F8824" t="inlineStr">
        <is>
          <t>#KALK!</t>
        </is>
      </c>
      <c r="G8824" t="inlineStr">
        <is>
          <t>LASTSCHUETZ</t>
        </is>
      </c>
      <c r="H8824" t="inlineStr">
        <is>
          <t>4kW 1S Federzugkl.</t>
        </is>
      </c>
      <c r="I8824">
        <v>584</v>
      </c>
      <c r="J8824">
        <f>GS51/402.6</f>
        <v>0</v>
      </c>
      <c r="K8824" t="inlineStr">
        <is>
          <t>DIL MC9</t>
        </is>
      </c>
      <c r="M8824" t="inlineStr">
        <is>
          <t>-402Q151.6</t>
        </is>
      </c>
    </row>
    <row r="8825">
      <c r="A8825">
        <v>8824</v>
      </c>
      <c r="B8825">
        <f>GS93</f>
        <v>0</v>
      </c>
      <c r="C8825" t="inlineStr">
        <is>
          <t>+LS07</t>
        </is>
      </c>
      <c r="D8825" t="inlineStr">
        <is>
          <t>-402Q467.3</t>
        </is>
      </c>
      <c r="E8825" t="inlineStr">
        <is>
          <t>DILM-9-10</t>
        </is>
      </c>
      <c r="F8825" t="inlineStr">
        <is>
          <t>#KALK!</t>
        </is>
      </c>
      <c r="G8825" t="inlineStr">
        <is>
          <t>LASTSCHUETZ</t>
        </is>
      </c>
      <c r="H8825" t="inlineStr">
        <is>
          <t>4kW 1S Federzugkl.</t>
        </is>
      </c>
      <c r="I8825">
        <v>956</v>
      </c>
      <c r="J8825">
        <f>GS93/402.5</f>
        <v>0</v>
      </c>
      <c r="M8825" t="inlineStr">
        <is>
          <t>-402Q467.3</t>
        </is>
      </c>
    </row>
    <row r="8826">
      <c r="A8826">
        <v>8825</v>
      </c>
      <c r="B8826">
        <f>GS13</f>
        <v>0</v>
      </c>
      <c r="C8826" t="inlineStr">
        <is>
          <t>+LS10</t>
        </is>
      </c>
      <c r="D8826" t="inlineStr">
        <is>
          <t>-4031</t>
        </is>
      </c>
      <c r="E8826" t="inlineStr">
        <is>
          <t>DILM-9-01</t>
        </is>
      </c>
      <c r="F8826" t="inlineStr">
        <is>
          <t>#KALK!</t>
        </is>
      </c>
      <c r="G8826" t="inlineStr">
        <is>
          <t>LASTSCHUETZ</t>
        </is>
      </c>
      <c r="H8826" t="inlineStr">
        <is>
          <t>4kW 1Oe Federzugkl.</t>
        </is>
      </c>
      <c r="I8826">
        <v>650</v>
      </c>
      <c r="J8826">
        <f>GS13/403.6</f>
        <v>0</v>
      </c>
      <c r="M8826" t="inlineStr">
        <is>
          <t>-4031</t>
        </is>
      </c>
    </row>
    <row r="8827">
      <c r="A8827">
        <v>8826</v>
      </c>
      <c r="B8827">
        <f>GS13</f>
        <v>0</v>
      </c>
      <c r="C8827" t="inlineStr">
        <is>
          <t>+LS10</t>
        </is>
      </c>
      <c r="D8827" t="inlineStr">
        <is>
          <t>-4032</t>
        </is>
      </c>
      <c r="E8827" t="inlineStr">
        <is>
          <t>DILM-9-01</t>
        </is>
      </c>
      <c r="F8827" t="inlineStr">
        <is>
          <t>#KALK!</t>
        </is>
      </c>
      <c r="G8827" t="inlineStr">
        <is>
          <t>LASTSCHUETZ</t>
        </is>
      </c>
      <c r="H8827" t="inlineStr">
        <is>
          <t>4kW 1Oe Federzugkl.</t>
        </is>
      </c>
      <c r="I8827">
        <v>650</v>
      </c>
      <c r="J8827">
        <f>GS13/403.7</f>
        <v>0</v>
      </c>
      <c r="M8827" t="inlineStr">
        <is>
          <t>-4032</t>
        </is>
      </c>
    </row>
    <row r="8828">
      <c r="A8828">
        <v>8827</v>
      </c>
      <c r="B8828">
        <f>GS11</f>
        <v>0</v>
      </c>
      <c r="C8828" t="inlineStr">
        <is>
          <t>+LS10</t>
        </is>
      </c>
      <c r="D8828" t="inlineStr">
        <is>
          <t>-403K1</t>
        </is>
      </c>
      <c r="E8828" t="inlineStr">
        <is>
          <t>22_DIL-M</t>
        </is>
      </c>
      <c r="F8828" t="inlineStr">
        <is>
          <t>22_DIL-M</t>
        </is>
      </c>
      <c r="G8828" t="inlineStr">
        <is>
          <t>HILFSKONTAKTBLOCK</t>
        </is>
      </c>
      <c r="H8828" t="inlineStr">
        <is>
          <t>2S 2OE Lastschuetz DIL M</t>
        </is>
      </c>
      <c r="I8828">
        <v>509</v>
      </c>
      <c r="J8828">
        <f>GS11/403.2</f>
        <v>0</v>
      </c>
      <c r="K8828" t="inlineStr">
        <is>
          <t>DIL0AM</t>
        </is>
      </c>
      <c r="M8828" t="inlineStr">
        <is>
          <t>-403K1</t>
        </is>
      </c>
    </row>
    <row r="8829">
      <c r="A8829">
        <v>8828</v>
      </c>
      <c r="B8829">
        <f>GS11</f>
        <v>0</v>
      </c>
      <c r="C8829" t="inlineStr">
        <is>
          <t>+LS10</t>
        </is>
      </c>
      <c r="D8829" t="inlineStr">
        <is>
          <t>-403K1</t>
        </is>
      </c>
      <c r="E8829" t="inlineStr">
        <is>
          <t>DIL_0AM</t>
        </is>
      </c>
      <c r="F8829" t="inlineStr">
        <is>
          <t>22_DIL-M</t>
        </is>
      </c>
      <c r="G8829" t="inlineStr">
        <is>
          <t>LASTSCHUETZ</t>
        </is>
      </c>
      <c r="H8829" t="inlineStr">
        <is>
          <t>11 kW</t>
        </is>
      </c>
      <c r="I8829">
        <v>509</v>
      </c>
      <c r="J8829">
        <f>GS11/403.2</f>
        <v>0</v>
      </c>
      <c r="K8829" t="inlineStr">
        <is>
          <t>DIL0AM</t>
        </is>
      </c>
      <c r="M8829" t="inlineStr">
        <is>
          <t>-403K1</t>
        </is>
      </c>
    </row>
    <row r="8830">
      <c r="A8830">
        <v>8829</v>
      </c>
      <c r="B8830">
        <f>GS21</f>
        <v>0</v>
      </c>
      <c r="C8830" t="inlineStr">
        <is>
          <t>+LS10</t>
        </is>
      </c>
      <c r="D8830" t="inlineStr">
        <is>
          <t>-403K1</t>
        </is>
      </c>
      <c r="E8830" t="inlineStr">
        <is>
          <t>DIL_0AM</t>
        </is>
      </c>
      <c r="F8830" t="inlineStr">
        <is>
          <t>22_DIL-M</t>
        </is>
      </c>
      <c r="G8830" t="inlineStr">
        <is>
          <t>LASTSCHUETZ</t>
        </is>
      </c>
      <c r="H8830" t="inlineStr">
        <is>
          <t>11 kW</t>
        </is>
      </c>
      <c r="I8830">
        <v>491</v>
      </c>
      <c r="J8830">
        <f>GS21/403.2</f>
        <v>0</v>
      </c>
      <c r="K8830" t="inlineStr">
        <is>
          <t>DIL0AM</t>
        </is>
      </c>
      <c r="M8830" t="inlineStr">
        <is>
          <t>-403K1</t>
        </is>
      </c>
    </row>
    <row r="8831">
      <c r="A8831">
        <v>8830</v>
      </c>
      <c r="B8831">
        <f>GS21</f>
        <v>0</v>
      </c>
      <c r="C8831" t="inlineStr">
        <is>
          <t>+LS10</t>
        </is>
      </c>
      <c r="D8831" t="inlineStr">
        <is>
          <t>-403K1</t>
        </is>
      </c>
      <c r="E8831" t="inlineStr">
        <is>
          <t>22_DIL-M</t>
        </is>
      </c>
      <c r="F8831" t="inlineStr">
        <is>
          <t>22_DIL-M</t>
        </is>
      </c>
      <c r="G8831" t="inlineStr">
        <is>
          <t>HILFSKONTAKTBLOCK</t>
        </is>
      </c>
      <c r="H8831" t="inlineStr">
        <is>
          <t>2S 2OE Lastschuetz DIL M</t>
        </is>
      </c>
      <c r="I8831">
        <v>491</v>
      </c>
      <c r="J8831">
        <f>GS21/403.2</f>
        <v>0</v>
      </c>
      <c r="K8831" t="inlineStr">
        <is>
          <t>DIL0AM</t>
        </is>
      </c>
      <c r="M8831" t="inlineStr">
        <is>
          <t>-403K1</t>
        </is>
      </c>
    </row>
    <row r="8832">
      <c r="A8832">
        <v>8831</v>
      </c>
      <c r="B8832">
        <f>GS23</f>
        <v>0</v>
      </c>
      <c r="C8832" t="inlineStr">
        <is>
          <t>+LS10</t>
        </is>
      </c>
      <c r="D8832" t="inlineStr">
        <is>
          <t>-403K1</t>
        </is>
      </c>
      <c r="E8832" t="inlineStr">
        <is>
          <t>DILM-9-01</t>
        </is>
      </c>
      <c r="F8832" t="inlineStr">
        <is>
          <t>#KALK!</t>
        </is>
      </c>
      <c r="G8832" t="inlineStr">
        <is>
          <t>LASTSCHUETZ</t>
        </is>
      </c>
      <c r="H8832" t="inlineStr">
        <is>
          <t>4kW 1Oe Federzugkl.</t>
        </is>
      </c>
      <c r="I8832">
        <v>704</v>
      </c>
      <c r="J8832">
        <f>GS23/403.6</f>
        <v>0</v>
      </c>
      <c r="M8832" t="inlineStr">
        <is>
          <t>-403K1</t>
        </is>
      </c>
    </row>
    <row r="8833">
      <c r="A8833">
        <v>8832</v>
      </c>
      <c r="B8833">
        <f>GC03</f>
        <v>0</v>
      </c>
      <c r="C8833" t="inlineStr">
        <is>
          <t>+LS9</t>
        </is>
      </c>
      <c r="D8833" t="inlineStr">
        <is>
          <t>-403K15.7</t>
        </is>
      </c>
      <c r="E8833" t="inlineStr">
        <is>
          <t>DIL_EM-10-G</t>
        </is>
      </c>
      <c r="F8833" t="inlineStr">
        <is>
          <t>#KALK!</t>
        </is>
      </c>
      <c r="G8833" t="inlineStr">
        <is>
          <t>LASTSCHUETZ</t>
        </is>
      </c>
      <c r="H8833" t="inlineStr">
        <is>
          <t>4kW 1S</t>
        </is>
      </c>
      <c r="I8833">
        <v>2102</v>
      </c>
      <c r="J8833">
        <f>GC03/403.7</f>
        <v>0</v>
      </c>
      <c r="M8833" t="inlineStr">
        <is>
          <t>-403K15.7</t>
        </is>
      </c>
    </row>
    <row r="8834">
      <c r="A8834">
        <v>8833</v>
      </c>
      <c r="B8834">
        <f>GS23</f>
        <v>0</v>
      </c>
      <c r="C8834" t="inlineStr">
        <is>
          <t>+LS10</t>
        </is>
      </c>
      <c r="D8834" t="inlineStr">
        <is>
          <t>-403K2</t>
        </is>
      </c>
      <c r="E8834" t="inlineStr">
        <is>
          <t>DILM-9-01</t>
        </is>
      </c>
      <c r="F8834" t="inlineStr">
        <is>
          <t>#KALK!</t>
        </is>
      </c>
      <c r="G8834" t="inlineStr">
        <is>
          <t>LASTSCHUETZ</t>
        </is>
      </c>
      <c r="H8834" t="inlineStr">
        <is>
          <t>4kW 1Oe Federzugkl.</t>
        </is>
      </c>
      <c r="I8834">
        <v>704</v>
      </c>
      <c r="J8834">
        <f>GS23/403.7</f>
        <v>0</v>
      </c>
      <c r="M8834" t="inlineStr">
        <is>
          <t>-403K2</t>
        </is>
      </c>
    </row>
    <row r="8835">
      <c r="A8835">
        <v>8834</v>
      </c>
      <c r="B8835">
        <f>GS33</f>
        <v>0</v>
      </c>
      <c r="C8835" t="inlineStr">
        <is>
          <t>+LS9</t>
        </is>
      </c>
      <c r="D8835" t="inlineStr">
        <is>
          <t>-403K48.1</t>
        </is>
      </c>
      <c r="E8835" t="inlineStr">
        <is>
          <t>DIL_EM-10-G</t>
        </is>
      </c>
      <c r="F8835" t="inlineStr">
        <is>
          <t>#KALK!</t>
        </is>
      </c>
      <c r="G8835" t="inlineStr">
        <is>
          <t>LASTSCHUETZ</t>
        </is>
      </c>
      <c r="H8835" t="inlineStr">
        <is>
          <t>4kW 1S</t>
        </is>
      </c>
      <c r="I8835">
        <v>857</v>
      </c>
      <c r="J8835">
        <f>GS33/403.6</f>
        <v>0</v>
      </c>
      <c r="M8835" t="inlineStr">
        <is>
          <t>-403K48.1</t>
        </is>
      </c>
    </row>
    <row r="8836">
      <c r="A8836">
        <v>8835</v>
      </c>
      <c r="B8836">
        <f>GS33</f>
        <v>0</v>
      </c>
      <c r="C8836" t="inlineStr">
        <is>
          <t>+LS9</t>
        </is>
      </c>
      <c r="D8836" t="inlineStr">
        <is>
          <t>-403K50.1</t>
        </is>
      </c>
      <c r="E8836" t="inlineStr">
        <is>
          <t>DIL_EM-10-G</t>
        </is>
      </c>
      <c r="F8836" t="inlineStr">
        <is>
          <t>#KALK!</t>
        </is>
      </c>
      <c r="G8836" t="inlineStr">
        <is>
          <t>LASTSCHUETZ</t>
        </is>
      </c>
      <c r="H8836" t="inlineStr">
        <is>
          <t>4kW 1S</t>
        </is>
      </c>
      <c r="I8836">
        <v>857</v>
      </c>
      <c r="J8836">
        <f>GS33/403.6</f>
        <v>0</v>
      </c>
      <c r="M8836" t="inlineStr">
        <is>
          <t>-403K50.1</t>
        </is>
      </c>
    </row>
    <row r="8837">
      <c r="A8837">
        <v>8836</v>
      </c>
      <c r="B8837">
        <f>GS05</f>
        <v>0</v>
      </c>
      <c r="C8837" t="inlineStr">
        <is>
          <t>+LS06</t>
        </is>
      </c>
      <c r="D8837" t="inlineStr">
        <is>
          <t>-403Q141.4</t>
        </is>
      </c>
      <c r="E8837" t="inlineStr">
        <is>
          <t>DILM-9-10</t>
        </is>
      </c>
      <c r="F8837" t="inlineStr">
        <is>
          <t>#KALK!</t>
        </is>
      </c>
      <c r="G8837" t="inlineStr">
        <is>
          <t>LASTSCHUETZ</t>
        </is>
      </c>
      <c r="H8837" t="inlineStr">
        <is>
          <t>4kW 1S Federzugkl.</t>
        </is>
      </c>
      <c r="I8837">
        <v>2013</v>
      </c>
      <c r="J8837">
        <f>GS05/403.6</f>
        <v>0</v>
      </c>
      <c r="K8837" t="inlineStr">
        <is>
          <t>DIL MC9</t>
        </is>
      </c>
      <c r="M8837" t="inlineStr">
        <is>
          <t>-403Q141.4</t>
        </is>
      </c>
    </row>
    <row r="8838">
      <c r="A8838">
        <v>8837</v>
      </c>
      <c r="B8838">
        <f>GC03</f>
        <v>0</v>
      </c>
      <c r="C8838" t="inlineStr">
        <is>
          <t>+LS9</t>
        </is>
      </c>
      <c r="D8838" t="inlineStr">
        <is>
          <t>-404K16.3</t>
        </is>
      </c>
      <c r="E8838" t="inlineStr">
        <is>
          <t>DIL_EM-10-G</t>
        </is>
      </c>
      <c r="F8838" t="inlineStr">
        <is>
          <t>#KALK!</t>
        </is>
      </c>
      <c r="G8838" t="inlineStr">
        <is>
          <t>LASTSCHUETZ</t>
        </is>
      </c>
      <c r="H8838" t="inlineStr">
        <is>
          <t>4kW 1S</t>
        </is>
      </c>
      <c r="I8838">
        <v>643</v>
      </c>
      <c r="J8838">
        <f>GC03/404.7</f>
        <v>0</v>
      </c>
      <c r="M8838" t="inlineStr">
        <is>
          <t>-404K16.3</t>
        </is>
      </c>
    </row>
    <row r="8839">
      <c r="A8839">
        <v>8838</v>
      </c>
      <c r="B8839">
        <f>GS25</f>
        <v>0</v>
      </c>
      <c r="C8839" t="inlineStr">
        <is>
          <t>+LS9</t>
        </is>
      </c>
      <c r="D8839" t="inlineStr">
        <is>
          <t>-404K38.7</t>
        </is>
      </c>
      <c r="E8839" t="inlineStr">
        <is>
          <t>DIL_EM-10-G</t>
        </is>
      </c>
      <c r="F8839" t="inlineStr">
        <is>
          <t>#KALK!</t>
        </is>
      </c>
      <c r="G8839" t="inlineStr">
        <is>
          <t>LASTSCHUETZ</t>
        </is>
      </c>
      <c r="H8839" t="inlineStr">
        <is>
          <t>4kW 1S</t>
        </is>
      </c>
      <c r="I8839">
        <v>528</v>
      </c>
      <c r="J8839">
        <f>GS25/404.5</f>
        <v>0</v>
      </c>
      <c r="M8839" t="inlineStr">
        <is>
          <t>-404K38.7</t>
        </is>
      </c>
    </row>
    <row r="8840">
      <c r="A8840">
        <v>8839</v>
      </c>
      <c r="B8840">
        <f>GS25</f>
        <v>0</v>
      </c>
      <c r="C8840" t="inlineStr">
        <is>
          <t>+LS9</t>
        </is>
      </c>
      <c r="D8840" t="inlineStr">
        <is>
          <t>-404K39.0</t>
        </is>
      </c>
      <c r="E8840" t="inlineStr">
        <is>
          <t>DIL_EM-10-G</t>
        </is>
      </c>
      <c r="F8840" t="inlineStr">
        <is>
          <t>#KALK!</t>
        </is>
      </c>
      <c r="G8840" t="inlineStr">
        <is>
          <t>LASTSCHUETZ</t>
        </is>
      </c>
      <c r="H8840" t="inlineStr">
        <is>
          <t>4kW 1S</t>
        </is>
      </c>
      <c r="I8840">
        <v>528</v>
      </c>
      <c r="J8840">
        <f>GS25/404.6</f>
        <v>0</v>
      </c>
      <c r="M8840" t="inlineStr">
        <is>
          <t>-404K39.0</t>
        </is>
      </c>
    </row>
    <row r="8841">
      <c r="A8841">
        <v>8840</v>
      </c>
      <c r="B8841">
        <f>GS25</f>
        <v>0</v>
      </c>
      <c r="C8841" t="inlineStr">
        <is>
          <t>+LS9</t>
        </is>
      </c>
      <c r="D8841" t="inlineStr">
        <is>
          <t>-404K39.1</t>
        </is>
      </c>
      <c r="E8841" t="inlineStr">
        <is>
          <t>DIL_EM-01-G</t>
        </is>
      </c>
      <c r="F8841" t="inlineStr">
        <is>
          <t>#KALK!</t>
        </is>
      </c>
      <c r="G8841" t="inlineStr">
        <is>
          <t>LASTSCHUETZ</t>
        </is>
      </c>
      <c r="H8841" t="inlineStr">
        <is>
          <t>4kW 1OE</t>
        </is>
      </c>
      <c r="I8841">
        <v>528</v>
      </c>
      <c r="J8841">
        <f>GS25/404.7</f>
        <v>0</v>
      </c>
      <c r="M8841" t="inlineStr">
        <is>
          <t>-404K39.1</t>
        </is>
      </c>
    </row>
    <row r="8842">
      <c r="A8842">
        <v>8841</v>
      </c>
      <c r="B8842">
        <f>GS25</f>
        <v>0</v>
      </c>
      <c r="C8842" t="inlineStr">
        <is>
          <t>+LS9</t>
        </is>
      </c>
      <c r="D8842" t="inlineStr">
        <is>
          <t>-404K39.2</t>
        </is>
      </c>
      <c r="E8842" t="inlineStr">
        <is>
          <t>DIL_EM-01-G</t>
        </is>
      </c>
      <c r="F8842" t="inlineStr">
        <is>
          <t>#KALK!</t>
        </is>
      </c>
      <c r="G8842" t="inlineStr">
        <is>
          <t>LASTSCHUETZ</t>
        </is>
      </c>
      <c r="H8842" t="inlineStr">
        <is>
          <t>4kW 1OE</t>
        </is>
      </c>
      <c r="I8842">
        <v>528</v>
      </c>
      <c r="J8842">
        <f>GS25/404.8</f>
        <v>0</v>
      </c>
      <c r="M8842" t="inlineStr">
        <is>
          <t>-404K39.2</t>
        </is>
      </c>
    </row>
    <row r="8843">
      <c r="A8843">
        <v>8842</v>
      </c>
      <c r="B8843">
        <f>GS34</f>
        <v>0</v>
      </c>
      <c r="C8843" t="inlineStr">
        <is>
          <t>+LS9</t>
        </is>
      </c>
      <c r="D8843" t="inlineStr">
        <is>
          <t>-404K3902.0</t>
        </is>
      </c>
      <c r="E8843" t="inlineStr">
        <is>
          <t>DIL_ER-22-G</t>
        </is>
      </c>
      <c r="F8843" t="inlineStr">
        <is>
          <t>#KALK!</t>
        </is>
      </c>
      <c r="G8843" t="inlineStr">
        <is>
          <t>HILFSSCHUETZ</t>
        </is>
      </c>
      <c r="H8843" t="inlineStr">
        <is>
          <t>2S 2OE</t>
        </is>
      </c>
      <c r="I8843">
        <v>529</v>
      </c>
      <c r="J8843">
        <f>GS34/404.5</f>
        <v>0</v>
      </c>
      <c r="M8843" t="inlineStr">
        <is>
          <t>-404K3902.0</t>
        </is>
      </c>
    </row>
    <row r="8844">
      <c r="A8844">
        <v>8843</v>
      </c>
      <c r="B8844">
        <f>GS34</f>
        <v>0</v>
      </c>
      <c r="C8844" t="inlineStr">
        <is>
          <t>+LS9</t>
        </is>
      </c>
      <c r="D8844" t="inlineStr">
        <is>
          <t>-404K3902.1</t>
        </is>
      </c>
      <c r="E8844" t="inlineStr">
        <is>
          <t>DIL_ER-22-G</t>
        </is>
      </c>
      <c r="F8844" t="inlineStr">
        <is>
          <t>#KALK!</t>
        </is>
      </c>
      <c r="G8844" t="inlineStr">
        <is>
          <t>HILFSSCHUETZ</t>
        </is>
      </c>
      <c r="H8844" t="inlineStr">
        <is>
          <t>2S 2OE</t>
        </is>
      </c>
      <c r="I8844">
        <v>529</v>
      </c>
      <c r="J8844">
        <f>GS34/404.6</f>
        <v>0</v>
      </c>
      <c r="M8844" t="inlineStr">
        <is>
          <t>-404K3902.1</t>
        </is>
      </c>
    </row>
    <row r="8845">
      <c r="A8845">
        <v>8844</v>
      </c>
      <c r="B8845">
        <f>GS34</f>
        <v>0</v>
      </c>
      <c r="C8845" t="inlineStr">
        <is>
          <t>+LS9</t>
        </is>
      </c>
      <c r="D8845" t="inlineStr">
        <is>
          <t>-404K3902.2</t>
        </is>
      </c>
      <c r="E8845" t="inlineStr">
        <is>
          <t>DIL_ER-22-G</t>
        </is>
      </c>
      <c r="F8845" t="inlineStr">
        <is>
          <t>#KALK!</t>
        </is>
      </c>
      <c r="G8845" t="inlineStr">
        <is>
          <t>HILFSSCHUETZ</t>
        </is>
      </c>
      <c r="H8845" t="inlineStr">
        <is>
          <t>2S 2OE</t>
        </is>
      </c>
      <c r="I8845">
        <v>529</v>
      </c>
      <c r="J8845">
        <f>GS34/404.7</f>
        <v>0</v>
      </c>
      <c r="M8845" t="inlineStr">
        <is>
          <t>-404K3902.2</t>
        </is>
      </c>
    </row>
    <row r="8846">
      <c r="A8846">
        <v>8845</v>
      </c>
      <c r="B8846">
        <f>GS34</f>
        <v>0</v>
      </c>
      <c r="C8846" t="inlineStr">
        <is>
          <t>+LS9</t>
        </is>
      </c>
      <c r="D8846" t="inlineStr">
        <is>
          <t>-404K3902.4</t>
        </is>
      </c>
      <c r="E8846" t="inlineStr">
        <is>
          <t>DIL_EM-10-G</t>
        </is>
      </c>
      <c r="F8846" t="inlineStr">
        <is>
          <t>#KALK!</t>
        </is>
      </c>
      <c r="G8846" t="inlineStr">
        <is>
          <t>LASTSCHUETZ</t>
        </is>
      </c>
      <c r="H8846" t="inlineStr">
        <is>
          <t>4kW 1S</t>
        </is>
      </c>
      <c r="I8846">
        <v>529</v>
      </c>
      <c r="J8846">
        <f>GS34/404.7</f>
        <v>0</v>
      </c>
      <c r="M8846" t="inlineStr">
        <is>
          <t>-404K3902.4</t>
        </is>
      </c>
    </row>
    <row r="8847">
      <c r="A8847">
        <v>8846</v>
      </c>
      <c r="B8847">
        <f>GS33</f>
        <v>0</v>
      </c>
      <c r="C8847" t="inlineStr">
        <is>
          <t>+LS9</t>
        </is>
      </c>
      <c r="D8847" t="inlineStr">
        <is>
          <t>-404K48.2</t>
        </is>
      </c>
      <c r="E8847" t="inlineStr">
        <is>
          <t>DIL_EM-10-G</t>
        </is>
      </c>
      <c r="F8847" t="inlineStr">
        <is>
          <t>#KALK!</t>
        </is>
      </c>
      <c r="G8847" t="inlineStr">
        <is>
          <t>LASTSCHUETZ</t>
        </is>
      </c>
      <c r="H8847" t="inlineStr">
        <is>
          <t>4kW 1S</t>
        </is>
      </c>
      <c r="I8847">
        <v>858</v>
      </c>
      <c r="J8847">
        <f>GS33/404.6</f>
        <v>0</v>
      </c>
      <c r="M8847" t="inlineStr">
        <is>
          <t>-404K48.2</t>
        </is>
      </c>
    </row>
    <row r="8848">
      <c r="A8848">
        <v>8847</v>
      </c>
      <c r="B8848">
        <f>GS33</f>
        <v>0</v>
      </c>
      <c r="C8848" t="inlineStr">
        <is>
          <t>+LS9</t>
        </is>
      </c>
      <c r="D8848" t="inlineStr">
        <is>
          <t>-404K50.2</t>
        </is>
      </c>
      <c r="E8848" t="inlineStr">
        <is>
          <t>DIL_EM-10-G</t>
        </is>
      </c>
      <c r="F8848" t="inlineStr">
        <is>
          <t>#KALK!</t>
        </is>
      </c>
      <c r="G8848" t="inlineStr">
        <is>
          <t>LASTSCHUETZ</t>
        </is>
      </c>
      <c r="H8848" t="inlineStr">
        <is>
          <t>4kW 1S</t>
        </is>
      </c>
      <c r="I8848">
        <v>858</v>
      </c>
      <c r="J8848">
        <f>GS33/404.6</f>
        <v>0</v>
      </c>
      <c r="M8848" t="inlineStr">
        <is>
          <t>-404K50.2</t>
        </is>
      </c>
    </row>
    <row r="8849">
      <c r="A8849">
        <v>8848</v>
      </c>
      <c r="B8849">
        <f>GS13</f>
        <v>0</v>
      </c>
      <c r="C8849" t="inlineStr">
        <is>
          <t>+LS10</t>
        </is>
      </c>
      <c r="D8849" t="inlineStr">
        <is>
          <t>-4053602.0</t>
        </is>
      </c>
      <c r="E8849" t="inlineStr">
        <is>
          <t>DIL_EM-10-G</t>
        </is>
      </c>
      <c r="F8849" t="inlineStr">
        <is>
          <t>22_DIL-E</t>
        </is>
      </c>
      <c r="G8849" t="inlineStr">
        <is>
          <t>LASTSCHUETZ</t>
        </is>
      </c>
      <c r="H8849" t="inlineStr">
        <is>
          <t>4kW 1S</t>
        </is>
      </c>
      <c r="I8849">
        <v>652</v>
      </c>
      <c r="J8849">
        <f>GS13/405.2</f>
        <v>0</v>
      </c>
      <c r="M8849" t="inlineStr">
        <is>
          <t>-4053602.0</t>
        </is>
      </c>
    </row>
    <row r="8850">
      <c r="A8850">
        <v>8849</v>
      </c>
      <c r="B8850">
        <f>GS13</f>
        <v>0</v>
      </c>
      <c r="C8850" t="inlineStr">
        <is>
          <t>+LS10</t>
        </is>
      </c>
      <c r="D8850" t="inlineStr">
        <is>
          <t>-4053602.0</t>
        </is>
      </c>
      <c r="E8850" t="inlineStr">
        <is>
          <t>22_DIL-E</t>
        </is>
      </c>
      <c r="F8850" t="inlineStr">
        <is>
          <t>22_DIL-E</t>
        </is>
      </c>
      <c r="G8850" t="inlineStr">
        <is>
          <t>HILFSKONTAKTBLOCK</t>
        </is>
      </c>
      <c r="H8850" t="inlineStr">
        <is>
          <t>2S 2OE Last+Hilfsschuetz</t>
        </is>
      </c>
      <c r="I8850">
        <v>652</v>
      </c>
      <c r="J8850">
        <f>GS13/405.2</f>
        <v>0</v>
      </c>
      <c r="M8850" t="inlineStr">
        <is>
          <t>-4053602.0</t>
        </is>
      </c>
    </row>
    <row r="8851">
      <c r="A8851">
        <v>8850</v>
      </c>
      <c r="B8851">
        <f>GS13</f>
        <v>0</v>
      </c>
      <c r="C8851" t="inlineStr">
        <is>
          <t>+LS10</t>
        </is>
      </c>
      <c r="D8851" t="inlineStr">
        <is>
          <t>-4053602.1</t>
        </is>
      </c>
      <c r="E8851" t="inlineStr">
        <is>
          <t>DIL_EM-10-G</t>
        </is>
      </c>
      <c r="F8851" t="inlineStr">
        <is>
          <t>22_DIL-E</t>
        </is>
      </c>
      <c r="G8851" t="inlineStr">
        <is>
          <t>LASTSCHUETZ</t>
        </is>
      </c>
      <c r="H8851" t="inlineStr">
        <is>
          <t>4kW 1S</t>
        </is>
      </c>
      <c r="I8851">
        <v>652</v>
      </c>
      <c r="J8851">
        <f>GS13/405.3</f>
        <v>0</v>
      </c>
      <c r="M8851" t="inlineStr">
        <is>
          <t>-4053602.1</t>
        </is>
      </c>
    </row>
    <row r="8852">
      <c r="A8852">
        <v>8851</v>
      </c>
      <c r="B8852">
        <f>GS13</f>
        <v>0</v>
      </c>
      <c r="C8852" t="inlineStr">
        <is>
          <t>+LS10</t>
        </is>
      </c>
      <c r="D8852" t="inlineStr">
        <is>
          <t>-4053602.1</t>
        </is>
      </c>
      <c r="E8852" t="inlineStr">
        <is>
          <t>22_DIL-E</t>
        </is>
      </c>
      <c r="F8852" t="inlineStr">
        <is>
          <t>22_DIL-E</t>
        </is>
      </c>
      <c r="G8852" t="inlineStr">
        <is>
          <t>HILFSKONTAKTBLOCK</t>
        </is>
      </c>
      <c r="H8852" t="inlineStr">
        <is>
          <t>2S 2OE Last+Hilfsschuetz</t>
        </is>
      </c>
      <c r="I8852">
        <v>652</v>
      </c>
      <c r="J8852">
        <f>GS13/405.3</f>
        <v>0</v>
      </c>
      <c r="M8852" t="inlineStr">
        <is>
          <t>-4053602.1</t>
        </is>
      </c>
    </row>
    <row r="8853">
      <c r="A8853">
        <v>8852</v>
      </c>
      <c r="B8853">
        <f>GS13</f>
        <v>0</v>
      </c>
      <c r="C8853" t="inlineStr">
        <is>
          <t>+LS10</t>
        </is>
      </c>
      <c r="D8853" t="inlineStr">
        <is>
          <t>-405A2</t>
        </is>
      </c>
      <c r="E8853" t="inlineStr">
        <is>
          <t>DIL_ER-22-G</t>
        </is>
      </c>
      <c r="F8853" t="inlineStr">
        <is>
          <t>#KALK!</t>
        </is>
      </c>
      <c r="G8853" t="inlineStr">
        <is>
          <t>HILFSSCHUETZ</t>
        </is>
      </c>
      <c r="H8853" t="inlineStr">
        <is>
          <t>2S 2OE</t>
        </is>
      </c>
      <c r="I8853">
        <v>652</v>
      </c>
      <c r="J8853">
        <f>GS13/405.5</f>
        <v>0</v>
      </c>
      <c r="M8853" t="inlineStr">
        <is>
          <t>-405A2</t>
        </is>
      </c>
    </row>
    <row r="8854">
      <c r="A8854">
        <v>8853</v>
      </c>
      <c r="B8854">
        <f>GS04</f>
        <v>0</v>
      </c>
      <c r="C8854" t="inlineStr">
        <is>
          <t>+LS9</t>
        </is>
      </c>
      <c r="D8854" t="inlineStr">
        <is>
          <t>-405K1</t>
        </is>
      </c>
      <c r="E8854" t="inlineStr">
        <is>
          <t>DIL_0AM</t>
        </is>
      </c>
      <c r="F8854" t="inlineStr">
        <is>
          <t>22_DIL-M</t>
        </is>
      </c>
      <c r="G8854" t="inlineStr">
        <is>
          <t>LASTSCHUETZ</t>
        </is>
      </c>
      <c r="H8854" t="inlineStr">
        <is>
          <t>11 kW</t>
        </is>
      </c>
      <c r="I8854">
        <v>661</v>
      </c>
      <c r="J8854">
        <f>GS04/405.2</f>
        <v>0</v>
      </c>
      <c r="K8854" t="inlineStr">
        <is>
          <t>DIL0AM</t>
        </is>
      </c>
      <c r="M8854" t="inlineStr">
        <is>
          <t>-405K1</t>
        </is>
      </c>
    </row>
    <row r="8855">
      <c r="A8855">
        <v>8854</v>
      </c>
      <c r="B8855">
        <f>GS04</f>
        <v>0</v>
      </c>
      <c r="C8855" t="inlineStr">
        <is>
          <t>+LS9</t>
        </is>
      </c>
      <c r="D8855" t="inlineStr">
        <is>
          <t>-405K1</t>
        </is>
      </c>
      <c r="E8855" t="inlineStr">
        <is>
          <t>22_DIL-M</t>
        </is>
      </c>
      <c r="F8855" t="inlineStr">
        <is>
          <t>22_DIL-M</t>
        </is>
      </c>
      <c r="G8855" t="inlineStr">
        <is>
          <t>HILFSKONTAKTBLOCK</t>
        </is>
      </c>
      <c r="H8855" t="inlineStr">
        <is>
          <t>2S 2OE Lastschuetz DIL M</t>
        </is>
      </c>
      <c r="I8855">
        <v>661</v>
      </c>
      <c r="J8855">
        <f>GS04/405.2</f>
        <v>0</v>
      </c>
      <c r="K8855" t="inlineStr">
        <is>
          <t>DIL0AM</t>
        </is>
      </c>
      <c r="M8855" t="inlineStr">
        <is>
          <t>-405K1</t>
        </is>
      </c>
    </row>
    <row r="8856">
      <c r="A8856">
        <v>8855</v>
      </c>
      <c r="B8856">
        <f>GS36</f>
        <v>0</v>
      </c>
      <c r="C8856" t="inlineStr">
        <is>
          <t>+LS11</t>
        </is>
      </c>
      <c r="D8856" t="inlineStr">
        <is>
          <t>-935K1</t>
        </is>
      </c>
      <c r="E8856" t="inlineStr">
        <is>
          <t>DILA-40</t>
        </is>
      </c>
      <c r="F8856" t="inlineStr">
        <is>
          <t>#KALK!</t>
        </is>
      </c>
      <c r="G8856" t="inlineStr">
        <is>
          <t>HILFSSCHUETZ</t>
        </is>
      </c>
      <c r="H8856" t="inlineStr">
        <is>
          <t>4S Federzugkl.</t>
        </is>
      </c>
      <c r="I8856">
        <v>1531</v>
      </c>
      <c r="J8856">
        <f>GS36/935.5</f>
        <v>0</v>
      </c>
      <c r="M8856" t="inlineStr">
        <is>
          <t>-935K1</t>
        </is>
      </c>
    </row>
    <row r="8857">
      <c r="A8857">
        <v>8856</v>
      </c>
      <c r="B8857">
        <f>GS30</f>
        <v>0</v>
      </c>
      <c r="C8857" t="inlineStr">
        <is>
          <t>+LS13</t>
        </is>
      </c>
      <c r="D8857" t="inlineStr">
        <is>
          <t>-405K1002.4</t>
        </is>
      </c>
      <c r="E8857" t="inlineStr">
        <is>
          <t>DILA-40</t>
        </is>
      </c>
      <c r="F8857" t="inlineStr">
        <is>
          <t>#KALK!</t>
        </is>
      </c>
      <c r="G8857" t="inlineStr">
        <is>
          <t>HILFSSCHUETZ</t>
        </is>
      </c>
      <c r="H8857" t="inlineStr">
        <is>
          <t>4S Federzugkl.</t>
        </is>
      </c>
      <c r="I8857">
        <v>338</v>
      </c>
      <c r="J8857">
        <f>GS30/405.7</f>
        <v>0</v>
      </c>
      <c r="M8857" t="inlineStr">
        <is>
          <t>-405K1002.4</t>
        </is>
      </c>
    </row>
    <row r="8858">
      <c r="A8858">
        <v>8857</v>
      </c>
      <c r="B8858">
        <f>GS36</f>
        <v>0</v>
      </c>
      <c r="C8858" t="inlineStr">
        <is>
          <t>+LS11</t>
        </is>
      </c>
      <c r="D8858" t="inlineStr">
        <is>
          <t>-935K713.0</t>
        </is>
      </c>
      <c r="E8858" t="inlineStr">
        <is>
          <t>DILA-40</t>
        </is>
      </c>
      <c r="F8858" t="inlineStr">
        <is>
          <t>#KALK!</t>
        </is>
      </c>
      <c r="G8858" t="inlineStr">
        <is>
          <t>HILFSSCHUETZ</t>
        </is>
      </c>
      <c r="H8858" t="inlineStr">
        <is>
          <t>4S Federzugkl.</t>
        </is>
      </c>
      <c r="I8858">
        <v>1531</v>
      </c>
      <c r="J8858">
        <f>GS36/935.7</f>
        <v>0</v>
      </c>
      <c r="M8858" t="inlineStr">
        <is>
          <t>-935K713.0</t>
        </is>
      </c>
    </row>
    <row r="8859">
      <c r="A8859">
        <v>8858</v>
      </c>
      <c r="B8859">
        <f>GC03</f>
        <v>0</v>
      </c>
      <c r="C8859" t="inlineStr">
        <is>
          <t>+LS9</t>
        </is>
      </c>
      <c r="D8859" t="inlineStr">
        <is>
          <t>-405K16.7</t>
        </is>
      </c>
      <c r="E8859" t="inlineStr">
        <is>
          <t>DIL_EM-10-G</t>
        </is>
      </c>
      <c r="F8859" t="inlineStr">
        <is>
          <t>#KALK!</t>
        </is>
      </c>
      <c r="G8859" t="inlineStr">
        <is>
          <t>LASTSCHUETZ</t>
        </is>
      </c>
      <c r="H8859" t="inlineStr">
        <is>
          <t>4kW 1S</t>
        </is>
      </c>
      <c r="I8859">
        <v>644</v>
      </c>
      <c r="J8859">
        <f>GC03/405.8</f>
        <v>0</v>
      </c>
      <c r="M8859" t="inlineStr">
        <is>
          <t>-405K16.7</t>
        </is>
      </c>
    </row>
    <row r="8860">
      <c r="A8860">
        <v>8859</v>
      </c>
      <c r="B8860">
        <f>GS91</f>
        <v>0</v>
      </c>
      <c r="C8860" t="inlineStr">
        <is>
          <t>+LS07</t>
        </is>
      </c>
      <c r="D8860" t="inlineStr">
        <is>
          <t>-405K201.0</t>
        </is>
      </c>
      <c r="E8860" t="inlineStr">
        <is>
          <t>DILA-40</t>
        </is>
      </c>
      <c r="F8860" t="inlineStr">
        <is>
          <t>#KALK!</t>
        </is>
      </c>
      <c r="G8860" t="inlineStr">
        <is>
          <t>HILFSSCHUETZ</t>
        </is>
      </c>
      <c r="H8860" t="inlineStr">
        <is>
          <t>4S Federzugkl.</t>
        </is>
      </c>
      <c r="I8860">
        <v>553</v>
      </c>
      <c r="J8860">
        <f>GS91/405.7</f>
        <v>0</v>
      </c>
      <c r="M8860" t="inlineStr">
        <is>
          <t>-405K201.0</t>
        </is>
      </c>
    </row>
    <row r="8861">
      <c r="A8861">
        <v>8860</v>
      </c>
      <c r="B8861">
        <f>GS23</f>
        <v>0</v>
      </c>
      <c r="C8861" t="inlineStr">
        <is>
          <t>+LS10</t>
        </is>
      </c>
      <c r="D8861" t="inlineStr">
        <is>
          <t>-405K3602.0</t>
        </is>
      </c>
      <c r="E8861" t="inlineStr">
        <is>
          <t>DIL_EM-10-G</t>
        </is>
      </c>
      <c r="F8861" t="inlineStr">
        <is>
          <t>22_DIL-E</t>
        </is>
      </c>
      <c r="G8861" t="inlineStr">
        <is>
          <t>LASTSCHUETZ</t>
        </is>
      </c>
      <c r="H8861" t="inlineStr">
        <is>
          <t>4kW 1S</t>
        </is>
      </c>
      <c r="I8861">
        <v>706</v>
      </c>
      <c r="J8861">
        <f>GS23/405.2</f>
        <v>0</v>
      </c>
      <c r="M8861" t="inlineStr">
        <is>
          <t>-405K3602.0</t>
        </is>
      </c>
    </row>
    <row r="8862">
      <c r="A8862">
        <v>8861</v>
      </c>
      <c r="B8862">
        <f>GS23</f>
        <v>0</v>
      </c>
      <c r="C8862" t="inlineStr">
        <is>
          <t>+LS10</t>
        </is>
      </c>
      <c r="D8862" t="inlineStr">
        <is>
          <t>-405K3602.0</t>
        </is>
      </c>
      <c r="E8862" t="inlineStr">
        <is>
          <t>22_DIL-E</t>
        </is>
      </c>
      <c r="F8862" t="inlineStr">
        <is>
          <t>22_DIL-E</t>
        </is>
      </c>
      <c r="G8862" t="inlineStr">
        <is>
          <t>HILFSKONTAKTBLOCK</t>
        </is>
      </c>
      <c r="H8862" t="inlineStr">
        <is>
          <t>2S 2OE Last+Hilfsschuetz</t>
        </is>
      </c>
      <c r="I8862">
        <v>706</v>
      </c>
      <c r="J8862">
        <f>GS23/405.2</f>
        <v>0</v>
      </c>
      <c r="M8862" t="inlineStr">
        <is>
          <t>-405K3602.0</t>
        </is>
      </c>
    </row>
    <row r="8863">
      <c r="A8863">
        <v>8862</v>
      </c>
      <c r="B8863">
        <f>GS23</f>
        <v>0</v>
      </c>
      <c r="C8863" t="inlineStr">
        <is>
          <t>+LS10</t>
        </is>
      </c>
      <c r="D8863" t="inlineStr">
        <is>
          <t>-405K3602.1</t>
        </is>
      </c>
      <c r="E8863" t="inlineStr">
        <is>
          <t>DIL_EM-10-G</t>
        </is>
      </c>
      <c r="F8863" t="inlineStr">
        <is>
          <t>22_DIL-E</t>
        </is>
      </c>
      <c r="G8863" t="inlineStr">
        <is>
          <t>LASTSCHUETZ</t>
        </is>
      </c>
      <c r="H8863" t="inlineStr">
        <is>
          <t>4kW 1S</t>
        </is>
      </c>
      <c r="I8863">
        <v>706</v>
      </c>
      <c r="J8863">
        <f>GS23/405.3</f>
        <v>0</v>
      </c>
      <c r="M8863" t="inlineStr">
        <is>
          <t>-405K3602.1</t>
        </is>
      </c>
    </row>
    <row r="8864">
      <c r="A8864">
        <v>8863</v>
      </c>
      <c r="B8864">
        <f>GS23</f>
        <v>0</v>
      </c>
      <c r="C8864" t="inlineStr">
        <is>
          <t>+LS10</t>
        </is>
      </c>
      <c r="D8864" t="inlineStr">
        <is>
          <t>-405K3602.1</t>
        </is>
      </c>
      <c r="E8864" t="inlineStr">
        <is>
          <t>22_DIL-E</t>
        </is>
      </c>
      <c r="F8864" t="inlineStr">
        <is>
          <t>22_DIL-E</t>
        </is>
      </c>
      <c r="G8864" t="inlineStr">
        <is>
          <t>HILFSKONTAKTBLOCK</t>
        </is>
      </c>
      <c r="H8864" t="inlineStr">
        <is>
          <t>2S 2OE Last+Hilfsschuetz</t>
        </is>
      </c>
      <c r="I8864">
        <v>706</v>
      </c>
      <c r="J8864">
        <f>GS23/405.3</f>
        <v>0</v>
      </c>
      <c r="M8864" t="inlineStr">
        <is>
          <t>-405K3602.1</t>
        </is>
      </c>
    </row>
    <row r="8865">
      <c r="A8865">
        <v>8864</v>
      </c>
      <c r="B8865">
        <f>GS92</f>
        <v>0</v>
      </c>
      <c r="C8865" t="inlineStr">
        <is>
          <t>+LS07</t>
        </is>
      </c>
      <c r="D8865" t="inlineStr">
        <is>
          <t>-405K465.0</t>
        </is>
      </c>
      <c r="E8865" t="inlineStr">
        <is>
          <t>DILA-40</t>
        </is>
      </c>
      <c r="F8865" t="inlineStr">
        <is>
          <t>#KALK!</t>
        </is>
      </c>
      <c r="G8865" t="inlineStr">
        <is>
          <t>HILFSSCHUETZ</t>
        </is>
      </c>
      <c r="H8865" t="inlineStr">
        <is>
          <t>4S Federzugkl.</t>
        </is>
      </c>
      <c r="I8865">
        <v>551</v>
      </c>
      <c r="J8865">
        <f>GS92/405.7</f>
        <v>0</v>
      </c>
      <c r="M8865" t="inlineStr">
        <is>
          <t>-405K465.0</t>
        </is>
      </c>
    </row>
    <row r="8866">
      <c r="A8866">
        <v>8865</v>
      </c>
      <c r="B8866">
        <f>GS33</f>
        <v>0</v>
      </c>
      <c r="C8866" t="inlineStr">
        <is>
          <t>+LS9</t>
        </is>
      </c>
      <c r="D8866" t="inlineStr">
        <is>
          <t>-405K48.3</t>
        </is>
      </c>
      <c r="E8866" t="inlineStr">
        <is>
          <t>DIL_EM-10-G</t>
        </is>
      </c>
      <c r="F8866" t="inlineStr">
        <is>
          <t>#KALK!</t>
        </is>
      </c>
      <c r="G8866" t="inlineStr">
        <is>
          <t>LASTSCHUETZ</t>
        </is>
      </c>
      <c r="H8866" t="inlineStr">
        <is>
          <t>4kW 1S</t>
        </is>
      </c>
      <c r="I8866">
        <v>859</v>
      </c>
      <c r="J8866">
        <f>GS33/405.6</f>
        <v>0</v>
      </c>
      <c r="M8866" t="inlineStr">
        <is>
          <t>-405K48.3</t>
        </is>
      </c>
    </row>
    <row r="8867">
      <c r="A8867">
        <v>8866</v>
      </c>
      <c r="B8867">
        <f>GS33</f>
        <v>0</v>
      </c>
      <c r="C8867" t="inlineStr">
        <is>
          <t>+LS9</t>
        </is>
      </c>
      <c r="D8867" t="inlineStr">
        <is>
          <t>-405K50.3</t>
        </is>
      </c>
      <c r="E8867" t="inlineStr">
        <is>
          <t>DIL_EM-10-G</t>
        </is>
      </c>
      <c r="F8867" t="inlineStr">
        <is>
          <t>#KALK!</t>
        </is>
      </c>
      <c r="G8867" t="inlineStr">
        <is>
          <t>LASTSCHUETZ</t>
        </is>
      </c>
      <c r="H8867" t="inlineStr">
        <is>
          <t>4kW 1S</t>
        </is>
      </c>
      <c r="I8867">
        <v>859</v>
      </c>
      <c r="J8867">
        <f>GS33/405.6</f>
        <v>0</v>
      </c>
      <c r="M8867" t="inlineStr">
        <is>
          <t>-405K50.3</t>
        </is>
      </c>
    </row>
    <row r="8868">
      <c r="A8868">
        <v>8867</v>
      </c>
      <c r="B8868">
        <f>GS11</f>
        <v>0</v>
      </c>
      <c r="C8868" t="inlineStr">
        <is>
          <t>+LS10</t>
        </is>
      </c>
      <c r="D8868" t="inlineStr">
        <is>
          <t>-405K68.0</t>
        </is>
      </c>
      <c r="E8868" t="inlineStr">
        <is>
          <t>DIL_EM-10-G</t>
        </is>
      </c>
      <c r="F8868" t="inlineStr">
        <is>
          <t>#KALK!</t>
        </is>
      </c>
      <c r="G8868" t="inlineStr">
        <is>
          <t>LASTSCHUETZ</t>
        </is>
      </c>
      <c r="H8868" t="inlineStr">
        <is>
          <t>4kW 1S</t>
        </is>
      </c>
      <c r="I8868">
        <v>511</v>
      </c>
      <c r="J8868">
        <f>GS11/405.6</f>
        <v>0</v>
      </c>
      <c r="M8868" t="inlineStr">
        <is>
          <t>-405K68.0</t>
        </is>
      </c>
    </row>
    <row r="8869">
      <c r="A8869">
        <v>8868</v>
      </c>
      <c r="B8869">
        <f>GS21</f>
        <v>0</v>
      </c>
      <c r="C8869" t="inlineStr">
        <is>
          <t>+LS10</t>
        </is>
      </c>
      <c r="D8869" t="inlineStr">
        <is>
          <t>-405K68.0</t>
        </is>
      </c>
      <c r="E8869" t="inlineStr">
        <is>
          <t>DIL_EM-10-G</t>
        </is>
      </c>
      <c r="F8869" t="inlineStr">
        <is>
          <t>#KALK!</t>
        </is>
      </c>
      <c r="G8869" t="inlineStr">
        <is>
          <t>LASTSCHUETZ</t>
        </is>
      </c>
      <c r="H8869" t="inlineStr">
        <is>
          <t>4kW 1S</t>
        </is>
      </c>
      <c r="I8869">
        <v>493</v>
      </c>
      <c r="J8869">
        <f>GS21/405.6</f>
        <v>0</v>
      </c>
      <c r="M8869" t="inlineStr">
        <is>
          <t>-405K68.0</t>
        </is>
      </c>
    </row>
    <row r="8870">
      <c r="A8870">
        <v>8869</v>
      </c>
      <c r="B8870">
        <f>GS11</f>
        <v>0</v>
      </c>
      <c r="C8870" t="inlineStr">
        <is>
          <t>+LS10</t>
        </is>
      </c>
      <c r="D8870" t="inlineStr">
        <is>
          <t>-405K68.1</t>
        </is>
      </c>
      <c r="E8870" t="inlineStr">
        <is>
          <t>DIL_EM-10-G</t>
        </is>
      </c>
      <c r="F8870" t="inlineStr">
        <is>
          <t>#KALK!</t>
        </is>
      </c>
      <c r="G8870" t="inlineStr">
        <is>
          <t>LASTSCHUETZ</t>
        </is>
      </c>
      <c r="H8870" t="inlineStr">
        <is>
          <t>4kW 1S</t>
        </is>
      </c>
      <c r="I8870">
        <v>511</v>
      </c>
      <c r="J8870">
        <f>GS11/405.6</f>
        <v>0</v>
      </c>
      <c r="M8870" t="inlineStr">
        <is>
          <t>-405K68.1</t>
        </is>
      </c>
    </row>
    <row r="8871">
      <c r="A8871">
        <v>8870</v>
      </c>
      <c r="B8871">
        <f>GS21</f>
        <v>0</v>
      </c>
      <c r="C8871" t="inlineStr">
        <is>
          <t>+LS10</t>
        </is>
      </c>
      <c r="D8871" t="inlineStr">
        <is>
          <t>-405K68.1</t>
        </is>
      </c>
      <c r="E8871" t="inlineStr">
        <is>
          <t>DIL_EM-10-G</t>
        </is>
      </c>
      <c r="F8871" t="inlineStr">
        <is>
          <t>#KALK!</t>
        </is>
      </c>
      <c r="G8871" t="inlineStr">
        <is>
          <t>LASTSCHUETZ</t>
        </is>
      </c>
      <c r="H8871" t="inlineStr">
        <is>
          <t>4kW 1S</t>
        </is>
      </c>
      <c r="I8871">
        <v>493</v>
      </c>
      <c r="J8871">
        <f>GS21/405.6</f>
        <v>0</v>
      </c>
      <c r="M8871" t="inlineStr">
        <is>
          <t>-405K68.1</t>
        </is>
      </c>
    </row>
    <row r="8872">
      <c r="A8872">
        <v>8871</v>
      </c>
      <c r="B8872">
        <f>GS37</f>
        <v>0</v>
      </c>
      <c r="C8872" t="inlineStr">
        <is>
          <t>+LS09</t>
        </is>
      </c>
      <c r="D8872" t="inlineStr">
        <is>
          <t>-405K702.0</t>
        </is>
      </c>
      <c r="E8872" t="inlineStr">
        <is>
          <t>DILA-40</t>
        </is>
      </c>
      <c r="F8872" t="inlineStr">
        <is>
          <t>#KALK!</t>
        </is>
      </c>
      <c r="G8872" t="inlineStr">
        <is>
          <t>HILFSSCHUETZ</t>
        </is>
      </c>
      <c r="H8872" t="inlineStr">
        <is>
          <t>4S Federzugkl.</t>
        </is>
      </c>
      <c r="I8872">
        <v>548</v>
      </c>
      <c r="J8872">
        <f>GS37/405.7</f>
        <v>0</v>
      </c>
      <c r="M8872" t="inlineStr">
        <is>
          <t>-405K702.0</t>
        </is>
      </c>
    </row>
    <row r="8873">
      <c r="A8873">
        <v>8872</v>
      </c>
      <c r="B8873">
        <f>GS13</f>
        <v>0</v>
      </c>
      <c r="C8873" t="inlineStr">
        <is>
          <t>+LS10</t>
        </is>
      </c>
      <c r="D8873" t="inlineStr">
        <is>
          <t>-405KA1</t>
        </is>
      </c>
      <c r="E8873" t="inlineStr">
        <is>
          <t>31_DIL-E</t>
        </is>
      </c>
      <c r="F8873" t="inlineStr">
        <is>
          <t>31_DIL-E</t>
        </is>
      </c>
      <c r="G8873" t="inlineStr">
        <is>
          <t>HILFSKONTAKTBLOCK</t>
        </is>
      </c>
      <c r="H8873" t="inlineStr">
        <is>
          <t>3S 1OE Last+Hilsschuetz</t>
        </is>
      </c>
      <c r="I8873">
        <v>652</v>
      </c>
      <c r="J8873">
        <f>GS13/405.4</f>
        <v>0</v>
      </c>
      <c r="M8873" t="inlineStr">
        <is>
          <t>-405KA1</t>
        </is>
      </c>
    </row>
    <row r="8874">
      <c r="A8874">
        <v>8873</v>
      </c>
      <c r="B8874">
        <f>GS13</f>
        <v>0</v>
      </c>
      <c r="C8874" t="inlineStr">
        <is>
          <t>+LS10</t>
        </is>
      </c>
      <c r="D8874" t="inlineStr">
        <is>
          <t>-405KA1</t>
        </is>
      </c>
      <c r="E8874" t="inlineStr">
        <is>
          <t>DIL_ER-31-G</t>
        </is>
      </c>
      <c r="F8874" t="inlineStr">
        <is>
          <t>31_DIL-E</t>
        </is>
      </c>
      <c r="G8874" t="inlineStr">
        <is>
          <t>HILFSSCHUETZ</t>
        </is>
      </c>
      <c r="H8874" t="inlineStr">
        <is>
          <t>3S 1OE</t>
        </is>
      </c>
      <c r="I8874">
        <v>652</v>
      </c>
      <c r="J8874">
        <f>GS13/405.4</f>
        <v>0</v>
      </c>
      <c r="M8874" t="inlineStr">
        <is>
          <t>-405KA1</t>
        </is>
      </c>
    </row>
    <row r="8875">
      <c r="A8875">
        <v>8874</v>
      </c>
      <c r="B8875">
        <f>GS23</f>
        <v>0</v>
      </c>
      <c r="C8875" t="inlineStr">
        <is>
          <t>+LS10</t>
        </is>
      </c>
      <c r="D8875" t="inlineStr">
        <is>
          <t>-405KA1</t>
        </is>
      </c>
      <c r="E8875" t="inlineStr">
        <is>
          <t>DIL_ER-31-G</t>
        </is>
      </c>
      <c r="F8875" t="inlineStr">
        <is>
          <t>31_DIL-E</t>
        </is>
      </c>
      <c r="G8875" t="inlineStr">
        <is>
          <t>HILFSSCHUETZ</t>
        </is>
      </c>
      <c r="H8875" t="inlineStr">
        <is>
          <t>3S 1OE</t>
        </is>
      </c>
      <c r="I8875">
        <v>706</v>
      </c>
      <c r="J8875">
        <f>GS23/405.4</f>
        <v>0</v>
      </c>
      <c r="M8875" t="inlineStr">
        <is>
          <t>-405KA1</t>
        </is>
      </c>
    </row>
    <row r="8876">
      <c r="A8876">
        <v>8875</v>
      </c>
      <c r="B8876">
        <f>GS23</f>
        <v>0</v>
      </c>
      <c r="C8876" t="inlineStr">
        <is>
          <t>+LS10</t>
        </is>
      </c>
      <c r="D8876" t="inlineStr">
        <is>
          <t>-405KA1</t>
        </is>
      </c>
      <c r="E8876" t="inlineStr">
        <is>
          <t>31_DIL-E</t>
        </is>
      </c>
      <c r="F8876" t="inlineStr">
        <is>
          <t>31_DIL-E</t>
        </is>
      </c>
      <c r="G8876" t="inlineStr">
        <is>
          <t>HILFSKONTAKTBLOCK</t>
        </is>
      </c>
      <c r="H8876" t="inlineStr">
        <is>
          <t>3S 1OE Last+Hilsschuetz</t>
        </is>
      </c>
      <c r="I8876">
        <v>706</v>
      </c>
      <c r="J8876">
        <f>GS23/405.4</f>
        <v>0</v>
      </c>
      <c r="M8876" t="inlineStr">
        <is>
          <t>-405KA1</t>
        </is>
      </c>
    </row>
    <row r="8877">
      <c r="A8877">
        <v>8876</v>
      </c>
      <c r="B8877">
        <f>GS23</f>
        <v>0</v>
      </c>
      <c r="C8877" t="inlineStr">
        <is>
          <t>+LS10</t>
        </is>
      </c>
      <c r="D8877" t="inlineStr">
        <is>
          <t>-405KA2</t>
        </is>
      </c>
      <c r="E8877" t="inlineStr">
        <is>
          <t>DIL_ER-22-G</t>
        </is>
      </c>
      <c r="F8877" t="inlineStr">
        <is>
          <t>#KALK!</t>
        </is>
      </c>
      <c r="G8877" t="inlineStr">
        <is>
          <t>HILFSSCHUETZ</t>
        </is>
      </c>
      <c r="H8877" t="inlineStr">
        <is>
          <t>2S 2OE</t>
        </is>
      </c>
      <c r="I8877">
        <v>706</v>
      </c>
      <c r="J8877">
        <f>GS23/405.5</f>
        <v>0</v>
      </c>
      <c r="M8877" t="inlineStr">
        <is>
          <t>-405KA2</t>
        </is>
      </c>
    </row>
    <row r="8878">
      <c r="A8878">
        <v>8877</v>
      </c>
      <c r="B8878">
        <f>GS13</f>
        <v>0</v>
      </c>
      <c r="C8878" t="inlineStr">
        <is>
          <t>+LS10</t>
        </is>
      </c>
      <c r="D8878" t="inlineStr">
        <is>
          <t>-405KA3</t>
        </is>
      </c>
      <c r="E8878" t="inlineStr">
        <is>
          <t>DIL_ER-40-G</t>
        </is>
      </c>
      <c r="F8878" t="inlineStr">
        <is>
          <t>#KALK!</t>
        </is>
      </c>
      <c r="G8878" t="inlineStr">
        <is>
          <t>HILFSSCHUETZ</t>
        </is>
      </c>
      <c r="H8878" t="inlineStr">
        <is>
          <t>4S</t>
        </is>
      </c>
      <c r="I8878">
        <v>652</v>
      </c>
      <c r="J8878">
        <f>GS13/405.6</f>
        <v>0</v>
      </c>
      <c r="M8878" t="inlineStr">
        <is>
          <t>-405KA3</t>
        </is>
      </c>
    </row>
    <row r="8879">
      <c r="A8879">
        <v>8878</v>
      </c>
      <c r="B8879">
        <f>GS23</f>
        <v>0</v>
      </c>
      <c r="C8879" t="inlineStr">
        <is>
          <t>+LS10</t>
        </is>
      </c>
      <c r="D8879" t="inlineStr">
        <is>
          <t>-405KA3</t>
        </is>
      </c>
      <c r="E8879" t="inlineStr">
        <is>
          <t>DIL_ER-40-G</t>
        </is>
      </c>
      <c r="F8879" t="inlineStr">
        <is>
          <t>#KALK!</t>
        </is>
      </c>
      <c r="G8879" t="inlineStr">
        <is>
          <t>HILFSSCHUETZ</t>
        </is>
      </c>
      <c r="H8879" t="inlineStr">
        <is>
          <t>4S</t>
        </is>
      </c>
      <c r="I8879">
        <v>706</v>
      </c>
      <c r="J8879">
        <f>GS23/405.6</f>
        <v>0</v>
      </c>
      <c r="M8879" t="inlineStr">
        <is>
          <t>-405KA3</t>
        </is>
      </c>
    </row>
    <row r="8880">
      <c r="A8880">
        <v>8879</v>
      </c>
      <c r="B8880">
        <f>GS07</f>
        <v>0</v>
      </c>
      <c r="C8880" t="inlineStr">
        <is>
          <t>+LS06</t>
        </is>
      </c>
      <c r="D8880" t="inlineStr">
        <is>
          <t>-405Q1</t>
        </is>
      </c>
      <c r="E8880" t="inlineStr">
        <is>
          <t>DILMC25-10(RDC24)</t>
        </is>
      </c>
      <c r="F8880" t="inlineStr">
        <is>
          <t>DILA-XHI22</t>
        </is>
      </c>
      <c r="G8880" t="inlineStr">
        <is>
          <t>LASTSCHUETZ</t>
        </is>
      </c>
      <c r="H8880" t="inlineStr">
        <is>
          <t>11kW 1S Federzugkl.</t>
        </is>
      </c>
      <c r="I8880">
        <v>499</v>
      </c>
      <c r="J8880">
        <f>GS07/405.6</f>
        <v>0</v>
      </c>
      <c r="K8880" t="inlineStr">
        <is>
          <t>DIL MC25</t>
        </is>
      </c>
      <c r="M8880" t="inlineStr">
        <is>
          <t>-405Q1</t>
        </is>
      </c>
    </row>
    <row r="8881">
      <c r="A8881">
        <v>8880</v>
      </c>
      <c r="B8881">
        <f>GS07</f>
        <v>0</v>
      </c>
      <c r="C8881" t="inlineStr">
        <is>
          <t>+LS06</t>
        </is>
      </c>
      <c r="D8881" t="inlineStr">
        <is>
          <t>-405Q1</t>
        </is>
      </c>
      <c r="E8881" t="inlineStr">
        <is>
          <t>DILA-XHI22</t>
        </is>
      </c>
      <c r="F8881" t="inlineStr">
        <is>
          <t>DILA-XHI22</t>
        </is>
      </c>
      <c r="G8881" t="inlineStr">
        <is>
          <t>HILFSKONTAKTBLOCK</t>
        </is>
      </c>
      <c r="H8881" t="inlineStr">
        <is>
          <t>2S 2OE Last+Hilfssch. Cage</t>
        </is>
      </c>
      <c r="I8881">
        <v>499</v>
      </c>
      <c r="J8881">
        <f>GS07/405.6</f>
        <v>0</v>
      </c>
      <c r="K8881" t="inlineStr">
        <is>
          <t>DIL MC25</t>
        </is>
      </c>
      <c r="M8881" t="inlineStr">
        <is>
          <t>-405Q1</t>
        </is>
      </c>
    </row>
    <row r="8882">
      <c r="A8882">
        <v>8881</v>
      </c>
      <c r="B8882">
        <f>GS30</f>
        <v>0</v>
      </c>
      <c r="C8882" t="inlineStr">
        <is>
          <t>+LS13</t>
        </is>
      </c>
      <c r="D8882" t="inlineStr">
        <is>
          <t>-405Q1</t>
        </is>
      </c>
      <c r="E8882" t="inlineStr">
        <is>
          <t>DILA-XHI22</t>
        </is>
      </c>
      <c r="F8882" t="inlineStr">
        <is>
          <t>DILA-XHI22</t>
        </is>
      </c>
      <c r="G8882" t="inlineStr">
        <is>
          <t>HILFSKONTAKTBLOCK</t>
        </is>
      </c>
      <c r="H8882" t="inlineStr">
        <is>
          <t>2S 2OE Last+Hilfssch. Cage</t>
        </is>
      </c>
      <c r="I8882">
        <v>338</v>
      </c>
      <c r="J8882">
        <f>GS30/405.4</f>
        <v>0</v>
      </c>
      <c r="K8882" t="inlineStr">
        <is>
          <t>DIL MC25</t>
        </is>
      </c>
      <c r="M8882" t="inlineStr">
        <is>
          <t>-405Q1</t>
        </is>
      </c>
    </row>
    <row r="8883">
      <c r="A8883">
        <v>8882</v>
      </c>
      <c r="B8883">
        <f>GS30</f>
        <v>0</v>
      </c>
      <c r="C8883" t="inlineStr">
        <is>
          <t>+LS13</t>
        </is>
      </c>
      <c r="D8883" t="inlineStr">
        <is>
          <t>-405Q1</t>
        </is>
      </c>
      <c r="E8883" t="inlineStr">
        <is>
          <t>DILMC25-10(RDC24)</t>
        </is>
      </c>
      <c r="F8883" t="inlineStr">
        <is>
          <t>DILA-XHI22</t>
        </is>
      </c>
      <c r="G8883" t="inlineStr">
        <is>
          <t>LASTSCHUETZ</t>
        </is>
      </c>
      <c r="H8883" t="inlineStr">
        <is>
          <t>11kW 1S Federzugkl.</t>
        </is>
      </c>
      <c r="I8883">
        <v>338</v>
      </c>
      <c r="J8883">
        <f>GS30/405.4</f>
        <v>0</v>
      </c>
      <c r="K8883" t="inlineStr">
        <is>
          <t>DIL MC25</t>
        </is>
      </c>
      <c r="M8883" t="inlineStr">
        <is>
          <t>-405Q1</t>
        </is>
      </c>
    </row>
    <row r="8884">
      <c r="A8884">
        <v>8883</v>
      </c>
      <c r="B8884">
        <f>GS36</f>
        <v>0</v>
      </c>
      <c r="C8884" t="inlineStr">
        <is>
          <t>+LS09</t>
        </is>
      </c>
      <c r="D8884" t="inlineStr">
        <is>
          <t>-405Q1</t>
        </is>
      </c>
      <c r="E8884" t="inlineStr">
        <is>
          <t>DILA-XHI22</t>
        </is>
      </c>
      <c r="F8884" t="inlineStr">
        <is>
          <t>DILA-XHI22</t>
        </is>
      </c>
      <c r="G8884" t="inlineStr">
        <is>
          <t>HILFSKONTAKTBLOCK</t>
        </is>
      </c>
      <c r="H8884" t="inlineStr">
        <is>
          <t>2S 2OE Last+Hilfssch. Cage</t>
        </is>
      </c>
      <c r="I8884">
        <v>578</v>
      </c>
      <c r="J8884">
        <f>GS36/405.3</f>
        <v>0</v>
      </c>
      <c r="K8884" t="inlineStr">
        <is>
          <t>DIL MC25</t>
        </is>
      </c>
      <c r="L8884" t="inlineStr">
        <is>
          <t>HVO 21</t>
        </is>
      </c>
      <c r="M8884" t="inlineStr">
        <is>
          <t>HVO 21
-405Q1</t>
        </is>
      </c>
      <c r="N8884" t="inlineStr">
        <is>
          <t>P</t>
        </is>
      </c>
    </row>
    <row r="8885">
      <c r="A8885">
        <v>8884</v>
      </c>
      <c r="B8885">
        <f>GS36</f>
        <v>0</v>
      </c>
      <c r="C8885" t="inlineStr">
        <is>
          <t>+LS09</t>
        </is>
      </c>
      <c r="D8885" t="inlineStr">
        <is>
          <t>-405Q1</t>
        </is>
      </c>
      <c r="E8885" t="inlineStr">
        <is>
          <t>DILMC25-10(RDC24)</t>
        </is>
      </c>
      <c r="F8885" t="inlineStr">
        <is>
          <t>DILA-XHI22</t>
        </is>
      </c>
      <c r="G8885" t="inlineStr">
        <is>
          <t>LASTSCHUETZ</t>
        </is>
      </c>
      <c r="H8885" t="inlineStr">
        <is>
          <t>11kW 1S Federzugkl.</t>
        </is>
      </c>
      <c r="I8885">
        <v>578</v>
      </c>
      <c r="J8885">
        <f>GS36/405.3</f>
        <v>0</v>
      </c>
      <c r="K8885" t="inlineStr">
        <is>
          <t>DIL MC25</t>
        </is>
      </c>
      <c r="L8885" t="inlineStr">
        <is>
          <t>HVO 21</t>
        </is>
      </c>
      <c r="M8885" t="inlineStr">
        <is>
          <t>HVO 21
-405Q1</t>
        </is>
      </c>
      <c r="N8885" t="inlineStr">
        <is>
          <t>P</t>
        </is>
      </c>
    </row>
    <row r="8886">
      <c r="A8886">
        <v>8885</v>
      </c>
      <c r="B8886">
        <f>GS37</f>
        <v>0</v>
      </c>
      <c r="C8886" t="inlineStr">
        <is>
          <t>+LS09</t>
        </is>
      </c>
      <c r="D8886" t="inlineStr">
        <is>
          <t>-405Q1</t>
        </is>
      </c>
      <c r="E8886" t="inlineStr">
        <is>
          <t>DILMC25-10(RDC24)</t>
        </is>
      </c>
      <c r="F8886" t="inlineStr">
        <is>
          <t>DILA-XHI22</t>
        </is>
      </c>
      <c r="G8886" t="inlineStr">
        <is>
          <t>LASTSCHUETZ</t>
        </is>
      </c>
      <c r="H8886" t="inlineStr">
        <is>
          <t>11kW 1S Federzugkl.</t>
        </is>
      </c>
      <c r="I8886">
        <v>548</v>
      </c>
      <c r="J8886">
        <f>GS37/405.5</f>
        <v>0</v>
      </c>
      <c r="K8886" t="inlineStr">
        <is>
          <t>DIL MC25</t>
        </is>
      </c>
      <c r="M8886" t="inlineStr">
        <is>
          <t>-405Q1</t>
        </is>
      </c>
    </row>
    <row r="8887">
      <c r="A8887">
        <v>8886</v>
      </c>
      <c r="B8887">
        <f>GS37</f>
        <v>0</v>
      </c>
      <c r="C8887" t="inlineStr">
        <is>
          <t>+LS09</t>
        </is>
      </c>
      <c r="D8887" t="inlineStr">
        <is>
          <t>-405Q1</t>
        </is>
      </c>
      <c r="E8887" t="inlineStr">
        <is>
          <t>DILA-XHI22</t>
        </is>
      </c>
      <c r="F8887" t="inlineStr">
        <is>
          <t>DILA-XHI22</t>
        </is>
      </c>
      <c r="G8887" t="inlineStr">
        <is>
          <t>HILFSKONTAKTBLOCK</t>
        </is>
      </c>
      <c r="H8887" t="inlineStr">
        <is>
          <t>2S 2OE Last+Hilfssch. Cage</t>
        </is>
      </c>
      <c r="I8887">
        <v>548</v>
      </c>
      <c r="J8887">
        <f>GS37/405.5</f>
        <v>0</v>
      </c>
      <c r="K8887" t="inlineStr">
        <is>
          <t>DIL MC25</t>
        </is>
      </c>
      <c r="M8887" t="inlineStr">
        <is>
          <t>-405Q1</t>
        </is>
      </c>
    </row>
    <row r="8888">
      <c r="A8888">
        <v>8887</v>
      </c>
      <c r="B8888">
        <f>GS52</f>
        <v>0</v>
      </c>
      <c r="C8888" t="inlineStr">
        <is>
          <t>+LS06</t>
        </is>
      </c>
      <c r="D8888" t="inlineStr">
        <is>
          <t>-405Q1</t>
        </is>
      </c>
      <c r="E8888" t="inlineStr">
        <is>
          <t>DILA-XHI22</t>
        </is>
      </c>
      <c r="F8888" t="inlineStr">
        <is>
          <t>DILA-XHI22</t>
        </is>
      </c>
      <c r="G8888" t="inlineStr">
        <is>
          <t>HILFSKONTAKTBLOCK</t>
        </is>
      </c>
      <c r="H8888" t="inlineStr">
        <is>
          <t>2S 2OE Last+Hilfssch. Cage</t>
        </is>
      </c>
      <c r="I8888">
        <v>1598</v>
      </c>
      <c r="J8888">
        <f>GS52/405.6</f>
        <v>0</v>
      </c>
      <c r="K8888" t="inlineStr">
        <is>
          <t>DIL MC25</t>
        </is>
      </c>
      <c r="M8888" t="inlineStr">
        <is>
          <t>-405Q1</t>
        </is>
      </c>
    </row>
    <row r="8889">
      <c r="A8889">
        <v>8888</v>
      </c>
      <c r="B8889">
        <f>GS52</f>
        <v>0</v>
      </c>
      <c r="C8889" t="inlineStr">
        <is>
          <t>+LS06</t>
        </is>
      </c>
      <c r="D8889" t="inlineStr">
        <is>
          <t>-405Q1</t>
        </is>
      </c>
      <c r="E8889" t="inlineStr">
        <is>
          <t>DILMC25-10(RDC24)</t>
        </is>
      </c>
      <c r="F8889" t="inlineStr">
        <is>
          <t>DILA-XHI22</t>
        </is>
      </c>
      <c r="G8889" t="inlineStr">
        <is>
          <t>LASTSCHUETZ</t>
        </is>
      </c>
      <c r="H8889" t="inlineStr">
        <is>
          <t>11kW 1S Federzugkl.</t>
        </is>
      </c>
      <c r="I8889">
        <v>1598</v>
      </c>
      <c r="J8889">
        <f>GS52/405.6</f>
        <v>0</v>
      </c>
      <c r="K8889" t="inlineStr">
        <is>
          <t>DIL MC25</t>
        </is>
      </c>
      <c r="M8889" t="inlineStr">
        <is>
          <t>-405Q1</t>
        </is>
      </c>
    </row>
    <row r="8890">
      <c r="A8890">
        <v>8889</v>
      </c>
      <c r="B8890">
        <f>GS53</f>
        <v>0</v>
      </c>
      <c r="C8890" t="inlineStr">
        <is>
          <t>+LS13</t>
        </is>
      </c>
      <c r="D8890" t="inlineStr">
        <is>
          <t>-405Q1</t>
        </is>
      </c>
      <c r="E8890" t="inlineStr">
        <is>
          <t>DILA-XHI22</t>
        </is>
      </c>
      <c r="F8890" t="inlineStr">
        <is>
          <t>DILA-XHI22</t>
        </is>
      </c>
      <c r="G8890" t="inlineStr">
        <is>
          <t>HILFSKONTAKTBLOCK</t>
        </is>
      </c>
      <c r="H8890" t="inlineStr">
        <is>
          <t>2S 2OE Last+Hilfssch. Cage</t>
        </is>
      </c>
      <c r="I8890">
        <v>495</v>
      </c>
      <c r="J8890">
        <f>GS53/405.6</f>
        <v>0</v>
      </c>
      <c r="K8890" t="inlineStr">
        <is>
          <t>DIL MC25</t>
        </is>
      </c>
      <c r="M8890" t="inlineStr">
        <is>
          <t>-405Q1</t>
        </is>
      </c>
    </row>
    <row r="8891">
      <c r="A8891">
        <v>8890</v>
      </c>
      <c r="B8891">
        <f>GS53</f>
        <v>0</v>
      </c>
      <c r="C8891" t="inlineStr">
        <is>
          <t>+LS13</t>
        </is>
      </c>
      <c r="D8891" t="inlineStr">
        <is>
          <t>-405Q1</t>
        </is>
      </c>
      <c r="E8891" t="inlineStr">
        <is>
          <t>DILMC25-10(RDC24)</t>
        </is>
      </c>
      <c r="F8891" t="inlineStr">
        <is>
          <t>DILA-XHI22</t>
        </is>
      </c>
      <c r="G8891" t="inlineStr">
        <is>
          <t>LASTSCHUETZ</t>
        </is>
      </c>
      <c r="H8891" t="inlineStr">
        <is>
          <t>11kW 1S Federzugkl.</t>
        </is>
      </c>
      <c r="I8891">
        <v>495</v>
      </c>
      <c r="J8891">
        <f>GS53/405.6</f>
        <v>0</v>
      </c>
      <c r="K8891" t="inlineStr">
        <is>
          <t>DIL MC25</t>
        </is>
      </c>
      <c r="M8891" t="inlineStr">
        <is>
          <t>-405Q1</t>
        </is>
      </c>
    </row>
    <row r="8892">
      <c r="A8892">
        <v>8891</v>
      </c>
      <c r="B8892">
        <f>GS91</f>
        <v>0</v>
      </c>
      <c r="C8892" t="inlineStr">
        <is>
          <t>+LS07</t>
        </is>
      </c>
      <c r="D8892" t="inlineStr">
        <is>
          <t>-405Q1</t>
        </is>
      </c>
      <c r="E8892" t="inlineStr">
        <is>
          <t>DILA-XHI22</t>
        </is>
      </c>
      <c r="F8892" t="inlineStr">
        <is>
          <t>DILA-XHI22</t>
        </is>
      </c>
      <c r="G8892" t="inlineStr">
        <is>
          <t>HILFSKONTAKTBLOCK</t>
        </is>
      </c>
      <c r="H8892" t="inlineStr">
        <is>
          <t>2S 2OE Last+Hilfssch. Cage</t>
        </is>
      </c>
      <c r="I8892">
        <v>553</v>
      </c>
      <c r="J8892">
        <f>GS91/405.4</f>
        <v>0</v>
      </c>
      <c r="K8892" t="inlineStr">
        <is>
          <t>DIL MC25</t>
        </is>
      </c>
      <c r="M8892" t="inlineStr">
        <is>
          <t>-405Q1</t>
        </is>
      </c>
    </row>
    <row r="8893">
      <c r="A8893">
        <v>8892</v>
      </c>
      <c r="B8893">
        <f>GS91</f>
        <v>0</v>
      </c>
      <c r="C8893" t="inlineStr">
        <is>
          <t>+LS07</t>
        </is>
      </c>
      <c r="D8893" t="inlineStr">
        <is>
          <t>-405Q1</t>
        </is>
      </c>
      <c r="E8893" t="inlineStr">
        <is>
          <t>DILMC25-10(RDC24)</t>
        </is>
      </c>
      <c r="F8893" t="inlineStr">
        <is>
          <t>DILA-XHI22</t>
        </is>
      </c>
      <c r="G8893" t="inlineStr">
        <is>
          <t>LASTSCHUETZ</t>
        </is>
      </c>
      <c r="H8893" t="inlineStr">
        <is>
          <t>11kW 1S Federzugkl.</t>
        </is>
      </c>
      <c r="I8893">
        <v>553</v>
      </c>
      <c r="J8893">
        <f>GS91/405.4</f>
        <v>0</v>
      </c>
      <c r="K8893" t="inlineStr">
        <is>
          <t>DIL MC25</t>
        </is>
      </c>
      <c r="M8893" t="inlineStr">
        <is>
          <t>-405Q1</t>
        </is>
      </c>
    </row>
    <row r="8894">
      <c r="A8894">
        <v>8893</v>
      </c>
      <c r="B8894">
        <f>GS92</f>
        <v>0</v>
      </c>
      <c r="C8894" t="inlineStr">
        <is>
          <t>+LS07</t>
        </is>
      </c>
      <c r="D8894" t="inlineStr">
        <is>
          <t>-405Q1</t>
        </is>
      </c>
      <c r="E8894" t="inlineStr">
        <is>
          <t>DILMC25-10(RDC24)</t>
        </is>
      </c>
      <c r="F8894" t="inlineStr">
        <is>
          <t>DILA-XHI22</t>
        </is>
      </c>
      <c r="G8894" t="inlineStr">
        <is>
          <t>LASTSCHUETZ</t>
        </is>
      </c>
      <c r="H8894" t="inlineStr">
        <is>
          <t>11kW 1S Federzugkl.</t>
        </is>
      </c>
      <c r="I8894">
        <v>551</v>
      </c>
      <c r="J8894">
        <f>GS92/405.4</f>
        <v>0</v>
      </c>
      <c r="K8894" t="inlineStr">
        <is>
          <t>DIL MC25</t>
        </is>
      </c>
      <c r="M8894" t="inlineStr">
        <is>
          <t>-405Q1</t>
        </is>
      </c>
    </row>
    <row r="8895">
      <c r="A8895">
        <v>8894</v>
      </c>
      <c r="B8895">
        <f>GS92</f>
        <v>0</v>
      </c>
      <c r="C8895" t="inlineStr">
        <is>
          <t>+LS07</t>
        </is>
      </c>
      <c r="D8895" t="inlineStr">
        <is>
          <t>-405Q1</t>
        </is>
      </c>
      <c r="E8895" t="inlineStr">
        <is>
          <t>DILA-XHI22</t>
        </is>
      </c>
      <c r="F8895" t="inlineStr">
        <is>
          <t>DILA-XHI22</t>
        </is>
      </c>
      <c r="G8895" t="inlineStr">
        <is>
          <t>HILFSKONTAKTBLOCK</t>
        </is>
      </c>
      <c r="H8895" t="inlineStr">
        <is>
          <t>2S 2OE Last+Hilfssch. Cage</t>
        </is>
      </c>
      <c r="I8895">
        <v>551</v>
      </c>
      <c r="J8895">
        <f>GS92/405.4</f>
        <v>0</v>
      </c>
      <c r="K8895" t="inlineStr">
        <is>
          <t>DIL MC25</t>
        </is>
      </c>
      <c r="M8895" t="inlineStr">
        <is>
          <t>-405Q1</t>
        </is>
      </c>
    </row>
    <row r="8896">
      <c r="A8896">
        <v>8895</v>
      </c>
      <c r="B8896">
        <f>GS05</f>
        <v>0</v>
      </c>
      <c r="C8896" t="inlineStr">
        <is>
          <t>+LS06</t>
        </is>
      </c>
      <c r="D8896" t="inlineStr">
        <is>
          <t>-405Q141.5</t>
        </is>
      </c>
      <c r="E8896" t="inlineStr">
        <is>
          <t>DILM-9-10</t>
        </is>
      </c>
      <c r="F8896" t="inlineStr">
        <is>
          <t>#KALK!</t>
        </is>
      </c>
      <c r="G8896" t="inlineStr">
        <is>
          <t>LASTSCHUETZ</t>
        </is>
      </c>
      <c r="H8896" t="inlineStr">
        <is>
          <t>4kW 1S Federzugkl.</t>
        </is>
      </c>
      <c r="I8896">
        <v>2254</v>
      </c>
      <c r="J8896">
        <f>GS05/405.6</f>
        <v>0</v>
      </c>
      <c r="K8896" t="inlineStr">
        <is>
          <t>DIL MC9</t>
        </is>
      </c>
      <c r="M8896" t="inlineStr">
        <is>
          <t>-405Q141.5</t>
        </is>
      </c>
    </row>
    <row r="8897">
      <c r="A8897">
        <v>8896</v>
      </c>
      <c r="B8897">
        <f>GS25</f>
        <v>0</v>
      </c>
      <c r="C8897" t="inlineStr">
        <is>
          <t>+LS9</t>
        </is>
      </c>
      <c r="D8897" t="inlineStr">
        <is>
          <t>-406K40.1</t>
        </is>
      </c>
      <c r="E8897" t="inlineStr">
        <is>
          <t>DIL_EM-10-G</t>
        </is>
      </c>
      <c r="F8897" t="inlineStr">
        <is>
          <t>#KALK!</t>
        </is>
      </c>
      <c r="G8897" t="inlineStr">
        <is>
          <t>LASTSCHUETZ</t>
        </is>
      </c>
      <c r="H8897" t="inlineStr">
        <is>
          <t>4kW 1S</t>
        </is>
      </c>
      <c r="I8897">
        <v>530</v>
      </c>
      <c r="J8897">
        <f>GS25/406.5</f>
        <v>0</v>
      </c>
      <c r="M8897" t="inlineStr">
        <is>
          <t>-406K40.1</t>
        </is>
      </c>
    </row>
    <row r="8898">
      <c r="A8898">
        <v>8897</v>
      </c>
      <c r="B8898">
        <f>GS25</f>
        <v>0</v>
      </c>
      <c r="C8898" t="inlineStr">
        <is>
          <t>+LS9</t>
        </is>
      </c>
      <c r="D8898" t="inlineStr">
        <is>
          <t>-406K40.2</t>
        </is>
      </c>
      <c r="E8898" t="inlineStr">
        <is>
          <t>DIL_EM-10-G</t>
        </is>
      </c>
      <c r="F8898" t="inlineStr">
        <is>
          <t>#KALK!</t>
        </is>
      </c>
      <c r="G8898" t="inlineStr">
        <is>
          <t>LASTSCHUETZ</t>
        </is>
      </c>
      <c r="H8898" t="inlineStr">
        <is>
          <t>4kW 1S</t>
        </is>
      </c>
      <c r="I8898">
        <v>530</v>
      </c>
      <c r="J8898">
        <f>GS25/406.6</f>
        <v>0</v>
      </c>
      <c r="M8898" t="inlineStr">
        <is>
          <t>-406K40.2</t>
        </is>
      </c>
    </row>
    <row r="8899">
      <c r="A8899">
        <v>8898</v>
      </c>
      <c r="B8899">
        <f>GS25</f>
        <v>0</v>
      </c>
      <c r="C8899" t="inlineStr">
        <is>
          <t>+LS9</t>
        </is>
      </c>
      <c r="D8899" t="inlineStr">
        <is>
          <t>-406K40.3</t>
        </is>
      </c>
      <c r="E8899" t="inlineStr">
        <is>
          <t>DIL_EM-01-G</t>
        </is>
      </c>
      <c r="F8899" t="inlineStr">
        <is>
          <t>#KALK!</t>
        </is>
      </c>
      <c r="G8899" t="inlineStr">
        <is>
          <t>LASTSCHUETZ</t>
        </is>
      </c>
      <c r="H8899" t="inlineStr">
        <is>
          <t>4kW 1OE</t>
        </is>
      </c>
      <c r="I8899">
        <v>530</v>
      </c>
      <c r="J8899">
        <f>GS25/406.7</f>
        <v>0</v>
      </c>
      <c r="M8899" t="inlineStr">
        <is>
          <t>-406K40.3</t>
        </is>
      </c>
    </row>
    <row r="8900">
      <c r="A8900">
        <v>8899</v>
      </c>
      <c r="B8900">
        <f>GS25</f>
        <v>0</v>
      </c>
      <c r="C8900" t="inlineStr">
        <is>
          <t>+LS9</t>
        </is>
      </c>
      <c r="D8900" t="inlineStr">
        <is>
          <t>-406K40.4</t>
        </is>
      </c>
      <c r="E8900" t="inlineStr">
        <is>
          <t>DIL_EM-01-G</t>
        </is>
      </c>
      <c r="F8900" t="inlineStr">
        <is>
          <t>#KALK!</t>
        </is>
      </c>
      <c r="G8900" t="inlineStr">
        <is>
          <t>LASTSCHUETZ</t>
        </is>
      </c>
      <c r="H8900" t="inlineStr">
        <is>
          <t>4kW 1OE</t>
        </is>
      </c>
      <c r="I8900">
        <v>530</v>
      </c>
      <c r="J8900">
        <f>GS25/406.8</f>
        <v>0</v>
      </c>
      <c r="M8900" t="inlineStr">
        <is>
          <t>-406K40.4</t>
        </is>
      </c>
    </row>
    <row r="8901">
      <c r="A8901">
        <v>8900</v>
      </c>
      <c r="B8901">
        <f>GS11</f>
        <v>0</v>
      </c>
      <c r="C8901" t="inlineStr">
        <is>
          <t>+LS10</t>
        </is>
      </c>
      <c r="D8901" t="inlineStr">
        <is>
          <t>-406K68.4</t>
        </is>
      </c>
      <c r="E8901" t="inlineStr">
        <is>
          <t>DIL_EM-10-G</t>
        </is>
      </c>
      <c r="F8901" t="inlineStr">
        <is>
          <t>#KALK!</t>
        </is>
      </c>
      <c r="G8901" t="inlineStr">
        <is>
          <t>LASTSCHUETZ</t>
        </is>
      </c>
      <c r="H8901" t="inlineStr">
        <is>
          <t>4kW 1S</t>
        </is>
      </c>
      <c r="I8901">
        <v>512</v>
      </c>
      <c r="J8901">
        <f>GS11/406.6</f>
        <v>0</v>
      </c>
      <c r="M8901" t="inlineStr">
        <is>
          <t>-406K68.4</t>
        </is>
      </c>
    </row>
    <row r="8902">
      <c r="A8902">
        <v>8901</v>
      </c>
      <c r="B8902">
        <f>GS21</f>
        <v>0</v>
      </c>
      <c r="C8902" t="inlineStr">
        <is>
          <t>+LS10</t>
        </is>
      </c>
      <c r="D8902" t="inlineStr">
        <is>
          <t>-406K68.4</t>
        </is>
      </c>
      <c r="E8902" t="inlineStr">
        <is>
          <t>DIL_EM-10-G</t>
        </is>
      </c>
      <c r="F8902" t="inlineStr">
        <is>
          <t>#KALK!</t>
        </is>
      </c>
      <c r="G8902" t="inlineStr">
        <is>
          <t>LASTSCHUETZ</t>
        </is>
      </c>
      <c r="H8902" t="inlineStr">
        <is>
          <t>4kW 1S</t>
        </is>
      </c>
      <c r="I8902">
        <v>494</v>
      </c>
      <c r="J8902">
        <f>GS21/406.6</f>
        <v>0</v>
      </c>
      <c r="M8902" t="inlineStr">
        <is>
          <t>-406K68.4</t>
        </is>
      </c>
    </row>
    <row r="8903">
      <c r="A8903">
        <v>8902</v>
      </c>
      <c r="B8903">
        <f>GS92</f>
        <v>0</v>
      </c>
      <c r="C8903" t="inlineStr">
        <is>
          <t>+LS07</t>
        </is>
      </c>
      <c r="D8903" t="inlineStr">
        <is>
          <t>-406Q465.1</t>
        </is>
      </c>
      <c r="E8903" t="inlineStr">
        <is>
          <t>DILA-XHI22</t>
        </is>
      </c>
      <c r="F8903" t="inlineStr">
        <is>
          <t>DILA-XHI22</t>
        </is>
      </c>
      <c r="G8903" t="inlineStr">
        <is>
          <t>HILFSKONTAKTBLOCK</t>
        </is>
      </c>
      <c r="H8903" t="inlineStr">
        <is>
          <t>2S 2OE Last+Hilfssch. Cage</t>
        </is>
      </c>
      <c r="I8903">
        <v>552</v>
      </c>
      <c r="J8903">
        <f>GS92/406.5</f>
        <v>0</v>
      </c>
      <c r="M8903" t="inlineStr">
        <is>
          <t>-406Q465.1</t>
        </is>
      </c>
    </row>
    <row r="8904">
      <c r="A8904">
        <v>8903</v>
      </c>
      <c r="B8904">
        <f>GS92</f>
        <v>0</v>
      </c>
      <c r="C8904" t="inlineStr">
        <is>
          <t>+LS07</t>
        </is>
      </c>
      <c r="D8904" t="inlineStr">
        <is>
          <t>-406Q465.1</t>
        </is>
      </c>
      <c r="E8904" t="inlineStr">
        <is>
          <t>DILM-9-10</t>
        </is>
      </c>
      <c r="F8904" t="inlineStr">
        <is>
          <t>DILA-XHI22</t>
        </is>
      </c>
      <c r="G8904" t="inlineStr">
        <is>
          <t>LASTSCHUETZ</t>
        </is>
      </c>
      <c r="H8904" t="inlineStr">
        <is>
          <t>4kW 1S Federzugkl.</t>
        </is>
      </c>
      <c r="I8904">
        <v>552</v>
      </c>
      <c r="J8904">
        <f>GS92/406.5</f>
        <v>0</v>
      </c>
      <c r="M8904" t="inlineStr">
        <is>
          <t>-406Q465.1</t>
        </is>
      </c>
    </row>
    <row r="8905">
      <c r="A8905">
        <v>8904</v>
      </c>
      <c r="B8905">
        <f>GS92</f>
        <v>0</v>
      </c>
      <c r="C8905" t="inlineStr">
        <is>
          <t>+LS07</t>
        </is>
      </c>
      <c r="D8905" t="inlineStr">
        <is>
          <t>-406Q465.2</t>
        </is>
      </c>
      <c r="E8905" t="inlineStr">
        <is>
          <t>DILA-XHI22</t>
        </is>
      </c>
      <c r="F8905" t="inlineStr">
        <is>
          <t>DILA-XHI22</t>
        </is>
      </c>
      <c r="G8905" t="inlineStr">
        <is>
          <t>HILFSKONTAKTBLOCK</t>
        </is>
      </c>
      <c r="H8905" t="inlineStr">
        <is>
          <t>2S 2OE Last+Hilfssch. Cage</t>
        </is>
      </c>
      <c r="I8905">
        <v>552</v>
      </c>
      <c r="J8905">
        <f>GS92/406.6</f>
        <v>0</v>
      </c>
      <c r="M8905" t="inlineStr">
        <is>
          <t>-406Q465.2</t>
        </is>
      </c>
    </row>
    <row r="8906">
      <c r="A8906">
        <v>8905</v>
      </c>
      <c r="B8906">
        <f>GS92</f>
        <v>0</v>
      </c>
      <c r="C8906" t="inlineStr">
        <is>
          <t>+LS07</t>
        </is>
      </c>
      <c r="D8906" t="inlineStr">
        <is>
          <t>-406Q465.2</t>
        </is>
      </c>
      <c r="E8906" t="inlineStr">
        <is>
          <t>DILM-9-10</t>
        </is>
      </c>
      <c r="F8906" t="inlineStr">
        <is>
          <t>DILA-XHI22</t>
        </is>
      </c>
      <c r="G8906" t="inlineStr">
        <is>
          <t>LASTSCHUETZ</t>
        </is>
      </c>
      <c r="H8906" t="inlineStr">
        <is>
          <t>4kW 1S Federzugkl.</t>
        </is>
      </c>
      <c r="I8906">
        <v>552</v>
      </c>
      <c r="J8906">
        <f>GS92/406.6</f>
        <v>0</v>
      </c>
      <c r="M8906" t="inlineStr">
        <is>
          <t>-406Q465.2</t>
        </is>
      </c>
    </row>
    <row r="8907">
      <c r="A8907">
        <v>8906</v>
      </c>
      <c r="B8907">
        <f>GS13</f>
        <v>0</v>
      </c>
      <c r="C8907" t="inlineStr">
        <is>
          <t>+LS10</t>
        </is>
      </c>
      <c r="D8907" t="inlineStr">
        <is>
          <t>-4073602.7</t>
        </is>
      </c>
      <c r="E8907" t="inlineStr">
        <is>
          <t>DIL_EM-10-G</t>
        </is>
      </c>
      <c r="F8907" t="inlineStr">
        <is>
          <t>#KALK!</t>
        </is>
      </c>
      <c r="G8907" t="inlineStr">
        <is>
          <t>LASTSCHUETZ</t>
        </is>
      </c>
      <c r="H8907" t="inlineStr">
        <is>
          <t>4kW 1S</t>
        </is>
      </c>
      <c r="I8907">
        <v>654</v>
      </c>
      <c r="J8907">
        <f>GS13/407.7</f>
        <v>0</v>
      </c>
      <c r="M8907" t="inlineStr">
        <is>
          <t>-4073602.7</t>
        </is>
      </c>
    </row>
    <row r="8908">
      <c r="A8908">
        <v>8907</v>
      </c>
      <c r="B8908">
        <f>GC22</f>
        <v>0</v>
      </c>
      <c r="C8908" t="inlineStr">
        <is>
          <t>+LS6</t>
        </is>
      </c>
      <c r="D8908" t="inlineStr">
        <is>
          <t>-407K1</t>
        </is>
      </c>
      <c r="E8908" t="inlineStr">
        <is>
          <t>DIL_0AM</t>
        </is>
      </c>
      <c r="F8908" t="inlineStr">
        <is>
          <t>22_DIL-M</t>
        </is>
      </c>
      <c r="G8908" t="inlineStr">
        <is>
          <t>LASTSCHUETZ</t>
        </is>
      </c>
      <c r="H8908" t="inlineStr">
        <is>
          <t>11 kW</t>
        </is>
      </c>
      <c r="I8908">
        <v>3522</v>
      </c>
      <c r="J8908">
        <f>GC22/407.2</f>
        <v>0</v>
      </c>
      <c r="K8908" t="inlineStr">
        <is>
          <t>DIL0AM</t>
        </is>
      </c>
      <c r="M8908" t="inlineStr">
        <is>
          <t>-407K1</t>
        </is>
      </c>
    </row>
    <row r="8909">
      <c r="A8909">
        <v>8908</v>
      </c>
      <c r="B8909">
        <f>GC22</f>
        <v>0</v>
      </c>
      <c r="C8909" t="inlineStr">
        <is>
          <t>+LS6</t>
        </is>
      </c>
      <c r="D8909" t="inlineStr">
        <is>
          <t>-407K1</t>
        </is>
      </c>
      <c r="E8909" t="inlineStr">
        <is>
          <t>22_DIL-M</t>
        </is>
      </c>
      <c r="F8909" t="inlineStr">
        <is>
          <t>22_DIL-M</t>
        </is>
      </c>
      <c r="G8909" t="inlineStr">
        <is>
          <t>HILFSKONTAKTBLOCK</t>
        </is>
      </c>
      <c r="H8909" t="inlineStr">
        <is>
          <t>2S 2OE Lastschuetz DIL M</t>
        </is>
      </c>
      <c r="I8909">
        <v>3522</v>
      </c>
      <c r="J8909">
        <f>GC22/407.2</f>
        <v>0</v>
      </c>
      <c r="K8909" t="inlineStr">
        <is>
          <t>DIL0AM</t>
        </is>
      </c>
      <c r="M8909" t="inlineStr">
        <is>
          <t>-407K1</t>
        </is>
      </c>
    </row>
    <row r="8910">
      <c r="A8910">
        <v>8909</v>
      </c>
      <c r="B8910">
        <f>GS12</f>
        <v>0</v>
      </c>
      <c r="C8910" t="inlineStr">
        <is>
          <t>+LS6</t>
        </is>
      </c>
      <c r="D8910" t="inlineStr">
        <is>
          <t>-407K1</t>
        </is>
      </c>
      <c r="E8910" t="inlineStr">
        <is>
          <t>DIL_0AM</t>
        </is>
      </c>
      <c r="F8910" t="inlineStr">
        <is>
          <t>22_DIL-M</t>
        </is>
      </c>
      <c r="G8910" t="inlineStr">
        <is>
          <t>LASTSCHUETZ</t>
        </is>
      </c>
      <c r="H8910" t="inlineStr">
        <is>
          <t>11 kW</t>
        </is>
      </c>
      <c r="I8910">
        <v>539</v>
      </c>
      <c r="J8910">
        <f>GS12/407.2</f>
        <v>0</v>
      </c>
      <c r="K8910" t="inlineStr">
        <is>
          <t>DIL0AM</t>
        </is>
      </c>
      <c r="M8910" t="inlineStr">
        <is>
          <t>-407K1</t>
        </is>
      </c>
    </row>
    <row r="8911">
      <c r="A8911">
        <v>8910</v>
      </c>
      <c r="B8911">
        <f>GS12</f>
        <v>0</v>
      </c>
      <c r="C8911" t="inlineStr">
        <is>
          <t>+LS6</t>
        </is>
      </c>
      <c r="D8911" t="inlineStr">
        <is>
          <t>-407K1</t>
        </is>
      </c>
      <c r="E8911" t="inlineStr">
        <is>
          <t>22_DIL-M</t>
        </is>
      </c>
      <c r="F8911" t="inlineStr">
        <is>
          <t>22_DIL-M</t>
        </is>
      </c>
      <c r="G8911" t="inlineStr">
        <is>
          <t>HILFSKONTAKTBLOCK</t>
        </is>
      </c>
      <c r="H8911" t="inlineStr">
        <is>
          <t>2S 2OE Lastschuetz DIL M</t>
        </is>
      </c>
      <c r="I8911">
        <v>539</v>
      </c>
      <c r="J8911">
        <f>GS12/407.2</f>
        <v>0</v>
      </c>
      <c r="K8911" t="inlineStr">
        <is>
          <t>DIL0AM</t>
        </is>
      </c>
      <c r="M8911" t="inlineStr">
        <is>
          <t>-407K1</t>
        </is>
      </c>
    </row>
    <row r="8912">
      <c r="A8912">
        <v>8911</v>
      </c>
      <c r="B8912">
        <f>GC03</f>
        <v>0</v>
      </c>
      <c r="C8912" t="inlineStr">
        <is>
          <t>+LS9</t>
        </is>
      </c>
      <c r="D8912" t="inlineStr">
        <is>
          <t>-407K17.4</t>
        </is>
      </c>
      <c r="E8912" t="inlineStr">
        <is>
          <t>DIL_EM-10-G</t>
        </is>
      </c>
      <c r="F8912" t="inlineStr">
        <is>
          <t>#KALK!</t>
        </is>
      </c>
      <c r="G8912" t="inlineStr">
        <is>
          <t>LASTSCHUETZ</t>
        </is>
      </c>
      <c r="H8912" t="inlineStr">
        <is>
          <t>4kW 1S</t>
        </is>
      </c>
      <c r="I8912">
        <v>646</v>
      </c>
      <c r="J8912">
        <f>GC03/407.7</f>
        <v>0</v>
      </c>
      <c r="M8912" t="inlineStr">
        <is>
          <t>-407K17.4</t>
        </is>
      </c>
    </row>
    <row r="8913">
      <c r="A8913">
        <v>8912</v>
      </c>
      <c r="B8913">
        <f>GS23</f>
        <v>0</v>
      </c>
      <c r="C8913" t="inlineStr">
        <is>
          <t>+LS10</t>
        </is>
      </c>
      <c r="D8913" t="inlineStr">
        <is>
          <t>-407K3602.7</t>
        </is>
      </c>
      <c r="E8913" t="inlineStr">
        <is>
          <t>DIL_EM-10-G</t>
        </is>
      </c>
      <c r="F8913" t="inlineStr">
        <is>
          <t>#KALK!</t>
        </is>
      </c>
      <c r="G8913" t="inlineStr">
        <is>
          <t>LASTSCHUETZ</t>
        </is>
      </c>
      <c r="H8913" t="inlineStr">
        <is>
          <t>4kW 1S</t>
        </is>
      </c>
      <c r="I8913">
        <v>708</v>
      </c>
      <c r="J8913">
        <f>GS23/407.7</f>
        <v>0</v>
      </c>
      <c r="M8913" t="inlineStr">
        <is>
          <t>-407K3602.7</t>
        </is>
      </c>
    </row>
    <row r="8914">
      <c r="A8914">
        <v>8913</v>
      </c>
      <c r="B8914">
        <f>GS25</f>
        <v>0</v>
      </c>
      <c r="C8914" t="inlineStr">
        <is>
          <t>+LS9</t>
        </is>
      </c>
      <c r="D8914" t="inlineStr">
        <is>
          <t>-407K40.5</t>
        </is>
      </c>
      <c r="E8914" t="inlineStr">
        <is>
          <t>DIL_EM-10-G</t>
        </is>
      </c>
      <c r="F8914" t="inlineStr">
        <is>
          <t>#KALK!</t>
        </is>
      </c>
      <c r="G8914" t="inlineStr">
        <is>
          <t>LASTSCHUETZ</t>
        </is>
      </c>
      <c r="H8914" t="inlineStr">
        <is>
          <t>4kW 1S</t>
        </is>
      </c>
      <c r="I8914">
        <v>531</v>
      </c>
      <c r="J8914">
        <f>GS25/407.6</f>
        <v>0</v>
      </c>
      <c r="M8914" t="inlineStr">
        <is>
          <t>-407K40.5</t>
        </is>
      </c>
    </row>
    <row r="8915">
      <c r="A8915">
        <v>8914</v>
      </c>
      <c r="B8915">
        <f>GS25</f>
        <v>0</v>
      </c>
      <c r="C8915" t="inlineStr">
        <is>
          <t>+LS9</t>
        </is>
      </c>
      <c r="D8915" t="inlineStr">
        <is>
          <t>-407K40.6</t>
        </is>
      </c>
      <c r="E8915" t="inlineStr">
        <is>
          <t>DIL_EM-10-G</t>
        </is>
      </c>
      <c r="F8915" t="inlineStr">
        <is>
          <t>#KALK!</t>
        </is>
      </c>
      <c r="G8915" t="inlineStr">
        <is>
          <t>LASTSCHUETZ</t>
        </is>
      </c>
      <c r="H8915" t="inlineStr">
        <is>
          <t>4kW 1S</t>
        </is>
      </c>
      <c r="I8915">
        <v>531</v>
      </c>
      <c r="J8915">
        <f>GS25/407.6</f>
        <v>0</v>
      </c>
      <c r="M8915" t="inlineStr">
        <is>
          <t>-407K40.6</t>
        </is>
      </c>
    </row>
    <row r="8916">
      <c r="A8916">
        <v>8915</v>
      </c>
      <c r="B8916">
        <f>GS11</f>
        <v>0</v>
      </c>
      <c r="C8916" t="inlineStr">
        <is>
          <t>+LS10</t>
        </is>
      </c>
      <c r="D8916" t="inlineStr">
        <is>
          <t>-407K68.6</t>
        </is>
      </c>
      <c r="E8916" t="inlineStr">
        <is>
          <t>DIL_EM-10-G</t>
        </is>
      </c>
      <c r="F8916" t="inlineStr">
        <is>
          <t>#KALK!</t>
        </is>
      </c>
      <c r="G8916" t="inlineStr">
        <is>
          <t>LASTSCHUETZ</t>
        </is>
      </c>
      <c r="H8916" t="inlineStr">
        <is>
          <t>4kW 1S</t>
        </is>
      </c>
      <c r="I8916">
        <v>513</v>
      </c>
      <c r="J8916">
        <f>GS11/407.6</f>
        <v>0</v>
      </c>
      <c r="M8916" t="inlineStr">
        <is>
          <t>-407K68.6</t>
        </is>
      </c>
    </row>
    <row r="8917">
      <c r="A8917">
        <v>8916</v>
      </c>
      <c r="B8917">
        <f>GS21</f>
        <v>0</v>
      </c>
      <c r="C8917" t="inlineStr">
        <is>
          <t>+LS10</t>
        </is>
      </c>
      <c r="D8917" t="inlineStr">
        <is>
          <t>-407K68.6</t>
        </is>
      </c>
      <c r="E8917" t="inlineStr">
        <is>
          <t>DIL_EM-10-G</t>
        </is>
      </c>
      <c r="F8917" t="inlineStr">
        <is>
          <t>#KALK!</t>
        </is>
      </c>
      <c r="G8917" t="inlineStr">
        <is>
          <t>LASTSCHUETZ</t>
        </is>
      </c>
      <c r="H8917" t="inlineStr">
        <is>
          <t>4kW 1S</t>
        </is>
      </c>
      <c r="I8917">
        <v>495</v>
      </c>
      <c r="J8917">
        <f>GS21/407.6</f>
        <v>0</v>
      </c>
      <c r="M8917" t="inlineStr">
        <is>
          <t>-407K68.6</t>
        </is>
      </c>
    </row>
    <row r="8918">
      <c r="A8918">
        <v>8917</v>
      </c>
      <c r="B8918">
        <f>GS11</f>
        <v>0</v>
      </c>
      <c r="C8918" t="inlineStr">
        <is>
          <t>+LS10</t>
        </is>
      </c>
      <c r="D8918" t="inlineStr">
        <is>
          <t>-407K68.7</t>
        </is>
      </c>
      <c r="E8918" t="inlineStr">
        <is>
          <t>DIL_EM-10-G</t>
        </is>
      </c>
      <c r="F8918" t="inlineStr">
        <is>
          <t>#KALK!</t>
        </is>
      </c>
      <c r="G8918" t="inlineStr">
        <is>
          <t>LASTSCHUETZ</t>
        </is>
      </c>
      <c r="H8918" t="inlineStr">
        <is>
          <t>4kW 1S</t>
        </is>
      </c>
      <c r="I8918">
        <v>513</v>
      </c>
      <c r="J8918">
        <f>GS11/407.6</f>
        <v>0</v>
      </c>
      <c r="M8918" t="inlineStr">
        <is>
          <t>-407K68.7</t>
        </is>
      </c>
    </row>
    <row r="8919">
      <c r="A8919">
        <v>8918</v>
      </c>
      <c r="B8919">
        <f>GS21</f>
        <v>0</v>
      </c>
      <c r="C8919" t="inlineStr">
        <is>
          <t>+LS10</t>
        </is>
      </c>
      <c r="D8919" t="inlineStr">
        <is>
          <t>-407K68.7</t>
        </is>
      </c>
      <c r="E8919" t="inlineStr">
        <is>
          <t>DIL_EM-10-G</t>
        </is>
      </c>
      <c r="F8919" t="inlineStr">
        <is>
          <t>#KALK!</t>
        </is>
      </c>
      <c r="G8919" t="inlineStr">
        <is>
          <t>LASTSCHUETZ</t>
        </is>
      </c>
      <c r="H8919" t="inlineStr">
        <is>
          <t>4kW 1S</t>
        </is>
      </c>
      <c r="I8919">
        <v>495</v>
      </c>
      <c r="J8919">
        <f>GS21/407.6</f>
        <v>0</v>
      </c>
      <c r="M8919" t="inlineStr">
        <is>
          <t>-407K68.7</t>
        </is>
      </c>
    </row>
    <row r="8920">
      <c r="A8920">
        <v>8919</v>
      </c>
      <c r="B8920">
        <f>GS91</f>
        <v>0</v>
      </c>
      <c r="C8920" t="inlineStr">
        <is>
          <t>+LS07</t>
        </is>
      </c>
      <c r="D8920" t="inlineStr">
        <is>
          <t>-407Q201.1</t>
        </is>
      </c>
      <c r="E8920" t="inlineStr">
        <is>
          <t>DILM-9-10</t>
        </is>
      </c>
      <c r="F8920" t="inlineStr">
        <is>
          <t>#KALK!</t>
        </is>
      </c>
      <c r="G8920" t="inlineStr">
        <is>
          <t>LASTSCHUETZ</t>
        </is>
      </c>
      <c r="H8920" t="inlineStr">
        <is>
          <t>4kW 1S Federzugkl.</t>
        </is>
      </c>
      <c r="I8920">
        <v>555</v>
      </c>
      <c r="J8920">
        <f>GS91/407.5</f>
        <v>0</v>
      </c>
      <c r="M8920" t="inlineStr">
        <is>
          <t>-407Q201.1</t>
        </is>
      </c>
    </row>
    <row r="8921">
      <c r="A8921">
        <v>8920</v>
      </c>
      <c r="B8921">
        <f>GS92</f>
        <v>0</v>
      </c>
      <c r="C8921" t="inlineStr">
        <is>
          <t>+LS07</t>
        </is>
      </c>
      <c r="D8921" t="inlineStr">
        <is>
          <t>-407Q465.3</t>
        </is>
      </c>
      <c r="E8921" t="inlineStr">
        <is>
          <t>DILM-9-10</t>
        </is>
      </c>
      <c r="F8921" t="inlineStr">
        <is>
          <t>#KALK!</t>
        </is>
      </c>
      <c r="G8921" t="inlineStr">
        <is>
          <t>LASTSCHUETZ</t>
        </is>
      </c>
      <c r="H8921" t="inlineStr">
        <is>
          <t>4kW 1S Federzugkl.</t>
        </is>
      </c>
      <c r="I8921">
        <v>553</v>
      </c>
      <c r="J8921">
        <f>GS92/407.5</f>
        <v>0</v>
      </c>
      <c r="M8921" t="inlineStr">
        <is>
          <t>-407Q465.3</t>
        </is>
      </c>
    </row>
    <row r="8922">
      <c r="A8922">
        <v>8921</v>
      </c>
      <c r="B8922">
        <f>GS37</f>
        <v>0</v>
      </c>
      <c r="C8922" t="inlineStr">
        <is>
          <t>+LS09</t>
        </is>
      </c>
      <c r="D8922" t="inlineStr">
        <is>
          <t>-407Q702.2</t>
        </is>
      </c>
      <c r="E8922" t="inlineStr">
        <is>
          <t>DILMC12-10(24VDC)</t>
        </is>
      </c>
      <c r="F8922" t="inlineStr">
        <is>
          <t>#KALK!</t>
        </is>
      </c>
      <c r="G8922" t="inlineStr">
        <is>
          <t>LASTSCHUETZ</t>
        </is>
      </c>
      <c r="H8922" t="inlineStr">
        <is>
          <t>5,5kW 1S Federzugkl.</t>
        </is>
      </c>
      <c r="I8922">
        <v>546</v>
      </c>
      <c r="J8922">
        <f>GS37/407.5</f>
        <v>0</v>
      </c>
      <c r="K8922" t="inlineStr">
        <is>
          <t>DILMC12</t>
        </is>
      </c>
      <c r="M8922" t="inlineStr">
        <is>
          <t>-407Q702.2</t>
        </is>
      </c>
    </row>
    <row r="8923">
      <c r="A8923">
        <v>8922</v>
      </c>
      <c r="B8923">
        <f>GS13</f>
        <v>0</v>
      </c>
      <c r="C8923" t="inlineStr">
        <is>
          <t>+LS10</t>
        </is>
      </c>
      <c r="D8923" t="inlineStr">
        <is>
          <t>-4083603.5</t>
        </is>
      </c>
      <c r="E8923" t="inlineStr">
        <is>
          <t>DIL_EM-10-G</t>
        </is>
      </c>
      <c r="F8923" t="inlineStr">
        <is>
          <t>#KALK!</t>
        </is>
      </c>
      <c r="G8923" t="inlineStr">
        <is>
          <t>LASTSCHUETZ</t>
        </is>
      </c>
      <c r="H8923" t="inlineStr">
        <is>
          <t>4kW 1S</t>
        </is>
      </c>
      <c r="I8923">
        <v>655</v>
      </c>
      <c r="J8923">
        <f>GS13/408.7</f>
        <v>0</v>
      </c>
      <c r="M8923" t="inlineStr">
        <is>
          <t>-4083603.5</t>
        </is>
      </c>
    </row>
    <row r="8924">
      <c r="A8924">
        <v>8923</v>
      </c>
      <c r="B8924">
        <f>GS04</f>
        <v>0</v>
      </c>
      <c r="C8924" t="inlineStr">
        <is>
          <t>+LS9</t>
        </is>
      </c>
      <c r="D8924" t="inlineStr">
        <is>
          <t>-408K12.0</t>
        </is>
      </c>
      <c r="E8924" t="inlineStr">
        <is>
          <t>DIL_EM-10-G</t>
        </is>
      </c>
      <c r="F8924" t="inlineStr">
        <is>
          <t>#KALK!</t>
        </is>
      </c>
      <c r="G8924" t="inlineStr">
        <is>
          <t>LASTSCHUETZ</t>
        </is>
      </c>
      <c r="H8924" t="inlineStr">
        <is>
          <t>4kW 1S</t>
        </is>
      </c>
      <c r="I8924">
        <v>664</v>
      </c>
      <c r="J8924">
        <f>GS04/408.6</f>
        <v>0</v>
      </c>
      <c r="M8924" t="inlineStr">
        <is>
          <t>-408K12.0</t>
        </is>
      </c>
    </row>
    <row r="8925">
      <c r="A8925">
        <v>8924</v>
      </c>
      <c r="B8925">
        <f>GS04</f>
        <v>0</v>
      </c>
      <c r="C8925" t="inlineStr">
        <is>
          <t>+LS9</t>
        </is>
      </c>
      <c r="D8925" t="inlineStr">
        <is>
          <t>-408K12.1</t>
        </is>
      </c>
      <c r="E8925" t="inlineStr">
        <is>
          <t>DIL_EM-10-G</t>
        </is>
      </c>
      <c r="F8925" t="inlineStr">
        <is>
          <t>#KALK!</t>
        </is>
      </c>
      <c r="G8925" t="inlineStr">
        <is>
          <t>LASTSCHUETZ</t>
        </is>
      </c>
      <c r="H8925" t="inlineStr">
        <is>
          <t>4kW 1S</t>
        </is>
      </c>
      <c r="I8925">
        <v>664</v>
      </c>
      <c r="J8925">
        <f>GS04/408.6</f>
        <v>0</v>
      </c>
      <c r="M8925" t="inlineStr">
        <is>
          <t>-408K12.1</t>
        </is>
      </c>
    </row>
    <row r="8926">
      <c r="A8926">
        <v>8925</v>
      </c>
      <c r="B8926">
        <f>GC03</f>
        <v>0</v>
      </c>
      <c r="C8926" t="inlineStr">
        <is>
          <t>+LS9</t>
        </is>
      </c>
      <c r="D8926" t="inlineStr">
        <is>
          <t>-408K18.0</t>
        </is>
      </c>
      <c r="E8926" t="inlineStr">
        <is>
          <t>DIL_EM-10-G</t>
        </is>
      </c>
      <c r="F8926" t="inlineStr">
        <is>
          <t>#KALK!</t>
        </is>
      </c>
      <c r="G8926" t="inlineStr">
        <is>
          <t>LASTSCHUETZ</t>
        </is>
      </c>
      <c r="H8926" t="inlineStr">
        <is>
          <t>4kW 1S</t>
        </is>
      </c>
      <c r="I8926">
        <v>647</v>
      </c>
      <c r="J8926">
        <f>GC03/408.7</f>
        <v>0</v>
      </c>
      <c r="M8926" t="inlineStr">
        <is>
          <t>-408K18.0</t>
        </is>
      </c>
    </row>
    <row r="8927">
      <c r="A8927">
        <v>8926</v>
      </c>
      <c r="B8927">
        <f>GS23</f>
        <v>0</v>
      </c>
      <c r="C8927" t="inlineStr">
        <is>
          <t>+LS10</t>
        </is>
      </c>
      <c r="D8927" t="inlineStr">
        <is>
          <t>-408K3603.5</t>
        </is>
      </c>
      <c r="E8927" t="inlineStr">
        <is>
          <t>DIL_EM-10-G</t>
        </is>
      </c>
      <c r="F8927" t="inlineStr">
        <is>
          <t>#KALK!</t>
        </is>
      </c>
      <c r="G8927" t="inlineStr">
        <is>
          <t>LASTSCHUETZ</t>
        </is>
      </c>
      <c r="H8927" t="inlineStr">
        <is>
          <t>4kW 1S</t>
        </is>
      </c>
      <c r="I8927">
        <v>709</v>
      </c>
      <c r="J8927">
        <f>GS23/408.7</f>
        <v>0</v>
      </c>
      <c r="M8927" t="inlineStr">
        <is>
          <t>-408K3603.5</t>
        </is>
      </c>
    </row>
    <row r="8928">
      <c r="A8928">
        <v>8927</v>
      </c>
      <c r="B8928">
        <f>GS34</f>
        <v>0</v>
      </c>
      <c r="C8928" t="inlineStr">
        <is>
          <t>+LS9</t>
        </is>
      </c>
      <c r="D8928" t="inlineStr">
        <is>
          <t>-408K3903.7</t>
        </is>
      </c>
      <c r="E8928" t="inlineStr">
        <is>
          <t>DIL_EM-10-G</t>
        </is>
      </c>
      <c r="F8928" t="inlineStr">
        <is>
          <t>#KALK!</t>
        </is>
      </c>
      <c r="G8928" t="inlineStr">
        <is>
          <t>LASTSCHUETZ</t>
        </is>
      </c>
      <c r="H8928" t="inlineStr">
        <is>
          <t>4kW 1S</t>
        </is>
      </c>
      <c r="I8928">
        <v>533</v>
      </c>
      <c r="J8928">
        <f>GS34/408.7</f>
        <v>0</v>
      </c>
      <c r="M8928" t="inlineStr">
        <is>
          <t>-408K3903.7</t>
        </is>
      </c>
    </row>
    <row r="8929">
      <c r="A8929">
        <v>8928</v>
      </c>
      <c r="B8929">
        <f>GS34</f>
        <v>0</v>
      </c>
      <c r="C8929" t="inlineStr">
        <is>
          <t>+LS9</t>
        </is>
      </c>
      <c r="D8929" t="inlineStr">
        <is>
          <t>-408K3905.7</t>
        </is>
      </c>
      <c r="E8929" t="inlineStr">
        <is>
          <t>DIL_EM-10-G</t>
        </is>
      </c>
      <c r="F8929" t="inlineStr">
        <is>
          <t>#KALK!</t>
        </is>
      </c>
      <c r="G8929" t="inlineStr">
        <is>
          <t>LASTSCHUETZ</t>
        </is>
      </c>
      <c r="H8929" t="inlineStr">
        <is>
          <t>4kW 1S</t>
        </is>
      </c>
      <c r="I8929">
        <v>533</v>
      </c>
      <c r="J8929">
        <f>GS34/408.8</f>
        <v>0</v>
      </c>
      <c r="M8929" t="inlineStr">
        <is>
          <t>-408K3905.7</t>
        </is>
      </c>
    </row>
    <row r="8930">
      <c r="A8930">
        <v>8929</v>
      </c>
      <c r="B8930">
        <f>GS11</f>
        <v>0</v>
      </c>
      <c r="C8930" t="inlineStr">
        <is>
          <t>+LS10</t>
        </is>
      </c>
      <c r="D8930" t="inlineStr">
        <is>
          <t>-408K69.0</t>
        </is>
      </c>
      <c r="E8930" t="inlineStr">
        <is>
          <t>DIL_EM-10-G</t>
        </is>
      </c>
      <c r="F8930" t="inlineStr">
        <is>
          <t>#KALK!</t>
        </is>
      </c>
      <c r="G8930" t="inlineStr">
        <is>
          <t>LASTSCHUETZ</t>
        </is>
      </c>
      <c r="H8930" t="inlineStr">
        <is>
          <t>4kW 1S</t>
        </is>
      </c>
      <c r="I8930">
        <v>514</v>
      </c>
      <c r="J8930">
        <f>GS11/408.6</f>
        <v>0</v>
      </c>
      <c r="M8930" t="inlineStr">
        <is>
          <t>-408K69.0</t>
        </is>
      </c>
    </row>
    <row r="8931">
      <c r="A8931">
        <v>8930</v>
      </c>
      <c r="B8931">
        <f>GS21</f>
        <v>0</v>
      </c>
      <c r="C8931" t="inlineStr">
        <is>
          <t>+LS10</t>
        </is>
      </c>
      <c r="D8931" t="inlineStr">
        <is>
          <t>-408K69.0</t>
        </is>
      </c>
      <c r="E8931" t="inlineStr">
        <is>
          <t>DIL_EM-10-G</t>
        </is>
      </c>
      <c r="F8931" t="inlineStr">
        <is>
          <t>#KALK!</t>
        </is>
      </c>
      <c r="G8931" t="inlineStr">
        <is>
          <t>LASTSCHUETZ</t>
        </is>
      </c>
      <c r="H8931" t="inlineStr">
        <is>
          <t>4kW 1S</t>
        </is>
      </c>
      <c r="I8931">
        <v>496</v>
      </c>
      <c r="J8931">
        <f>GS21/408.6</f>
        <v>0</v>
      </c>
      <c r="M8931" t="inlineStr">
        <is>
          <t>-408K69.0</t>
        </is>
      </c>
    </row>
    <row r="8932">
      <c r="A8932">
        <v>8931</v>
      </c>
      <c r="B8932">
        <f>GS11</f>
        <v>0</v>
      </c>
      <c r="C8932" t="inlineStr">
        <is>
          <t>+LS10</t>
        </is>
      </c>
      <c r="D8932" t="inlineStr">
        <is>
          <t>-408K69.1</t>
        </is>
      </c>
      <c r="E8932" t="inlineStr">
        <is>
          <t>DIL_EM-10-G</t>
        </is>
      </c>
      <c r="F8932" t="inlineStr">
        <is>
          <t>#KALK!</t>
        </is>
      </c>
      <c r="G8932" t="inlineStr">
        <is>
          <t>LASTSCHUETZ</t>
        </is>
      </c>
      <c r="H8932" t="inlineStr">
        <is>
          <t>4kW 1S</t>
        </is>
      </c>
      <c r="I8932">
        <v>514</v>
      </c>
      <c r="J8932">
        <f>GS11/408.6</f>
        <v>0</v>
      </c>
      <c r="M8932" t="inlineStr">
        <is>
          <t>-408K69.1</t>
        </is>
      </c>
    </row>
    <row r="8933">
      <c r="A8933">
        <v>8932</v>
      </c>
      <c r="B8933">
        <f>GS21</f>
        <v>0</v>
      </c>
      <c r="C8933" t="inlineStr">
        <is>
          <t>+LS10</t>
        </is>
      </c>
      <c r="D8933" t="inlineStr">
        <is>
          <t>-408K69.1</t>
        </is>
      </c>
      <c r="E8933" t="inlineStr">
        <is>
          <t>DIL_EM-10-G</t>
        </is>
      </c>
      <c r="F8933" t="inlineStr">
        <is>
          <t>#KALK!</t>
        </is>
      </c>
      <c r="G8933" t="inlineStr">
        <is>
          <t>LASTSCHUETZ</t>
        </is>
      </c>
      <c r="H8933" t="inlineStr">
        <is>
          <t>4kW 1S</t>
        </is>
      </c>
      <c r="I8933">
        <v>496</v>
      </c>
      <c r="J8933">
        <f>GS21/408.6</f>
        <v>0</v>
      </c>
      <c r="M8933" t="inlineStr">
        <is>
          <t>-408K69.1</t>
        </is>
      </c>
    </row>
    <row r="8934">
      <c r="A8934">
        <v>8933</v>
      </c>
      <c r="B8934">
        <f>GS07</f>
        <v>0</v>
      </c>
      <c r="C8934" t="inlineStr">
        <is>
          <t>+LS06</t>
        </is>
      </c>
      <c r="D8934" t="inlineStr">
        <is>
          <t>-408Q411.5</t>
        </is>
      </c>
      <c r="E8934" t="inlineStr">
        <is>
          <t>DILM-9-01</t>
        </is>
      </c>
      <c r="F8934" t="inlineStr">
        <is>
          <t>DILA-XHI22</t>
        </is>
      </c>
      <c r="G8934" t="inlineStr">
        <is>
          <t>LASTSCHUETZ</t>
        </is>
      </c>
      <c r="H8934" t="inlineStr">
        <is>
          <t>4kW 1Oe Federzugkl.</t>
        </is>
      </c>
      <c r="I8934">
        <v>502</v>
      </c>
      <c r="J8934">
        <f>GS07/408.6</f>
        <v>0</v>
      </c>
      <c r="M8934" t="inlineStr">
        <is>
          <t>-408Q411.5</t>
        </is>
      </c>
    </row>
    <row r="8935">
      <c r="A8935">
        <v>8934</v>
      </c>
      <c r="B8935">
        <f>GS07</f>
        <v>0</v>
      </c>
      <c r="C8935" t="inlineStr">
        <is>
          <t>+LS06</t>
        </is>
      </c>
      <c r="D8935" t="inlineStr">
        <is>
          <t>-408Q411.5</t>
        </is>
      </c>
      <c r="E8935" t="inlineStr">
        <is>
          <t>DILA-XHI22</t>
        </is>
      </c>
      <c r="F8935" t="inlineStr">
        <is>
          <t>DILA-XHI22</t>
        </is>
      </c>
      <c r="G8935" t="inlineStr">
        <is>
          <t>HILFSKONTAKTBLOCK</t>
        </is>
      </c>
      <c r="H8935" t="inlineStr">
        <is>
          <t>2S 2OE Last+Hilfssch. Cage</t>
        </is>
      </c>
      <c r="I8935">
        <v>502</v>
      </c>
      <c r="J8935">
        <f>GS07/408.6</f>
        <v>0</v>
      </c>
      <c r="M8935" t="inlineStr">
        <is>
          <t>-408Q411.5</t>
        </is>
      </c>
    </row>
    <row r="8936">
      <c r="A8936">
        <v>8935</v>
      </c>
      <c r="B8936">
        <f>GS07</f>
        <v>0</v>
      </c>
      <c r="C8936" t="inlineStr">
        <is>
          <t>+LS06</t>
        </is>
      </c>
      <c r="D8936" t="inlineStr">
        <is>
          <t>-408Q411.6</t>
        </is>
      </c>
      <c r="E8936" t="inlineStr">
        <is>
          <t>DILM-9-01</t>
        </is>
      </c>
      <c r="F8936" t="inlineStr">
        <is>
          <t>DILA-XHI22</t>
        </is>
      </c>
      <c r="G8936" t="inlineStr">
        <is>
          <t>LASTSCHUETZ</t>
        </is>
      </c>
      <c r="H8936" t="inlineStr">
        <is>
          <t>4kW 1Oe Federzugkl.</t>
        </is>
      </c>
      <c r="I8936">
        <v>502</v>
      </c>
      <c r="J8936">
        <f>GS07/408.7</f>
        <v>0</v>
      </c>
      <c r="M8936" t="inlineStr">
        <is>
          <t>-408Q411.6</t>
        </is>
      </c>
    </row>
    <row r="8937">
      <c r="A8937">
        <v>8936</v>
      </c>
      <c r="B8937">
        <f>GS07</f>
        <v>0</v>
      </c>
      <c r="C8937" t="inlineStr">
        <is>
          <t>+LS06</t>
        </is>
      </c>
      <c r="D8937" t="inlineStr">
        <is>
          <t>-408Q411.6</t>
        </is>
      </c>
      <c r="E8937" t="inlineStr">
        <is>
          <t>DILA-XHI22</t>
        </is>
      </c>
      <c r="F8937" t="inlineStr">
        <is>
          <t>DILA-XHI22</t>
        </is>
      </c>
      <c r="G8937" t="inlineStr">
        <is>
          <t>HILFSKONTAKTBLOCK</t>
        </is>
      </c>
      <c r="H8937" t="inlineStr">
        <is>
          <t>2S 2OE Last+Hilfssch. Cage</t>
        </is>
      </c>
      <c r="I8937">
        <v>502</v>
      </c>
      <c r="J8937">
        <f>GS07/408.7</f>
        <v>0</v>
      </c>
      <c r="M8937" t="inlineStr">
        <is>
          <t>-408Q411.6</t>
        </is>
      </c>
    </row>
    <row r="8938">
      <c r="A8938">
        <v>8937</v>
      </c>
      <c r="B8938">
        <f>GS13</f>
        <v>0</v>
      </c>
      <c r="C8938" t="inlineStr">
        <is>
          <t>+LS10</t>
        </is>
      </c>
      <c r="D8938" t="inlineStr">
        <is>
          <t>-4093604.3</t>
        </is>
      </c>
      <c r="E8938" t="inlineStr">
        <is>
          <t>DIL_EM-10-G</t>
        </is>
      </c>
      <c r="F8938" t="inlineStr">
        <is>
          <t>#KALK!</t>
        </is>
      </c>
      <c r="G8938" t="inlineStr">
        <is>
          <t>LASTSCHUETZ</t>
        </is>
      </c>
      <c r="H8938" t="inlineStr">
        <is>
          <t>4kW 1S</t>
        </is>
      </c>
      <c r="I8938">
        <v>656</v>
      </c>
      <c r="J8938">
        <f>GS13/409.7</f>
        <v>0</v>
      </c>
      <c r="M8938" t="inlineStr">
        <is>
          <t>-4093604.3</t>
        </is>
      </c>
    </row>
    <row r="8939">
      <c r="A8939">
        <v>8938</v>
      </c>
      <c r="B8939">
        <f>GS04</f>
        <v>0</v>
      </c>
      <c r="C8939" t="inlineStr">
        <is>
          <t>+LS9</t>
        </is>
      </c>
      <c r="D8939" t="inlineStr">
        <is>
          <t>-409K12.2</t>
        </is>
      </c>
      <c r="E8939" t="inlineStr">
        <is>
          <t>DIL_EM-10-G</t>
        </is>
      </c>
      <c r="F8939" t="inlineStr">
        <is>
          <t>#KALK!</t>
        </is>
      </c>
      <c r="G8939" t="inlineStr">
        <is>
          <t>LASTSCHUETZ</t>
        </is>
      </c>
      <c r="H8939" t="inlineStr">
        <is>
          <t>4kW 1S</t>
        </is>
      </c>
      <c r="I8939">
        <v>665</v>
      </c>
      <c r="J8939">
        <f>GS04/409.6</f>
        <v>0</v>
      </c>
      <c r="M8939" t="inlineStr">
        <is>
          <t>-409K12.2</t>
        </is>
      </c>
    </row>
    <row r="8940">
      <c r="A8940">
        <v>8939</v>
      </c>
      <c r="B8940">
        <f>GS04</f>
        <v>0</v>
      </c>
      <c r="C8940" t="inlineStr">
        <is>
          <t>+LS9</t>
        </is>
      </c>
      <c r="D8940" t="inlineStr">
        <is>
          <t>-409K12.3</t>
        </is>
      </c>
      <c r="E8940" t="inlineStr">
        <is>
          <t>DIL_EM-10-G</t>
        </is>
      </c>
      <c r="F8940" t="inlineStr">
        <is>
          <t>#KALK!</t>
        </is>
      </c>
      <c r="G8940" t="inlineStr">
        <is>
          <t>LASTSCHUETZ</t>
        </is>
      </c>
      <c r="H8940" t="inlineStr">
        <is>
          <t>4kW 1S</t>
        </is>
      </c>
      <c r="I8940">
        <v>665</v>
      </c>
      <c r="J8940">
        <f>GS04/409.6</f>
        <v>0</v>
      </c>
      <c r="M8940" t="inlineStr">
        <is>
          <t>-409K12.3</t>
        </is>
      </c>
    </row>
    <row r="8941">
      <c r="A8941">
        <v>8940</v>
      </c>
      <c r="B8941">
        <f>GC03</f>
        <v>0</v>
      </c>
      <c r="C8941" t="inlineStr">
        <is>
          <t>+LS9</t>
        </is>
      </c>
      <c r="D8941" t="inlineStr">
        <is>
          <t>-409K18.1</t>
        </is>
      </c>
      <c r="E8941" t="inlineStr">
        <is>
          <t>DIL_EM-10-G</t>
        </is>
      </c>
      <c r="F8941" t="inlineStr">
        <is>
          <t>#KALK!</t>
        </is>
      </c>
      <c r="G8941" t="inlineStr">
        <is>
          <t>LASTSCHUETZ</t>
        </is>
      </c>
      <c r="H8941" t="inlineStr">
        <is>
          <t>4kW 1S</t>
        </is>
      </c>
      <c r="I8941">
        <v>648</v>
      </c>
      <c r="J8941">
        <f>GC03/409.6</f>
        <v>0</v>
      </c>
      <c r="M8941" t="inlineStr">
        <is>
          <t>-409K18.1</t>
        </is>
      </c>
    </row>
    <row r="8942">
      <c r="A8942">
        <v>8941</v>
      </c>
      <c r="B8942">
        <f>GC03</f>
        <v>0</v>
      </c>
      <c r="C8942" t="inlineStr">
        <is>
          <t>+LS9</t>
        </is>
      </c>
      <c r="D8942" t="inlineStr">
        <is>
          <t>-409K18.2</t>
        </is>
      </c>
      <c r="E8942" t="inlineStr">
        <is>
          <t>DIL_EM-10-G</t>
        </is>
      </c>
      <c r="F8942" t="inlineStr">
        <is>
          <t>#KALK!</t>
        </is>
      </c>
      <c r="G8942" t="inlineStr">
        <is>
          <t>LASTSCHUETZ</t>
        </is>
      </c>
      <c r="H8942" t="inlineStr">
        <is>
          <t>4kW 1S</t>
        </is>
      </c>
      <c r="I8942">
        <v>648</v>
      </c>
      <c r="J8942">
        <f>GC03/409.7</f>
        <v>0</v>
      </c>
      <c r="M8942" t="inlineStr">
        <is>
          <t>-409K18.2</t>
        </is>
      </c>
    </row>
    <row r="8943">
      <c r="A8943">
        <v>8942</v>
      </c>
      <c r="B8943">
        <f>GS23</f>
        <v>0</v>
      </c>
      <c r="C8943" t="inlineStr">
        <is>
          <t>+LS10</t>
        </is>
      </c>
      <c r="D8943" t="inlineStr">
        <is>
          <t>-409K3604.3</t>
        </is>
      </c>
      <c r="E8943" t="inlineStr">
        <is>
          <t>DIL_EM-10-G</t>
        </is>
      </c>
      <c r="F8943" t="inlineStr">
        <is>
          <t>#KALK!</t>
        </is>
      </c>
      <c r="G8943" t="inlineStr">
        <is>
          <t>LASTSCHUETZ</t>
        </is>
      </c>
      <c r="H8943" t="inlineStr">
        <is>
          <t>4kW 1S</t>
        </is>
      </c>
      <c r="I8943">
        <v>710</v>
      </c>
      <c r="J8943">
        <f>GS23/409.7</f>
        <v>0</v>
      </c>
      <c r="M8943" t="inlineStr">
        <is>
          <t>-409K3604.3</t>
        </is>
      </c>
    </row>
    <row r="8944">
      <c r="A8944">
        <v>8943</v>
      </c>
      <c r="B8944">
        <f>GS34</f>
        <v>0</v>
      </c>
      <c r="C8944" t="inlineStr">
        <is>
          <t>+LS9</t>
        </is>
      </c>
      <c r="D8944" t="inlineStr">
        <is>
          <t>-409K3903.5</t>
        </is>
      </c>
      <c r="E8944" t="inlineStr">
        <is>
          <t>DIL_EM-10-G</t>
        </is>
      </c>
      <c r="F8944" t="inlineStr">
        <is>
          <t>#KALK!</t>
        </is>
      </c>
      <c r="G8944" t="inlineStr">
        <is>
          <t>LASTSCHUETZ</t>
        </is>
      </c>
      <c r="H8944" t="inlineStr">
        <is>
          <t>4kW 1S</t>
        </is>
      </c>
      <c r="I8944">
        <v>534</v>
      </c>
      <c r="J8944">
        <f>GS34/409.7</f>
        <v>0</v>
      </c>
      <c r="M8944" t="inlineStr">
        <is>
          <t>-409K3903.5</t>
        </is>
      </c>
    </row>
    <row r="8945">
      <c r="A8945">
        <v>8944</v>
      </c>
      <c r="B8945">
        <f>GC22</f>
        <v>0</v>
      </c>
      <c r="C8945" t="inlineStr">
        <is>
          <t>+LS6</t>
        </is>
      </c>
      <c r="D8945" t="inlineStr">
        <is>
          <t>-409K50.3</t>
        </is>
      </c>
      <c r="E8945" t="inlineStr">
        <is>
          <t>DIL_EM-10-G</t>
        </is>
      </c>
      <c r="F8945" t="inlineStr">
        <is>
          <t>#KALK!</t>
        </is>
      </c>
      <c r="G8945" t="inlineStr">
        <is>
          <t>LASTSCHUETZ</t>
        </is>
      </c>
      <c r="H8945" t="inlineStr">
        <is>
          <t>4kW 1S</t>
        </is>
      </c>
      <c r="I8945">
        <v>3362</v>
      </c>
      <c r="J8945">
        <f>GC22/409.7</f>
        <v>0</v>
      </c>
      <c r="M8945" t="inlineStr">
        <is>
          <t>-409K50.3</t>
        </is>
      </c>
    </row>
    <row r="8946">
      <c r="A8946">
        <v>8945</v>
      </c>
      <c r="B8946">
        <f>GS12</f>
        <v>0</v>
      </c>
      <c r="C8946" t="inlineStr">
        <is>
          <t>+LS6</t>
        </is>
      </c>
      <c r="D8946" t="inlineStr">
        <is>
          <t>-409K50.3</t>
        </is>
      </c>
      <c r="E8946" t="inlineStr">
        <is>
          <t>DIL_EM-10-G</t>
        </is>
      </c>
      <c r="F8946" t="inlineStr">
        <is>
          <t>#KALK!</t>
        </is>
      </c>
      <c r="G8946" t="inlineStr">
        <is>
          <t>LASTSCHUETZ</t>
        </is>
      </c>
      <c r="H8946" t="inlineStr">
        <is>
          <t>4kW 1S</t>
        </is>
      </c>
      <c r="I8946">
        <v>541</v>
      </c>
      <c r="J8946">
        <f>GS12/409.7</f>
        <v>0</v>
      </c>
      <c r="M8946" t="inlineStr">
        <is>
          <t>-409K50.3</t>
        </is>
      </c>
    </row>
    <row r="8947">
      <c r="A8947">
        <v>8946</v>
      </c>
      <c r="B8947">
        <f>GS11</f>
        <v>0</v>
      </c>
      <c r="C8947" t="inlineStr">
        <is>
          <t>+LS10</t>
        </is>
      </c>
      <c r="D8947" t="inlineStr">
        <is>
          <t>-409K69.2</t>
        </is>
      </c>
      <c r="E8947" t="inlineStr">
        <is>
          <t>DIL_EM-10-G</t>
        </is>
      </c>
      <c r="F8947" t="inlineStr">
        <is>
          <t>#KALK!</t>
        </is>
      </c>
      <c r="G8947" t="inlineStr">
        <is>
          <t>LASTSCHUETZ</t>
        </is>
      </c>
      <c r="H8947" t="inlineStr">
        <is>
          <t>4kW 1S</t>
        </is>
      </c>
      <c r="I8947">
        <v>515</v>
      </c>
      <c r="J8947">
        <f>GS11/409.6</f>
        <v>0</v>
      </c>
      <c r="M8947" t="inlineStr">
        <is>
          <t>-409K69.2</t>
        </is>
      </c>
    </row>
    <row r="8948">
      <c r="A8948">
        <v>8947</v>
      </c>
      <c r="B8948">
        <f>GS21</f>
        <v>0</v>
      </c>
      <c r="C8948" t="inlineStr">
        <is>
          <t>+LS10</t>
        </is>
      </c>
      <c r="D8948" t="inlineStr">
        <is>
          <t>-409K69.2</t>
        </is>
      </c>
      <c r="E8948" t="inlineStr">
        <is>
          <t>DIL_EM-10-G</t>
        </is>
      </c>
      <c r="F8948" t="inlineStr">
        <is>
          <t>#KALK!</t>
        </is>
      </c>
      <c r="G8948" t="inlineStr">
        <is>
          <t>LASTSCHUETZ</t>
        </is>
      </c>
      <c r="H8948" t="inlineStr">
        <is>
          <t>4kW 1S</t>
        </is>
      </c>
      <c r="I8948">
        <v>497</v>
      </c>
      <c r="J8948">
        <f>GS21/409.6</f>
        <v>0</v>
      </c>
      <c r="M8948" t="inlineStr">
        <is>
          <t>-409K69.2</t>
        </is>
      </c>
    </row>
    <row r="8949">
      <c r="A8949">
        <v>8948</v>
      </c>
      <c r="B8949">
        <f>GS11</f>
        <v>0</v>
      </c>
      <c r="C8949" t="inlineStr">
        <is>
          <t>+LS10</t>
        </is>
      </c>
      <c r="D8949" t="inlineStr">
        <is>
          <t>-409K69.3</t>
        </is>
      </c>
      <c r="E8949" t="inlineStr">
        <is>
          <t>DIL_EM-10-G</t>
        </is>
      </c>
      <c r="F8949" t="inlineStr">
        <is>
          <t>#KALK!</t>
        </is>
      </c>
      <c r="G8949" t="inlineStr">
        <is>
          <t>LASTSCHUETZ</t>
        </is>
      </c>
      <c r="H8949" t="inlineStr">
        <is>
          <t>4kW 1S</t>
        </is>
      </c>
      <c r="I8949">
        <v>515</v>
      </c>
      <c r="J8949">
        <f>GS11/409.6</f>
        <v>0</v>
      </c>
      <c r="M8949" t="inlineStr">
        <is>
          <t>-409K69.3</t>
        </is>
      </c>
    </row>
    <row r="8950">
      <c r="A8950">
        <v>8949</v>
      </c>
      <c r="B8950">
        <f>GS21</f>
        <v>0</v>
      </c>
      <c r="C8950" t="inlineStr">
        <is>
          <t>+LS10</t>
        </is>
      </c>
      <c r="D8950" t="inlineStr">
        <is>
          <t>-409K69.3</t>
        </is>
      </c>
      <c r="E8950" t="inlineStr">
        <is>
          <t>DIL_EM-10-G</t>
        </is>
      </c>
      <c r="F8950" t="inlineStr">
        <is>
          <t>#KALK!</t>
        </is>
      </c>
      <c r="G8950" t="inlineStr">
        <is>
          <t>LASTSCHUETZ</t>
        </is>
      </c>
      <c r="H8950" t="inlineStr">
        <is>
          <t>4kW 1S</t>
        </is>
      </c>
      <c r="I8950">
        <v>497</v>
      </c>
      <c r="J8950">
        <f>GS21/409.6</f>
        <v>0</v>
      </c>
      <c r="M8950" t="inlineStr">
        <is>
          <t>-409K69.3</t>
        </is>
      </c>
    </row>
    <row r="8951">
      <c r="A8951">
        <v>8950</v>
      </c>
      <c r="B8951">
        <f>GS13</f>
        <v>0</v>
      </c>
      <c r="C8951" t="inlineStr">
        <is>
          <t>+LS10</t>
        </is>
      </c>
      <c r="D8951" t="inlineStr">
        <is>
          <t>-4103604.7</t>
        </is>
      </c>
      <c r="E8951" t="inlineStr">
        <is>
          <t>DIL_EM-10-G</t>
        </is>
      </c>
      <c r="F8951" t="inlineStr">
        <is>
          <t>#KALK!</t>
        </is>
      </c>
      <c r="G8951" t="inlineStr">
        <is>
          <t>LASTSCHUETZ</t>
        </is>
      </c>
      <c r="H8951" t="inlineStr">
        <is>
          <t>4kW 1S</t>
        </is>
      </c>
      <c r="I8951">
        <v>657</v>
      </c>
      <c r="J8951">
        <f>GS13/410.7</f>
        <v>0</v>
      </c>
      <c r="M8951" t="inlineStr">
        <is>
          <t>-4103604.7</t>
        </is>
      </c>
    </row>
    <row r="8952">
      <c r="A8952">
        <v>8951</v>
      </c>
      <c r="B8952">
        <f>GS04</f>
        <v>0</v>
      </c>
      <c r="C8952" t="inlineStr">
        <is>
          <t>+LS9</t>
        </is>
      </c>
      <c r="D8952" t="inlineStr">
        <is>
          <t>-410K12.7</t>
        </is>
      </c>
      <c r="E8952" t="inlineStr">
        <is>
          <t>DIL_EM-10-G</t>
        </is>
      </c>
      <c r="F8952" t="inlineStr">
        <is>
          <t>#KALK!</t>
        </is>
      </c>
      <c r="G8952" t="inlineStr">
        <is>
          <t>LASTSCHUETZ</t>
        </is>
      </c>
      <c r="H8952" t="inlineStr">
        <is>
          <t>4kW 1S</t>
        </is>
      </c>
      <c r="I8952">
        <v>666</v>
      </c>
      <c r="J8952">
        <f>GS04/410.7</f>
        <v>0</v>
      </c>
      <c r="M8952" t="inlineStr">
        <is>
          <t>-410K12.7</t>
        </is>
      </c>
    </row>
    <row r="8953">
      <c r="A8953">
        <v>8952</v>
      </c>
      <c r="B8953">
        <f>GC03</f>
        <v>0</v>
      </c>
      <c r="C8953" t="inlineStr">
        <is>
          <t>+LS9</t>
        </is>
      </c>
      <c r="D8953" t="inlineStr">
        <is>
          <t>-410K18.3</t>
        </is>
      </c>
      <c r="E8953" t="inlineStr">
        <is>
          <t>DIL_EM-10-G</t>
        </is>
      </c>
      <c r="F8953" t="inlineStr">
        <is>
          <t>#KALK!</t>
        </is>
      </c>
      <c r="G8953" t="inlineStr">
        <is>
          <t>LASTSCHUETZ</t>
        </is>
      </c>
      <c r="H8953" t="inlineStr">
        <is>
          <t>4kW 1S</t>
        </is>
      </c>
      <c r="I8953">
        <v>649</v>
      </c>
      <c r="J8953">
        <f>GC03/410.6</f>
        <v>0</v>
      </c>
      <c r="M8953" t="inlineStr">
        <is>
          <t>-410K18.3</t>
        </is>
      </c>
    </row>
    <row r="8954">
      <c r="A8954">
        <v>8953</v>
      </c>
      <c r="B8954">
        <f>GC03</f>
        <v>0</v>
      </c>
      <c r="C8954" t="inlineStr">
        <is>
          <t>+LS9</t>
        </is>
      </c>
      <c r="D8954" t="inlineStr">
        <is>
          <t>-410K18.4</t>
        </is>
      </c>
      <c r="E8954" t="inlineStr">
        <is>
          <t>DIL_EM-10-G</t>
        </is>
      </c>
      <c r="F8954" t="inlineStr">
        <is>
          <t>#KALK!</t>
        </is>
      </c>
      <c r="G8954" t="inlineStr">
        <is>
          <t>LASTSCHUETZ</t>
        </is>
      </c>
      <c r="H8954" t="inlineStr">
        <is>
          <t>4kW 1S</t>
        </is>
      </c>
      <c r="I8954">
        <v>649</v>
      </c>
      <c r="J8954">
        <f>GC03/410.7</f>
        <v>0</v>
      </c>
      <c r="M8954" t="inlineStr">
        <is>
          <t>-410K18.4</t>
        </is>
      </c>
    </row>
    <row r="8955">
      <c r="A8955">
        <v>8954</v>
      </c>
      <c r="B8955">
        <f>GS23</f>
        <v>0</v>
      </c>
      <c r="C8955" t="inlineStr">
        <is>
          <t>+LS10</t>
        </is>
      </c>
      <c r="D8955" t="inlineStr">
        <is>
          <t>-410K3604.7</t>
        </is>
      </c>
      <c r="E8955" t="inlineStr">
        <is>
          <t>DIL_EM-10-G</t>
        </is>
      </c>
      <c r="F8955" t="inlineStr">
        <is>
          <t>#KALK!</t>
        </is>
      </c>
      <c r="G8955" t="inlineStr">
        <is>
          <t>LASTSCHUETZ</t>
        </is>
      </c>
      <c r="H8955" t="inlineStr">
        <is>
          <t>4kW 1S</t>
        </is>
      </c>
      <c r="I8955">
        <v>711</v>
      </c>
      <c r="J8955">
        <f>GS23/410.7</f>
        <v>0</v>
      </c>
      <c r="M8955" t="inlineStr">
        <is>
          <t>-410K3604.7</t>
        </is>
      </c>
    </row>
    <row r="8956">
      <c r="A8956">
        <v>8955</v>
      </c>
      <c r="B8956">
        <f>GS34</f>
        <v>0</v>
      </c>
      <c r="C8956" t="inlineStr">
        <is>
          <t>+LS9</t>
        </is>
      </c>
      <c r="D8956" t="inlineStr">
        <is>
          <t>-410K3904.3</t>
        </is>
      </c>
      <c r="E8956" t="inlineStr">
        <is>
          <t>DIL_EM-10-G</t>
        </is>
      </c>
      <c r="F8956" t="inlineStr">
        <is>
          <t>#KALK!</t>
        </is>
      </c>
      <c r="G8956" t="inlineStr">
        <is>
          <t>LASTSCHUETZ</t>
        </is>
      </c>
      <c r="H8956" t="inlineStr">
        <is>
          <t>4kW 1S</t>
        </is>
      </c>
      <c r="I8956">
        <v>535</v>
      </c>
      <c r="J8956">
        <f>GS34/410.7</f>
        <v>0</v>
      </c>
      <c r="M8956" t="inlineStr">
        <is>
          <t>-410K3904.3</t>
        </is>
      </c>
    </row>
    <row r="8957">
      <c r="A8957">
        <v>8956</v>
      </c>
      <c r="B8957">
        <f>GS93</f>
        <v>0</v>
      </c>
      <c r="C8957" t="inlineStr">
        <is>
          <t>+LS07</t>
        </is>
      </c>
      <c r="D8957" t="inlineStr">
        <is>
          <t>-410K466.4</t>
        </is>
      </c>
      <c r="E8957" t="inlineStr">
        <is>
          <t>DILA-40</t>
        </is>
      </c>
      <c r="F8957" t="inlineStr">
        <is>
          <t>#KALK!</t>
        </is>
      </c>
      <c r="G8957" t="inlineStr">
        <is>
          <t>HILFSSCHUETZ</t>
        </is>
      </c>
      <c r="H8957" t="inlineStr">
        <is>
          <t>4S Federzugkl.</t>
        </is>
      </c>
      <c r="I8957">
        <v>964</v>
      </c>
      <c r="J8957">
        <f>GS93/410.7</f>
        <v>0</v>
      </c>
      <c r="M8957" t="inlineStr">
        <is>
          <t>-410K466.4</t>
        </is>
      </c>
    </row>
    <row r="8958">
      <c r="A8958">
        <v>8957</v>
      </c>
      <c r="B8958">
        <f>GC22</f>
        <v>0</v>
      </c>
      <c r="C8958" t="inlineStr">
        <is>
          <t>+LS6</t>
        </is>
      </c>
      <c r="D8958" t="inlineStr">
        <is>
          <t>-410K50.4</t>
        </is>
      </c>
      <c r="E8958" t="inlineStr">
        <is>
          <t>DILM-9-01</t>
        </is>
      </c>
      <c r="F8958" t="inlineStr">
        <is>
          <t>#KALK!</t>
        </is>
      </c>
      <c r="G8958" t="inlineStr">
        <is>
          <t>LASTSCHUETZ</t>
        </is>
      </c>
      <c r="H8958" t="inlineStr">
        <is>
          <t>4kW 1Oe Federzugkl.</t>
        </is>
      </c>
      <c r="I8958">
        <v>3361</v>
      </c>
      <c r="J8958">
        <f>GC22/410.6</f>
        <v>0</v>
      </c>
      <c r="M8958" t="inlineStr">
        <is>
          <t>-410K50.4</t>
        </is>
      </c>
    </row>
    <row r="8959">
      <c r="A8959">
        <v>8958</v>
      </c>
      <c r="B8959">
        <f>GS12</f>
        <v>0</v>
      </c>
      <c r="C8959" t="inlineStr">
        <is>
          <t>+LS6</t>
        </is>
      </c>
      <c r="D8959" t="inlineStr">
        <is>
          <t>-410K50.4</t>
        </is>
      </c>
      <c r="E8959" t="inlineStr">
        <is>
          <t>DILM-9-01</t>
        </is>
      </c>
      <c r="F8959" t="inlineStr">
        <is>
          <t>#KALK!</t>
        </is>
      </c>
      <c r="G8959" t="inlineStr">
        <is>
          <t>LASTSCHUETZ</t>
        </is>
      </c>
      <c r="H8959" t="inlineStr">
        <is>
          <t>4kW 1Oe Federzugkl.</t>
        </is>
      </c>
      <c r="I8959">
        <v>542</v>
      </c>
      <c r="J8959">
        <f>GS12/410.6</f>
        <v>0</v>
      </c>
      <c r="M8959" t="inlineStr">
        <is>
          <t>-410K50.4</t>
        </is>
      </c>
    </row>
    <row r="8960">
      <c r="A8960">
        <v>8959</v>
      </c>
      <c r="B8960">
        <f>GC22</f>
        <v>0</v>
      </c>
      <c r="C8960" t="inlineStr">
        <is>
          <t>+LS6</t>
        </is>
      </c>
      <c r="D8960" t="inlineStr">
        <is>
          <t>-410K50.5</t>
        </is>
      </c>
      <c r="E8960" t="inlineStr">
        <is>
          <t>DIL_EM-10-G</t>
        </is>
      </c>
      <c r="F8960" t="inlineStr">
        <is>
          <t>#KALK!</t>
        </is>
      </c>
      <c r="G8960" t="inlineStr">
        <is>
          <t>LASTSCHUETZ</t>
        </is>
      </c>
      <c r="H8960" t="inlineStr">
        <is>
          <t>4kW 1S</t>
        </is>
      </c>
      <c r="I8960">
        <v>3361</v>
      </c>
      <c r="J8960">
        <f>GC22/410.7</f>
        <v>0</v>
      </c>
      <c r="M8960" t="inlineStr">
        <is>
          <t>-410K50.5</t>
        </is>
      </c>
    </row>
    <row r="8961">
      <c r="A8961">
        <v>8960</v>
      </c>
      <c r="B8961">
        <f>GS12</f>
        <v>0</v>
      </c>
      <c r="C8961" t="inlineStr">
        <is>
          <t>+LS6</t>
        </is>
      </c>
      <c r="D8961" t="inlineStr">
        <is>
          <t>-410K50.5</t>
        </is>
      </c>
      <c r="E8961" t="inlineStr">
        <is>
          <t>DIL_EM-10-G</t>
        </is>
      </c>
      <c r="F8961" t="inlineStr">
        <is>
          <t>#KALK!</t>
        </is>
      </c>
      <c r="G8961" t="inlineStr">
        <is>
          <t>LASTSCHUETZ</t>
        </is>
      </c>
      <c r="H8961" t="inlineStr">
        <is>
          <t>4kW 1S</t>
        </is>
      </c>
      <c r="I8961">
        <v>542</v>
      </c>
      <c r="J8961">
        <f>GS12/410.7</f>
        <v>0</v>
      </c>
      <c r="M8961" t="inlineStr">
        <is>
          <t>-410K50.5</t>
        </is>
      </c>
    </row>
    <row r="8962">
      <c r="A8962">
        <v>8961</v>
      </c>
      <c r="B8962">
        <f>GC22</f>
        <v>0</v>
      </c>
      <c r="C8962" t="inlineStr">
        <is>
          <t>+LS6</t>
        </is>
      </c>
      <c r="D8962" t="inlineStr">
        <is>
          <t>-410K52.6</t>
        </is>
      </c>
      <c r="E8962" t="inlineStr">
        <is>
          <t>DILM-9-01</t>
        </is>
      </c>
      <c r="F8962" t="inlineStr">
        <is>
          <t>#KALK!</t>
        </is>
      </c>
      <c r="G8962" t="inlineStr">
        <is>
          <t>LASTSCHUETZ</t>
        </is>
      </c>
      <c r="H8962" t="inlineStr">
        <is>
          <t>4kW 1Oe Federzugkl.</t>
        </is>
      </c>
      <c r="I8962">
        <v>3361</v>
      </c>
      <c r="J8962">
        <f>GC22/410.6</f>
        <v>0</v>
      </c>
      <c r="M8962" t="inlineStr">
        <is>
          <t>-410K52.6</t>
        </is>
      </c>
    </row>
    <row r="8963">
      <c r="A8963">
        <v>8962</v>
      </c>
      <c r="B8963">
        <f>GS12</f>
        <v>0</v>
      </c>
      <c r="C8963" t="inlineStr">
        <is>
          <t>+LS6</t>
        </is>
      </c>
      <c r="D8963" t="inlineStr">
        <is>
          <t>-410K52.6</t>
        </is>
      </c>
      <c r="E8963" t="inlineStr">
        <is>
          <t>DILM-9-01</t>
        </is>
      </c>
      <c r="F8963" t="inlineStr">
        <is>
          <t>#KALK!</t>
        </is>
      </c>
      <c r="G8963" t="inlineStr">
        <is>
          <t>LASTSCHUETZ</t>
        </is>
      </c>
      <c r="H8963" t="inlineStr">
        <is>
          <t>4kW 1Oe Federzugkl.</t>
        </is>
      </c>
      <c r="I8963">
        <v>542</v>
      </c>
      <c r="J8963">
        <f>GS12/410.6</f>
        <v>0</v>
      </c>
      <c r="M8963" t="inlineStr">
        <is>
          <t>-410K52.6</t>
        </is>
      </c>
    </row>
    <row r="8964">
      <c r="A8964">
        <v>8963</v>
      </c>
      <c r="B8964">
        <f>GS11</f>
        <v>0</v>
      </c>
      <c r="C8964" t="inlineStr">
        <is>
          <t>+LS10</t>
        </is>
      </c>
      <c r="D8964" t="inlineStr">
        <is>
          <t>-410K69.7</t>
        </is>
      </c>
      <c r="E8964" t="inlineStr">
        <is>
          <t>DIL_EM-10-G</t>
        </is>
      </c>
      <c r="F8964" t="inlineStr">
        <is>
          <t>#KALK!</t>
        </is>
      </c>
      <c r="G8964" t="inlineStr">
        <is>
          <t>LASTSCHUETZ</t>
        </is>
      </c>
      <c r="H8964" t="inlineStr">
        <is>
          <t>4kW 1S</t>
        </is>
      </c>
      <c r="I8964">
        <v>516</v>
      </c>
      <c r="J8964">
        <f>GS11/410.7</f>
        <v>0</v>
      </c>
      <c r="M8964" t="inlineStr">
        <is>
          <t>-410K69.7</t>
        </is>
      </c>
    </row>
    <row r="8965">
      <c r="A8965">
        <v>8964</v>
      </c>
      <c r="B8965">
        <f>GS21</f>
        <v>0</v>
      </c>
      <c r="C8965" t="inlineStr">
        <is>
          <t>+LS10</t>
        </is>
      </c>
      <c r="D8965" t="inlineStr">
        <is>
          <t>-410K69.7</t>
        </is>
      </c>
      <c r="E8965" t="inlineStr">
        <is>
          <t>DIL_EM-10-G</t>
        </is>
      </c>
      <c r="F8965" t="inlineStr">
        <is>
          <t>#KALK!</t>
        </is>
      </c>
      <c r="G8965" t="inlineStr">
        <is>
          <t>LASTSCHUETZ</t>
        </is>
      </c>
      <c r="H8965" t="inlineStr">
        <is>
          <t>4kW 1S</t>
        </is>
      </c>
      <c r="I8965">
        <v>498</v>
      </c>
      <c r="J8965">
        <f>GS21/410.7</f>
        <v>0</v>
      </c>
      <c r="M8965" t="inlineStr">
        <is>
          <t>-410K69.7</t>
        </is>
      </c>
    </row>
    <row r="8966">
      <c r="A8966">
        <v>8965</v>
      </c>
      <c r="B8966">
        <f>GS55</f>
        <v>0</v>
      </c>
      <c r="C8966" t="inlineStr">
        <is>
          <t>+LS06</t>
        </is>
      </c>
      <c r="D8966" t="inlineStr">
        <is>
          <t>-410Q1</t>
        </is>
      </c>
      <c r="E8966" t="inlineStr">
        <is>
          <t>DILA-XHI22</t>
        </is>
      </c>
      <c r="F8966" t="inlineStr">
        <is>
          <t>DILA-XHI22</t>
        </is>
      </c>
      <c r="G8966" t="inlineStr">
        <is>
          <t>HILFSKONTAKTBLOCK</t>
        </is>
      </c>
      <c r="H8966" t="inlineStr">
        <is>
          <t>2S 2OE Last+Hilfssch. Cage</t>
        </is>
      </c>
      <c r="I8966">
        <v>686</v>
      </c>
      <c r="J8966">
        <f>GS55/410.6</f>
        <v>0</v>
      </c>
      <c r="K8966" t="inlineStr">
        <is>
          <t>DIL MC25</t>
        </is>
      </c>
      <c r="M8966" t="inlineStr">
        <is>
          <t>-410Q1</t>
        </is>
      </c>
    </row>
    <row r="8967">
      <c r="A8967">
        <v>8966</v>
      </c>
      <c r="B8967">
        <f>GS55</f>
        <v>0</v>
      </c>
      <c r="C8967" t="inlineStr">
        <is>
          <t>+LS06</t>
        </is>
      </c>
      <c r="D8967" t="inlineStr">
        <is>
          <t>-410Q1</t>
        </is>
      </c>
      <c r="E8967" t="inlineStr">
        <is>
          <t>DILMC25-10(RDC24)</t>
        </is>
      </c>
      <c r="F8967" t="inlineStr">
        <is>
          <t>DILA-XHI22</t>
        </is>
      </c>
      <c r="G8967" t="inlineStr">
        <is>
          <t>LASTSCHUETZ</t>
        </is>
      </c>
      <c r="H8967" t="inlineStr">
        <is>
          <t>11kW 1S Federzugkl.</t>
        </is>
      </c>
      <c r="I8967">
        <v>686</v>
      </c>
      <c r="J8967">
        <f>GS55/410.6</f>
        <v>0</v>
      </c>
      <c r="K8967" t="inlineStr">
        <is>
          <t>DIL MC25</t>
        </is>
      </c>
      <c r="M8967" t="inlineStr">
        <is>
          <t>-410Q1</t>
        </is>
      </c>
    </row>
    <row r="8968">
      <c r="A8968">
        <v>8967</v>
      </c>
      <c r="B8968">
        <f>GS93</f>
        <v>0</v>
      </c>
      <c r="C8968" t="inlineStr">
        <is>
          <t>+LS07</t>
        </is>
      </c>
      <c r="D8968" t="inlineStr">
        <is>
          <t>-410Q1</t>
        </is>
      </c>
      <c r="E8968" t="inlineStr">
        <is>
          <t>DILMC25-10(RDC24)</t>
        </is>
      </c>
      <c r="F8968" t="inlineStr">
        <is>
          <t>DILA-XHI22</t>
        </is>
      </c>
      <c r="G8968" t="inlineStr">
        <is>
          <t>LASTSCHUETZ</t>
        </is>
      </c>
      <c r="H8968" t="inlineStr">
        <is>
          <t>11kW 1S Federzugkl.</t>
        </is>
      </c>
      <c r="I8968">
        <v>964</v>
      </c>
      <c r="J8968">
        <f>GS93/410.4</f>
        <v>0</v>
      </c>
      <c r="K8968" t="inlineStr">
        <is>
          <t>DIL MC25</t>
        </is>
      </c>
      <c r="M8968" t="inlineStr">
        <is>
          <t>-410Q1</t>
        </is>
      </c>
    </row>
    <row r="8969">
      <c r="A8969">
        <v>8968</v>
      </c>
      <c r="B8969">
        <f>GS93</f>
        <v>0</v>
      </c>
      <c r="C8969" t="inlineStr">
        <is>
          <t>+LS07</t>
        </is>
      </c>
      <c r="D8969" t="inlineStr">
        <is>
          <t>-410Q1</t>
        </is>
      </c>
      <c r="E8969" t="inlineStr">
        <is>
          <t>DILA-XHI22</t>
        </is>
      </c>
      <c r="F8969" t="inlineStr">
        <is>
          <t>DILA-XHI22</t>
        </is>
      </c>
      <c r="G8969" t="inlineStr">
        <is>
          <t>HILFSKONTAKTBLOCK</t>
        </is>
      </c>
      <c r="H8969" t="inlineStr">
        <is>
          <t>2S 2OE Last+Hilfssch. Cage</t>
        </is>
      </c>
      <c r="I8969">
        <v>964</v>
      </c>
      <c r="J8969">
        <f>GS93/410.4</f>
        <v>0</v>
      </c>
      <c r="K8969" t="inlineStr">
        <is>
          <t>DIL MC25</t>
        </is>
      </c>
      <c r="M8969" t="inlineStr">
        <is>
          <t>-410Q1</t>
        </is>
      </c>
    </row>
    <row r="8970">
      <c r="A8970">
        <v>8969</v>
      </c>
      <c r="B8970">
        <f>GS07</f>
        <v>0</v>
      </c>
      <c r="C8970" t="inlineStr">
        <is>
          <t>+LS06</t>
        </is>
      </c>
      <c r="D8970" t="inlineStr">
        <is>
          <t>-410Q411.7</t>
        </is>
      </c>
      <c r="E8970" t="inlineStr">
        <is>
          <t>DILM-9-01</t>
        </is>
      </c>
      <c r="F8970" t="inlineStr">
        <is>
          <t>DILA-XHI22</t>
        </is>
      </c>
      <c r="G8970" t="inlineStr">
        <is>
          <t>LASTSCHUETZ</t>
        </is>
      </c>
      <c r="H8970" t="inlineStr">
        <is>
          <t>4kW 1Oe Federzugkl.</t>
        </is>
      </c>
      <c r="I8970">
        <v>509</v>
      </c>
      <c r="J8970">
        <f>GS07/410.6</f>
        <v>0</v>
      </c>
      <c r="M8970" t="inlineStr">
        <is>
          <t>-410Q411.7</t>
        </is>
      </c>
    </row>
    <row r="8971">
      <c r="A8971">
        <v>8970</v>
      </c>
      <c r="B8971">
        <f>GS07</f>
        <v>0</v>
      </c>
      <c r="C8971" t="inlineStr">
        <is>
          <t>+LS06</t>
        </is>
      </c>
      <c r="D8971" t="inlineStr">
        <is>
          <t>-410Q411.7</t>
        </is>
      </c>
      <c r="E8971" t="inlineStr">
        <is>
          <t>DILA-XHI22</t>
        </is>
      </c>
      <c r="F8971" t="inlineStr">
        <is>
          <t>DILA-XHI22</t>
        </is>
      </c>
      <c r="G8971" t="inlineStr">
        <is>
          <t>HILFSKONTAKTBLOCK</t>
        </is>
      </c>
      <c r="H8971" t="inlineStr">
        <is>
          <t>2S 2OE Last+Hilfssch. Cage</t>
        </is>
      </c>
      <c r="I8971">
        <v>509</v>
      </c>
      <c r="J8971">
        <f>GS07/410.6</f>
        <v>0</v>
      </c>
      <c r="M8971" t="inlineStr">
        <is>
          <t>-410Q411.7</t>
        </is>
      </c>
    </row>
    <row r="8972">
      <c r="A8972">
        <v>8971</v>
      </c>
      <c r="B8972">
        <f>GS07</f>
        <v>0</v>
      </c>
      <c r="C8972" t="inlineStr">
        <is>
          <t>+LS06</t>
        </is>
      </c>
      <c r="D8972" t="inlineStr">
        <is>
          <t>-410Q412.0</t>
        </is>
      </c>
      <c r="E8972" t="inlineStr">
        <is>
          <t>DILM-9-01</t>
        </is>
      </c>
      <c r="F8972" t="inlineStr">
        <is>
          <t>DILA-XHI22</t>
        </is>
      </c>
      <c r="G8972" t="inlineStr">
        <is>
          <t>LASTSCHUETZ</t>
        </is>
      </c>
      <c r="H8972" t="inlineStr">
        <is>
          <t>4kW 1Oe Federzugkl.</t>
        </is>
      </c>
      <c r="I8972">
        <v>509</v>
      </c>
      <c r="J8972">
        <f>GS07/410.7</f>
        <v>0</v>
      </c>
      <c r="M8972" t="inlineStr">
        <is>
          <t>-410Q412.0</t>
        </is>
      </c>
    </row>
    <row r="8973">
      <c r="A8973">
        <v>8972</v>
      </c>
      <c r="B8973">
        <f>GS07</f>
        <v>0</v>
      </c>
      <c r="C8973" t="inlineStr">
        <is>
          <t>+LS06</t>
        </is>
      </c>
      <c r="D8973" t="inlineStr">
        <is>
          <t>-410Q412.0</t>
        </is>
      </c>
      <c r="E8973" t="inlineStr">
        <is>
          <t>DILA-XHI22</t>
        </is>
      </c>
      <c r="F8973" t="inlineStr">
        <is>
          <t>DILA-XHI22</t>
        </is>
      </c>
      <c r="G8973" t="inlineStr">
        <is>
          <t>HILFSKONTAKTBLOCK</t>
        </is>
      </c>
      <c r="H8973" t="inlineStr">
        <is>
          <t>2S 2OE Last+Hilfssch. Cage</t>
        </is>
      </c>
      <c r="I8973">
        <v>509</v>
      </c>
      <c r="J8973">
        <f>GS07/410.7</f>
        <v>0</v>
      </c>
      <c r="M8973" t="inlineStr">
        <is>
          <t>-410Q412.0</t>
        </is>
      </c>
    </row>
    <row r="8974">
      <c r="A8974">
        <v>8973</v>
      </c>
      <c r="B8974">
        <f>GS13</f>
        <v>0</v>
      </c>
      <c r="C8974" t="inlineStr">
        <is>
          <t>+LS10</t>
        </is>
      </c>
      <c r="D8974" t="inlineStr">
        <is>
          <t>-4113605.3</t>
        </is>
      </c>
      <c r="E8974" t="inlineStr">
        <is>
          <t>DIL_EM-10-G</t>
        </is>
      </c>
      <c r="F8974" t="inlineStr">
        <is>
          <t>#KALK!</t>
        </is>
      </c>
      <c r="G8974" t="inlineStr">
        <is>
          <t>LASTSCHUETZ</t>
        </is>
      </c>
      <c r="H8974" t="inlineStr">
        <is>
          <t>4kW 1S</t>
        </is>
      </c>
      <c r="I8974">
        <v>658</v>
      </c>
      <c r="J8974">
        <f>GS13/411.7</f>
        <v>0</v>
      </c>
      <c r="M8974" t="inlineStr">
        <is>
          <t>-4113605.3</t>
        </is>
      </c>
    </row>
    <row r="8975">
      <c r="A8975">
        <v>8974</v>
      </c>
      <c r="B8975">
        <f>GS16</f>
        <v>0</v>
      </c>
      <c r="C8975" t="inlineStr">
        <is>
          <t>+LS7</t>
        </is>
      </c>
      <c r="D8975" t="inlineStr">
        <is>
          <t>-411K1</t>
        </is>
      </c>
      <c r="E8975" t="inlineStr">
        <is>
          <t>22_DIL-M</t>
        </is>
      </c>
      <c r="F8975" t="inlineStr">
        <is>
          <t>22_DIL-M</t>
        </is>
      </c>
      <c r="G8975" t="inlineStr">
        <is>
          <t>HILFSKONTAKTBLOCK</t>
        </is>
      </c>
      <c r="H8975" t="inlineStr">
        <is>
          <t>2S 2OE Lastschuetz DIL M</t>
        </is>
      </c>
      <c r="I8975">
        <v>648</v>
      </c>
      <c r="J8975">
        <f>GS16/411.2</f>
        <v>0</v>
      </c>
      <c r="K8975" t="inlineStr">
        <is>
          <t>DIL0AM</t>
        </is>
      </c>
      <c r="M8975" t="inlineStr">
        <is>
          <t>-411K1</t>
        </is>
      </c>
    </row>
    <row r="8976">
      <c r="A8976">
        <v>8975</v>
      </c>
      <c r="B8976">
        <f>GS16</f>
        <v>0</v>
      </c>
      <c r="C8976" t="inlineStr">
        <is>
          <t>+LS7</t>
        </is>
      </c>
      <c r="D8976" t="inlineStr">
        <is>
          <t>-411K1</t>
        </is>
      </c>
      <c r="E8976" t="inlineStr">
        <is>
          <t>DIL_0AM</t>
        </is>
      </c>
      <c r="F8976" t="inlineStr">
        <is>
          <t>22_DIL-M</t>
        </is>
      </c>
      <c r="G8976" t="inlineStr">
        <is>
          <t>LASTSCHUETZ</t>
        </is>
      </c>
      <c r="H8976" t="inlineStr">
        <is>
          <t>11 kW</t>
        </is>
      </c>
      <c r="I8976">
        <v>648</v>
      </c>
      <c r="J8976">
        <f>GS16/411.2</f>
        <v>0</v>
      </c>
      <c r="K8976" t="inlineStr">
        <is>
          <t>DIL0AM</t>
        </is>
      </c>
      <c r="M8976" t="inlineStr">
        <is>
          <t>-411K1</t>
        </is>
      </c>
    </row>
    <row r="8977">
      <c r="A8977">
        <v>8976</v>
      </c>
      <c r="B8977">
        <f>GS04</f>
        <v>0</v>
      </c>
      <c r="C8977" t="inlineStr">
        <is>
          <t>+LS9</t>
        </is>
      </c>
      <c r="D8977" t="inlineStr">
        <is>
          <t>-411K13.3</t>
        </is>
      </c>
      <c r="E8977" t="inlineStr">
        <is>
          <t>DIL_EM-10-G</t>
        </is>
      </c>
      <c r="F8977" t="inlineStr">
        <is>
          <t>#KALK!</t>
        </is>
      </c>
      <c r="G8977" t="inlineStr">
        <is>
          <t>LASTSCHUETZ</t>
        </is>
      </c>
      <c r="H8977" t="inlineStr">
        <is>
          <t>4kW 1S</t>
        </is>
      </c>
      <c r="I8977">
        <v>667</v>
      </c>
      <c r="J8977">
        <f>GS04/411.7</f>
        <v>0</v>
      </c>
      <c r="M8977" t="inlineStr">
        <is>
          <t>-411K13.3</t>
        </is>
      </c>
    </row>
    <row r="8978">
      <c r="A8978">
        <v>8977</v>
      </c>
      <c r="B8978">
        <f>GS23</f>
        <v>0</v>
      </c>
      <c r="C8978" t="inlineStr">
        <is>
          <t>+LS10</t>
        </is>
      </c>
      <c r="D8978" t="inlineStr">
        <is>
          <t>-411K3605.3</t>
        </is>
      </c>
      <c r="E8978" t="inlineStr">
        <is>
          <t>DIL_EM-10-G</t>
        </is>
      </c>
      <c r="F8978" t="inlineStr">
        <is>
          <t>#KALK!</t>
        </is>
      </c>
      <c r="G8978" t="inlineStr">
        <is>
          <t>LASTSCHUETZ</t>
        </is>
      </c>
      <c r="H8978" t="inlineStr">
        <is>
          <t>4kW 1S</t>
        </is>
      </c>
      <c r="I8978">
        <v>712</v>
      </c>
      <c r="J8978">
        <f>GS23/411.7</f>
        <v>0</v>
      </c>
      <c r="M8978" t="inlineStr">
        <is>
          <t>-411K3605.3</t>
        </is>
      </c>
    </row>
    <row r="8979">
      <c r="A8979">
        <v>8978</v>
      </c>
      <c r="B8979">
        <f>GS34</f>
        <v>0</v>
      </c>
      <c r="C8979" t="inlineStr">
        <is>
          <t>+LS9</t>
        </is>
      </c>
      <c r="D8979" t="inlineStr">
        <is>
          <t>-411K3904.7</t>
        </is>
      </c>
      <c r="E8979" t="inlineStr">
        <is>
          <t>DIL_EM-10-G</t>
        </is>
      </c>
      <c r="F8979" t="inlineStr">
        <is>
          <t>#KALK!</t>
        </is>
      </c>
      <c r="G8979" t="inlineStr">
        <is>
          <t>LASTSCHUETZ</t>
        </is>
      </c>
      <c r="H8979" t="inlineStr">
        <is>
          <t>4kW 1S</t>
        </is>
      </c>
      <c r="I8979">
        <v>536</v>
      </c>
      <c r="J8979">
        <f>GS34/411.7</f>
        <v>0</v>
      </c>
      <c r="M8979" t="inlineStr">
        <is>
          <t>-411K3904.7</t>
        </is>
      </c>
    </row>
    <row r="8980">
      <c r="A8980">
        <v>8979</v>
      </c>
      <c r="B8980">
        <f>GC22</f>
        <v>0</v>
      </c>
      <c r="C8980" t="inlineStr">
        <is>
          <t>+LS6</t>
        </is>
      </c>
      <c r="D8980" t="inlineStr">
        <is>
          <t>-411K51.3</t>
        </is>
      </c>
      <c r="E8980" t="inlineStr">
        <is>
          <t>DIL_EM-10-G</t>
        </is>
      </c>
      <c r="F8980" t="inlineStr">
        <is>
          <t>#KALK!</t>
        </is>
      </c>
      <c r="G8980" t="inlineStr">
        <is>
          <t>LASTSCHUETZ</t>
        </is>
      </c>
      <c r="H8980" t="inlineStr">
        <is>
          <t>4kW 1S</t>
        </is>
      </c>
      <c r="I8980">
        <v>3360</v>
      </c>
      <c r="J8980">
        <f>GC22/411.7</f>
        <v>0</v>
      </c>
      <c r="M8980" t="inlineStr">
        <is>
          <t>-411K51.3</t>
        </is>
      </c>
    </row>
    <row r="8981">
      <c r="A8981">
        <v>8980</v>
      </c>
      <c r="B8981">
        <f>GS12</f>
        <v>0</v>
      </c>
      <c r="C8981" t="inlineStr">
        <is>
          <t>+LS6</t>
        </is>
      </c>
      <c r="D8981" t="inlineStr">
        <is>
          <t>-411K51.3</t>
        </is>
      </c>
      <c r="E8981" t="inlineStr">
        <is>
          <t>DIL_EM-10-G</t>
        </is>
      </c>
      <c r="F8981" t="inlineStr">
        <is>
          <t>#KALK!</t>
        </is>
      </c>
      <c r="G8981" t="inlineStr">
        <is>
          <t>LASTSCHUETZ</t>
        </is>
      </c>
      <c r="H8981" t="inlineStr">
        <is>
          <t>4kW 1S</t>
        </is>
      </c>
      <c r="I8981">
        <v>543</v>
      </c>
      <c r="J8981">
        <f>GS12/411.7</f>
        <v>0</v>
      </c>
      <c r="M8981" t="inlineStr">
        <is>
          <t>-411K51.3</t>
        </is>
      </c>
    </row>
    <row r="8982">
      <c r="A8982">
        <v>8981</v>
      </c>
      <c r="B8982">
        <f>GS93</f>
        <v>0</v>
      </c>
      <c r="C8982" t="inlineStr">
        <is>
          <t>+LS07</t>
        </is>
      </c>
      <c r="D8982" t="inlineStr">
        <is>
          <t>-411Q466.5</t>
        </is>
      </c>
      <c r="E8982" t="inlineStr">
        <is>
          <t>DILM-9-10</t>
        </is>
      </c>
      <c r="F8982" t="inlineStr">
        <is>
          <t>#KALK!</t>
        </is>
      </c>
      <c r="G8982" t="inlineStr">
        <is>
          <t>LASTSCHUETZ</t>
        </is>
      </c>
      <c r="H8982" t="inlineStr">
        <is>
          <t>4kW 1S Federzugkl.</t>
        </is>
      </c>
      <c r="I8982">
        <v>965</v>
      </c>
      <c r="J8982">
        <f>GS93/411.5</f>
        <v>0</v>
      </c>
      <c r="M8982" t="inlineStr">
        <is>
          <t>-411Q466.5</t>
        </is>
      </c>
    </row>
    <row r="8983">
      <c r="A8983">
        <v>8982</v>
      </c>
      <c r="B8983">
        <f>GS13</f>
        <v>0</v>
      </c>
      <c r="C8983" t="inlineStr">
        <is>
          <t>+LS10</t>
        </is>
      </c>
      <c r="D8983" t="inlineStr">
        <is>
          <t>-4123605.7</t>
        </is>
      </c>
      <c r="E8983" t="inlineStr">
        <is>
          <t>DIL_EM-10-G</t>
        </is>
      </c>
      <c r="F8983" t="inlineStr">
        <is>
          <t>#KALK!</t>
        </is>
      </c>
      <c r="G8983" t="inlineStr">
        <is>
          <t>LASTSCHUETZ</t>
        </is>
      </c>
      <c r="H8983" t="inlineStr">
        <is>
          <t>4kW 1S</t>
        </is>
      </c>
      <c r="I8983">
        <v>659</v>
      </c>
      <c r="J8983">
        <f>GS13/412.7</f>
        <v>0</v>
      </c>
      <c r="M8983" t="inlineStr">
        <is>
          <t>-4123605.7</t>
        </is>
      </c>
    </row>
    <row r="8984">
      <c r="A8984">
        <v>8983</v>
      </c>
      <c r="B8984">
        <f>GS33</f>
        <v>0</v>
      </c>
      <c r="C8984" t="inlineStr">
        <is>
          <t>+LS9</t>
        </is>
      </c>
      <c r="D8984" t="inlineStr">
        <is>
          <t>-412K1</t>
        </is>
      </c>
      <c r="E8984" t="inlineStr">
        <is>
          <t>DIL_0AM</t>
        </is>
      </c>
      <c r="F8984" t="inlineStr">
        <is>
          <t>22_DIL-M</t>
        </is>
      </c>
      <c r="G8984" t="inlineStr">
        <is>
          <t>LASTSCHUETZ</t>
        </is>
      </c>
      <c r="H8984" t="inlineStr">
        <is>
          <t>11 kW</t>
        </is>
      </c>
      <c r="I8984">
        <v>866</v>
      </c>
      <c r="J8984">
        <f>GS33/412.2</f>
        <v>0</v>
      </c>
      <c r="K8984" t="inlineStr">
        <is>
          <t>DIL0AM</t>
        </is>
      </c>
      <c r="M8984" t="inlineStr">
        <is>
          <t>-412K1</t>
        </is>
      </c>
    </row>
    <row r="8985">
      <c r="A8985">
        <v>8984</v>
      </c>
      <c r="B8985">
        <f>GS33</f>
        <v>0</v>
      </c>
      <c r="C8985" t="inlineStr">
        <is>
          <t>+LS9</t>
        </is>
      </c>
      <c r="D8985" t="inlineStr">
        <is>
          <t>-412K1</t>
        </is>
      </c>
      <c r="E8985" t="inlineStr">
        <is>
          <t>22_DIL-M</t>
        </is>
      </c>
      <c r="F8985" t="inlineStr">
        <is>
          <t>22_DIL-M</t>
        </is>
      </c>
      <c r="G8985" t="inlineStr">
        <is>
          <t>HILFSKONTAKTBLOCK</t>
        </is>
      </c>
      <c r="H8985" t="inlineStr">
        <is>
          <t>2S 2OE Lastschuetz DIL M</t>
        </is>
      </c>
      <c r="I8985">
        <v>866</v>
      </c>
      <c r="J8985">
        <f>GS33/412.2</f>
        <v>0</v>
      </c>
      <c r="K8985" t="inlineStr">
        <is>
          <t>DIL0AM</t>
        </is>
      </c>
      <c r="M8985" t="inlineStr">
        <is>
          <t>-412K1</t>
        </is>
      </c>
    </row>
    <row r="8986">
      <c r="A8986">
        <v>8985</v>
      </c>
      <c r="B8986">
        <f>GS04</f>
        <v>0</v>
      </c>
      <c r="C8986" t="inlineStr">
        <is>
          <t>+LS9</t>
        </is>
      </c>
      <c r="D8986" t="inlineStr">
        <is>
          <t>-412K13.7</t>
        </is>
      </c>
      <c r="E8986" t="inlineStr">
        <is>
          <t>DIL_EM-10-G</t>
        </is>
      </c>
      <c r="F8986" t="inlineStr">
        <is>
          <t>#KALK!</t>
        </is>
      </c>
      <c r="G8986" t="inlineStr">
        <is>
          <t>LASTSCHUETZ</t>
        </is>
      </c>
      <c r="H8986" t="inlineStr">
        <is>
          <t>4kW 1S</t>
        </is>
      </c>
      <c r="I8986">
        <v>668</v>
      </c>
      <c r="J8986">
        <f>GS04/412.8</f>
        <v>0</v>
      </c>
      <c r="M8986" t="inlineStr">
        <is>
          <t>-412K13.7</t>
        </is>
      </c>
    </row>
    <row r="8987">
      <c r="A8987">
        <v>8986</v>
      </c>
      <c r="B8987">
        <f>GS23</f>
        <v>0</v>
      </c>
      <c r="C8987" t="inlineStr">
        <is>
          <t>+LS10</t>
        </is>
      </c>
      <c r="D8987" t="inlineStr">
        <is>
          <t>-412K3605.7</t>
        </is>
      </c>
      <c r="E8987" t="inlineStr">
        <is>
          <t>DIL_EM-10-G</t>
        </is>
      </c>
      <c r="F8987" t="inlineStr">
        <is>
          <t>#KALK!</t>
        </is>
      </c>
      <c r="G8987" t="inlineStr">
        <is>
          <t>LASTSCHUETZ</t>
        </is>
      </c>
      <c r="H8987" t="inlineStr">
        <is>
          <t>4kW 1S</t>
        </is>
      </c>
      <c r="I8987">
        <v>713</v>
      </c>
      <c r="J8987">
        <f>GS23/412.7</f>
        <v>0</v>
      </c>
      <c r="M8987" t="inlineStr">
        <is>
          <t>-412K3605.7</t>
        </is>
      </c>
    </row>
    <row r="8988">
      <c r="A8988">
        <v>8987</v>
      </c>
      <c r="B8988">
        <f>GS34</f>
        <v>0</v>
      </c>
      <c r="C8988" t="inlineStr">
        <is>
          <t>+LS9</t>
        </is>
      </c>
      <c r="D8988" t="inlineStr">
        <is>
          <t>-412K3905.0</t>
        </is>
      </c>
      <c r="E8988" t="inlineStr">
        <is>
          <t>DIL_EM-10-G</t>
        </is>
      </c>
      <c r="F8988" t="inlineStr">
        <is>
          <t>#KALK!</t>
        </is>
      </c>
      <c r="G8988" t="inlineStr">
        <is>
          <t>LASTSCHUETZ</t>
        </is>
      </c>
      <c r="H8988" t="inlineStr">
        <is>
          <t>4kW 1S</t>
        </is>
      </c>
      <c r="I8988">
        <v>537</v>
      </c>
      <c r="J8988">
        <f>GS34/412.6</f>
        <v>0</v>
      </c>
      <c r="M8988" t="inlineStr">
        <is>
          <t>-412K3905.0</t>
        </is>
      </c>
    </row>
    <row r="8989">
      <c r="A8989">
        <v>8988</v>
      </c>
      <c r="B8989">
        <f>GS34</f>
        <v>0</v>
      </c>
      <c r="C8989" t="inlineStr">
        <is>
          <t>+LS9</t>
        </is>
      </c>
      <c r="D8989" t="inlineStr">
        <is>
          <t>-412K3905.5</t>
        </is>
      </c>
      <c r="E8989" t="inlineStr">
        <is>
          <t>DIL_EM-10-G</t>
        </is>
      </c>
      <c r="F8989" t="inlineStr">
        <is>
          <t>#KALK!</t>
        </is>
      </c>
      <c r="G8989" t="inlineStr">
        <is>
          <t>LASTSCHUETZ</t>
        </is>
      </c>
      <c r="H8989" t="inlineStr">
        <is>
          <t>4kW 1S</t>
        </is>
      </c>
      <c r="I8989">
        <v>537</v>
      </c>
      <c r="J8989">
        <f>GS34/412.6</f>
        <v>0</v>
      </c>
      <c r="M8989" t="inlineStr">
        <is>
          <t>-412K3905.5</t>
        </is>
      </c>
    </row>
    <row r="8990">
      <c r="A8990">
        <v>8989</v>
      </c>
      <c r="B8990">
        <f>GC22</f>
        <v>0</v>
      </c>
      <c r="C8990" t="inlineStr">
        <is>
          <t>+LS6</t>
        </is>
      </c>
      <c r="D8990" t="inlineStr">
        <is>
          <t>-412K51.4</t>
        </is>
      </c>
      <c r="E8990" t="inlineStr">
        <is>
          <t>DILM-9-01</t>
        </is>
      </c>
      <c r="F8990" t="inlineStr">
        <is>
          <t>#KALK!</t>
        </is>
      </c>
      <c r="G8990" t="inlineStr">
        <is>
          <t>LASTSCHUETZ</t>
        </is>
      </c>
      <c r="H8990" t="inlineStr">
        <is>
          <t>4kW 1Oe Federzugkl.</t>
        </is>
      </c>
      <c r="I8990">
        <v>3359</v>
      </c>
      <c r="J8990">
        <f>GC22/412.6</f>
        <v>0</v>
      </c>
      <c r="M8990" t="inlineStr">
        <is>
          <t>-412K51.4</t>
        </is>
      </c>
    </row>
    <row r="8991">
      <c r="A8991">
        <v>8990</v>
      </c>
      <c r="B8991">
        <f>GS12</f>
        <v>0</v>
      </c>
      <c r="C8991" t="inlineStr">
        <is>
          <t>+LS6</t>
        </is>
      </c>
      <c r="D8991" t="inlineStr">
        <is>
          <t>-412K51.4</t>
        </is>
      </c>
      <c r="E8991" t="inlineStr">
        <is>
          <t>DILM-9-01</t>
        </is>
      </c>
      <c r="F8991" t="inlineStr">
        <is>
          <t>#KALK!</t>
        </is>
      </c>
      <c r="G8991" t="inlineStr">
        <is>
          <t>LASTSCHUETZ</t>
        </is>
      </c>
      <c r="H8991" t="inlineStr">
        <is>
          <t>4kW 1Oe Federzugkl.</t>
        </is>
      </c>
      <c r="I8991">
        <v>544</v>
      </c>
      <c r="J8991">
        <f>GS12/412.6</f>
        <v>0</v>
      </c>
      <c r="M8991" t="inlineStr">
        <is>
          <t>-412K51.4</t>
        </is>
      </c>
    </row>
    <row r="8992">
      <c r="A8992">
        <v>8991</v>
      </c>
      <c r="B8992">
        <f>GC22</f>
        <v>0</v>
      </c>
      <c r="C8992" t="inlineStr">
        <is>
          <t>+LS6</t>
        </is>
      </c>
      <c r="D8992" t="inlineStr">
        <is>
          <t>-412K51.5</t>
        </is>
      </c>
      <c r="E8992" t="inlineStr">
        <is>
          <t>DIL_EM-10-G</t>
        </is>
      </c>
      <c r="F8992" t="inlineStr">
        <is>
          <t>#KALK!</t>
        </is>
      </c>
      <c r="G8992" t="inlineStr">
        <is>
          <t>LASTSCHUETZ</t>
        </is>
      </c>
      <c r="H8992" t="inlineStr">
        <is>
          <t>4kW 1S</t>
        </is>
      </c>
      <c r="I8992">
        <v>3359</v>
      </c>
      <c r="J8992">
        <f>GC22/412.7</f>
        <v>0</v>
      </c>
      <c r="M8992" t="inlineStr">
        <is>
          <t>-412K51.5</t>
        </is>
      </c>
    </row>
    <row r="8993">
      <c r="A8993">
        <v>8992</v>
      </c>
      <c r="B8993">
        <f>GS12</f>
        <v>0</v>
      </c>
      <c r="C8993" t="inlineStr">
        <is>
          <t>+LS6</t>
        </is>
      </c>
      <c r="D8993" t="inlineStr">
        <is>
          <t>-412K51.5</t>
        </is>
      </c>
      <c r="E8993" t="inlineStr">
        <is>
          <t>DIL_EM-10-G</t>
        </is>
      </c>
      <c r="F8993" t="inlineStr">
        <is>
          <t>#KALK!</t>
        </is>
      </c>
      <c r="G8993" t="inlineStr">
        <is>
          <t>LASTSCHUETZ</t>
        </is>
      </c>
      <c r="H8993" t="inlineStr">
        <is>
          <t>4kW 1S</t>
        </is>
      </c>
      <c r="I8993">
        <v>544</v>
      </c>
      <c r="J8993">
        <f>GS12/412.7</f>
        <v>0</v>
      </c>
      <c r="M8993" t="inlineStr">
        <is>
          <t>-412K51.5</t>
        </is>
      </c>
    </row>
    <row r="8994">
      <c r="A8994">
        <v>8993</v>
      </c>
      <c r="B8994">
        <f>GC22</f>
        <v>0</v>
      </c>
      <c r="C8994" t="inlineStr">
        <is>
          <t>+LS6</t>
        </is>
      </c>
      <c r="D8994" t="inlineStr">
        <is>
          <t>-412K52.7</t>
        </is>
      </c>
      <c r="E8994" t="inlineStr">
        <is>
          <t>DILM-9-01</t>
        </is>
      </c>
      <c r="F8994" t="inlineStr">
        <is>
          <t>#KALK!</t>
        </is>
      </c>
      <c r="G8994" t="inlineStr">
        <is>
          <t>LASTSCHUETZ</t>
        </is>
      </c>
      <c r="H8994" t="inlineStr">
        <is>
          <t>4kW 1Oe Federzugkl.</t>
        </is>
      </c>
      <c r="I8994">
        <v>3359</v>
      </c>
      <c r="J8994">
        <f>GC22/412.6</f>
        <v>0</v>
      </c>
      <c r="M8994" t="inlineStr">
        <is>
          <t>-412K52.7</t>
        </is>
      </c>
    </row>
    <row r="8995">
      <c r="A8995">
        <v>8994</v>
      </c>
      <c r="B8995">
        <f>GS12</f>
        <v>0</v>
      </c>
      <c r="C8995" t="inlineStr">
        <is>
          <t>+LS6</t>
        </is>
      </c>
      <c r="D8995" t="inlineStr">
        <is>
          <t>-412K52.7</t>
        </is>
      </c>
      <c r="E8995" t="inlineStr">
        <is>
          <t>DILM-9-01</t>
        </is>
      </c>
      <c r="F8995" t="inlineStr">
        <is>
          <t>#KALK!</t>
        </is>
      </c>
      <c r="G8995" t="inlineStr">
        <is>
          <t>LASTSCHUETZ</t>
        </is>
      </c>
      <c r="H8995" t="inlineStr">
        <is>
          <t>4kW 1Oe Federzugkl.</t>
        </is>
      </c>
      <c r="I8995">
        <v>544</v>
      </c>
      <c r="J8995">
        <f>GS12/412.6</f>
        <v>0</v>
      </c>
      <c r="M8995" t="inlineStr">
        <is>
          <t>-412K52.7</t>
        </is>
      </c>
    </row>
    <row r="8996">
      <c r="A8996">
        <v>8995</v>
      </c>
      <c r="B8996">
        <f>GS53</f>
        <v>0</v>
      </c>
      <c r="C8996" t="inlineStr">
        <is>
          <t>+LS13</t>
        </is>
      </c>
      <c r="D8996" t="inlineStr">
        <is>
          <t>-412Q424.4</t>
        </is>
      </c>
      <c r="E8996" t="inlineStr">
        <is>
          <t>DILM-9-10</t>
        </is>
      </c>
      <c r="F8996" t="inlineStr">
        <is>
          <t>#KALK!</t>
        </is>
      </c>
      <c r="G8996" t="inlineStr">
        <is>
          <t>LASTSCHUETZ</t>
        </is>
      </c>
      <c r="H8996" t="inlineStr">
        <is>
          <t>4kW 1S Federzugkl.</t>
        </is>
      </c>
      <c r="I8996">
        <v>502</v>
      </c>
      <c r="J8996">
        <f>GS53/412.6</f>
        <v>0</v>
      </c>
      <c r="K8996" t="inlineStr">
        <is>
          <t>DIL MC9</t>
        </is>
      </c>
      <c r="M8996" t="inlineStr">
        <is>
          <t>-412Q424.4</t>
        </is>
      </c>
    </row>
    <row r="8997">
      <c r="A8997">
        <v>8996</v>
      </c>
      <c r="B8997">
        <f>GS37</f>
        <v>0</v>
      </c>
      <c r="C8997" t="inlineStr">
        <is>
          <t>+LS09</t>
        </is>
      </c>
      <c r="D8997" t="inlineStr">
        <is>
          <t>-412Q702.7</t>
        </is>
      </c>
      <c r="E8997" t="inlineStr">
        <is>
          <t>DILM-9-10</t>
        </is>
      </c>
      <c r="F8997" t="inlineStr">
        <is>
          <t>#KALK!</t>
        </is>
      </c>
      <c r="G8997" t="inlineStr">
        <is>
          <t>LASTSCHUETZ</t>
        </is>
      </c>
      <c r="H8997" t="inlineStr">
        <is>
          <t>4kW 1S Federzugkl.</t>
        </is>
      </c>
      <c r="I8997">
        <v>541</v>
      </c>
      <c r="J8997">
        <f>GS37/412.5</f>
        <v>0</v>
      </c>
      <c r="M8997" t="inlineStr">
        <is>
          <t>-412Q702.7</t>
        </is>
      </c>
    </row>
    <row r="8998">
      <c r="A8998">
        <v>8997</v>
      </c>
      <c r="B8998">
        <f>GS13</f>
        <v>0</v>
      </c>
      <c r="C8998" t="inlineStr">
        <is>
          <t>+LS10</t>
        </is>
      </c>
      <c r="D8998" t="inlineStr">
        <is>
          <t>-4133606.3</t>
        </is>
      </c>
      <c r="E8998" t="inlineStr">
        <is>
          <t>DIL_EM-10-G</t>
        </is>
      </c>
      <c r="F8998" t="inlineStr">
        <is>
          <t>#KALK!</t>
        </is>
      </c>
      <c r="G8998" t="inlineStr">
        <is>
          <t>LASTSCHUETZ</t>
        </is>
      </c>
      <c r="H8998" t="inlineStr">
        <is>
          <t>4kW 1S</t>
        </is>
      </c>
      <c r="I8998">
        <v>660</v>
      </c>
      <c r="J8998">
        <f>GS13/413.7</f>
        <v>0</v>
      </c>
      <c r="M8998" t="inlineStr">
        <is>
          <t>-4133606.3</t>
        </is>
      </c>
    </row>
    <row r="8999">
      <c r="A8999">
        <v>8998</v>
      </c>
      <c r="B8999">
        <f>GS36</f>
        <v>0</v>
      </c>
      <c r="C8999" t="inlineStr">
        <is>
          <t>+LS11</t>
        </is>
      </c>
      <c r="D8999" t="inlineStr">
        <is>
          <t>-940Q713.5</t>
        </is>
      </c>
      <c r="E8999" t="inlineStr">
        <is>
          <t>DILMC12-10(24VDC)</t>
        </is>
      </c>
      <c r="F8999" t="inlineStr">
        <is>
          <t>#KALK!</t>
        </is>
      </c>
      <c r="G8999" t="inlineStr">
        <is>
          <t>LASTSCHUETZ</t>
        </is>
      </c>
      <c r="H8999" t="inlineStr">
        <is>
          <t>5,5kW 1S Federzugkl.</t>
        </is>
      </c>
      <c r="I8999">
        <v>1526</v>
      </c>
      <c r="J8999">
        <f>GS36/940.6</f>
        <v>0</v>
      </c>
      <c r="K8999" t="inlineStr">
        <is>
          <t>DIL MC12</t>
        </is>
      </c>
      <c r="L8999" t="inlineStr">
        <is>
          <t>SHT 3605</t>
        </is>
      </c>
      <c r="M8999" t="inlineStr">
        <is>
          <t>SHT 3605
-940Q713.5</t>
        </is>
      </c>
      <c r="N8999" t="inlineStr">
        <is>
          <t>P</t>
        </is>
      </c>
    </row>
    <row r="9000">
      <c r="A9000">
        <v>8999</v>
      </c>
      <c r="B9000">
        <f>GS04</f>
        <v>0</v>
      </c>
      <c r="C9000" t="inlineStr">
        <is>
          <t>+LS9</t>
        </is>
      </c>
      <c r="D9000" t="inlineStr">
        <is>
          <t>-413K14.0</t>
        </is>
      </c>
      <c r="E9000" t="inlineStr">
        <is>
          <t>DIL_EM-10-G</t>
        </is>
      </c>
      <c r="F9000" t="inlineStr">
        <is>
          <t>#KALK!</t>
        </is>
      </c>
      <c r="G9000" t="inlineStr">
        <is>
          <t>LASTSCHUETZ</t>
        </is>
      </c>
      <c r="H9000" t="inlineStr">
        <is>
          <t>4kW 1S</t>
        </is>
      </c>
      <c r="I9000">
        <v>669</v>
      </c>
      <c r="J9000">
        <f>GS04/413.6</f>
        <v>0</v>
      </c>
      <c r="M9000" t="inlineStr">
        <is>
          <t>-413K14.0</t>
        </is>
      </c>
    </row>
    <row r="9001">
      <c r="A9001">
        <v>9000</v>
      </c>
      <c r="B9001">
        <f>GS36</f>
        <v>0</v>
      </c>
      <c r="C9001" t="inlineStr">
        <is>
          <t>+LS11</t>
        </is>
      </c>
      <c r="D9001" t="inlineStr">
        <is>
          <t>-950K1</t>
        </is>
      </c>
      <c r="E9001" t="inlineStr">
        <is>
          <t>DILA-40</t>
        </is>
      </c>
      <c r="F9001" t="inlineStr">
        <is>
          <t>#KALK!</t>
        </is>
      </c>
      <c r="G9001" t="inlineStr">
        <is>
          <t>HILFSSCHUETZ</t>
        </is>
      </c>
      <c r="H9001" t="inlineStr">
        <is>
          <t>4S Federzugkl.</t>
        </is>
      </c>
      <c r="I9001">
        <v>1516</v>
      </c>
      <c r="J9001">
        <f>GS36/950.6</f>
        <v>0</v>
      </c>
      <c r="M9001" t="inlineStr">
        <is>
          <t>-950K1</t>
        </is>
      </c>
    </row>
    <row r="9002">
      <c r="A9002">
        <v>9001</v>
      </c>
      <c r="B9002">
        <f>GS23</f>
        <v>0</v>
      </c>
      <c r="C9002" t="inlineStr">
        <is>
          <t>+LS10</t>
        </is>
      </c>
      <c r="D9002" t="inlineStr">
        <is>
          <t>-413K3606.3</t>
        </is>
      </c>
      <c r="E9002" t="inlineStr">
        <is>
          <t>DIL_EM-10-G</t>
        </is>
      </c>
      <c r="F9002" t="inlineStr">
        <is>
          <t>#KALK!</t>
        </is>
      </c>
      <c r="G9002" t="inlineStr">
        <is>
          <t>LASTSCHUETZ</t>
        </is>
      </c>
      <c r="H9002" t="inlineStr">
        <is>
          <t>4kW 1S</t>
        </is>
      </c>
      <c r="I9002">
        <v>714</v>
      </c>
      <c r="J9002">
        <f>GS23/413.7</f>
        <v>0</v>
      </c>
      <c r="M9002" t="inlineStr">
        <is>
          <t>-413K3606.3</t>
        </is>
      </c>
    </row>
    <row r="9003">
      <c r="A9003">
        <v>9002</v>
      </c>
      <c r="B9003">
        <f>GS34</f>
        <v>0</v>
      </c>
      <c r="C9003" t="inlineStr">
        <is>
          <t>+LS9</t>
        </is>
      </c>
      <c r="D9003" t="inlineStr">
        <is>
          <t>-413K3905.4</t>
        </is>
      </c>
      <c r="E9003" t="inlineStr">
        <is>
          <t>DIL_EM-10-G</t>
        </is>
      </c>
      <c r="F9003" t="inlineStr">
        <is>
          <t>#KALK!</t>
        </is>
      </c>
      <c r="G9003" t="inlineStr">
        <is>
          <t>LASTSCHUETZ</t>
        </is>
      </c>
      <c r="H9003" t="inlineStr">
        <is>
          <t>4kW 1S</t>
        </is>
      </c>
      <c r="I9003">
        <v>538</v>
      </c>
      <c r="J9003">
        <f>GS34/413.7</f>
        <v>0</v>
      </c>
      <c r="M9003" t="inlineStr">
        <is>
          <t>-413K3905.4</t>
        </is>
      </c>
    </row>
    <row r="9004">
      <c r="A9004">
        <v>9003</v>
      </c>
      <c r="B9004">
        <f>GC22</f>
        <v>0</v>
      </c>
      <c r="C9004" t="inlineStr">
        <is>
          <t>+LS6</t>
        </is>
      </c>
      <c r="D9004" t="inlineStr">
        <is>
          <t>-413K52.1</t>
        </is>
      </c>
      <c r="E9004" t="inlineStr">
        <is>
          <t>DIL_EM-10-G</t>
        </is>
      </c>
      <c r="F9004" t="inlineStr">
        <is>
          <t>#KALK!</t>
        </is>
      </c>
      <c r="G9004" t="inlineStr">
        <is>
          <t>LASTSCHUETZ</t>
        </is>
      </c>
      <c r="H9004" t="inlineStr">
        <is>
          <t>4kW 1S</t>
        </is>
      </c>
      <c r="I9004">
        <v>3358</v>
      </c>
      <c r="J9004">
        <f>GC22/413.7</f>
        <v>0</v>
      </c>
      <c r="M9004" t="inlineStr">
        <is>
          <t>-413K52.1</t>
        </is>
      </c>
    </row>
    <row r="9005">
      <c r="A9005">
        <v>9004</v>
      </c>
      <c r="B9005">
        <f>GS12</f>
        <v>0</v>
      </c>
      <c r="C9005" t="inlineStr">
        <is>
          <t>+LS6</t>
        </is>
      </c>
      <c r="D9005" t="inlineStr">
        <is>
          <t>-413K52.1</t>
        </is>
      </c>
      <c r="E9005" t="inlineStr">
        <is>
          <t>DIL_EM-10-G</t>
        </is>
      </c>
      <c r="F9005" t="inlineStr">
        <is>
          <t>#KALK!</t>
        </is>
      </c>
      <c r="G9005" t="inlineStr">
        <is>
          <t>LASTSCHUETZ</t>
        </is>
      </c>
      <c r="H9005" t="inlineStr">
        <is>
          <t>4kW 1S</t>
        </is>
      </c>
      <c r="I9005">
        <v>545</v>
      </c>
      <c r="J9005">
        <f>GS12/413.7</f>
        <v>0</v>
      </c>
      <c r="M9005" t="inlineStr">
        <is>
          <t>-413K52.1</t>
        </is>
      </c>
    </row>
    <row r="9006">
      <c r="A9006">
        <v>9005</v>
      </c>
      <c r="B9006">
        <f>GS37</f>
        <v>0</v>
      </c>
      <c r="C9006" t="inlineStr">
        <is>
          <t>+LS09</t>
        </is>
      </c>
      <c r="D9006" t="inlineStr">
        <is>
          <t>-413Q703.0</t>
        </is>
      </c>
      <c r="E9006" t="inlineStr">
        <is>
          <t>DILMC12-10(24VDC)</t>
        </is>
      </c>
      <c r="F9006" t="inlineStr">
        <is>
          <t>#KALK!</t>
        </is>
      </c>
      <c r="G9006" t="inlineStr">
        <is>
          <t>LASTSCHUETZ</t>
        </is>
      </c>
      <c r="H9006" t="inlineStr">
        <is>
          <t>5,5kW 1S Federzugkl.</t>
        </is>
      </c>
      <c r="I9006">
        <v>540</v>
      </c>
      <c r="J9006">
        <f>GS37/413.5</f>
        <v>0</v>
      </c>
      <c r="K9006" t="inlineStr">
        <is>
          <t>DILMC12</t>
        </is>
      </c>
      <c r="M9006" t="inlineStr">
        <is>
          <t>-413Q703.0</t>
        </is>
      </c>
    </row>
    <row r="9007">
      <c r="A9007">
        <v>9006</v>
      </c>
      <c r="B9007">
        <f>GS13</f>
        <v>0</v>
      </c>
      <c r="C9007" t="inlineStr">
        <is>
          <t>+LS10</t>
        </is>
      </c>
      <c r="D9007" t="inlineStr">
        <is>
          <t>-4143606.7</t>
        </is>
      </c>
      <c r="E9007" t="inlineStr">
        <is>
          <t>DIL_EM-10-G</t>
        </is>
      </c>
      <c r="F9007" t="inlineStr">
        <is>
          <t>#KALK!</t>
        </is>
      </c>
      <c r="G9007" t="inlineStr">
        <is>
          <t>LASTSCHUETZ</t>
        </is>
      </c>
      <c r="H9007" t="inlineStr">
        <is>
          <t>4kW 1S</t>
        </is>
      </c>
      <c r="I9007">
        <v>661</v>
      </c>
      <c r="J9007">
        <f>GS13/414.7</f>
        <v>0</v>
      </c>
      <c r="M9007" t="inlineStr">
        <is>
          <t>-4143606.7</t>
        </is>
      </c>
    </row>
    <row r="9008">
      <c r="A9008">
        <v>9007</v>
      </c>
      <c r="B9008">
        <f>GS04</f>
        <v>0</v>
      </c>
      <c r="C9008" t="inlineStr">
        <is>
          <t>+LS9</t>
        </is>
      </c>
      <c r="D9008" t="inlineStr">
        <is>
          <t>-414K14.4</t>
        </is>
      </c>
      <c r="E9008" t="inlineStr">
        <is>
          <t>DIL_EM-10-G</t>
        </is>
      </c>
      <c r="F9008" t="inlineStr">
        <is>
          <t>#KALK!</t>
        </is>
      </c>
      <c r="G9008" t="inlineStr">
        <is>
          <t>LASTSCHUETZ</t>
        </is>
      </c>
      <c r="H9008" t="inlineStr">
        <is>
          <t>4kW 1S</t>
        </is>
      </c>
      <c r="I9008">
        <v>670</v>
      </c>
      <c r="J9008">
        <f>GS04/414.7</f>
        <v>0</v>
      </c>
      <c r="M9008" t="inlineStr">
        <is>
          <t>-414K14.4</t>
        </is>
      </c>
    </row>
    <row r="9009">
      <c r="A9009">
        <v>9008</v>
      </c>
      <c r="B9009">
        <f>GS23</f>
        <v>0</v>
      </c>
      <c r="C9009" t="inlineStr">
        <is>
          <t>+LS10</t>
        </is>
      </c>
      <c r="D9009" t="inlineStr">
        <is>
          <t>-414K3606.7</t>
        </is>
      </c>
      <c r="E9009" t="inlineStr">
        <is>
          <t>DIL_EM-10-G</t>
        </is>
      </c>
      <c r="F9009" t="inlineStr">
        <is>
          <t>#KALK!</t>
        </is>
      </c>
      <c r="G9009" t="inlineStr">
        <is>
          <t>LASTSCHUETZ</t>
        </is>
      </c>
      <c r="H9009" t="inlineStr">
        <is>
          <t>4kW 1S</t>
        </is>
      </c>
      <c r="I9009">
        <v>715</v>
      </c>
      <c r="J9009">
        <f>GS23/414.7</f>
        <v>0</v>
      </c>
      <c r="M9009" t="inlineStr">
        <is>
          <t>-414K3606.7</t>
        </is>
      </c>
    </row>
    <row r="9010">
      <c r="A9010">
        <v>9009</v>
      </c>
      <c r="B9010">
        <f>GS24</f>
        <v>0</v>
      </c>
      <c r="C9010" t="inlineStr">
        <is>
          <t>+LS9</t>
        </is>
      </c>
      <c r="D9010" t="inlineStr">
        <is>
          <t>-415K1</t>
        </is>
      </c>
      <c r="E9010" t="inlineStr">
        <is>
          <t>22_DIL-M</t>
        </is>
      </c>
      <c r="F9010" t="inlineStr">
        <is>
          <t>22_DIL-M</t>
        </is>
      </c>
      <c r="G9010" t="inlineStr">
        <is>
          <t>HILFSKONTAKTBLOCK</t>
        </is>
      </c>
      <c r="H9010" t="inlineStr">
        <is>
          <t>2S 2OE Lastschuetz DIL M</t>
        </is>
      </c>
      <c r="I9010">
        <v>672</v>
      </c>
      <c r="J9010">
        <f>GS24/415.2</f>
        <v>0</v>
      </c>
      <c r="K9010" t="inlineStr">
        <is>
          <t>DIL0AM</t>
        </is>
      </c>
      <c r="M9010" t="inlineStr">
        <is>
          <t>-415K1</t>
        </is>
      </c>
    </row>
    <row r="9011">
      <c r="A9011">
        <v>9010</v>
      </c>
      <c r="B9011">
        <f>GS24</f>
        <v>0</v>
      </c>
      <c r="C9011" t="inlineStr">
        <is>
          <t>+LS9</t>
        </is>
      </c>
      <c r="D9011" t="inlineStr">
        <is>
          <t>-415K1</t>
        </is>
      </c>
      <c r="E9011" t="inlineStr">
        <is>
          <t>DIL_0AM</t>
        </is>
      </c>
      <c r="F9011" t="inlineStr">
        <is>
          <t>22_DIL-M</t>
        </is>
      </c>
      <c r="G9011" t="inlineStr">
        <is>
          <t>LASTSCHUETZ</t>
        </is>
      </c>
      <c r="H9011" t="inlineStr">
        <is>
          <t>11 kW</t>
        </is>
      </c>
      <c r="I9011">
        <v>672</v>
      </c>
      <c r="J9011">
        <f>GS24/415.2</f>
        <v>0</v>
      </c>
      <c r="K9011" t="inlineStr">
        <is>
          <t>DIL0AM</t>
        </is>
      </c>
      <c r="M9011" t="inlineStr">
        <is>
          <t>-415K1</t>
        </is>
      </c>
    </row>
    <row r="9012">
      <c r="A9012">
        <v>9011</v>
      </c>
      <c r="B9012">
        <f>GS34</f>
        <v>0</v>
      </c>
      <c r="C9012" t="inlineStr">
        <is>
          <t>+LS9</t>
        </is>
      </c>
      <c r="D9012" t="inlineStr">
        <is>
          <t>-415K1</t>
        </is>
      </c>
      <c r="E9012" t="inlineStr">
        <is>
          <t>DIL_EM-10-G</t>
        </is>
      </c>
      <c r="F9012" t="inlineStr">
        <is>
          <t>#KALK!</t>
        </is>
      </c>
      <c r="G9012" t="inlineStr">
        <is>
          <t>LASTSCHUETZ</t>
        </is>
      </c>
      <c r="H9012" t="inlineStr">
        <is>
          <t>4kW 1S</t>
        </is>
      </c>
      <c r="I9012">
        <v>540</v>
      </c>
      <c r="J9012">
        <f>GS34/415.5</f>
        <v>0</v>
      </c>
      <c r="M9012" t="inlineStr">
        <is>
          <t>-415K1</t>
        </is>
      </c>
    </row>
    <row r="9013">
      <c r="A9013">
        <v>9012</v>
      </c>
      <c r="B9013">
        <f>GS30</f>
        <v>0</v>
      </c>
      <c r="C9013" t="inlineStr">
        <is>
          <t>+LS13</t>
        </is>
      </c>
      <c r="D9013" t="inlineStr">
        <is>
          <t>-415K1006.4</t>
        </is>
      </c>
      <c r="E9013" t="inlineStr">
        <is>
          <t>DILA-40</t>
        </is>
      </c>
      <c r="F9013" t="inlineStr">
        <is>
          <t>#KALK!</t>
        </is>
      </c>
      <c r="G9013" t="inlineStr">
        <is>
          <t>HILFSSCHUETZ</t>
        </is>
      </c>
      <c r="H9013" t="inlineStr">
        <is>
          <t>4S Federzugkl.</t>
        </is>
      </c>
      <c r="I9013">
        <v>1459</v>
      </c>
      <c r="J9013">
        <f>GS30/415.7</f>
        <v>0</v>
      </c>
      <c r="M9013" t="inlineStr">
        <is>
          <t>-415K1006.4</t>
        </is>
      </c>
    </row>
    <row r="9014">
      <c r="A9014">
        <v>9013</v>
      </c>
      <c r="B9014">
        <f>GS38</f>
        <v>0</v>
      </c>
      <c r="C9014" t="inlineStr">
        <is>
          <t>+LS09</t>
        </is>
      </c>
      <c r="D9014" t="inlineStr">
        <is>
          <t>-415K122.0</t>
        </is>
      </c>
      <c r="E9014" t="inlineStr">
        <is>
          <t>DILA-40</t>
        </is>
      </c>
      <c r="F9014" t="inlineStr">
        <is>
          <t>#KALK!</t>
        </is>
      </c>
      <c r="G9014" t="inlineStr">
        <is>
          <t>HILFSSCHUETZ</t>
        </is>
      </c>
      <c r="H9014" t="inlineStr">
        <is>
          <t>4S Federzugkl.</t>
        </is>
      </c>
      <c r="I9014">
        <v>575</v>
      </c>
      <c r="J9014">
        <f>GS38/415.7</f>
        <v>0</v>
      </c>
      <c r="M9014" t="inlineStr">
        <is>
          <t>-415K122.0</t>
        </is>
      </c>
    </row>
    <row r="9015">
      <c r="A9015">
        <v>9014</v>
      </c>
      <c r="B9015">
        <f>GS39</f>
        <v>0</v>
      </c>
      <c r="C9015" t="inlineStr">
        <is>
          <t>+LS09</t>
        </is>
      </c>
      <c r="D9015" t="inlineStr">
        <is>
          <t>-415K122.0</t>
        </is>
      </c>
      <c r="E9015" t="inlineStr">
        <is>
          <t>DILA-40</t>
        </is>
      </c>
      <c r="F9015" t="inlineStr">
        <is>
          <t>#KALK!</t>
        </is>
      </c>
      <c r="G9015" t="inlineStr">
        <is>
          <t>HILFSSCHUETZ</t>
        </is>
      </c>
      <c r="H9015" t="inlineStr">
        <is>
          <t>4S Federzugkl.</t>
        </is>
      </c>
      <c r="I9015">
        <v>589</v>
      </c>
      <c r="J9015">
        <f>GS39/415.7</f>
        <v>0</v>
      </c>
      <c r="M9015" t="inlineStr">
        <is>
          <t>-415K122.0</t>
        </is>
      </c>
    </row>
    <row r="9016">
      <c r="A9016">
        <v>9015</v>
      </c>
      <c r="B9016">
        <f>GS36</f>
        <v>0</v>
      </c>
      <c r="C9016" t="inlineStr">
        <is>
          <t>+LS11</t>
        </is>
      </c>
      <c r="D9016" t="inlineStr">
        <is>
          <t>-950K718.4</t>
        </is>
      </c>
      <c r="E9016" t="inlineStr">
        <is>
          <t>DILA-40</t>
        </is>
      </c>
      <c r="F9016" t="inlineStr">
        <is>
          <t>#KALK!</t>
        </is>
      </c>
      <c r="G9016" t="inlineStr">
        <is>
          <t>HILFSSCHUETZ</t>
        </is>
      </c>
      <c r="H9016" t="inlineStr">
        <is>
          <t>4S Federzugkl.</t>
        </is>
      </c>
      <c r="I9016">
        <v>1516</v>
      </c>
      <c r="J9016">
        <f>GS36/950.7</f>
        <v>0</v>
      </c>
      <c r="M9016" t="inlineStr">
        <is>
          <t>-950K718.4</t>
        </is>
      </c>
    </row>
    <row r="9017">
      <c r="A9017">
        <v>9016</v>
      </c>
      <c r="B9017">
        <f>GS04</f>
        <v>0</v>
      </c>
      <c r="C9017" t="inlineStr">
        <is>
          <t>+LS9</t>
        </is>
      </c>
      <c r="D9017" t="inlineStr">
        <is>
          <t>-415K15.0</t>
        </is>
      </c>
      <c r="E9017" t="inlineStr">
        <is>
          <t>DIL_EM-10-G</t>
        </is>
      </c>
      <c r="F9017" t="inlineStr">
        <is>
          <t>#KALK!</t>
        </is>
      </c>
      <c r="G9017" t="inlineStr">
        <is>
          <t>LASTSCHUETZ</t>
        </is>
      </c>
      <c r="H9017" t="inlineStr">
        <is>
          <t>4kW 1S</t>
        </is>
      </c>
      <c r="I9017">
        <v>671</v>
      </c>
      <c r="J9017">
        <f>GS04/415.7</f>
        <v>0</v>
      </c>
      <c r="M9017" t="inlineStr">
        <is>
          <t>-415K15.0</t>
        </is>
      </c>
    </row>
    <row r="9018">
      <c r="A9018">
        <v>9017</v>
      </c>
      <c r="B9018">
        <f>GS35</f>
        <v>0</v>
      </c>
      <c r="C9018" t="inlineStr">
        <is>
          <t>+LS10</t>
        </is>
      </c>
      <c r="D9018" t="inlineStr">
        <is>
          <t>-415K158.0</t>
        </is>
      </c>
      <c r="E9018" t="inlineStr">
        <is>
          <t>DILA-40</t>
        </is>
      </c>
      <c r="F9018" t="inlineStr">
        <is>
          <t>#KALK!</t>
        </is>
      </c>
      <c r="G9018" t="inlineStr">
        <is>
          <t>HILFSSCHUETZ</t>
        </is>
      </c>
      <c r="H9018" t="inlineStr">
        <is>
          <t>4S Federzugkl.</t>
        </is>
      </c>
      <c r="I9018">
        <v>574</v>
      </c>
      <c r="J9018">
        <f>GS35/415.7</f>
        <v>0</v>
      </c>
      <c r="M9018" t="inlineStr">
        <is>
          <t>-415K158.0</t>
        </is>
      </c>
    </row>
    <row r="9019">
      <c r="A9019">
        <v>9018</v>
      </c>
      <c r="B9019">
        <f>GS55</f>
        <v>0</v>
      </c>
      <c r="C9019" t="inlineStr">
        <is>
          <t>+LS06</t>
        </is>
      </c>
      <c r="D9019" t="inlineStr">
        <is>
          <t>-415K1601.2</t>
        </is>
      </c>
      <c r="E9019" t="inlineStr">
        <is>
          <t>DILA-31</t>
        </is>
      </c>
      <c r="F9019" t="inlineStr">
        <is>
          <t>#KALK!</t>
        </is>
      </c>
      <c r="G9019" t="inlineStr">
        <is>
          <t>HILFSSCHUETZ</t>
        </is>
      </c>
      <c r="H9019" t="inlineStr">
        <is>
          <t>3S 1Oe Federzugkl.</t>
        </is>
      </c>
      <c r="I9019">
        <v>692</v>
      </c>
      <c r="J9019">
        <f>GS55/415.6</f>
        <v>0</v>
      </c>
      <c r="M9019" t="inlineStr">
        <is>
          <t>-415K1601.2</t>
        </is>
      </c>
    </row>
    <row r="9020">
      <c r="A9020">
        <v>9019</v>
      </c>
      <c r="B9020">
        <f>GS91</f>
        <v>0</v>
      </c>
      <c r="C9020" t="inlineStr">
        <is>
          <t>+LS07</t>
        </is>
      </c>
      <c r="D9020" t="inlineStr">
        <is>
          <t>-415K202.4</t>
        </is>
      </c>
      <c r="E9020" t="inlineStr">
        <is>
          <t>DILA-40</t>
        </is>
      </c>
      <c r="F9020" t="inlineStr">
        <is>
          <t>#KALK!</t>
        </is>
      </c>
      <c r="G9020" t="inlineStr">
        <is>
          <t>HILFSSCHUETZ</t>
        </is>
      </c>
      <c r="H9020" t="inlineStr">
        <is>
          <t>4S Federzugkl.</t>
        </is>
      </c>
      <c r="I9020">
        <v>563</v>
      </c>
      <c r="J9020">
        <f>GS91/415.7</f>
        <v>0</v>
      </c>
      <c r="M9020" t="inlineStr">
        <is>
          <t>-415K202.4</t>
        </is>
      </c>
    </row>
    <row r="9021">
      <c r="A9021">
        <v>9020</v>
      </c>
      <c r="B9021">
        <f>GS20</f>
        <v>0</v>
      </c>
      <c r="C9021" t="inlineStr">
        <is>
          <t>+LS10</t>
        </is>
      </c>
      <c r="D9021" t="inlineStr">
        <is>
          <t>-415K427.0</t>
        </is>
      </c>
      <c r="E9021" t="inlineStr">
        <is>
          <t>DILA-40</t>
        </is>
      </c>
      <c r="F9021" t="inlineStr">
        <is>
          <t>#KALK!</t>
        </is>
      </c>
      <c r="G9021" t="inlineStr">
        <is>
          <t>HILFSSCHUETZ</t>
        </is>
      </c>
      <c r="H9021" t="inlineStr">
        <is>
          <t>4S Federzugkl.</t>
        </is>
      </c>
      <c r="I9021">
        <v>184</v>
      </c>
      <c r="J9021">
        <f>GS20/415.7</f>
        <v>0</v>
      </c>
      <c r="M9021" t="inlineStr">
        <is>
          <t>-415K427.0</t>
        </is>
      </c>
    </row>
    <row r="9022">
      <c r="A9022">
        <v>9021</v>
      </c>
      <c r="B9022">
        <f>GS90</f>
        <v>0</v>
      </c>
      <c r="C9022" t="inlineStr">
        <is>
          <t>+LS08</t>
        </is>
      </c>
      <c r="D9022" t="inlineStr">
        <is>
          <t>-415K452.4</t>
        </is>
      </c>
      <c r="E9022" t="inlineStr">
        <is>
          <t>DILA-40</t>
        </is>
      </c>
      <c r="F9022" t="inlineStr">
        <is>
          <t>#KALK!</t>
        </is>
      </c>
      <c r="G9022" t="inlineStr">
        <is>
          <t>HILFSSCHUETZ</t>
        </is>
      </c>
      <c r="H9022" t="inlineStr">
        <is>
          <t>4S Federzugkl.</t>
        </is>
      </c>
      <c r="I9022">
        <v>825</v>
      </c>
      <c r="J9022">
        <f>GS90/415.7</f>
        <v>0</v>
      </c>
      <c r="M9022" t="inlineStr">
        <is>
          <t>-415K452.4</t>
        </is>
      </c>
    </row>
    <row r="9023">
      <c r="A9023">
        <v>9022</v>
      </c>
      <c r="B9023">
        <f>GS92</f>
        <v>0</v>
      </c>
      <c r="C9023" t="inlineStr">
        <is>
          <t>+LS07</t>
        </is>
      </c>
      <c r="D9023" t="inlineStr">
        <is>
          <t>-415K466.0</t>
        </is>
      </c>
      <c r="E9023" t="inlineStr">
        <is>
          <t>DILA-40</t>
        </is>
      </c>
      <c r="F9023" t="inlineStr">
        <is>
          <t>#KALK!</t>
        </is>
      </c>
      <c r="G9023" t="inlineStr">
        <is>
          <t>HILFSSCHUETZ</t>
        </is>
      </c>
      <c r="H9023" t="inlineStr">
        <is>
          <t>4S Federzugkl.</t>
        </is>
      </c>
      <c r="I9023">
        <v>563</v>
      </c>
      <c r="J9023">
        <f>GS92/415.7</f>
        <v>0</v>
      </c>
      <c r="M9023" t="inlineStr">
        <is>
          <t>-415K466.0</t>
        </is>
      </c>
    </row>
    <row r="9024">
      <c r="A9024">
        <v>9023</v>
      </c>
      <c r="B9024">
        <f>GS33</f>
        <v>0</v>
      </c>
      <c r="C9024" t="inlineStr">
        <is>
          <t>+LS9</t>
        </is>
      </c>
      <c r="D9024" t="inlineStr">
        <is>
          <t>-415K48.4</t>
        </is>
      </c>
      <c r="E9024" t="inlineStr">
        <is>
          <t>DIL_EM-10-G</t>
        </is>
      </c>
      <c r="F9024" t="inlineStr">
        <is>
          <t>#KALK!</t>
        </is>
      </c>
      <c r="G9024" t="inlineStr">
        <is>
          <t>LASTSCHUETZ</t>
        </is>
      </c>
      <c r="H9024" t="inlineStr">
        <is>
          <t>4kW 1S</t>
        </is>
      </c>
      <c r="I9024">
        <v>869</v>
      </c>
      <c r="J9024">
        <f>GS33/415.6</f>
        <v>0</v>
      </c>
      <c r="M9024" t="inlineStr">
        <is>
          <t>-415K48.4</t>
        </is>
      </c>
    </row>
    <row r="9025">
      <c r="A9025">
        <v>9024</v>
      </c>
      <c r="B9025">
        <f>GS33</f>
        <v>0</v>
      </c>
      <c r="C9025" t="inlineStr">
        <is>
          <t>+LS9</t>
        </is>
      </c>
      <c r="D9025" t="inlineStr">
        <is>
          <t>-415K50.4</t>
        </is>
      </c>
      <c r="E9025" t="inlineStr">
        <is>
          <t>DIL_EM-10-G</t>
        </is>
      </c>
      <c r="F9025" t="inlineStr">
        <is>
          <t>#KALK!</t>
        </is>
      </c>
      <c r="G9025" t="inlineStr">
        <is>
          <t>LASTSCHUETZ</t>
        </is>
      </c>
      <c r="H9025" t="inlineStr">
        <is>
          <t>4kW 1S</t>
        </is>
      </c>
      <c r="I9025">
        <v>869</v>
      </c>
      <c r="J9025">
        <f>GS33/415.6</f>
        <v>0</v>
      </c>
      <c r="M9025" t="inlineStr">
        <is>
          <t>-415K50.4</t>
        </is>
      </c>
    </row>
    <row r="9026">
      <c r="A9026">
        <v>9025</v>
      </c>
      <c r="B9026">
        <f>GS20</f>
        <v>0</v>
      </c>
      <c r="C9026" t="inlineStr">
        <is>
          <t>+LS10</t>
        </is>
      </c>
      <c r="D9026" t="inlineStr">
        <is>
          <t>-415Q1</t>
        </is>
      </c>
      <c r="E9026" t="inlineStr">
        <is>
          <t>DILA-XHI22</t>
        </is>
      </c>
      <c r="F9026" t="inlineStr">
        <is>
          <t>DILA-XHI22</t>
        </is>
      </c>
      <c r="G9026" t="inlineStr">
        <is>
          <t>HILFSKONTAKTBLOCK</t>
        </is>
      </c>
      <c r="H9026" t="inlineStr">
        <is>
          <t>2S 2OE Last+Hilfssch. Cage</t>
        </is>
      </c>
      <c r="I9026">
        <v>184</v>
      </c>
      <c r="J9026">
        <f>GS20/415.4</f>
        <v>0</v>
      </c>
      <c r="K9026" t="inlineStr">
        <is>
          <t>DIL MC25</t>
        </is>
      </c>
      <c r="M9026" t="inlineStr">
        <is>
          <t>-415Q1</t>
        </is>
      </c>
    </row>
    <row r="9027">
      <c r="A9027">
        <v>9026</v>
      </c>
      <c r="B9027">
        <f>GS20</f>
        <v>0</v>
      </c>
      <c r="C9027" t="inlineStr">
        <is>
          <t>+LS10</t>
        </is>
      </c>
      <c r="D9027" t="inlineStr">
        <is>
          <t>-415Q1</t>
        </is>
      </c>
      <c r="E9027" t="inlineStr">
        <is>
          <t>DILMC25-10(RDC24)</t>
        </is>
      </c>
      <c r="F9027" t="inlineStr">
        <is>
          <t>DILA-XHI22</t>
        </is>
      </c>
      <c r="G9027" t="inlineStr">
        <is>
          <t>LASTSCHUETZ</t>
        </is>
      </c>
      <c r="H9027" t="inlineStr">
        <is>
          <t>11kW 1S Federzugkl.</t>
        </is>
      </c>
      <c r="I9027">
        <v>184</v>
      </c>
      <c r="J9027">
        <f>GS20/415.4</f>
        <v>0</v>
      </c>
      <c r="K9027" t="inlineStr">
        <is>
          <t>DIL MC25</t>
        </is>
      </c>
      <c r="M9027" t="inlineStr">
        <is>
          <t>-415Q1</t>
        </is>
      </c>
    </row>
    <row r="9028">
      <c r="A9028">
        <v>9027</v>
      </c>
      <c r="B9028">
        <f>GS30</f>
        <v>0</v>
      </c>
      <c r="C9028" t="inlineStr">
        <is>
          <t>+LS13</t>
        </is>
      </c>
      <c r="D9028" t="inlineStr">
        <is>
          <t>-415Q1</t>
        </is>
      </c>
      <c r="E9028" t="inlineStr">
        <is>
          <t>DILA-XHI22</t>
        </is>
      </c>
      <c r="F9028" t="inlineStr">
        <is>
          <t>DILA-XHI22</t>
        </is>
      </c>
      <c r="G9028" t="inlineStr">
        <is>
          <t>HILFSKONTAKTBLOCK</t>
        </is>
      </c>
      <c r="H9028" t="inlineStr">
        <is>
          <t>2S 2OE Last+Hilfssch. Cage</t>
        </is>
      </c>
      <c r="I9028">
        <v>1459</v>
      </c>
      <c r="J9028">
        <f>GS30/415.4</f>
        <v>0</v>
      </c>
      <c r="K9028" t="inlineStr">
        <is>
          <t>DIL MC25</t>
        </is>
      </c>
      <c r="M9028" t="inlineStr">
        <is>
          <t>-415Q1</t>
        </is>
      </c>
    </row>
    <row r="9029">
      <c r="A9029">
        <v>9028</v>
      </c>
      <c r="B9029">
        <f>GS30</f>
        <v>0</v>
      </c>
      <c r="C9029" t="inlineStr">
        <is>
          <t>+LS13</t>
        </is>
      </c>
      <c r="D9029" t="inlineStr">
        <is>
          <t>-415Q1</t>
        </is>
      </c>
      <c r="E9029" t="inlineStr">
        <is>
          <t>DILMC25-10(RDC24)</t>
        </is>
      </c>
      <c r="F9029" t="inlineStr">
        <is>
          <t>DILA-XHI22</t>
        </is>
      </c>
      <c r="G9029" t="inlineStr">
        <is>
          <t>LASTSCHUETZ</t>
        </is>
      </c>
      <c r="H9029" t="inlineStr">
        <is>
          <t>11kW 1S Federzugkl.</t>
        </is>
      </c>
      <c r="I9029">
        <v>1459</v>
      </c>
      <c r="J9029">
        <f>GS30/415.4</f>
        <v>0</v>
      </c>
      <c r="K9029" t="inlineStr">
        <is>
          <t>DIL MC25</t>
        </is>
      </c>
      <c r="M9029" t="inlineStr">
        <is>
          <t>-415Q1</t>
        </is>
      </c>
    </row>
    <row r="9030">
      <c r="A9030">
        <v>9029</v>
      </c>
      <c r="B9030">
        <f>GS35</f>
        <v>0</v>
      </c>
      <c r="C9030" t="inlineStr">
        <is>
          <t>+LS10</t>
        </is>
      </c>
      <c r="D9030" t="inlineStr">
        <is>
          <t>-415Q1</t>
        </is>
      </c>
      <c r="E9030" t="inlineStr">
        <is>
          <t>DILM-25-10</t>
        </is>
      </c>
      <c r="F9030" t="inlineStr">
        <is>
          <t>DILA-XHI22</t>
        </is>
      </c>
      <c r="G9030" t="inlineStr">
        <is>
          <t>LASTSCHUETZ</t>
        </is>
      </c>
      <c r="H9030" t="inlineStr">
        <is>
          <t>11kW 1S Federzugkl.</t>
        </is>
      </c>
      <c r="I9030">
        <v>574</v>
      </c>
      <c r="J9030">
        <f>GS35/415.4</f>
        <v>0</v>
      </c>
      <c r="K9030" t="inlineStr">
        <is>
          <t>DIL MC25</t>
        </is>
      </c>
      <c r="M9030" t="inlineStr">
        <is>
          <t>-415Q1</t>
        </is>
      </c>
    </row>
    <row r="9031">
      <c r="A9031">
        <v>9030</v>
      </c>
      <c r="B9031">
        <f>GS35</f>
        <v>0</v>
      </c>
      <c r="C9031" t="inlineStr">
        <is>
          <t>+LS10</t>
        </is>
      </c>
      <c r="D9031" t="inlineStr">
        <is>
          <t>-415Q1</t>
        </is>
      </c>
      <c r="E9031" t="inlineStr">
        <is>
          <t>DILA-XHI22</t>
        </is>
      </c>
      <c r="F9031" t="inlineStr">
        <is>
          <t>DILA-XHI22</t>
        </is>
      </c>
      <c r="G9031" t="inlineStr">
        <is>
          <t>HILFSKONTAKTBLOCK</t>
        </is>
      </c>
      <c r="H9031" t="inlineStr">
        <is>
          <t>2S 2OE Last+Hilfssch. Cage</t>
        </is>
      </c>
      <c r="I9031">
        <v>574</v>
      </c>
      <c r="J9031">
        <f>GS35/415.4</f>
        <v>0</v>
      </c>
      <c r="K9031" t="inlineStr">
        <is>
          <t>DIL MC25</t>
        </is>
      </c>
      <c r="M9031" t="inlineStr">
        <is>
          <t>-415Q1</t>
        </is>
      </c>
    </row>
    <row r="9032">
      <c r="A9032">
        <v>9031</v>
      </c>
      <c r="B9032">
        <f>GS36</f>
        <v>0</v>
      </c>
      <c r="C9032" t="inlineStr">
        <is>
          <t>+LS09</t>
        </is>
      </c>
      <c r="D9032" t="inlineStr">
        <is>
          <t>-415Q1</t>
        </is>
      </c>
      <c r="E9032" t="inlineStr">
        <is>
          <t>DILA-XHI22</t>
        </is>
      </c>
      <c r="F9032" t="inlineStr">
        <is>
          <t>DILA-XHI22</t>
        </is>
      </c>
      <c r="G9032" t="inlineStr">
        <is>
          <t>HILFSKONTAKTBLOCK</t>
        </is>
      </c>
      <c r="H9032" t="inlineStr">
        <is>
          <t>2S 2OE Last+Hilfssch. Cage</t>
        </is>
      </c>
      <c r="I9032">
        <v>588</v>
      </c>
      <c r="J9032">
        <f>GS36/415.4</f>
        <v>0</v>
      </c>
      <c r="K9032" t="inlineStr">
        <is>
          <t>DIL MC25</t>
        </is>
      </c>
      <c r="L9032" t="inlineStr">
        <is>
          <t>HVO 22</t>
        </is>
      </c>
      <c r="M9032" t="inlineStr">
        <is>
          <t>HVO 22
-415Q1</t>
        </is>
      </c>
      <c r="N9032" t="inlineStr">
        <is>
          <t>P</t>
        </is>
      </c>
    </row>
    <row r="9033">
      <c r="A9033">
        <v>9032</v>
      </c>
      <c r="B9033">
        <f>GS36</f>
        <v>0</v>
      </c>
      <c r="C9033" t="inlineStr">
        <is>
          <t>+LS09</t>
        </is>
      </c>
      <c r="D9033" t="inlineStr">
        <is>
          <t>-415Q1</t>
        </is>
      </c>
      <c r="E9033" t="inlineStr">
        <is>
          <t>DILMC25-10(RDC24)</t>
        </is>
      </c>
      <c r="F9033" t="inlineStr">
        <is>
          <t>DILA-XHI22</t>
        </is>
      </c>
      <c r="G9033" t="inlineStr">
        <is>
          <t>LASTSCHUETZ</t>
        </is>
      </c>
      <c r="H9033" t="inlineStr">
        <is>
          <t>11kW 1S Federzugkl.</t>
        </is>
      </c>
      <c r="I9033">
        <v>588</v>
      </c>
      <c r="J9033">
        <f>GS36/415.4</f>
        <v>0</v>
      </c>
      <c r="K9033" t="inlineStr">
        <is>
          <t>DIL MC25</t>
        </is>
      </c>
      <c r="L9033" t="inlineStr">
        <is>
          <t>HVO 22</t>
        </is>
      </c>
      <c r="M9033" t="inlineStr">
        <is>
          <t>HVO 22
-415Q1</t>
        </is>
      </c>
      <c r="N9033" t="inlineStr">
        <is>
          <t>P</t>
        </is>
      </c>
    </row>
    <row r="9034">
      <c r="A9034">
        <v>9033</v>
      </c>
      <c r="B9034">
        <f>GS38</f>
        <v>0</v>
      </c>
      <c r="C9034" t="inlineStr">
        <is>
          <t>+LS09</t>
        </is>
      </c>
      <c r="D9034" t="inlineStr">
        <is>
          <t>-415Q1</t>
        </is>
      </c>
      <c r="E9034" t="inlineStr">
        <is>
          <t>DILA-XHI22</t>
        </is>
      </c>
      <c r="F9034" t="inlineStr">
        <is>
          <t>DILA-XHI22</t>
        </is>
      </c>
      <c r="G9034" t="inlineStr">
        <is>
          <t>HILFSKONTAKTBLOCK</t>
        </is>
      </c>
      <c r="H9034" t="inlineStr">
        <is>
          <t>2S 2OE Last+Hilfssch. Cage</t>
        </is>
      </c>
      <c r="I9034">
        <v>575</v>
      </c>
      <c r="J9034">
        <f>GS38/415.4</f>
        <v>0</v>
      </c>
      <c r="K9034" t="inlineStr">
        <is>
          <t>DIL MC25</t>
        </is>
      </c>
      <c r="M9034" t="inlineStr">
        <is>
          <t>-415Q1</t>
        </is>
      </c>
    </row>
    <row r="9035">
      <c r="A9035">
        <v>9034</v>
      </c>
      <c r="B9035">
        <f>GS38</f>
        <v>0</v>
      </c>
      <c r="C9035" t="inlineStr">
        <is>
          <t>+LS09</t>
        </is>
      </c>
      <c r="D9035" t="inlineStr">
        <is>
          <t>-415Q1</t>
        </is>
      </c>
      <c r="E9035" t="inlineStr">
        <is>
          <t>DILMC25-10(RDC24)</t>
        </is>
      </c>
      <c r="F9035" t="inlineStr">
        <is>
          <t>DILA-XHI22</t>
        </is>
      </c>
      <c r="G9035" t="inlineStr">
        <is>
          <t>LASTSCHUETZ</t>
        </is>
      </c>
      <c r="H9035" t="inlineStr">
        <is>
          <t>11kW 1S Federzugkl.</t>
        </is>
      </c>
      <c r="I9035">
        <v>575</v>
      </c>
      <c r="J9035">
        <f>GS38/415.4</f>
        <v>0</v>
      </c>
      <c r="K9035" t="inlineStr">
        <is>
          <t>DIL MC25</t>
        </is>
      </c>
      <c r="M9035" t="inlineStr">
        <is>
          <t>-415Q1</t>
        </is>
      </c>
    </row>
    <row r="9036">
      <c r="A9036">
        <v>9035</v>
      </c>
      <c r="B9036">
        <f>GS39</f>
        <v>0</v>
      </c>
      <c r="C9036" t="inlineStr">
        <is>
          <t>+LS09</t>
        </is>
      </c>
      <c r="D9036" t="inlineStr">
        <is>
          <t>-415Q1</t>
        </is>
      </c>
      <c r="E9036" t="inlineStr">
        <is>
          <t>DILA-XHI22</t>
        </is>
      </c>
      <c r="F9036" t="inlineStr">
        <is>
          <t>DILA-XHI22</t>
        </is>
      </c>
      <c r="G9036" t="inlineStr">
        <is>
          <t>HILFSKONTAKTBLOCK</t>
        </is>
      </c>
      <c r="H9036" t="inlineStr">
        <is>
          <t>2S 2OE Last+Hilfssch. Cage</t>
        </is>
      </c>
      <c r="I9036">
        <v>589</v>
      </c>
      <c r="J9036">
        <f>GS39/415.4</f>
        <v>0</v>
      </c>
      <c r="K9036" t="inlineStr">
        <is>
          <t>DIL MC25</t>
        </is>
      </c>
      <c r="M9036" t="inlineStr">
        <is>
          <t>-415Q1</t>
        </is>
      </c>
    </row>
    <row r="9037">
      <c r="A9037">
        <v>9036</v>
      </c>
      <c r="B9037">
        <f>GS39</f>
        <v>0</v>
      </c>
      <c r="C9037" t="inlineStr">
        <is>
          <t>+LS09</t>
        </is>
      </c>
      <c r="D9037" t="inlineStr">
        <is>
          <t>-415Q1</t>
        </is>
      </c>
      <c r="E9037" t="inlineStr">
        <is>
          <t>DILMC25-10(RDC24)</t>
        </is>
      </c>
      <c r="F9037" t="inlineStr">
        <is>
          <t>DILA-XHI22</t>
        </is>
      </c>
      <c r="G9037" t="inlineStr">
        <is>
          <t>LASTSCHUETZ</t>
        </is>
      </c>
      <c r="H9037" t="inlineStr">
        <is>
          <t>11kW 1S Federzugkl.</t>
        </is>
      </c>
      <c r="I9037">
        <v>589</v>
      </c>
      <c r="J9037">
        <f>GS39/415.4</f>
        <v>0</v>
      </c>
      <c r="K9037" t="inlineStr">
        <is>
          <t>DIL MC25</t>
        </is>
      </c>
      <c r="M9037" t="inlineStr">
        <is>
          <t>-415Q1</t>
        </is>
      </c>
    </row>
    <row r="9038">
      <c r="A9038">
        <v>9037</v>
      </c>
      <c r="B9038">
        <f>GS52</f>
        <v>0</v>
      </c>
      <c r="C9038" t="inlineStr">
        <is>
          <t>+LS06</t>
        </is>
      </c>
      <c r="D9038" t="inlineStr">
        <is>
          <t>-415Q1</t>
        </is>
      </c>
      <c r="E9038" t="inlineStr">
        <is>
          <t>DILMC25-10(RDC24)</t>
        </is>
      </c>
      <c r="F9038" t="inlineStr">
        <is>
          <t>DILA-XHI22</t>
        </is>
      </c>
      <c r="G9038" t="inlineStr">
        <is>
          <t>LASTSCHUETZ</t>
        </is>
      </c>
      <c r="H9038" t="inlineStr">
        <is>
          <t>11kW 1S Federzugkl.</t>
        </is>
      </c>
      <c r="I9038">
        <v>1585</v>
      </c>
      <c r="J9038">
        <f>GS52/415.6</f>
        <v>0</v>
      </c>
      <c r="K9038" t="inlineStr">
        <is>
          <t>DIL MC25</t>
        </is>
      </c>
      <c r="M9038" t="inlineStr">
        <is>
          <t>-415Q1</t>
        </is>
      </c>
    </row>
    <row r="9039">
      <c r="A9039">
        <v>9038</v>
      </c>
      <c r="B9039">
        <f>GS52</f>
        <v>0</v>
      </c>
      <c r="C9039" t="inlineStr">
        <is>
          <t>+LS06</t>
        </is>
      </c>
      <c r="D9039" t="inlineStr">
        <is>
          <t>-415Q1</t>
        </is>
      </c>
      <c r="E9039" t="inlineStr">
        <is>
          <t>DILA-XHI22</t>
        </is>
      </c>
      <c r="F9039" t="inlineStr">
        <is>
          <t>DILA-XHI22</t>
        </is>
      </c>
      <c r="G9039" t="inlineStr">
        <is>
          <t>HILFSKONTAKTBLOCK</t>
        </is>
      </c>
      <c r="H9039" t="inlineStr">
        <is>
          <t>2S 2OE Last+Hilfssch. Cage</t>
        </is>
      </c>
      <c r="I9039">
        <v>1585</v>
      </c>
      <c r="J9039">
        <f>GS52/415.6</f>
        <v>0</v>
      </c>
      <c r="K9039" t="inlineStr">
        <is>
          <t>DIL MC25</t>
        </is>
      </c>
      <c r="M9039" t="inlineStr">
        <is>
          <t>-415Q1</t>
        </is>
      </c>
    </row>
    <row r="9040">
      <c r="A9040">
        <v>9039</v>
      </c>
      <c r="B9040">
        <f>GS90</f>
        <v>0</v>
      </c>
      <c r="C9040" t="inlineStr">
        <is>
          <t>+LS08</t>
        </is>
      </c>
      <c r="D9040" t="inlineStr">
        <is>
          <t>-415Q1</t>
        </is>
      </c>
      <c r="E9040" t="inlineStr">
        <is>
          <t>DILMC25-10(RDC24)</t>
        </is>
      </c>
      <c r="F9040" t="inlineStr">
        <is>
          <t>DILA-XHI22</t>
        </is>
      </c>
      <c r="G9040" t="inlineStr">
        <is>
          <t>LASTSCHUETZ</t>
        </is>
      </c>
      <c r="H9040" t="inlineStr">
        <is>
          <t>11kW 1S Federzugkl.</t>
        </is>
      </c>
      <c r="I9040">
        <v>825</v>
      </c>
      <c r="J9040">
        <f>GS90/415.4</f>
        <v>0</v>
      </c>
      <c r="K9040" t="inlineStr">
        <is>
          <t>DIL MC25</t>
        </is>
      </c>
      <c r="M9040" t="inlineStr">
        <is>
          <t>-415Q1</t>
        </is>
      </c>
    </row>
    <row r="9041">
      <c r="A9041">
        <v>9040</v>
      </c>
      <c r="B9041">
        <f>GS90</f>
        <v>0</v>
      </c>
      <c r="C9041" t="inlineStr">
        <is>
          <t>+LS08</t>
        </is>
      </c>
      <c r="D9041" t="inlineStr">
        <is>
          <t>-415Q1</t>
        </is>
      </c>
      <c r="E9041" t="inlineStr">
        <is>
          <t>DILA-XHI22</t>
        </is>
      </c>
      <c r="F9041" t="inlineStr">
        <is>
          <t>DILA-XHI22</t>
        </is>
      </c>
      <c r="G9041" t="inlineStr">
        <is>
          <t>HILFSKONTAKTBLOCK</t>
        </is>
      </c>
      <c r="H9041" t="inlineStr">
        <is>
          <t>2S 2OE Last+Hilfssch. Cage</t>
        </is>
      </c>
      <c r="I9041">
        <v>825</v>
      </c>
      <c r="J9041">
        <f>GS90/415.4</f>
        <v>0</v>
      </c>
      <c r="K9041" t="inlineStr">
        <is>
          <t>DIL MC25</t>
        </is>
      </c>
      <c r="M9041" t="inlineStr">
        <is>
          <t>-415Q1</t>
        </is>
      </c>
    </row>
    <row r="9042">
      <c r="A9042">
        <v>9041</v>
      </c>
      <c r="B9042">
        <f>GS91</f>
        <v>0</v>
      </c>
      <c r="C9042" t="inlineStr">
        <is>
          <t>+LS07</t>
        </is>
      </c>
      <c r="D9042" t="inlineStr">
        <is>
          <t>-415Q1</t>
        </is>
      </c>
      <c r="E9042" t="inlineStr">
        <is>
          <t>DILA-XHI22</t>
        </is>
      </c>
      <c r="F9042" t="inlineStr">
        <is>
          <t>DILA-XHI22</t>
        </is>
      </c>
      <c r="G9042" t="inlineStr">
        <is>
          <t>HILFSKONTAKTBLOCK</t>
        </is>
      </c>
      <c r="H9042" t="inlineStr">
        <is>
          <t>2S 2OE Last+Hilfssch. Cage</t>
        </is>
      </c>
      <c r="I9042">
        <v>563</v>
      </c>
      <c r="J9042">
        <f>GS91/415.4</f>
        <v>0</v>
      </c>
      <c r="K9042" t="inlineStr">
        <is>
          <t>DIL MC25</t>
        </is>
      </c>
      <c r="M9042" t="inlineStr">
        <is>
          <t>-415Q1</t>
        </is>
      </c>
    </row>
    <row r="9043">
      <c r="A9043">
        <v>9042</v>
      </c>
      <c r="B9043">
        <f>GS91</f>
        <v>0</v>
      </c>
      <c r="C9043" t="inlineStr">
        <is>
          <t>+LS07</t>
        </is>
      </c>
      <c r="D9043" t="inlineStr">
        <is>
          <t>-415Q1</t>
        </is>
      </c>
      <c r="E9043" t="inlineStr">
        <is>
          <t>DILMC25-10(RDC24)</t>
        </is>
      </c>
      <c r="F9043" t="inlineStr">
        <is>
          <t>DILA-XHI22</t>
        </is>
      </c>
      <c r="G9043" t="inlineStr">
        <is>
          <t>LASTSCHUETZ</t>
        </is>
      </c>
      <c r="H9043" t="inlineStr">
        <is>
          <t>11kW 1S Federzugkl.</t>
        </is>
      </c>
      <c r="I9043">
        <v>563</v>
      </c>
      <c r="J9043">
        <f>GS91/415.4</f>
        <v>0</v>
      </c>
      <c r="K9043" t="inlineStr">
        <is>
          <t>DIL MC25</t>
        </is>
      </c>
      <c r="M9043" t="inlineStr">
        <is>
          <t>-415Q1</t>
        </is>
      </c>
    </row>
    <row r="9044">
      <c r="A9044">
        <v>9043</v>
      </c>
      <c r="B9044">
        <f>GS92</f>
        <v>0</v>
      </c>
      <c r="C9044" t="inlineStr">
        <is>
          <t>+LS07</t>
        </is>
      </c>
      <c r="D9044" t="inlineStr">
        <is>
          <t>-415Q1</t>
        </is>
      </c>
      <c r="E9044" t="inlineStr">
        <is>
          <t>DILMC25-10(RDC24)</t>
        </is>
      </c>
      <c r="F9044" t="inlineStr">
        <is>
          <t>DILA-XHI22</t>
        </is>
      </c>
      <c r="G9044" t="inlineStr">
        <is>
          <t>LASTSCHUETZ</t>
        </is>
      </c>
      <c r="H9044" t="inlineStr">
        <is>
          <t>11kW 1S Federzugkl.</t>
        </is>
      </c>
      <c r="I9044">
        <v>563</v>
      </c>
      <c r="J9044">
        <f>GS92/415.4</f>
        <v>0</v>
      </c>
      <c r="K9044" t="inlineStr">
        <is>
          <t>DIL MC25</t>
        </is>
      </c>
      <c r="M9044" t="inlineStr">
        <is>
          <t>-415Q1</t>
        </is>
      </c>
    </row>
    <row r="9045">
      <c r="A9045">
        <v>9044</v>
      </c>
      <c r="B9045">
        <f>GS92</f>
        <v>0</v>
      </c>
      <c r="C9045" t="inlineStr">
        <is>
          <t>+LS07</t>
        </is>
      </c>
      <c r="D9045" t="inlineStr">
        <is>
          <t>-415Q1</t>
        </is>
      </c>
      <c r="E9045" t="inlineStr">
        <is>
          <t>DILA-XHI22</t>
        </is>
      </c>
      <c r="F9045" t="inlineStr">
        <is>
          <t>DILA-XHI22</t>
        </is>
      </c>
      <c r="G9045" t="inlineStr">
        <is>
          <t>HILFSKONTAKTBLOCK</t>
        </is>
      </c>
      <c r="H9045" t="inlineStr">
        <is>
          <t>2S 2OE Last+Hilfssch. Cage</t>
        </is>
      </c>
      <c r="I9045">
        <v>563</v>
      </c>
      <c r="J9045">
        <f>GS92/415.4</f>
        <v>0</v>
      </c>
      <c r="K9045" t="inlineStr">
        <is>
          <t>DIL MC25</t>
        </is>
      </c>
      <c r="M9045" t="inlineStr">
        <is>
          <t>-415Q1</t>
        </is>
      </c>
    </row>
    <row r="9046">
      <c r="A9046">
        <v>9045</v>
      </c>
      <c r="B9046">
        <f>GS33</f>
        <v>0</v>
      </c>
      <c r="C9046" t="inlineStr">
        <is>
          <t>+LS9</t>
        </is>
      </c>
      <c r="D9046" t="inlineStr">
        <is>
          <t>-416K48.5</t>
        </is>
      </c>
      <c r="E9046" t="inlineStr">
        <is>
          <t>DIL_EM-10-G</t>
        </is>
      </c>
      <c r="F9046" t="inlineStr">
        <is>
          <t>#KALK!</t>
        </is>
      </c>
      <c r="G9046" t="inlineStr">
        <is>
          <t>LASTSCHUETZ</t>
        </is>
      </c>
      <c r="H9046" t="inlineStr">
        <is>
          <t>4kW 1S</t>
        </is>
      </c>
      <c r="I9046">
        <v>870</v>
      </c>
      <c r="J9046">
        <f>GS33/416.6</f>
        <v>0</v>
      </c>
      <c r="M9046" t="inlineStr">
        <is>
          <t>-416K48.5</t>
        </is>
      </c>
    </row>
    <row r="9047">
      <c r="A9047">
        <v>9046</v>
      </c>
      <c r="B9047">
        <f>GS33</f>
        <v>0</v>
      </c>
      <c r="C9047" t="inlineStr">
        <is>
          <t>+LS9</t>
        </is>
      </c>
      <c r="D9047" t="inlineStr">
        <is>
          <t>-416K50.5</t>
        </is>
      </c>
      <c r="E9047" t="inlineStr">
        <is>
          <t>DIL_EM-10-G</t>
        </is>
      </c>
      <c r="F9047" t="inlineStr">
        <is>
          <t>#KALK!</t>
        </is>
      </c>
      <c r="G9047" t="inlineStr">
        <is>
          <t>LASTSCHUETZ</t>
        </is>
      </c>
      <c r="H9047" t="inlineStr">
        <is>
          <t>4kW 1S</t>
        </is>
      </c>
      <c r="I9047">
        <v>870</v>
      </c>
      <c r="J9047">
        <f>GS33/416.6</f>
        <v>0</v>
      </c>
      <c r="M9047" t="inlineStr">
        <is>
          <t>-416K50.5</t>
        </is>
      </c>
    </row>
    <row r="9048">
      <c r="A9048">
        <v>9047</v>
      </c>
      <c r="B9048">
        <f>GS52</f>
        <v>0</v>
      </c>
      <c r="C9048" t="inlineStr">
        <is>
          <t>+LS06</t>
        </is>
      </c>
      <c r="D9048" t="inlineStr">
        <is>
          <t>-416Q157.1</t>
        </is>
      </c>
      <c r="E9048" t="inlineStr">
        <is>
          <t>DILA-XHI22</t>
        </is>
      </c>
      <c r="F9048" t="inlineStr">
        <is>
          <t>DILA-XHI22</t>
        </is>
      </c>
      <c r="G9048" t="inlineStr">
        <is>
          <t>HILFSKONTAKTBLOCK</t>
        </is>
      </c>
      <c r="H9048" t="inlineStr">
        <is>
          <t>2S 2OE Last+Hilfssch. Cage</t>
        </is>
      </c>
      <c r="I9048">
        <v>1583</v>
      </c>
      <c r="J9048">
        <f>GS52/416.6</f>
        <v>0</v>
      </c>
      <c r="K9048" t="inlineStr">
        <is>
          <t>DIL MC9</t>
        </is>
      </c>
      <c r="M9048" t="inlineStr">
        <is>
          <t>-416Q157.1</t>
        </is>
      </c>
    </row>
    <row r="9049">
      <c r="A9049">
        <v>9048</v>
      </c>
      <c r="B9049">
        <f>GS52</f>
        <v>0</v>
      </c>
      <c r="C9049" t="inlineStr">
        <is>
          <t>+LS06</t>
        </is>
      </c>
      <c r="D9049" t="inlineStr">
        <is>
          <t>-416Q157.1</t>
        </is>
      </c>
      <c r="E9049" t="inlineStr">
        <is>
          <t>DILM-9-10</t>
        </is>
      </c>
      <c r="F9049" t="inlineStr">
        <is>
          <t>DILA-XHI22</t>
        </is>
      </c>
      <c r="G9049" t="inlineStr">
        <is>
          <t>LASTSCHUETZ</t>
        </is>
      </c>
      <c r="H9049" t="inlineStr">
        <is>
          <t>4kW 1S Federzugkl.</t>
        </is>
      </c>
      <c r="I9049">
        <v>1583</v>
      </c>
      <c r="J9049">
        <f>GS52/416.6</f>
        <v>0</v>
      </c>
      <c r="K9049" t="inlineStr">
        <is>
          <t>DIL MC9</t>
        </is>
      </c>
      <c r="M9049" t="inlineStr">
        <is>
          <t>-416Q157.1</t>
        </is>
      </c>
    </row>
    <row r="9050">
      <c r="A9050">
        <v>9049</v>
      </c>
      <c r="B9050">
        <f>GS52</f>
        <v>0</v>
      </c>
      <c r="C9050" t="inlineStr">
        <is>
          <t>+LS06</t>
        </is>
      </c>
      <c r="D9050" t="inlineStr">
        <is>
          <t>-416Q157.2</t>
        </is>
      </c>
      <c r="E9050" t="inlineStr">
        <is>
          <t>DILA-XHI22</t>
        </is>
      </c>
      <c r="F9050" t="inlineStr">
        <is>
          <t>DILA-XHI22</t>
        </is>
      </c>
      <c r="G9050" t="inlineStr">
        <is>
          <t>HILFSKONTAKTBLOCK</t>
        </is>
      </c>
      <c r="H9050" t="inlineStr">
        <is>
          <t>2S 2OE Last+Hilfssch. Cage</t>
        </is>
      </c>
      <c r="I9050">
        <v>1583</v>
      </c>
      <c r="J9050">
        <f>GS52/416.7</f>
        <v>0</v>
      </c>
      <c r="K9050" t="inlineStr">
        <is>
          <t>DIL MC9</t>
        </is>
      </c>
      <c r="M9050" t="inlineStr">
        <is>
          <t>-416Q157.2</t>
        </is>
      </c>
    </row>
    <row r="9051">
      <c r="A9051">
        <v>9050</v>
      </c>
      <c r="B9051">
        <f>GS52</f>
        <v>0</v>
      </c>
      <c r="C9051" t="inlineStr">
        <is>
          <t>+LS06</t>
        </is>
      </c>
      <c r="D9051" t="inlineStr">
        <is>
          <t>-416Q157.2</t>
        </is>
      </c>
      <c r="E9051" t="inlineStr">
        <is>
          <t>DILM-9-10</t>
        </is>
      </c>
      <c r="F9051" t="inlineStr">
        <is>
          <t>DILA-XHI22</t>
        </is>
      </c>
      <c r="G9051" t="inlineStr">
        <is>
          <t>LASTSCHUETZ</t>
        </is>
      </c>
      <c r="H9051" t="inlineStr">
        <is>
          <t>4kW 1S Federzugkl.</t>
        </is>
      </c>
      <c r="I9051">
        <v>1583</v>
      </c>
      <c r="J9051">
        <f>GS52/416.7</f>
        <v>0</v>
      </c>
      <c r="K9051" t="inlineStr">
        <is>
          <t>DIL MC9</t>
        </is>
      </c>
      <c r="M9051" t="inlineStr">
        <is>
          <t>-416Q157.2</t>
        </is>
      </c>
    </row>
    <row r="9052">
      <c r="A9052">
        <v>9051</v>
      </c>
      <c r="B9052">
        <f>GS35</f>
        <v>0</v>
      </c>
      <c r="C9052" t="inlineStr">
        <is>
          <t>+LS10</t>
        </is>
      </c>
      <c r="D9052" t="inlineStr">
        <is>
          <t>-416Q158.2</t>
        </is>
      </c>
      <c r="E9052" t="inlineStr">
        <is>
          <t>DILM-9-10</t>
        </is>
      </c>
      <c r="F9052" t="inlineStr">
        <is>
          <t>#KALK!</t>
        </is>
      </c>
      <c r="G9052" t="inlineStr">
        <is>
          <t>LASTSCHUETZ</t>
        </is>
      </c>
      <c r="H9052" t="inlineStr">
        <is>
          <t>4kW 1S Federzugkl.</t>
        </is>
      </c>
      <c r="I9052">
        <v>575</v>
      </c>
      <c r="J9052">
        <f>GS35/416.6</f>
        <v>0</v>
      </c>
      <c r="M9052" t="inlineStr">
        <is>
          <t>-416Q158.2</t>
        </is>
      </c>
    </row>
    <row r="9053">
      <c r="A9053">
        <v>9052</v>
      </c>
      <c r="B9053">
        <f>GS04</f>
        <v>0</v>
      </c>
      <c r="C9053" t="inlineStr">
        <is>
          <t>+LS9</t>
        </is>
      </c>
      <c r="D9053" t="inlineStr">
        <is>
          <t>-417K15.5</t>
        </is>
      </c>
      <c r="E9053" t="inlineStr">
        <is>
          <t>DIL_EM-10-G</t>
        </is>
      </c>
      <c r="F9053" t="inlineStr">
        <is>
          <t>#KALK!</t>
        </is>
      </c>
      <c r="G9053" t="inlineStr">
        <is>
          <t>LASTSCHUETZ</t>
        </is>
      </c>
      <c r="H9053" t="inlineStr">
        <is>
          <t>4kW 1S</t>
        </is>
      </c>
      <c r="I9053">
        <v>673</v>
      </c>
      <c r="J9053">
        <f>GS04/417.7</f>
        <v>0</v>
      </c>
      <c r="M9053" t="inlineStr">
        <is>
          <t>-417K15.5</t>
        </is>
      </c>
    </row>
    <row r="9054">
      <c r="A9054">
        <v>9053</v>
      </c>
      <c r="B9054">
        <f>GS24</f>
        <v>0</v>
      </c>
      <c r="C9054" t="inlineStr">
        <is>
          <t>+LS9</t>
        </is>
      </c>
      <c r="D9054" t="inlineStr">
        <is>
          <t>-417K38.0</t>
        </is>
      </c>
      <c r="E9054" t="inlineStr">
        <is>
          <t>DIL_EM-10-G</t>
        </is>
      </c>
      <c r="F9054" t="inlineStr">
        <is>
          <t>#KALK!</t>
        </is>
      </c>
      <c r="G9054" t="inlineStr">
        <is>
          <t>LASTSCHUETZ</t>
        </is>
      </c>
      <c r="H9054" t="inlineStr">
        <is>
          <t>4kW 1S</t>
        </is>
      </c>
      <c r="I9054">
        <v>670</v>
      </c>
      <c r="J9054">
        <f>GS24/417.6</f>
        <v>0</v>
      </c>
      <c r="M9054" t="inlineStr">
        <is>
          <t>-417K38.0</t>
        </is>
      </c>
    </row>
    <row r="9055">
      <c r="A9055">
        <v>9054</v>
      </c>
      <c r="B9055">
        <f>GS24</f>
        <v>0</v>
      </c>
      <c r="C9055" t="inlineStr">
        <is>
          <t>+LS9</t>
        </is>
      </c>
      <c r="D9055" t="inlineStr">
        <is>
          <t>-417K38.1</t>
        </is>
      </c>
      <c r="E9055" t="inlineStr">
        <is>
          <t>DIL_EM-10-G</t>
        </is>
      </c>
      <c r="F9055" t="inlineStr">
        <is>
          <t>#KALK!</t>
        </is>
      </c>
      <c r="G9055" t="inlineStr">
        <is>
          <t>LASTSCHUETZ</t>
        </is>
      </c>
      <c r="H9055" t="inlineStr">
        <is>
          <t>4kW 1S</t>
        </is>
      </c>
      <c r="I9055">
        <v>670</v>
      </c>
      <c r="J9055">
        <f>GS24/417.6</f>
        <v>0</v>
      </c>
      <c r="M9055" t="inlineStr">
        <is>
          <t>-417K38.1</t>
        </is>
      </c>
    </row>
    <row r="9056">
      <c r="A9056">
        <v>9055</v>
      </c>
      <c r="B9056">
        <f>GS33</f>
        <v>0</v>
      </c>
      <c r="C9056" t="inlineStr">
        <is>
          <t>+LS9</t>
        </is>
      </c>
      <c r="D9056" t="inlineStr">
        <is>
          <t>-417K48.6</t>
        </is>
      </c>
      <c r="E9056" t="inlineStr">
        <is>
          <t>DIL_EM-10-G</t>
        </is>
      </c>
      <c r="F9056" t="inlineStr">
        <is>
          <t>#KALK!</t>
        </is>
      </c>
      <c r="G9056" t="inlineStr">
        <is>
          <t>LASTSCHUETZ</t>
        </is>
      </c>
      <c r="H9056" t="inlineStr">
        <is>
          <t>4kW 1S</t>
        </is>
      </c>
      <c r="I9056">
        <v>871</v>
      </c>
      <c r="J9056">
        <f>GS33/417.6</f>
        <v>0</v>
      </c>
      <c r="M9056" t="inlineStr">
        <is>
          <t>-417K48.6</t>
        </is>
      </c>
    </row>
    <row r="9057">
      <c r="A9057">
        <v>9056</v>
      </c>
      <c r="B9057">
        <f>GS33</f>
        <v>0</v>
      </c>
      <c r="C9057" t="inlineStr">
        <is>
          <t>+LS9</t>
        </is>
      </c>
      <c r="D9057" t="inlineStr">
        <is>
          <t>-417K50.6</t>
        </is>
      </c>
      <c r="E9057" t="inlineStr">
        <is>
          <t>DIL_EM-10-G</t>
        </is>
      </c>
      <c r="F9057" t="inlineStr">
        <is>
          <t>#KALK!</t>
        </is>
      </c>
      <c r="G9057" t="inlineStr">
        <is>
          <t>LASTSCHUETZ</t>
        </is>
      </c>
      <c r="H9057" t="inlineStr">
        <is>
          <t>4kW 1S</t>
        </is>
      </c>
      <c r="I9057">
        <v>871</v>
      </c>
      <c r="J9057">
        <f>GS33/417.6</f>
        <v>0</v>
      </c>
      <c r="M9057" t="inlineStr">
        <is>
          <t>-417K50.6</t>
        </is>
      </c>
    </row>
    <row r="9058">
      <c r="A9058">
        <v>9057</v>
      </c>
      <c r="B9058">
        <f>GS91</f>
        <v>0</v>
      </c>
      <c r="C9058" t="inlineStr">
        <is>
          <t>+LS07</t>
        </is>
      </c>
      <c r="D9058" t="inlineStr">
        <is>
          <t>-417Q202.5</t>
        </is>
      </c>
      <c r="E9058" t="inlineStr">
        <is>
          <t>DILM-9-10</t>
        </is>
      </c>
      <c r="F9058" t="inlineStr">
        <is>
          <t>#KALK!</t>
        </is>
      </c>
      <c r="G9058" t="inlineStr">
        <is>
          <t>LASTSCHUETZ</t>
        </is>
      </c>
      <c r="H9058" t="inlineStr">
        <is>
          <t>4kW 1S Federzugkl.</t>
        </is>
      </c>
      <c r="I9058">
        <v>565</v>
      </c>
      <c r="J9058">
        <f>GS91/417.5</f>
        <v>0</v>
      </c>
      <c r="M9058" t="inlineStr">
        <is>
          <t>-417Q202.5</t>
        </is>
      </c>
    </row>
    <row r="9059">
      <c r="A9059">
        <v>9058</v>
      </c>
      <c r="B9059">
        <f>GS90</f>
        <v>0</v>
      </c>
      <c r="C9059" t="inlineStr">
        <is>
          <t>+LS08</t>
        </is>
      </c>
      <c r="D9059" t="inlineStr">
        <is>
          <t>-417Q452.5</t>
        </is>
      </c>
      <c r="E9059" t="inlineStr">
        <is>
          <t>DILM-9-10</t>
        </is>
      </c>
      <c r="F9059" t="inlineStr">
        <is>
          <t>#KALK!</t>
        </is>
      </c>
      <c r="G9059" t="inlineStr">
        <is>
          <t>LASTSCHUETZ</t>
        </is>
      </c>
      <c r="H9059" t="inlineStr">
        <is>
          <t>4kW 1S Federzugkl.</t>
        </is>
      </c>
      <c r="I9059">
        <v>823</v>
      </c>
      <c r="J9059">
        <f>GS90/417.5</f>
        <v>0</v>
      </c>
      <c r="M9059" t="inlineStr">
        <is>
          <t>-417Q452.5</t>
        </is>
      </c>
    </row>
    <row r="9060">
      <c r="A9060">
        <v>9059</v>
      </c>
      <c r="B9060">
        <f>GS92</f>
        <v>0</v>
      </c>
      <c r="C9060" t="inlineStr">
        <is>
          <t>+LS07</t>
        </is>
      </c>
      <c r="D9060" t="inlineStr">
        <is>
          <t>-417Q466.2</t>
        </is>
      </c>
      <c r="E9060" t="inlineStr">
        <is>
          <t>DILM-9-10</t>
        </is>
      </c>
      <c r="F9060" t="inlineStr">
        <is>
          <t>#KALK!</t>
        </is>
      </c>
      <c r="G9060" t="inlineStr">
        <is>
          <t>LASTSCHUETZ</t>
        </is>
      </c>
      <c r="H9060" t="inlineStr">
        <is>
          <t>4kW 1S Federzugkl.</t>
        </is>
      </c>
      <c r="I9060">
        <v>564</v>
      </c>
      <c r="J9060">
        <f>GS92/417.5</f>
        <v>0</v>
      </c>
      <c r="M9060" t="inlineStr">
        <is>
          <t>-417Q466.2</t>
        </is>
      </c>
    </row>
    <row r="9061">
      <c r="A9061">
        <v>9060</v>
      </c>
      <c r="B9061">
        <f>GS04</f>
        <v>0</v>
      </c>
      <c r="C9061" t="inlineStr">
        <is>
          <t>+LS9</t>
        </is>
      </c>
      <c r="D9061" t="inlineStr">
        <is>
          <t>-418K15.6</t>
        </is>
      </c>
      <c r="E9061" t="inlineStr">
        <is>
          <t>DIL_EM-10-G</t>
        </is>
      </c>
      <c r="F9061" t="inlineStr">
        <is>
          <t>#KALK!</t>
        </is>
      </c>
      <c r="G9061" t="inlineStr">
        <is>
          <t>LASTSCHUETZ</t>
        </is>
      </c>
      <c r="H9061" t="inlineStr">
        <is>
          <t>4kW 1S</t>
        </is>
      </c>
      <c r="I9061">
        <v>674</v>
      </c>
      <c r="J9061">
        <f>GS04/418.6</f>
        <v>0</v>
      </c>
      <c r="M9061" t="inlineStr">
        <is>
          <t>-418K15.6</t>
        </is>
      </c>
    </row>
    <row r="9062">
      <c r="A9062">
        <v>9061</v>
      </c>
      <c r="B9062">
        <f>GS33</f>
        <v>0</v>
      </c>
      <c r="C9062" t="inlineStr">
        <is>
          <t>+LS9</t>
        </is>
      </c>
      <c r="D9062" t="inlineStr">
        <is>
          <t>-418K48.7</t>
        </is>
      </c>
      <c r="E9062" t="inlineStr">
        <is>
          <t>DIL_EM-10-G</t>
        </is>
      </c>
      <c r="F9062" t="inlineStr">
        <is>
          <t>#KALK!</t>
        </is>
      </c>
      <c r="G9062" t="inlineStr">
        <is>
          <t>LASTSCHUETZ</t>
        </is>
      </c>
      <c r="H9062" t="inlineStr">
        <is>
          <t>4kW 1S</t>
        </is>
      </c>
      <c r="I9062">
        <v>872</v>
      </c>
      <c r="J9062">
        <f>GS33/418.6</f>
        <v>0</v>
      </c>
      <c r="M9062" t="inlineStr">
        <is>
          <t>-418K48.7</t>
        </is>
      </c>
    </row>
    <row r="9063">
      <c r="A9063">
        <v>9062</v>
      </c>
      <c r="B9063">
        <f>GS33</f>
        <v>0</v>
      </c>
      <c r="C9063" t="inlineStr">
        <is>
          <t>+LS9</t>
        </is>
      </c>
      <c r="D9063" t="inlineStr">
        <is>
          <t>-418K50.7</t>
        </is>
      </c>
      <c r="E9063" t="inlineStr">
        <is>
          <t>DIL_EM-10-G</t>
        </is>
      </c>
      <c r="F9063" t="inlineStr">
        <is>
          <t>#KALK!</t>
        </is>
      </c>
      <c r="G9063" t="inlineStr">
        <is>
          <t>LASTSCHUETZ</t>
        </is>
      </c>
      <c r="H9063" t="inlineStr">
        <is>
          <t>4kW 1S</t>
        </is>
      </c>
      <c r="I9063">
        <v>872</v>
      </c>
      <c r="J9063">
        <f>GS33/418.6</f>
        <v>0</v>
      </c>
      <c r="M9063" t="inlineStr">
        <is>
          <t>-418K50.7</t>
        </is>
      </c>
    </row>
    <row r="9064">
      <c r="A9064">
        <v>9063</v>
      </c>
      <c r="B9064">
        <f>GS35</f>
        <v>0</v>
      </c>
      <c r="C9064" t="inlineStr">
        <is>
          <t>+LS10</t>
        </is>
      </c>
      <c r="D9064" t="inlineStr">
        <is>
          <t>-418Q158.4</t>
        </is>
      </c>
      <c r="E9064" t="inlineStr">
        <is>
          <t>DILM-12-10</t>
        </is>
      </c>
      <c r="F9064" t="inlineStr">
        <is>
          <t>#KALK!</t>
        </is>
      </c>
      <c r="G9064" t="inlineStr">
        <is>
          <t>LASTSCHUETZ</t>
        </is>
      </c>
      <c r="H9064" t="inlineStr">
        <is>
          <t>5,5kW 1S Federzugkl.</t>
        </is>
      </c>
      <c r="I9064">
        <v>566</v>
      </c>
      <c r="J9064">
        <f>GS35/418.5</f>
        <v>0</v>
      </c>
      <c r="K9064" t="inlineStr">
        <is>
          <t>DIL MC12</t>
        </is>
      </c>
      <c r="M9064" t="inlineStr">
        <is>
          <t>-418Q158.4</t>
        </is>
      </c>
    </row>
    <row r="9065">
      <c r="A9065">
        <v>9064</v>
      </c>
      <c r="B9065">
        <f>GS90</f>
        <v>0</v>
      </c>
      <c r="C9065" t="inlineStr">
        <is>
          <t>+LS08</t>
        </is>
      </c>
      <c r="D9065" t="inlineStr">
        <is>
          <t>-418Q452.6</t>
        </is>
      </c>
      <c r="E9065" t="inlineStr">
        <is>
          <t>DILM-9-10</t>
        </is>
      </c>
      <c r="F9065" t="inlineStr">
        <is>
          <t>#KALK!</t>
        </is>
      </c>
      <c r="G9065" t="inlineStr">
        <is>
          <t>LASTSCHUETZ</t>
        </is>
      </c>
      <c r="H9065" t="inlineStr">
        <is>
          <t>4kW 1S Federzugkl.</t>
        </is>
      </c>
      <c r="I9065">
        <v>822</v>
      </c>
      <c r="J9065">
        <f>GS90/418.5</f>
        <v>0</v>
      </c>
      <c r="M9065" t="inlineStr">
        <is>
          <t>-418Q452.6</t>
        </is>
      </c>
    </row>
    <row r="9066">
      <c r="A9066">
        <v>9065</v>
      </c>
      <c r="B9066">
        <f>GC22</f>
        <v>0</v>
      </c>
      <c r="C9066" t="inlineStr">
        <is>
          <t>+LS6</t>
        </is>
      </c>
      <c r="D9066" t="inlineStr">
        <is>
          <t>-419K1</t>
        </is>
      </c>
      <c r="E9066" t="inlineStr">
        <is>
          <t>DIL_0AM</t>
        </is>
      </c>
      <c r="F9066" t="inlineStr">
        <is>
          <t>22_DIL-M</t>
        </is>
      </c>
      <c r="G9066" t="inlineStr">
        <is>
          <t>LASTSCHUETZ</t>
        </is>
      </c>
      <c r="H9066" t="inlineStr">
        <is>
          <t>11 kW</t>
        </is>
      </c>
      <c r="I9066">
        <v>1945</v>
      </c>
      <c r="J9066">
        <f>GC22/419.2</f>
        <v>0</v>
      </c>
      <c r="K9066" t="inlineStr">
        <is>
          <t>DIL0AM</t>
        </is>
      </c>
      <c r="M9066" t="inlineStr">
        <is>
          <t>-419K1</t>
        </is>
      </c>
    </row>
    <row r="9067">
      <c r="A9067">
        <v>9066</v>
      </c>
      <c r="B9067">
        <f>GC22</f>
        <v>0</v>
      </c>
      <c r="C9067" t="inlineStr">
        <is>
          <t>+LS6</t>
        </is>
      </c>
      <c r="D9067" t="inlineStr">
        <is>
          <t>-419K1</t>
        </is>
      </c>
      <c r="E9067" t="inlineStr">
        <is>
          <t>22_DIL-M</t>
        </is>
      </c>
      <c r="F9067" t="inlineStr">
        <is>
          <t>22_DIL-M</t>
        </is>
      </c>
      <c r="G9067" t="inlineStr">
        <is>
          <t>HILFSKONTAKTBLOCK</t>
        </is>
      </c>
      <c r="H9067" t="inlineStr">
        <is>
          <t>2S 2OE Lastschuetz DIL M</t>
        </is>
      </c>
      <c r="I9067">
        <v>1945</v>
      </c>
      <c r="J9067">
        <f>GC22/419.2</f>
        <v>0</v>
      </c>
      <c r="K9067" t="inlineStr">
        <is>
          <t>DIL0AM</t>
        </is>
      </c>
      <c r="M9067" t="inlineStr">
        <is>
          <t>-419K1</t>
        </is>
      </c>
    </row>
    <row r="9068">
      <c r="A9068">
        <v>9067</v>
      </c>
      <c r="B9068">
        <f>GS12</f>
        <v>0</v>
      </c>
      <c r="C9068" t="inlineStr">
        <is>
          <t>+LS6</t>
        </is>
      </c>
      <c r="D9068" t="inlineStr">
        <is>
          <t>-419K1</t>
        </is>
      </c>
      <c r="E9068" t="inlineStr">
        <is>
          <t>DIL_0AM</t>
        </is>
      </c>
      <c r="F9068" t="inlineStr">
        <is>
          <t>22_DIL-M</t>
        </is>
      </c>
      <c r="G9068" t="inlineStr">
        <is>
          <t>LASTSCHUETZ</t>
        </is>
      </c>
      <c r="H9068" t="inlineStr">
        <is>
          <t>11 kW</t>
        </is>
      </c>
      <c r="I9068">
        <v>551</v>
      </c>
      <c r="J9068">
        <f>GS12/419.2</f>
        <v>0</v>
      </c>
      <c r="K9068" t="inlineStr">
        <is>
          <t>DIL0AM</t>
        </is>
      </c>
      <c r="M9068" t="inlineStr">
        <is>
          <t>-419K1</t>
        </is>
      </c>
    </row>
    <row r="9069">
      <c r="A9069">
        <v>9068</v>
      </c>
      <c r="B9069">
        <f>GS12</f>
        <v>0</v>
      </c>
      <c r="C9069" t="inlineStr">
        <is>
          <t>+LS6</t>
        </is>
      </c>
      <c r="D9069" t="inlineStr">
        <is>
          <t>-419K1</t>
        </is>
      </c>
      <c r="E9069" t="inlineStr">
        <is>
          <t>22_DIL-M</t>
        </is>
      </c>
      <c r="F9069" t="inlineStr">
        <is>
          <t>22_DIL-M</t>
        </is>
      </c>
      <c r="G9069" t="inlineStr">
        <is>
          <t>HILFSKONTAKTBLOCK</t>
        </is>
      </c>
      <c r="H9069" t="inlineStr">
        <is>
          <t>2S 2OE Lastschuetz DIL M</t>
        </is>
      </c>
      <c r="I9069">
        <v>551</v>
      </c>
      <c r="J9069">
        <f>GS12/419.2</f>
        <v>0</v>
      </c>
      <c r="K9069" t="inlineStr">
        <is>
          <t>DIL0AM</t>
        </is>
      </c>
      <c r="M9069" t="inlineStr">
        <is>
          <t>-419K1</t>
        </is>
      </c>
    </row>
    <row r="9070">
      <c r="A9070">
        <v>9069</v>
      </c>
      <c r="B9070">
        <f>GS04</f>
        <v>0</v>
      </c>
      <c r="C9070" t="inlineStr">
        <is>
          <t>+LS9</t>
        </is>
      </c>
      <c r="D9070" t="inlineStr">
        <is>
          <t>-419K16.2</t>
        </is>
      </c>
      <c r="E9070" t="inlineStr">
        <is>
          <t>DIL_EM-10-G</t>
        </is>
      </c>
      <c r="F9070" t="inlineStr">
        <is>
          <t>#KALK!</t>
        </is>
      </c>
      <c r="G9070" t="inlineStr">
        <is>
          <t>LASTSCHUETZ</t>
        </is>
      </c>
      <c r="H9070" t="inlineStr">
        <is>
          <t>4kW 1S</t>
        </is>
      </c>
      <c r="I9070">
        <v>675</v>
      </c>
      <c r="J9070">
        <f>GS04/419.7</f>
        <v>0</v>
      </c>
      <c r="M9070" t="inlineStr">
        <is>
          <t>-419K16.2</t>
        </is>
      </c>
    </row>
    <row r="9071">
      <c r="A9071">
        <v>9070</v>
      </c>
      <c r="B9071">
        <f>GS24</f>
        <v>0</v>
      </c>
      <c r="C9071" t="inlineStr">
        <is>
          <t>+LS9</t>
        </is>
      </c>
      <c r="D9071" t="inlineStr">
        <is>
          <t>-419K38.7</t>
        </is>
      </c>
      <c r="E9071" t="inlineStr">
        <is>
          <t>DIL_EM-10-G</t>
        </is>
      </c>
      <c r="F9071" t="inlineStr">
        <is>
          <t>#KALK!</t>
        </is>
      </c>
      <c r="G9071" t="inlineStr">
        <is>
          <t>LASTSCHUETZ</t>
        </is>
      </c>
      <c r="H9071" t="inlineStr">
        <is>
          <t>4kW 1S</t>
        </is>
      </c>
      <c r="I9071">
        <v>668</v>
      </c>
      <c r="J9071">
        <f>GS24/419.5</f>
        <v>0</v>
      </c>
      <c r="M9071" t="inlineStr">
        <is>
          <t>-419K38.7</t>
        </is>
      </c>
    </row>
    <row r="9072">
      <c r="A9072">
        <v>9071</v>
      </c>
      <c r="B9072">
        <f>GS24</f>
        <v>0</v>
      </c>
      <c r="C9072" t="inlineStr">
        <is>
          <t>+LS9</t>
        </is>
      </c>
      <c r="D9072" t="inlineStr">
        <is>
          <t>-419K39.0</t>
        </is>
      </c>
      <c r="E9072" t="inlineStr">
        <is>
          <t>DIL_EM-10-G</t>
        </is>
      </c>
      <c r="F9072" t="inlineStr">
        <is>
          <t>#KALK!</t>
        </is>
      </c>
      <c r="G9072" t="inlineStr">
        <is>
          <t>LASTSCHUETZ</t>
        </is>
      </c>
      <c r="H9072" t="inlineStr">
        <is>
          <t>4kW 1S</t>
        </is>
      </c>
      <c r="I9072">
        <v>668</v>
      </c>
      <c r="J9072">
        <f>GS24/419.6</f>
        <v>0</v>
      </c>
      <c r="M9072" t="inlineStr">
        <is>
          <t>-419K39.0</t>
        </is>
      </c>
    </row>
    <row r="9073">
      <c r="A9073">
        <v>9072</v>
      </c>
      <c r="B9073">
        <f>GS24</f>
        <v>0</v>
      </c>
      <c r="C9073" t="inlineStr">
        <is>
          <t>+LS9</t>
        </is>
      </c>
      <c r="D9073" t="inlineStr">
        <is>
          <t>-419K39.1</t>
        </is>
      </c>
      <c r="E9073" t="inlineStr">
        <is>
          <t>DIL_EM-01-G</t>
        </is>
      </c>
      <c r="F9073" t="inlineStr">
        <is>
          <t>#KALK!</t>
        </is>
      </c>
      <c r="G9073" t="inlineStr">
        <is>
          <t>LASTSCHUETZ</t>
        </is>
      </c>
      <c r="H9073" t="inlineStr">
        <is>
          <t>4kW 1OE</t>
        </is>
      </c>
      <c r="I9073">
        <v>668</v>
      </c>
      <c r="J9073">
        <f>GS24/419.7</f>
        <v>0</v>
      </c>
      <c r="M9073" t="inlineStr">
        <is>
          <t>-419K39.1</t>
        </is>
      </c>
    </row>
    <row r="9074">
      <c r="A9074">
        <v>9073</v>
      </c>
      <c r="B9074">
        <f>GS24</f>
        <v>0</v>
      </c>
      <c r="C9074" t="inlineStr">
        <is>
          <t>+LS9</t>
        </is>
      </c>
      <c r="D9074" t="inlineStr">
        <is>
          <t>-419K39.2</t>
        </is>
      </c>
      <c r="E9074" t="inlineStr">
        <is>
          <t>DIL_EM-01-G</t>
        </is>
      </c>
      <c r="F9074" t="inlineStr">
        <is>
          <t>#KALK!</t>
        </is>
      </c>
      <c r="G9074" t="inlineStr">
        <is>
          <t>LASTSCHUETZ</t>
        </is>
      </c>
      <c r="H9074" t="inlineStr">
        <is>
          <t>4kW 1OE</t>
        </is>
      </c>
      <c r="I9074">
        <v>668</v>
      </c>
      <c r="J9074">
        <f>GS24/419.8</f>
        <v>0</v>
      </c>
      <c r="M9074" t="inlineStr">
        <is>
          <t>-419K39.2</t>
        </is>
      </c>
    </row>
    <row r="9075">
      <c r="A9075">
        <v>9074</v>
      </c>
      <c r="B9075">
        <f>GS16</f>
        <v>0</v>
      </c>
      <c r="C9075" t="inlineStr">
        <is>
          <t>+LS7</t>
        </is>
      </c>
      <c r="D9075" t="inlineStr">
        <is>
          <t>-419K52.4</t>
        </is>
      </c>
      <c r="E9075" t="inlineStr">
        <is>
          <t>DIL_EM-10-G</t>
        </is>
      </c>
      <c r="F9075" t="inlineStr">
        <is>
          <t>#KALK!</t>
        </is>
      </c>
      <c r="G9075" t="inlineStr">
        <is>
          <t>LASTSCHUETZ</t>
        </is>
      </c>
      <c r="H9075" t="inlineStr">
        <is>
          <t>4kW 1S</t>
        </is>
      </c>
      <c r="I9075">
        <v>656</v>
      </c>
      <c r="J9075">
        <f>GS16/419.6</f>
        <v>0</v>
      </c>
      <c r="M9075" t="inlineStr">
        <is>
          <t>-419K52.4</t>
        </is>
      </c>
    </row>
    <row r="9076">
      <c r="A9076">
        <v>9075</v>
      </c>
      <c r="B9076">
        <f>GS16</f>
        <v>0</v>
      </c>
      <c r="C9076" t="inlineStr">
        <is>
          <t>+LS7</t>
        </is>
      </c>
      <c r="D9076" t="inlineStr">
        <is>
          <t>-419K52.5</t>
        </is>
      </c>
      <c r="E9076" t="inlineStr">
        <is>
          <t>DIL_EM-10-G</t>
        </is>
      </c>
      <c r="F9076" t="inlineStr">
        <is>
          <t>#KALK!</t>
        </is>
      </c>
      <c r="G9076" t="inlineStr">
        <is>
          <t>LASTSCHUETZ</t>
        </is>
      </c>
      <c r="H9076" t="inlineStr">
        <is>
          <t>4kW 1S</t>
        </is>
      </c>
      <c r="I9076">
        <v>656</v>
      </c>
      <c r="J9076">
        <f>GS16/419.6</f>
        <v>0</v>
      </c>
      <c r="M9076" t="inlineStr">
        <is>
          <t>-419K52.5</t>
        </is>
      </c>
    </row>
    <row r="9077">
      <c r="A9077">
        <v>9076</v>
      </c>
      <c r="B9077">
        <f>GS38</f>
        <v>0</v>
      </c>
      <c r="C9077" t="inlineStr">
        <is>
          <t>+LS09</t>
        </is>
      </c>
      <c r="D9077" t="inlineStr">
        <is>
          <t>-419Q122.5</t>
        </is>
      </c>
      <c r="E9077" t="inlineStr">
        <is>
          <t>DILA-XHI22</t>
        </is>
      </c>
      <c r="F9077" t="inlineStr">
        <is>
          <t>DILA-XHI22</t>
        </is>
      </c>
      <c r="G9077" t="inlineStr">
        <is>
          <t>HILFSKONTAKTBLOCK</t>
        </is>
      </c>
      <c r="H9077" t="inlineStr">
        <is>
          <t>2S 2OE Last+Hilfssch. Cage</t>
        </is>
      </c>
      <c r="I9077">
        <v>579</v>
      </c>
      <c r="J9077">
        <f>GS38/419.5</f>
        <v>0</v>
      </c>
      <c r="M9077" t="inlineStr">
        <is>
          <t>-419Q122.5</t>
        </is>
      </c>
    </row>
    <row r="9078">
      <c r="A9078">
        <v>9077</v>
      </c>
      <c r="B9078">
        <f>GS38</f>
        <v>0</v>
      </c>
      <c r="C9078" t="inlineStr">
        <is>
          <t>+LS09</t>
        </is>
      </c>
      <c r="D9078" t="inlineStr">
        <is>
          <t>-419Q122.5</t>
        </is>
      </c>
      <c r="E9078" t="inlineStr">
        <is>
          <t>DILM-9-10</t>
        </is>
      </c>
      <c r="F9078" t="inlineStr">
        <is>
          <t>DILA-XHI22</t>
        </is>
      </c>
      <c r="G9078" t="inlineStr">
        <is>
          <t>LASTSCHUETZ</t>
        </is>
      </c>
      <c r="H9078" t="inlineStr">
        <is>
          <t>4kW 1S Federzugkl.</t>
        </is>
      </c>
      <c r="I9078">
        <v>579</v>
      </c>
      <c r="J9078">
        <f>GS38/419.5</f>
        <v>0</v>
      </c>
      <c r="M9078" t="inlineStr">
        <is>
          <t>-419Q122.5</t>
        </is>
      </c>
    </row>
    <row r="9079">
      <c r="A9079">
        <v>9078</v>
      </c>
      <c r="B9079">
        <f>GS39</f>
        <v>0</v>
      </c>
      <c r="C9079" t="inlineStr">
        <is>
          <t>+LS09</t>
        </is>
      </c>
      <c r="D9079" t="inlineStr">
        <is>
          <t>-419Q122.5</t>
        </is>
      </c>
      <c r="E9079" t="inlineStr">
        <is>
          <t>DILA-XHI22</t>
        </is>
      </c>
      <c r="F9079" t="inlineStr">
        <is>
          <t>DILA-XHI22</t>
        </is>
      </c>
      <c r="G9079" t="inlineStr">
        <is>
          <t>HILFSKONTAKTBLOCK</t>
        </is>
      </c>
      <c r="H9079" t="inlineStr">
        <is>
          <t>2S 2OE Last+Hilfssch. Cage</t>
        </is>
      </c>
      <c r="I9079">
        <v>593</v>
      </c>
      <c r="J9079">
        <f>GS39/419.5</f>
        <v>0</v>
      </c>
      <c r="M9079" t="inlineStr">
        <is>
          <t>-419Q122.5</t>
        </is>
      </c>
    </row>
    <row r="9080">
      <c r="A9080">
        <v>9079</v>
      </c>
      <c r="B9080">
        <f>GS39</f>
        <v>0</v>
      </c>
      <c r="C9080" t="inlineStr">
        <is>
          <t>+LS09</t>
        </is>
      </c>
      <c r="D9080" t="inlineStr">
        <is>
          <t>-419Q122.5</t>
        </is>
      </c>
      <c r="E9080" t="inlineStr">
        <is>
          <t>DILM-9-10</t>
        </is>
      </c>
      <c r="F9080" t="inlineStr">
        <is>
          <t>DILA-XHI22</t>
        </is>
      </c>
      <c r="G9080" t="inlineStr">
        <is>
          <t>LASTSCHUETZ</t>
        </is>
      </c>
      <c r="H9080" t="inlineStr">
        <is>
          <t>4kW 1S Federzugkl.</t>
        </is>
      </c>
      <c r="I9080">
        <v>593</v>
      </c>
      <c r="J9080">
        <f>GS39/419.5</f>
        <v>0</v>
      </c>
      <c r="M9080" t="inlineStr">
        <is>
          <t>-419Q122.5</t>
        </is>
      </c>
    </row>
    <row r="9081">
      <c r="A9081">
        <v>9080</v>
      </c>
      <c r="B9081">
        <f>GS38</f>
        <v>0</v>
      </c>
      <c r="C9081" t="inlineStr">
        <is>
          <t>+LS09</t>
        </is>
      </c>
      <c r="D9081" t="inlineStr">
        <is>
          <t>-419Q122.6</t>
        </is>
      </c>
      <c r="E9081" t="inlineStr">
        <is>
          <t>DILA-XHI22</t>
        </is>
      </c>
      <c r="F9081" t="inlineStr">
        <is>
          <t>DILA-XHI22</t>
        </is>
      </c>
      <c r="G9081" t="inlineStr">
        <is>
          <t>HILFSKONTAKTBLOCK</t>
        </is>
      </c>
      <c r="H9081" t="inlineStr">
        <is>
          <t>2S 2OE Last+Hilfssch. Cage</t>
        </is>
      </c>
      <c r="I9081">
        <v>579</v>
      </c>
      <c r="J9081">
        <f>GS38/419.6</f>
        <v>0</v>
      </c>
      <c r="M9081" t="inlineStr">
        <is>
          <t>-419Q122.6</t>
        </is>
      </c>
    </row>
    <row r="9082">
      <c r="A9082">
        <v>9081</v>
      </c>
      <c r="B9082">
        <f>GS38</f>
        <v>0</v>
      </c>
      <c r="C9082" t="inlineStr">
        <is>
          <t>+LS09</t>
        </is>
      </c>
      <c r="D9082" t="inlineStr">
        <is>
          <t>-419Q122.6</t>
        </is>
      </c>
      <c r="E9082" t="inlineStr">
        <is>
          <t>DILM-9-10</t>
        </is>
      </c>
      <c r="F9082" t="inlineStr">
        <is>
          <t>DILA-XHI22</t>
        </is>
      </c>
      <c r="G9082" t="inlineStr">
        <is>
          <t>LASTSCHUETZ</t>
        </is>
      </c>
      <c r="H9082" t="inlineStr">
        <is>
          <t>4kW 1S Federzugkl.</t>
        </is>
      </c>
      <c r="I9082">
        <v>579</v>
      </c>
      <c r="J9082">
        <f>GS38/419.6</f>
        <v>0</v>
      </c>
      <c r="M9082" t="inlineStr">
        <is>
          <t>-419Q122.6</t>
        </is>
      </c>
    </row>
    <row r="9083">
      <c r="A9083">
        <v>9082</v>
      </c>
      <c r="B9083">
        <f>GS39</f>
        <v>0</v>
      </c>
      <c r="C9083" t="inlineStr">
        <is>
          <t>+LS09</t>
        </is>
      </c>
      <c r="D9083" t="inlineStr">
        <is>
          <t>-419Q122.6</t>
        </is>
      </c>
      <c r="E9083" t="inlineStr">
        <is>
          <t>DILA-XHI22</t>
        </is>
      </c>
      <c r="F9083" t="inlineStr">
        <is>
          <t>DILA-XHI22</t>
        </is>
      </c>
      <c r="G9083" t="inlineStr">
        <is>
          <t>HILFSKONTAKTBLOCK</t>
        </is>
      </c>
      <c r="H9083" t="inlineStr">
        <is>
          <t>2S 2OE Last+Hilfssch. Cage</t>
        </is>
      </c>
      <c r="I9083">
        <v>593</v>
      </c>
      <c r="J9083">
        <f>GS39/419.6</f>
        <v>0</v>
      </c>
      <c r="M9083" t="inlineStr">
        <is>
          <t>-419Q122.6</t>
        </is>
      </c>
    </row>
    <row r="9084">
      <c r="A9084">
        <v>9083</v>
      </c>
      <c r="B9084">
        <f>GS39</f>
        <v>0</v>
      </c>
      <c r="C9084" t="inlineStr">
        <is>
          <t>+LS09</t>
        </is>
      </c>
      <c r="D9084" t="inlineStr">
        <is>
          <t>-419Q122.6</t>
        </is>
      </c>
      <c r="E9084" t="inlineStr">
        <is>
          <t>DILM-9-10</t>
        </is>
      </c>
      <c r="F9084" t="inlineStr">
        <is>
          <t>DILA-XHI22</t>
        </is>
      </c>
      <c r="G9084" t="inlineStr">
        <is>
          <t>LASTSCHUETZ</t>
        </is>
      </c>
      <c r="H9084" t="inlineStr">
        <is>
          <t>4kW 1S Federzugkl.</t>
        </is>
      </c>
      <c r="I9084">
        <v>593</v>
      </c>
      <c r="J9084">
        <f>GS39/419.6</f>
        <v>0</v>
      </c>
      <c r="M9084" t="inlineStr">
        <is>
          <t>-419Q122.6</t>
        </is>
      </c>
    </row>
    <row r="9085">
      <c r="A9085">
        <v>9084</v>
      </c>
      <c r="B9085">
        <f>GS90</f>
        <v>0</v>
      </c>
      <c r="C9085" t="inlineStr">
        <is>
          <t>+LS08</t>
        </is>
      </c>
      <c r="D9085" t="inlineStr">
        <is>
          <t>-419Q452.7</t>
        </is>
      </c>
      <c r="E9085" t="inlineStr">
        <is>
          <t>DILM-9-10</t>
        </is>
      </c>
      <c r="F9085" t="inlineStr">
        <is>
          <t>#KALK!</t>
        </is>
      </c>
      <c r="G9085" t="inlineStr">
        <is>
          <t>LASTSCHUETZ</t>
        </is>
      </c>
      <c r="H9085" t="inlineStr">
        <is>
          <t>4kW 1S Federzugkl.</t>
        </is>
      </c>
      <c r="I9085">
        <v>821</v>
      </c>
      <c r="J9085">
        <f>GS90/419.5</f>
        <v>0</v>
      </c>
      <c r="M9085" t="inlineStr">
        <is>
          <t>-419Q452.7</t>
        </is>
      </c>
    </row>
    <row r="9086">
      <c r="A9086">
        <v>9085</v>
      </c>
      <c r="B9086">
        <f>GS15</f>
        <v>0</v>
      </c>
      <c r="C9086" t="inlineStr">
        <is>
          <t>+LS9</t>
        </is>
      </c>
      <c r="D9086" t="inlineStr">
        <is>
          <t>-420K1</t>
        </is>
      </c>
      <c r="E9086" t="inlineStr">
        <is>
          <t>22_DIL-M</t>
        </is>
      </c>
      <c r="F9086" t="inlineStr">
        <is>
          <t>22_DIL-M</t>
        </is>
      </c>
      <c r="G9086" t="inlineStr">
        <is>
          <t>HILFSKONTAKTBLOCK</t>
        </is>
      </c>
      <c r="H9086" t="inlineStr">
        <is>
          <t>2S 2OE Lastschuetz DIL M</t>
        </is>
      </c>
      <c r="I9086">
        <v>922</v>
      </c>
      <c r="J9086">
        <f>GS15/420.2</f>
        <v>0</v>
      </c>
      <c r="K9086" t="inlineStr">
        <is>
          <t>DIL0AM</t>
        </is>
      </c>
      <c r="M9086" t="inlineStr">
        <is>
          <t>-420K1</t>
        </is>
      </c>
    </row>
    <row r="9087">
      <c r="A9087">
        <v>9086</v>
      </c>
      <c r="B9087">
        <f>GS15</f>
        <v>0</v>
      </c>
      <c r="C9087" t="inlineStr">
        <is>
          <t>+LS9</t>
        </is>
      </c>
      <c r="D9087" t="inlineStr">
        <is>
          <t>-420K1</t>
        </is>
      </c>
      <c r="E9087" t="inlineStr">
        <is>
          <t>DIL_0AM</t>
        </is>
      </c>
      <c r="F9087" t="inlineStr">
        <is>
          <t>22_DIL-M</t>
        </is>
      </c>
      <c r="G9087" t="inlineStr">
        <is>
          <t>LASTSCHUETZ</t>
        </is>
      </c>
      <c r="H9087" t="inlineStr">
        <is>
          <t>11 kW</t>
        </is>
      </c>
      <c r="I9087">
        <v>922</v>
      </c>
      <c r="J9087">
        <f>GS15/420.2</f>
        <v>0</v>
      </c>
      <c r="K9087" t="inlineStr">
        <is>
          <t>DIL0AM</t>
        </is>
      </c>
      <c r="M9087" t="inlineStr">
        <is>
          <t>-420K1</t>
        </is>
      </c>
    </row>
    <row r="9088">
      <c r="A9088">
        <v>9087</v>
      </c>
      <c r="B9088">
        <f>GS16</f>
        <v>0</v>
      </c>
      <c r="C9088" t="inlineStr">
        <is>
          <t>+LS7</t>
        </is>
      </c>
      <c r="D9088" t="inlineStr">
        <is>
          <t>-420K52.6</t>
        </is>
      </c>
      <c r="E9088" t="inlineStr">
        <is>
          <t>DIL_EM-10-G</t>
        </is>
      </c>
      <c r="F9088" t="inlineStr">
        <is>
          <t>#KALK!</t>
        </is>
      </c>
      <c r="G9088" t="inlineStr">
        <is>
          <t>LASTSCHUETZ</t>
        </is>
      </c>
      <c r="H9088" t="inlineStr">
        <is>
          <t>4kW 1S</t>
        </is>
      </c>
      <c r="I9088">
        <v>657</v>
      </c>
      <c r="J9088">
        <f>GS16/420.6</f>
        <v>0</v>
      </c>
      <c r="M9088" t="inlineStr">
        <is>
          <t>-420K52.6</t>
        </is>
      </c>
    </row>
    <row r="9089">
      <c r="A9089">
        <v>9088</v>
      </c>
      <c r="B9089">
        <f>GS16</f>
        <v>0</v>
      </c>
      <c r="C9089" t="inlineStr">
        <is>
          <t>+LS7</t>
        </is>
      </c>
      <c r="D9089" t="inlineStr">
        <is>
          <t>-420K52.7</t>
        </is>
      </c>
      <c r="E9089" t="inlineStr">
        <is>
          <t>DIL_EM-10-G</t>
        </is>
      </c>
      <c r="F9089" t="inlineStr">
        <is>
          <t>#KALK!</t>
        </is>
      </c>
      <c r="G9089" t="inlineStr">
        <is>
          <t>LASTSCHUETZ</t>
        </is>
      </c>
      <c r="H9089" t="inlineStr">
        <is>
          <t>4kW 1S</t>
        </is>
      </c>
      <c r="I9089">
        <v>657</v>
      </c>
      <c r="J9089">
        <f>GS16/420.6</f>
        <v>0</v>
      </c>
      <c r="M9089" t="inlineStr">
        <is>
          <t>-420K52.7</t>
        </is>
      </c>
    </row>
    <row r="9090">
      <c r="A9090">
        <v>9089</v>
      </c>
      <c r="B9090">
        <f>GS37</f>
        <v>0</v>
      </c>
      <c r="C9090" t="inlineStr">
        <is>
          <t>+LS09</t>
        </is>
      </c>
      <c r="D9090" t="inlineStr">
        <is>
          <t>-420K707.0</t>
        </is>
      </c>
      <c r="E9090" t="inlineStr">
        <is>
          <t>DILA-40</t>
        </is>
      </c>
      <c r="F9090" t="inlineStr">
        <is>
          <t>#KALK!</t>
        </is>
      </c>
      <c r="G9090" t="inlineStr">
        <is>
          <t>HILFSSCHUETZ</t>
        </is>
      </c>
      <c r="H9090" t="inlineStr">
        <is>
          <t>4S Federzugkl.</t>
        </is>
      </c>
      <c r="I9090">
        <v>533</v>
      </c>
      <c r="J9090">
        <f>GS37/420.7</f>
        <v>0</v>
      </c>
      <c r="M9090" t="inlineStr">
        <is>
          <t>-420K707.0</t>
        </is>
      </c>
    </row>
    <row r="9091">
      <c r="A9091">
        <v>9090</v>
      </c>
      <c r="B9091">
        <f>GS37</f>
        <v>0</v>
      </c>
      <c r="C9091" t="inlineStr">
        <is>
          <t>+LS09</t>
        </is>
      </c>
      <c r="D9091" t="inlineStr">
        <is>
          <t>-420Q1</t>
        </is>
      </c>
      <c r="E9091" t="inlineStr">
        <is>
          <t>DILMC25-10(RDC24)</t>
        </is>
      </c>
      <c r="F9091" t="inlineStr">
        <is>
          <t>DILA-XHI22</t>
        </is>
      </c>
      <c r="G9091" t="inlineStr">
        <is>
          <t>LASTSCHUETZ</t>
        </is>
      </c>
      <c r="H9091" t="inlineStr">
        <is>
          <t>11kW 1S Federzugkl.</t>
        </is>
      </c>
      <c r="I9091">
        <v>533</v>
      </c>
      <c r="J9091">
        <f>GS37/420.4</f>
        <v>0</v>
      </c>
      <c r="K9091" t="inlineStr">
        <is>
          <t>DIL MC25</t>
        </is>
      </c>
      <c r="M9091" t="inlineStr">
        <is>
          <t>-420Q1</t>
        </is>
      </c>
    </row>
    <row r="9092">
      <c r="A9092">
        <v>9091</v>
      </c>
      <c r="B9092">
        <f>GS37</f>
        <v>0</v>
      </c>
      <c r="C9092" t="inlineStr">
        <is>
          <t>+LS09</t>
        </is>
      </c>
      <c r="D9092" t="inlineStr">
        <is>
          <t>-420Q1</t>
        </is>
      </c>
      <c r="E9092" t="inlineStr">
        <is>
          <t>DILA-XHI22</t>
        </is>
      </c>
      <c r="F9092" t="inlineStr">
        <is>
          <t>DILA-XHI22</t>
        </is>
      </c>
      <c r="G9092" t="inlineStr">
        <is>
          <t>HILFSKONTAKTBLOCK</t>
        </is>
      </c>
      <c r="H9092" t="inlineStr">
        <is>
          <t>2S 2OE Last+Hilfssch. Cage</t>
        </is>
      </c>
      <c r="I9092">
        <v>533</v>
      </c>
      <c r="J9092">
        <f>GS37/420.4</f>
        <v>0</v>
      </c>
      <c r="K9092" t="inlineStr">
        <is>
          <t>DIL MC25</t>
        </is>
      </c>
      <c r="M9092" t="inlineStr">
        <is>
          <t>-420Q1</t>
        </is>
      </c>
    </row>
    <row r="9093">
      <c r="A9093">
        <v>9092</v>
      </c>
      <c r="B9093">
        <f>GS53</f>
        <v>0</v>
      </c>
      <c r="C9093" t="inlineStr">
        <is>
          <t>+LS13</t>
        </is>
      </c>
      <c r="D9093" t="inlineStr">
        <is>
          <t>-420Q1</t>
        </is>
      </c>
      <c r="E9093" t="inlineStr">
        <is>
          <t>DILA-XHI22</t>
        </is>
      </c>
      <c r="F9093" t="inlineStr">
        <is>
          <t>DILA-XHI22</t>
        </is>
      </c>
      <c r="G9093" t="inlineStr">
        <is>
          <t>HILFSKONTAKTBLOCK</t>
        </is>
      </c>
      <c r="H9093" t="inlineStr">
        <is>
          <t>2S 2OE Last+Hilfssch. Cage</t>
        </is>
      </c>
      <c r="I9093">
        <v>510</v>
      </c>
      <c r="J9093">
        <f>GS53/420.6</f>
        <v>0</v>
      </c>
      <c r="K9093" t="inlineStr">
        <is>
          <t>DIL MC25</t>
        </is>
      </c>
      <c r="M9093" t="inlineStr">
        <is>
          <t>-420Q1</t>
        </is>
      </c>
    </row>
    <row r="9094">
      <c r="A9094">
        <v>9093</v>
      </c>
      <c r="B9094">
        <f>GS53</f>
        <v>0</v>
      </c>
      <c r="C9094" t="inlineStr">
        <is>
          <t>+LS13</t>
        </is>
      </c>
      <c r="D9094" t="inlineStr">
        <is>
          <t>-420Q1</t>
        </is>
      </c>
      <c r="E9094" t="inlineStr">
        <is>
          <t>DILMC25-10(RDC24)</t>
        </is>
      </c>
      <c r="F9094" t="inlineStr">
        <is>
          <t>DILA-XHI22</t>
        </is>
      </c>
      <c r="G9094" t="inlineStr">
        <is>
          <t>LASTSCHUETZ</t>
        </is>
      </c>
      <c r="H9094" t="inlineStr">
        <is>
          <t>11kW 1S Federzugkl.</t>
        </is>
      </c>
      <c r="I9094">
        <v>510</v>
      </c>
      <c r="J9094">
        <f>GS53/420.6</f>
        <v>0</v>
      </c>
      <c r="K9094" t="inlineStr">
        <is>
          <t>DIL MC25</t>
        </is>
      </c>
      <c r="M9094" t="inlineStr">
        <is>
          <t>-420Q1</t>
        </is>
      </c>
    </row>
    <row r="9095">
      <c r="A9095">
        <v>9094</v>
      </c>
      <c r="B9095">
        <f>GS55</f>
        <v>0</v>
      </c>
      <c r="C9095" t="inlineStr">
        <is>
          <t>+LS06</t>
        </is>
      </c>
      <c r="D9095" t="inlineStr">
        <is>
          <t>-420Q1</t>
        </is>
      </c>
      <c r="E9095" t="inlineStr">
        <is>
          <t>DILA-XHI22</t>
        </is>
      </c>
      <c r="F9095" t="inlineStr">
        <is>
          <t>DILA-XHI22</t>
        </is>
      </c>
      <c r="G9095" t="inlineStr">
        <is>
          <t>HILFSKONTAKTBLOCK</t>
        </is>
      </c>
      <c r="H9095" t="inlineStr">
        <is>
          <t>2S 2OE Last+Hilfssch. Cage</t>
        </is>
      </c>
      <c r="I9095">
        <v>696</v>
      </c>
      <c r="J9095">
        <f>GS55/420.6</f>
        <v>0</v>
      </c>
      <c r="K9095" t="inlineStr">
        <is>
          <t>DIL MC25</t>
        </is>
      </c>
      <c r="M9095" t="inlineStr">
        <is>
          <t>-420Q1</t>
        </is>
      </c>
    </row>
    <row r="9096">
      <c r="A9096">
        <v>9095</v>
      </c>
      <c r="B9096">
        <f>GS55</f>
        <v>0</v>
      </c>
      <c r="C9096" t="inlineStr">
        <is>
          <t>+LS06</t>
        </is>
      </c>
      <c r="D9096" t="inlineStr">
        <is>
          <t>-420Q1</t>
        </is>
      </c>
      <c r="E9096" t="inlineStr">
        <is>
          <t>DILMC25-10(RDC24)</t>
        </is>
      </c>
      <c r="F9096" t="inlineStr">
        <is>
          <t>DILA-XHI22</t>
        </is>
      </c>
      <c r="G9096" t="inlineStr">
        <is>
          <t>LASTSCHUETZ</t>
        </is>
      </c>
      <c r="H9096" t="inlineStr">
        <is>
          <t>11kW 1S Federzugkl.</t>
        </is>
      </c>
      <c r="I9096">
        <v>696</v>
      </c>
      <c r="J9096">
        <f>GS55/420.6</f>
        <v>0</v>
      </c>
      <c r="K9096" t="inlineStr">
        <is>
          <t>DIL MC25</t>
        </is>
      </c>
      <c r="M9096" t="inlineStr">
        <is>
          <t>-420Q1</t>
        </is>
      </c>
    </row>
    <row r="9097">
      <c r="A9097">
        <v>9096</v>
      </c>
      <c r="B9097">
        <f>GS11</f>
        <v>0</v>
      </c>
      <c r="C9097" t="inlineStr">
        <is>
          <t>+LS11</t>
        </is>
      </c>
      <c r="D9097" t="inlineStr">
        <is>
          <t>-421K1</t>
        </is>
      </c>
      <c r="E9097" t="inlineStr">
        <is>
          <t>22_DIL-M</t>
        </is>
      </c>
      <c r="F9097" t="inlineStr">
        <is>
          <t>22_DIL-M</t>
        </is>
      </c>
      <c r="G9097" t="inlineStr">
        <is>
          <t>HILFSKONTAKTBLOCK</t>
        </is>
      </c>
      <c r="H9097" t="inlineStr">
        <is>
          <t>2S 2OE Lastschuetz DIL M</t>
        </is>
      </c>
      <c r="I9097">
        <v>527</v>
      </c>
      <c r="J9097">
        <f>GS11/421.3</f>
        <v>0</v>
      </c>
      <c r="K9097" t="inlineStr">
        <is>
          <t>DIL0AM</t>
        </is>
      </c>
      <c r="M9097" t="inlineStr">
        <is>
          <t>-421K1</t>
        </is>
      </c>
    </row>
    <row r="9098">
      <c r="A9098">
        <v>9097</v>
      </c>
      <c r="B9098">
        <f>GS11</f>
        <v>0</v>
      </c>
      <c r="C9098" t="inlineStr">
        <is>
          <t>+LS11</t>
        </is>
      </c>
      <c r="D9098" t="inlineStr">
        <is>
          <t>-421K1</t>
        </is>
      </c>
      <c r="E9098" t="inlineStr">
        <is>
          <t>DIL_0AM</t>
        </is>
      </c>
      <c r="F9098" t="inlineStr">
        <is>
          <t>22_DIL-M</t>
        </is>
      </c>
      <c r="G9098" t="inlineStr">
        <is>
          <t>LASTSCHUETZ</t>
        </is>
      </c>
      <c r="H9098" t="inlineStr">
        <is>
          <t>11 kW</t>
        </is>
      </c>
      <c r="I9098">
        <v>527</v>
      </c>
      <c r="J9098">
        <f>GS11/421.3</f>
        <v>0</v>
      </c>
      <c r="K9098" t="inlineStr">
        <is>
          <t>DIL0AM</t>
        </is>
      </c>
      <c r="M9098" t="inlineStr">
        <is>
          <t>-421K1</t>
        </is>
      </c>
    </row>
    <row r="9099">
      <c r="A9099">
        <v>9098</v>
      </c>
      <c r="B9099">
        <f>GS21</f>
        <v>0</v>
      </c>
      <c r="C9099" t="inlineStr">
        <is>
          <t>+LS11</t>
        </is>
      </c>
      <c r="D9099" t="inlineStr">
        <is>
          <t>-421K1</t>
        </is>
      </c>
      <c r="E9099" t="inlineStr">
        <is>
          <t>DIL_0AM</t>
        </is>
      </c>
      <c r="F9099" t="inlineStr">
        <is>
          <t>22_DIL-M</t>
        </is>
      </c>
      <c r="G9099" t="inlineStr">
        <is>
          <t>LASTSCHUETZ</t>
        </is>
      </c>
      <c r="H9099" t="inlineStr">
        <is>
          <t>11 kW</t>
        </is>
      </c>
      <c r="I9099">
        <v>509</v>
      </c>
      <c r="J9099">
        <f>GS21/421.3</f>
        <v>0</v>
      </c>
      <c r="K9099" t="inlineStr">
        <is>
          <t>DIL0AM</t>
        </is>
      </c>
      <c r="M9099" t="inlineStr">
        <is>
          <t>-421K1</t>
        </is>
      </c>
    </row>
    <row r="9100">
      <c r="A9100">
        <v>9099</v>
      </c>
      <c r="B9100">
        <f>GS21</f>
        <v>0</v>
      </c>
      <c r="C9100" t="inlineStr">
        <is>
          <t>+LS11</t>
        </is>
      </c>
      <c r="D9100" t="inlineStr">
        <is>
          <t>-421K1</t>
        </is>
      </c>
      <c r="E9100" t="inlineStr">
        <is>
          <t>22_DIL-M</t>
        </is>
      </c>
      <c r="F9100" t="inlineStr">
        <is>
          <t>22_DIL-M</t>
        </is>
      </c>
      <c r="G9100" t="inlineStr">
        <is>
          <t>HILFSKONTAKTBLOCK</t>
        </is>
      </c>
      <c r="H9100" t="inlineStr">
        <is>
          <t>2S 2OE Lastschuetz DIL M</t>
        </is>
      </c>
      <c r="I9100">
        <v>509</v>
      </c>
      <c r="J9100">
        <f>GS21/421.3</f>
        <v>0</v>
      </c>
      <c r="K9100" t="inlineStr">
        <is>
          <t>DIL0AM</t>
        </is>
      </c>
      <c r="M9100" t="inlineStr">
        <is>
          <t>-421K1</t>
        </is>
      </c>
    </row>
    <row r="9101">
      <c r="A9101">
        <v>9100</v>
      </c>
      <c r="B9101">
        <f>GS05</f>
        <v>0</v>
      </c>
      <c r="C9101" t="inlineStr">
        <is>
          <t>+LS06</t>
        </is>
      </c>
      <c r="D9101" t="inlineStr">
        <is>
          <t>-421K138.2</t>
        </is>
      </c>
      <c r="E9101" t="inlineStr">
        <is>
          <t>DILA-31</t>
        </is>
      </c>
      <c r="F9101" t="inlineStr">
        <is>
          <t>#KALK!</t>
        </is>
      </c>
      <c r="G9101" t="inlineStr">
        <is>
          <t>HILFSSCHUETZ</t>
        </is>
      </c>
      <c r="H9101" t="inlineStr">
        <is>
          <t>3S 1Oe Federzugkl.</t>
        </is>
      </c>
      <c r="I9101">
        <v>2131</v>
      </c>
      <c r="J9101">
        <f>GS05/421.2</f>
        <v>0</v>
      </c>
      <c r="M9101" t="inlineStr">
        <is>
          <t>-421K138.2</t>
        </is>
      </c>
    </row>
    <row r="9102">
      <c r="A9102">
        <v>9101</v>
      </c>
      <c r="B9102">
        <f>GS05</f>
        <v>0</v>
      </c>
      <c r="C9102" t="inlineStr">
        <is>
          <t>+LS06</t>
        </is>
      </c>
      <c r="D9102" t="inlineStr">
        <is>
          <t>-421K138.3</t>
        </is>
      </c>
      <c r="E9102" t="inlineStr">
        <is>
          <t>DILM-9-10</t>
        </is>
      </c>
      <c r="F9102" t="inlineStr">
        <is>
          <t>#KALK!</t>
        </is>
      </c>
      <c r="G9102" t="inlineStr">
        <is>
          <t>LASTSCHUETZ</t>
        </is>
      </c>
      <c r="H9102" t="inlineStr">
        <is>
          <t>4kW 1S Federzugkl.</t>
        </is>
      </c>
      <c r="I9102">
        <v>2131</v>
      </c>
      <c r="J9102">
        <f>GS05/421.3</f>
        <v>0</v>
      </c>
      <c r="M9102" t="inlineStr">
        <is>
          <t>-421K138.3</t>
        </is>
      </c>
    </row>
    <row r="9103">
      <c r="A9103">
        <v>9102</v>
      </c>
      <c r="B9103">
        <f>GS24</f>
        <v>0</v>
      </c>
      <c r="C9103" t="inlineStr">
        <is>
          <t>+LS9</t>
        </is>
      </c>
      <c r="D9103" t="inlineStr">
        <is>
          <t>-421K40.1</t>
        </is>
      </c>
      <c r="E9103" t="inlineStr">
        <is>
          <t>DIL_EM-10-G</t>
        </is>
      </c>
      <c r="F9103" t="inlineStr">
        <is>
          <t>#KALK!</t>
        </is>
      </c>
      <c r="G9103" t="inlineStr">
        <is>
          <t>LASTSCHUETZ</t>
        </is>
      </c>
      <c r="H9103" t="inlineStr">
        <is>
          <t>4kW 1S</t>
        </is>
      </c>
      <c r="I9103">
        <v>666</v>
      </c>
      <c r="J9103">
        <f>GS24/421.5</f>
        <v>0</v>
      </c>
      <c r="M9103" t="inlineStr">
        <is>
          <t>-421K40.1</t>
        </is>
      </c>
    </row>
    <row r="9104">
      <c r="A9104">
        <v>9103</v>
      </c>
      <c r="B9104">
        <f>GS24</f>
        <v>0</v>
      </c>
      <c r="C9104" t="inlineStr">
        <is>
          <t>+LS9</t>
        </is>
      </c>
      <c r="D9104" t="inlineStr">
        <is>
          <t>-421K40.2</t>
        </is>
      </c>
      <c r="E9104" t="inlineStr">
        <is>
          <t>DIL_EM-10-G</t>
        </is>
      </c>
      <c r="F9104" t="inlineStr">
        <is>
          <t>#KALK!</t>
        </is>
      </c>
      <c r="G9104" t="inlineStr">
        <is>
          <t>LASTSCHUETZ</t>
        </is>
      </c>
      <c r="H9104" t="inlineStr">
        <is>
          <t>4kW 1S</t>
        </is>
      </c>
      <c r="I9104">
        <v>666</v>
      </c>
      <c r="J9104">
        <f>GS24/421.6</f>
        <v>0</v>
      </c>
      <c r="M9104" t="inlineStr">
        <is>
          <t>-421K40.2</t>
        </is>
      </c>
    </row>
    <row r="9105">
      <c r="A9105">
        <v>9104</v>
      </c>
      <c r="B9105">
        <f>GS24</f>
        <v>0</v>
      </c>
      <c r="C9105" t="inlineStr">
        <is>
          <t>+LS9</t>
        </is>
      </c>
      <c r="D9105" t="inlineStr">
        <is>
          <t>-421K40.3</t>
        </is>
      </c>
      <c r="E9105" t="inlineStr">
        <is>
          <t>DIL_EM-01-G</t>
        </is>
      </c>
      <c r="F9105" t="inlineStr">
        <is>
          <t>#KALK!</t>
        </is>
      </c>
      <c r="G9105" t="inlineStr">
        <is>
          <t>LASTSCHUETZ</t>
        </is>
      </c>
      <c r="H9105" t="inlineStr">
        <is>
          <t>4kW 1OE</t>
        </is>
      </c>
      <c r="I9105">
        <v>666</v>
      </c>
      <c r="J9105">
        <f>GS24/421.7</f>
        <v>0</v>
      </c>
      <c r="M9105" t="inlineStr">
        <is>
          <t>-421K40.3</t>
        </is>
      </c>
    </row>
    <row r="9106">
      <c r="A9106">
        <v>9105</v>
      </c>
      <c r="B9106">
        <f>GS24</f>
        <v>0</v>
      </c>
      <c r="C9106" t="inlineStr">
        <is>
          <t>+LS9</t>
        </is>
      </c>
      <c r="D9106" t="inlineStr">
        <is>
          <t>-421K40.4</t>
        </is>
      </c>
      <c r="E9106" t="inlineStr">
        <is>
          <t>DIL_EM-01-G</t>
        </is>
      </c>
      <c r="F9106" t="inlineStr">
        <is>
          <t>#KALK!</t>
        </is>
      </c>
      <c r="G9106" t="inlineStr">
        <is>
          <t>LASTSCHUETZ</t>
        </is>
      </c>
      <c r="H9106" t="inlineStr">
        <is>
          <t>4kW 1OE</t>
        </is>
      </c>
      <c r="I9106">
        <v>666</v>
      </c>
      <c r="J9106">
        <f>GS24/421.8</f>
        <v>0</v>
      </c>
      <c r="M9106" t="inlineStr">
        <is>
          <t>-421K40.4</t>
        </is>
      </c>
    </row>
    <row r="9107">
      <c r="A9107">
        <v>9106</v>
      </c>
      <c r="B9107">
        <f>GS16</f>
        <v>0</v>
      </c>
      <c r="C9107" t="inlineStr">
        <is>
          <t>+LS7</t>
        </is>
      </c>
      <c r="D9107" t="inlineStr">
        <is>
          <t>-421K53.0</t>
        </is>
      </c>
      <c r="E9107" t="inlineStr">
        <is>
          <t>DIL_EM-10-G</t>
        </is>
      </c>
      <c r="F9107" t="inlineStr">
        <is>
          <t>#KALK!</t>
        </is>
      </c>
      <c r="G9107" t="inlineStr">
        <is>
          <t>LASTSCHUETZ</t>
        </is>
      </c>
      <c r="H9107" t="inlineStr">
        <is>
          <t>4kW 1S</t>
        </is>
      </c>
      <c r="I9107">
        <v>658</v>
      </c>
      <c r="J9107">
        <f>GS16/421.6</f>
        <v>0</v>
      </c>
      <c r="M9107" t="inlineStr">
        <is>
          <t>-421K53.0</t>
        </is>
      </c>
    </row>
    <row r="9108">
      <c r="A9108">
        <v>9107</v>
      </c>
      <c r="B9108">
        <f>GS16</f>
        <v>0</v>
      </c>
      <c r="C9108" t="inlineStr">
        <is>
          <t>+LS7</t>
        </is>
      </c>
      <c r="D9108" t="inlineStr">
        <is>
          <t>-421K53.1</t>
        </is>
      </c>
      <c r="E9108" t="inlineStr">
        <is>
          <t>DIL_EM-10-G</t>
        </is>
      </c>
      <c r="F9108" t="inlineStr">
        <is>
          <t>#KALK!</t>
        </is>
      </c>
      <c r="G9108" t="inlineStr">
        <is>
          <t>LASTSCHUETZ</t>
        </is>
      </c>
      <c r="H9108" t="inlineStr">
        <is>
          <t>4kW 1S</t>
        </is>
      </c>
      <c r="I9108">
        <v>658</v>
      </c>
      <c r="J9108">
        <f>GS16/421.6</f>
        <v>0</v>
      </c>
      <c r="M9108" t="inlineStr">
        <is>
          <t>-421K53.1</t>
        </is>
      </c>
    </row>
    <row r="9109">
      <c r="A9109">
        <v>9108</v>
      </c>
      <c r="B9109">
        <f>GC22</f>
        <v>0</v>
      </c>
      <c r="C9109" t="inlineStr">
        <is>
          <t>+LS6</t>
        </is>
      </c>
      <c r="D9109" t="inlineStr">
        <is>
          <t>-421K54.3</t>
        </is>
      </c>
      <c r="E9109" t="inlineStr">
        <is>
          <t>DIL_EM-10-G</t>
        </is>
      </c>
      <c r="F9109" t="inlineStr">
        <is>
          <t>#KALK!</t>
        </is>
      </c>
      <c r="G9109" t="inlineStr">
        <is>
          <t>LASTSCHUETZ</t>
        </is>
      </c>
      <c r="H9109" t="inlineStr">
        <is>
          <t>4kW 1S</t>
        </is>
      </c>
      <c r="I9109">
        <v>3355</v>
      </c>
      <c r="J9109">
        <f>GC22/421.7</f>
        <v>0</v>
      </c>
      <c r="M9109" t="inlineStr">
        <is>
          <t>-421K54.3</t>
        </is>
      </c>
    </row>
    <row r="9110">
      <c r="A9110">
        <v>9109</v>
      </c>
      <c r="B9110">
        <f>GS12</f>
        <v>0</v>
      </c>
      <c r="C9110" t="inlineStr">
        <is>
          <t>+LS6</t>
        </is>
      </c>
      <c r="D9110" t="inlineStr">
        <is>
          <t>-421K54.3</t>
        </is>
      </c>
      <c r="E9110" t="inlineStr">
        <is>
          <t>DIL_EM-10-G</t>
        </is>
      </c>
      <c r="F9110" t="inlineStr">
        <is>
          <t>#KALK!</t>
        </is>
      </c>
      <c r="G9110" t="inlineStr">
        <is>
          <t>LASTSCHUETZ</t>
        </is>
      </c>
      <c r="H9110" t="inlineStr">
        <is>
          <t>4kW 1S</t>
        </is>
      </c>
      <c r="I9110">
        <v>553</v>
      </c>
      <c r="J9110">
        <f>GS12/421.7</f>
        <v>0</v>
      </c>
      <c r="M9110" t="inlineStr">
        <is>
          <t>-421K54.3</t>
        </is>
      </c>
    </row>
    <row r="9111">
      <c r="A9111">
        <v>9110</v>
      </c>
      <c r="B9111">
        <f>GS35</f>
        <v>0</v>
      </c>
      <c r="C9111" t="inlineStr">
        <is>
          <t>+LS10</t>
        </is>
      </c>
      <c r="D9111" t="inlineStr">
        <is>
          <t>-421Q158.7</t>
        </is>
      </c>
      <c r="E9111" t="inlineStr">
        <is>
          <t>DILM-12-10</t>
        </is>
      </c>
      <c r="F9111" t="inlineStr">
        <is>
          <t>#KALK!</t>
        </is>
      </c>
      <c r="G9111" t="inlineStr">
        <is>
          <t>LASTSCHUETZ</t>
        </is>
      </c>
      <c r="H9111" t="inlineStr">
        <is>
          <t>5,5kW 1S Federzugkl.</t>
        </is>
      </c>
      <c r="I9111">
        <v>567</v>
      </c>
      <c r="J9111">
        <f>GS35/421.5</f>
        <v>0</v>
      </c>
      <c r="K9111" t="inlineStr">
        <is>
          <t>DIL MC12</t>
        </is>
      </c>
      <c r="M9111" t="inlineStr">
        <is>
          <t>-421Q158.7</t>
        </is>
      </c>
    </row>
    <row r="9112">
      <c r="A9112">
        <v>9111</v>
      </c>
      <c r="B9112">
        <f>GS38</f>
        <v>0</v>
      </c>
      <c r="C9112" t="inlineStr">
        <is>
          <t>+LS09</t>
        </is>
      </c>
      <c r="D9112" t="inlineStr">
        <is>
          <t>-422K123.2</t>
        </is>
      </c>
      <c r="E9112" t="inlineStr">
        <is>
          <t>DILA-22</t>
        </is>
      </c>
      <c r="F9112" t="inlineStr">
        <is>
          <t>#KALK!</t>
        </is>
      </c>
      <c r="G9112" t="inlineStr">
        <is>
          <t>HILFSSCHUETZ</t>
        </is>
      </c>
      <c r="H9112" t="inlineStr">
        <is>
          <t>2S 2Oe Federzugkl.</t>
        </is>
      </c>
      <c r="I9112">
        <v>582</v>
      </c>
      <c r="J9112">
        <f>GS38/422.6</f>
        <v>0</v>
      </c>
      <c r="M9112" t="inlineStr">
        <is>
          <t>-422K123.2</t>
        </is>
      </c>
    </row>
    <row r="9113">
      <c r="A9113">
        <v>9112</v>
      </c>
      <c r="B9113">
        <f>GS39</f>
        <v>0</v>
      </c>
      <c r="C9113" t="inlineStr">
        <is>
          <t>+LS09</t>
        </is>
      </c>
      <c r="D9113" t="inlineStr">
        <is>
          <t>-422K123.2</t>
        </is>
      </c>
      <c r="E9113" t="inlineStr">
        <is>
          <t>DILA-22</t>
        </is>
      </c>
      <c r="F9113" t="inlineStr">
        <is>
          <t>#KALK!</t>
        </is>
      </c>
      <c r="G9113" t="inlineStr">
        <is>
          <t>HILFSSCHUETZ</t>
        </is>
      </c>
      <c r="H9113" t="inlineStr">
        <is>
          <t>2S 2Oe Federzugkl.</t>
        </is>
      </c>
      <c r="I9113">
        <v>596</v>
      </c>
      <c r="J9113">
        <f>GS39/422.6</f>
        <v>0</v>
      </c>
      <c r="M9113" t="inlineStr">
        <is>
          <t>-422K123.2</t>
        </is>
      </c>
    </row>
    <row r="9114">
      <c r="A9114">
        <v>9113</v>
      </c>
      <c r="B9114">
        <f>GS15</f>
        <v>0</v>
      </c>
      <c r="C9114" t="inlineStr">
        <is>
          <t>+LS9</t>
        </is>
      </c>
      <c r="D9114" t="inlineStr">
        <is>
          <t>-422K34.0</t>
        </is>
      </c>
      <c r="E9114" t="inlineStr">
        <is>
          <t>DIL_EM-10-G</t>
        </is>
      </c>
      <c r="F9114" t="inlineStr">
        <is>
          <t>#KALK!</t>
        </is>
      </c>
      <c r="G9114" t="inlineStr">
        <is>
          <t>LASTSCHUETZ</t>
        </is>
      </c>
      <c r="H9114" t="inlineStr">
        <is>
          <t>4kW 1S</t>
        </is>
      </c>
      <c r="I9114">
        <v>924</v>
      </c>
      <c r="J9114">
        <f>GS15/422.6</f>
        <v>0</v>
      </c>
      <c r="M9114" t="inlineStr">
        <is>
          <t>-422K34.0</t>
        </is>
      </c>
    </row>
    <row r="9115">
      <c r="A9115">
        <v>9114</v>
      </c>
      <c r="B9115">
        <f>GS15</f>
        <v>0</v>
      </c>
      <c r="C9115" t="inlineStr">
        <is>
          <t>+LS9</t>
        </is>
      </c>
      <c r="D9115" t="inlineStr">
        <is>
          <t>-422K34.1</t>
        </is>
      </c>
      <c r="E9115" t="inlineStr">
        <is>
          <t>DIL_EM-10-G</t>
        </is>
      </c>
      <c r="F9115" t="inlineStr">
        <is>
          <t>#KALK!</t>
        </is>
      </c>
      <c r="G9115" t="inlineStr">
        <is>
          <t>LASTSCHUETZ</t>
        </is>
      </c>
      <c r="H9115" t="inlineStr">
        <is>
          <t>4kW 1S</t>
        </is>
      </c>
      <c r="I9115">
        <v>924</v>
      </c>
      <c r="J9115">
        <f>GS15/422.6</f>
        <v>0</v>
      </c>
      <c r="M9115" t="inlineStr">
        <is>
          <t>-422K34.1</t>
        </is>
      </c>
    </row>
    <row r="9116">
      <c r="A9116">
        <v>9115</v>
      </c>
      <c r="B9116">
        <f>GS24</f>
        <v>0</v>
      </c>
      <c r="C9116" t="inlineStr">
        <is>
          <t>+LS9</t>
        </is>
      </c>
      <c r="D9116" t="inlineStr">
        <is>
          <t>-422K40.5</t>
        </is>
      </c>
      <c r="E9116" t="inlineStr">
        <is>
          <t>DIL_EM-10-G</t>
        </is>
      </c>
      <c r="F9116" t="inlineStr">
        <is>
          <t>#KALK!</t>
        </is>
      </c>
      <c r="G9116" t="inlineStr">
        <is>
          <t>LASTSCHUETZ</t>
        </is>
      </c>
      <c r="H9116" t="inlineStr">
        <is>
          <t>4kW 1S</t>
        </is>
      </c>
      <c r="I9116">
        <v>665</v>
      </c>
      <c r="J9116">
        <f>GS24/422.6</f>
        <v>0</v>
      </c>
      <c r="M9116" t="inlineStr">
        <is>
          <t>-422K40.5</t>
        </is>
      </c>
    </row>
    <row r="9117">
      <c r="A9117">
        <v>9116</v>
      </c>
      <c r="B9117">
        <f>GS24</f>
        <v>0</v>
      </c>
      <c r="C9117" t="inlineStr">
        <is>
          <t>+LS9</t>
        </is>
      </c>
      <c r="D9117" t="inlineStr">
        <is>
          <t>-422K40.6</t>
        </is>
      </c>
      <c r="E9117" t="inlineStr">
        <is>
          <t>DIL_EM-10-G</t>
        </is>
      </c>
      <c r="F9117" t="inlineStr">
        <is>
          <t>#KALK!</t>
        </is>
      </c>
      <c r="G9117" t="inlineStr">
        <is>
          <t>LASTSCHUETZ</t>
        </is>
      </c>
      <c r="H9117" t="inlineStr">
        <is>
          <t>4kW 1S</t>
        </is>
      </c>
      <c r="I9117">
        <v>665</v>
      </c>
      <c r="J9117">
        <f>GS24/422.6</f>
        <v>0</v>
      </c>
      <c r="M9117" t="inlineStr">
        <is>
          <t>-422K40.6</t>
        </is>
      </c>
    </row>
    <row r="9118">
      <c r="A9118">
        <v>9117</v>
      </c>
      <c r="B9118">
        <f>GS16</f>
        <v>0</v>
      </c>
      <c r="C9118" t="inlineStr">
        <is>
          <t>+LS7</t>
        </is>
      </c>
      <c r="D9118" t="inlineStr">
        <is>
          <t>-422K53.2</t>
        </is>
      </c>
      <c r="E9118" t="inlineStr">
        <is>
          <t>DIL_EM-10-G</t>
        </is>
      </c>
      <c r="F9118" t="inlineStr">
        <is>
          <t>#KALK!</t>
        </is>
      </c>
      <c r="G9118" t="inlineStr">
        <is>
          <t>LASTSCHUETZ</t>
        </is>
      </c>
      <c r="H9118" t="inlineStr">
        <is>
          <t>4kW 1S</t>
        </is>
      </c>
      <c r="I9118">
        <v>659</v>
      </c>
      <c r="J9118">
        <f>GS16/422.6</f>
        <v>0</v>
      </c>
      <c r="M9118" t="inlineStr">
        <is>
          <t>-422K53.2</t>
        </is>
      </c>
    </row>
    <row r="9119">
      <c r="A9119">
        <v>9118</v>
      </c>
      <c r="B9119">
        <f>GS16</f>
        <v>0</v>
      </c>
      <c r="C9119" t="inlineStr">
        <is>
          <t>+LS7</t>
        </is>
      </c>
      <c r="D9119" t="inlineStr">
        <is>
          <t>-422K53.3</t>
        </is>
      </c>
      <c r="E9119" t="inlineStr">
        <is>
          <t>DIL_EM-10-G</t>
        </is>
      </c>
      <c r="F9119" t="inlineStr">
        <is>
          <t>#KALK!</t>
        </is>
      </c>
      <c r="G9119" t="inlineStr">
        <is>
          <t>LASTSCHUETZ</t>
        </is>
      </c>
      <c r="H9119" t="inlineStr">
        <is>
          <t>4kW 1S</t>
        </is>
      </c>
      <c r="I9119">
        <v>659</v>
      </c>
      <c r="J9119">
        <f>GS16/422.6</f>
        <v>0</v>
      </c>
      <c r="M9119" t="inlineStr">
        <is>
          <t>-422K53.3</t>
        </is>
      </c>
    </row>
    <row r="9120">
      <c r="A9120">
        <v>9119</v>
      </c>
      <c r="B9120">
        <f>GC22</f>
        <v>0</v>
      </c>
      <c r="C9120" t="inlineStr">
        <is>
          <t>+LS6</t>
        </is>
      </c>
      <c r="D9120" t="inlineStr">
        <is>
          <t>-422K54.4</t>
        </is>
      </c>
      <c r="E9120" t="inlineStr">
        <is>
          <t>DILM-9-01</t>
        </is>
      </c>
      <c r="F9120" t="inlineStr">
        <is>
          <t>#KALK!</t>
        </is>
      </c>
      <c r="G9120" t="inlineStr">
        <is>
          <t>LASTSCHUETZ</t>
        </is>
      </c>
      <c r="H9120" t="inlineStr">
        <is>
          <t>4kW 1Oe Federzugkl.</t>
        </is>
      </c>
      <c r="I9120">
        <v>3354</v>
      </c>
      <c r="J9120">
        <f>GC22/422.6</f>
        <v>0</v>
      </c>
      <c r="M9120" t="inlineStr">
        <is>
          <t>-422K54.4</t>
        </is>
      </c>
    </row>
    <row r="9121">
      <c r="A9121">
        <v>9120</v>
      </c>
      <c r="B9121">
        <f>GS12</f>
        <v>0</v>
      </c>
      <c r="C9121" t="inlineStr">
        <is>
          <t>+LS6</t>
        </is>
      </c>
      <c r="D9121" t="inlineStr">
        <is>
          <t>-422K54.4</t>
        </is>
      </c>
      <c r="E9121" t="inlineStr">
        <is>
          <t>DILM-9-01</t>
        </is>
      </c>
      <c r="F9121" t="inlineStr">
        <is>
          <t>#KALK!</t>
        </is>
      </c>
      <c r="G9121" t="inlineStr">
        <is>
          <t>LASTSCHUETZ</t>
        </is>
      </c>
      <c r="H9121" t="inlineStr">
        <is>
          <t>4kW 1Oe Federzugkl.</t>
        </is>
      </c>
      <c r="I9121">
        <v>554</v>
      </c>
      <c r="J9121">
        <f>GS12/422.6</f>
        <v>0</v>
      </c>
      <c r="M9121" t="inlineStr">
        <is>
          <t>-422K54.4</t>
        </is>
      </c>
    </row>
    <row r="9122">
      <c r="A9122">
        <v>9121</v>
      </c>
      <c r="B9122">
        <f>GC22</f>
        <v>0</v>
      </c>
      <c r="C9122" t="inlineStr">
        <is>
          <t>+LS6</t>
        </is>
      </c>
      <c r="D9122" t="inlineStr">
        <is>
          <t>-422K54.5</t>
        </is>
      </c>
      <c r="E9122" t="inlineStr">
        <is>
          <t>DIL_EM-10-G</t>
        </is>
      </c>
      <c r="F9122" t="inlineStr">
        <is>
          <t>#KALK!</t>
        </is>
      </c>
      <c r="G9122" t="inlineStr">
        <is>
          <t>LASTSCHUETZ</t>
        </is>
      </c>
      <c r="H9122" t="inlineStr">
        <is>
          <t>4kW 1S</t>
        </is>
      </c>
      <c r="I9122">
        <v>3354</v>
      </c>
      <c r="J9122">
        <f>GC22/422.7</f>
        <v>0</v>
      </c>
      <c r="M9122" t="inlineStr">
        <is>
          <t>-422K54.5</t>
        </is>
      </c>
    </row>
    <row r="9123">
      <c r="A9123">
        <v>9122</v>
      </c>
      <c r="B9123">
        <f>GS12</f>
        <v>0</v>
      </c>
      <c r="C9123" t="inlineStr">
        <is>
          <t>+LS6</t>
        </is>
      </c>
      <c r="D9123" t="inlineStr">
        <is>
          <t>-422K54.5</t>
        </is>
      </c>
      <c r="E9123" t="inlineStr">
        <is>
          <t>DIL_EM-10-G</t>
        </is>
      </c>
      <c r="F9123" t="inlineStr">
        <is>
          <t>#KALK!</t>
        </is>
      </c>
      <c r="G9123" t="inlineStr">
        <is>
          <t>LASTSCHUETZ</t>
        </is>
      </c>
      <c r="H9123" t="inlineStr">
        <is>
          <t>4kW 1S</t>
        </is>
      </c>
      <c r="I9123">
        <v>554</v>
      </c>
      <c r="J9123">
        <f>GS12/422.7</f>
        <v>0</v>
      </c>
      <c r="M9123" t="inlineStr">
        <is>
          <t>-422K54.5</t>
        </is>
      </c>
    </row>
    <row r="9124">
      <c r="A9124">
        <v>9123</v>
      </c>
      <c r="B9124">
        <f>GC22</f>
        <v>0</v>
      </c>
      <c r="C9124" t="inlineStr">
        <is>
          <t>+LS6</t>
        </is>
      </c>
      <c r="D9124" t="inlineStr">
        <is>
          <t>-422K56.6</t>
        </is>
      </c>
      <c r="E9124" t="inlineStr">
        <is>
          <t>DILM-9-01</t>
        </is>
      </c>
      <c r="F9124" t="inlineStr">
        <is>
          <t>#KALK!</t>
        </is>
      </c>
      <c r="G9124" t="inlineStr">
        <is>
          <t>LASTSCHUETZ</t>
        </is>
      </c>
      <c r="H9124" t="inlineStr">
        <is>
          <t>4kW 1Oe Federzugkl.</t>
        </is>
      </c>
      <c r="I9124">
        <v>3354</v>
      </c>
      <c r="J9124">
        <f>GC22/422.6</f>
        <v>0</v>
      </c>
      <c r="M9124" t="inlineStr">
        <is>
          <t>-422K56.6</t>
        </is>
      </c>
    </row>
    <row r="9125">
      <c r="A9125">
        <v>9124</v>
      </c>
      <c r="B9125">
        <f>GS12</f>
        <v>0</v>
      </c>
      <c r="C9125" t="inlineStr">
        <is>
          <t>+LS6</t>
        </is>
      </c>
      <c r="D9125" t="inlineStr">
        <is>
          <t>-422K56.6</t>
        </is>
      </c>
      <c r="E9125" t="inlineStr">
        <is>
          <t>DILM-9-01</t>
        </is>
      </c>
      <c r="F9125" t="inlineStr">
        <is>
          <t>#KALK!</t>
        </is>
      </c>
      <c r="G9125" t="inlineStr">
        <is>
          <t>LASTSCHUETZ</t>
        </is>
      </c>
      <c r="H9125" t="inlineStr">
        <is>
          <t>4kW 1Oe Federzugkl.</t>
        </is>
      </c>
      <c r="I9125">
        <v>554</v>
      </c>
      <c r="J9125">
        <f>GS12/422.6</f>
        <v>0</v>
      </c>
      <c r="M9125" t="inlineStr">
        <is>
          <t>-422K56.6</t>
        </is>
      </c>
    </row>
    <row r="9126">
      <c r="A9126">
        <v>9125</v>
      </c>
      <c r="B9126">
        <f>GS38</f>
        <v>0</v>
      </c>
      <c r="C9126" t="inlineStr">
        <is>
          <t>+LS09</t>
        </is>
      </c>
      <c r="D9126" t="inlineStr">
        <is>
          <t>-422Q123.1</t>
        </is>
      </c>
      <c r="E9126" t="inlineStr">
        <is>
          <t>DILA-XHI22</t>
        </is>
      </c>
      <c r="F9126" t="inlineStr">
        <is>
          <t>DILA-XHI22</t>
        </is>
      </c>
      <c r="G9126" t="inlineStr">
        <is>
          <t>HILFSKONTAKTBLOCK</t>
        </is>
      </c>
      <c r="H9126" t="inlineStr">
        <is>
          <t>2S 2OE Last+Hilfssch. Cage</t>
        </is>
      </c>
      <c r="I9126">
        <v>582</v>
      </c>
      <c r="J9126">
        <f>GS38/422.5</f>
        <v>0</v>
      </c>
      <c r="M9126" t="inlineStr">
        <is>
          <t>-422Q123.1</t>
        </is>
      </c>
    </row>
    <row r="9127">
      <c r="A9127">
        <v>9126</v>
      </c>
      <c r="B9127">
        <f>GS38</f>
        <v>0</v>
      </c>
      <c r="C9127" t="inlineStr">
        <is>
          <t>+LS09</t>
        </is>
      </c>
      <c r="D9127" t="inlineStr">
        <is>
          <t>-422Q123.1</t>
        </is>
      </c>
      <c r="E9127" t="inlineStr">
        <is>
          <t>DILM-9-10</t>
        </is>
      </c>
      <c r="F9127" t="inlineStr">
        <is>
          <t>DILA-XHI22</t>
        </is>
      </c>
      <c r="G9127" t="inlineStr">
        <is>
          <t>LASTSCHUETZ</t>
        </is>
      </c>
      <c r="H9127" t="inlineStr">
        <is>
          <t>4kW 1S Federzugkl.</t>
        </is>
      </c>
      <c r="I9127">
        <v>582</v>
      </c>
      <c r="J9127">
        <f>GS38/422.5</f>
        <v>0</v>
      </c>
      <c r="M9127" t="inlineStr">
        <is>
          <t>-422Q123.1</t>
        </is>
      </c>
    </row>
    <row r="9128">
      <c r="A9128">
        <v>9127</v>
      </c>
      <c r="B9128">
        <f>GS39</f>
        <v>0</v>
      </c>
      <c r="C9128" t="inlineStr">
        <is>
          <t>+LS09</t>
        </is>
      </c>
      <c r="D9128" t="inlineStr">
        <is>
          <t>-422Q123.1</t>
        </is>
      </c>
      <c r="E9128" t="inlineStr">
        <is>
          <t>DILA-XHI22</t>
        </is>
      </c>
      <c r="F9128" t="inlineStr">
        <is>
          <t>DILA-XHI22</t>
        </is>
      </c>
      <c r="G9128" t="inlineStr">
        <is>
          <t>HILFSKONTAKTBLOCK</t>
        </is>
      </c>
      <c r="H9128" t="inlineStr">
        <is>
          <t>2S 2OE Last+Hilfssch. Cage</t>
        </is>
      </c>
      <c r="I9128">
        <v>596</v>
      </c>
      <c r="J9128">
        <f>GS39/422.5</f>
        <v>0</v>
      </c>
      <c r="M9128" t="inlineStr">
        <is>
          <t>-422Q123.1</t>
        </is>
      </c>
    </row>
    <row r="9129">
      <c r="A9129">
        <v>9128</v>
      </c>
      <c r="B9129">
        <f>GS39</f>
        <v>0</v>
      </c>
      <c r="C9129" t="inlineStr">
        <is>
          <t>+LS09</t>
        </is>
      </c>
      <c r="D9129" t="inlineStr">
        <is>
          <t>-422Q123.1</t>
        </is>
      </c>
      <c r="E9129" t="inlineStr">
        <is>
          <t>DILM-9-10</t>
        </is>
      </c>
      <c r="F9129" t="inlineStr">
        <is>
          <t>DILA-XHI22</t>
        </is>
      </c>
      <c r="G9129" t="inlineStr">
        <is>
          <t>LASTSCHUETZ</t>
        </is>
      </c>
      <c r="H9129" t="inlineStr">
        <is>
          <t>4kW 1S Federzugkl.</t>
        </is>
      </c>
      <c r="I9129">
        <v>596</v>
      </c>
      <c r="J9129">
        <f>GS39/422.5</f>
        <v>0</v>
      </c>
      <c r="M9129" t="inlineStr">
        <is>
          <t>-422Q123.1</t>
        </is>
      </c>
    </row>
    <row r="9130">
      <c r="A9130">
        <v>9129</v>
      </c>
      <c r="B9130">
        <f>GS36</f>
        <v>0</v>
      </c>
      <c r="C9130" t="inlineStr">
        <is>
          <t>+LS11</t>
        </is>
      </c>
      <c r="D9130" t="inlineStr">
        <is>
          <t>-955Q719.1</t>
        </is>
      </c>
      <c r="E9130" t="inlineStr">
        <is>
          <t>DILMC12-10(24VDC)</t>
        </is>
      </c>
      <c r="F9130" t="inlineStr">
        <is>
          <t>#KALK!</t>
        </is>
      </c>
      <c r="G9130" t="inlineStr">
        <is>
          <t>LASTSCHUETZ</t>
        </is>
      </c>
      <c r="H9130" t="inlineStr">
        <is>
          <t>5,5kW 1S Federzugkl.</t>
        </is>
      </c>
      <c r="I9130">
        <v>1512</v>
      </c>
      <c r="J9130">
        <f>GS36/955.6</f>
        <v>0</v>
      </c>
      <c r="K9130" t="inlineStr">
        <is>
          <t>DIL MC12</t>
        </is>
      </c>
      <c r="L9130" t="inlineStr">
        <is>
          <t>SHT 3704</t>
        </is>
      </c>
      <c r="M9130" t="inlineStr">
        <is>
          <t>SHT 3704
-955Q719.1</t>
        </is>
      </c>
      <c r="N9130" t="inlineStr">
        <is>
          <t>P</t>
        </is>
      </c>
    </row>
    <row r="9131">
      <c r="A9131">
        <v>9130</v>
      </c>
      <c r="B9131">
        <f>GS36</f>
        <v>0</v>
      </c>
      <c r="C9131" t="inlineStr">
        <is>
          <t>+LS12</t>
        </is>
      </c>
      <c r="D9131" t="inlineStr">
        <is>
          <t>-1000Q722.5</t>
        </is>
      </c>
      <c r="E9131" t="inlineStr">
        <is>
          <t>DILMC12-10(24VDC)</t>
        </is>
      </c>
      <c r="F9131" t="inlineStr">
        <is>
          <t>DILA-XHI22</t>
        </is>
      </c>
      <c r="G9131" t="inlineStr">
        <is>
          <t>LASTSCHUETZ</t>
        </is>
      </c>
      <c r="H9131" t="inlineStr">
        <is>
          <t>5,5kW 1S Federzugkl.</t>
        </is>
      </c>
      <c r="I9131">
        <v>1557</v>
      </c>
      <c r="J9131">
        <f>GS36/1000.5</f>
        <v>0</v>
      </c>
      <c r="K9131" t="inlineStr">
        <is>
          <t>DIL MC12</t>
        </is>
      </c>
      <c r="L9131" t="inlineStr">
        <is>
          <t>HT_3813</t>
        </is>
      </c>
      <c r="M9131" t="inlineStr">
        <is>
          <t>HT_3813
-1000Q722.5</t>
        </is>
      </c>
      <c r="N9131" t="inlineStr">
        <is>
          <t>P</t>
        </is>
      </c>
    </row>
    <row r="9132">
      <c r="A9132">
        <v>9131</v>
      </c>
      <c r="B9132">
        <f>GS16</f>
        <v>0</v>
      </c>
      <c r="C9132" t="inlineStr">
        <is>
          <t>+LS7</t>
        </is>
      </c>
      <c r="D9132" t="inlineStr">
        <is>
          <t>-423K53.7</t>
        </is>
      </c>
      <c r="E9132" t="inlineStr">
        <is>
          <t>DIL_EM-10-G</t>
        </is>
      </c>
      <c r="F9132" t="inlineStr">
        <is>
          <t>#KALK!</t>
        </is>
      </c>
      <c r="G9132" t="inlineStr">
        <is>
          <t>LASTSCHUETZ</t>
        </is>
      </c>
      <c r="H9132" t="inlineStr">
        <is>
          <t>4kW 1S</t>
        </is>
      </c>
      <c r="I9132">
        <v>660</v>
      </c>
      <c r="J9132">
        <f>GS16/423.7</f>
        <v>0</v>
      </c>
      <c r="M9132" t="inlineStr">
        <is>
          <t>-423K53.7</t>
        </is>
      </c>
    </row>
    <row r="9133">
      <c r="A9133">
        <v>9132</v>
      </c>
      <c r="B9133">
        <f>GC22</f>
        <v>0</v>
      </c>
      <c r="C9133" t="inlineStr">
        <is>
          <t>+LS6</t>
        </is>
      </c>
      <c r="D9133" t="inlineStr">
        <is>
          <t>-423K55.3</t>
        </is>
      </c>
      <c r="E9133" t="inlineStr">
        <is>
          <t>DIL_EM-10-G</t>
        </is>
      </c>
      <c r="F9133" t="inlineStr">
        <is>
          <t>#KALK!</t>
        </is>
      </c>
      <c r="G9133" t="inlineStr">
        <is>
          <t>LASTSCHUETZ</t>
        </is>
      </c>
      <c r="H9133" t="inlineStr">
        <is>
          <t>4kW 1S</t>
        </is>
      </c>
      <c r="I9133">
        <v>3353</v>
      </c>
      <c r="J9133">
        <f>GC22/423.7</f>
        <v>0</v>
      </c>
      <c r="M9133" t="inlineStr">
        <is>
          <t>-423K55.3</t>
        </is>
      </c>
    </row>
    <row r="9134">
      <c r="A9134">
        <v>9133</v>
      </c>
      <c r="B9134">
        <f>GS12</f>
        <v>0</v>
      </c>
      <c r="C9134" t="inlineStr">
        <is>
          <t>+LS6</t>
        </is>
      </c>
      <c r="D9134" t="inlineStr">
        <is>
          <t>-423K55.3</t>
        </is>
      </c>
      <c r="E9134" t="inlineStr">
        <is>
          <t>DIL_EM-10-G</t>
        </is>
      </c>
      <c r="F9134" t="inlineStr">
        <is>
          <t>#KALK!</t>
        </is>
      </c>
      <c r="G9134" t="inlineStr">
        <is>
          <t>LASTSCHUETZ</t>
        </is>
      </c>
      <c r="H9134" t="inlineStr">
        <is>
          <t>4kW 1S</t>
        </is>
      </c>
      <c r="I9134">
        <v>555</v>
      </c>
      <c r="J9134">
        <f>GS12/423.7</f>
        <v>0</v>
      </c>
      <c r="M9134" t="inlineStr">
        <is>
          <t>-423K55.3</t>
        </is>
      </c>
    </row>
    <row r="9135">
      <c r="A9135">
        <v>9134</v>
      </c>
      <c r="B9135">
        <f>GS11</f>
        <v>0</v>
      </c>
      <c r="C9135" t="inlineStr">
        <is>
          <t>+LS11</t>
        </is>
      </c>
      <c r="D9135" t="inlineStr">
        <is>
          <t>-423K70.3</t>
        </is>
      </c>
      <c r="E9135" t="inlineStr">
        <is>
          <t>DIL_EM-10-G</t>
        </is>
      </c>
      <c r="F9135" t="inlineStr">
        <is>
          <t>#KALK!</t>
        </is>
      </c>
      <c r="G9135" t="inlineStr">
        <is>
          <t>LASTSCHUETZ</t>
        </is>
      </c>
      <c r="H9135" t="inlineStr">
        <is>
          <t>4kW 1S</t>
        </is>
      </c>
      <c r="I9135">
        <v>529</v>
      </c>
      <c r="J9135">
        <f>GS11/423.7</f>
        <v>0</v>
      </c>
      <c r="M9135" t="inlineStr">
        <is>
          <t>-423K70.3</t>
        </is>
      </c>
    </row>
    <row r="9136">
      <c r="A9136">
        <v>9135</v>
      </c>
      <c r="B9136">
        <f>GS21</f>
        <v>0</v>
      </c>
      <c r="C9136" t="inlineStr">
        <is>
          <t>+LS11</t>
        </is>
      </c>
      <c r="D9136" t="inlineStr">
        <is>
          <t>-423K70.3</t>
        </is>
      </c>
      <c r="E9136" t="inlineStr">
        <is>
          <t>DIL_EM-10-G</t>
        </is>
      </c>
      <c r="F9136" t="inlineStr">
        <is>
          <t>#KALK!</t>
        </is>
      </c>
      <c r="G9136" t="inlineStr">
        <is>
          <t>LASTSCHUETZ</t>
        </is>
      </c>
      <c r="H9136" t="inlineStr">
        <is>
          <t>4kW 1S</t>
        </is>
      </c>
      <c r="I9136">
        <v>511</v>
      </c>
      <c r="J9136">
        <f>GS21/423.7</f>
        <v>0</v>
      </c>
      <c r="M9136" t="inlineStr">
        <is>
          <t>-423K70.3</t>
        </is>
      </c>
    </row>
    <row r="9137">
      <c r="A9137">
        <v>9136</v>
      </c>
      <c r="B9137">
        <f>GS37</f>
        <v>0</v>
      </c>
      <c r="C9137" t="inlineStr">
        <is>
          <t>+LS09</t>
        </is>
      </c>
      <c r="D9137" t="inlineStr">
        <is>
          <t>-423Q707.4</t>
        </is>
      </c>
      <c r="E9137" t="inlineStr">
        <is>
          <t>DILM-9-10</t>
        </is>
      </c>
      <c r="F9137" t="inlineStr">
        <is>
          <t>#KALK!</t>
        </is>
      </c>
      <c r="G9137" t="inlineStr">
        <is>
          <t>LASTSCHUETZ</t>
        </is>
      </c>
      <c r="H9137" t="inlineStr">
        <is>
          <t>4kW 1S Federzugkl.</t>
        </is>
      </c>
      <c r="I9137">
        <v>530</v>
      </c>
      <c r="J9137">
        <f>GS37/423.6</f>
        <v>0</v>
      </c>
      <c r="M9137" t="inlineStr">
        <is>
          <t>-423Q707.4</t>
        </is>
      </c>
    </row>
    <row r="9138">
      <c r="A9138">
        <v>9137</v>
      </c>
      <c r="B9138">
        <f>GS15</f>
        <v>0</v>
      </c>
      <c r="C9138" t="inlineStr">
        <is>
          <t>+LS9</t>
        </is>
      </c>
      <c r="D9138" t="inlineStr">
        <is>
          <t>-424K34.7</t>
        </is>
      </c>
      <c r="E9138" t="inlineStr">
        <is>
          <t>DIL_EM-10-G</t>
        </is>
      </c>
      <c r="F9138" t="inlineStr">
        <is>
          <t>#KALK!</t>
        </is>
      </c>
      <c r="G9138" t="inlineStr">
        <is>
          <t>LASTSCHUETZ</t>
        </is>
      </c>
      <c r="H9138" t="inlineStr">
        <is>
          <t>4kW 1S</t>
        </is>
      </c>
      <c r="I9138">
        <v>926</v>
      </c>
      <c r="J9138">
        <f>GS15/424.5</f>
        <v>0</v>
      </c>
      <c r="M9138" t="inlineStr">
        <is>
          <t>-424K34.7</t>
        </is>
      </c>
    </row>
    <row r="9139">
      <c r="A9139">
        <v>9138</v>
      </c>
      <c r="B9139">
        <f>GS15</f>
        <v>0</v>
      </c>
      <c r="C9139" t="inlineStr">
        <is>
          <t>+LS9</t>
        </is>
      </c>
      <c r="D9139" t="inlineStr">
        <is>
          <t>-424K35.0</t>
        </is>
      </c>
      <c r="E9139" t="inlineStr">
        <is>
          <t>DIL_EM-10-G</t>
        </is>
      </c>
      <c r="F9139" t="inlineStr">
        <is>
          <t>#KALK!</t>
        </is>
      </c>
      <c r="G9139" t="inlineStr">
        <is>
          <t>LASTSCHUETZ</t>
        </is>
      </c>
      <c r="H9139" t="inlineStr">
        <is>
          <t>4kW 1S</t>
        </is>
      </c>
      <c r="I9139">
        <v>926</v>
      </c>
      <c r="J9139">
        <f>GS15/424.6</f>
        <v>0</v>
      </c>
      <c r="M9139" t="inlineStr">
        <is>
          <t>-424K35.0</t>
        </is>
      </c>
    </row>
    <row r="9140">
      <c r="A9140">
        <v>9139</v>
      </c>
      <c r="B9140">
        <f>GS15</f>
        <v>0</v>
      </c>
      <c r="C9140" t="inlineStr">
        <is>
          <t>+LS9</t>
        </is>
      </c>
      <c r="D9140" t="inlineStr">
        <is>
          <t>-424K35.1</t>
        </is>
      </c>
      <c r="E9140" t="inlineStr">
        <is>
          <t>DIL_EM-01-G</t>
        </is>
      </c>
      <c r="F9140" t="inlineStr">
        <is>
          <t>#KALK!</t>
        </is>
      </c>
      <c r="G9140" t="inlineStr">
        <is>
          <t>LASTSCHUETZ</t>
        </is>
      </c>
      <c r="H9140" t="inlineStr">
        <is>
          <t>4kW 1OE</t>
        </is>
      </c>
      <c r="I9140">
        <v>926</v>
      </c>
      <c r="J9140">
        <f>GS15/424.7</f>
        <v>0</v>
      </c>
      <c r="M9140" t="inlineStr">
        <is>
          <t>-424K35.1</t>
        </is>
      </c>
    </row>
    <row r="9141">
      <c r="A9141">
        <v>9140</v>
      </c>
      <c r="B9141">
        <f>GS15</f>
        <v>0</v>
      </c>
      <c r="C9141" t="inlineStr">
        <is>
          <t>+LS9</t>
        </is>
      </c>
      <c r="D9141" t="inlineStr">
        <is>
          <t>-424K35.2</t>
        </is>
      </c>
      <c r="E9141" t="inlineStr">
        <is>
          <t>DIL_EM-01-G</t>
        </is>
      </c>
      <c r="F9141" t="inlineStr">
        <is>
          <t>#KALK!</t>
        </is>
      </c>
      <c r="G9141" t="inlineStr">
        <is>
          <t>LASTSCHUETZ</t>
        </is>
      </c>
      <c r="H9141" t="inlineStr">
        <is>
          <t>4kW 1OE</t>
        </is>
      </c>
      <c r="I9141">
        <v>926</v>
      </c>
      <c r="J9141">
        <f>GS15/424.8</f>
        <v>0</v>
      </c>
      <c r="M9141" t="inlineStr">
        <is>
          <t>-424K35.2</t>
        </is>
      </c>
    </row>
    <row r="9142">
      <c r="A9142">
        <v>9141</v>
      </c>
      <c r="B9142">
        <f>GS25</f>
        <v>0</v>
      </c>
      <c r="C9142" t="inlineStr">
        <is>
          <t>+ES3</t>
        </is>
      </c>
      <c r="D9142" t="inlineStr">
        <is>
          <t>-424K3548.0</t>
        </is>
      </c>
      <c r="E9142" t="inlineStr">
        <is>
          <t>DIL_ER-40-G</t>
        </is>
      </c>
      <c r="F9142" t="inlineStr">
        <is>
          <t>40_DIL-E</t>
        </is>
      </c>
      <c r="G9142" t="inlineStr">
        <is>
          <t>HILFSSCHUETZ</t>
        </is>
      </c>
      <c r="H9142" t="inlineStr">
        <is>
          <t>4S</t>
        </is>
      </c>
      <c r="I9142">
        <v>550</v>
      </c>
      <c r="J9142">
        <f>GS25/424.5</f>
        <v>0</v>
      </c>
      <c r="M9142" t="inlineStr">
        <is>
          <t>-424K3548.0</t>
        </is>
      </c>
    </row>
    <row r="9143">
      <c r="A9143">
        <v>9142</v>
      </c>
      <c r="B9143">
        <f>GS25</f>
        <v>0</v>
      </c>
      <c r="C9143" t="inlineStr">
        <is>
          <t>+ES3</t>
        </is>
      </c>
      <c r="D9143" t="inlineStr">
        <is>
          <t>-424K3548.0</t>
        </is>
      </c>
      <c r="E9143" t="inlineStr">
        <is>
          <t>40_DIL-E</t>
        </is>
      </c>
      <c r="F9143" t="inlineStr">
        <is>
          <t>40_DIL-E</t>
        </is>
      </c>
      <c r="G9143" t="inlineStr">
        <is>
          <t>HILFSKONTAKTBLOCK</t>
        </is>
      </c>
      <c r="H9143" t="inlineStr">
        <is>
          <t>4S Last+Hilfsschuetz</t>
        </is>
      </c>
      <c r="I9143">
        <v>550</v>
      </c>
      <c r="J9143">
        <f>GS25/424.5</f>
        <v>0</v>
      </c>
      <c r="M9143" t="inlineStr">
        <is>
          <t>-424K3548.0</t>
        </is>
      </c>
    </row>
    <row r="9144">
      <c r="A9144">
        <v>9143</v>
      </c>
      <c r="B9144">
        <f>GS25</f>
        <v>0</v>
      </c>
      <c r="C9144" t="inlineStr">
        <is>
          <t>+ES3</t>
        </is>
      </c>
      <c r="D9144" t="inlineStr">
        <is>
          <t>-424K3548.0.1</t>
        </is>
      </c>
      <c r="E9144" t="inlineStr">
        <is>
          <t>DIL_ER-40-G</t>
        </is>
      </c>
      <c r="F9144" t="inlineStr">
        <is>
          <t>40_DIL-E</t>
        </is>
      </c>
      <c r="G9144" t="inlineStr">
        <is>
          <t>HILFSSCHUETZ</t>
        </is>
      </c>
      <c r="H9144" t="inlineStr">
        <is>
          <t>4S</t>
        </is>
      </c>
      <c r="I9144">
        <v>550</v>
      </c>
      <c r="J9144">
        <f>GS25/424.6</f>
        <v>0</v>
      </c>
      <c r="M9144" t="inlineStr">
        <is>
          <t>-424K3548.0.1</t>
        </is>
      </c>
    </row>
    <row r="9145">
      <c r="A9145">
        <v>9144</v>
      </c>
      <c r="B9145">
        <f>GS25</f>
        <v>0</v>
      </c>
      <c r="C9145" t="inlineStr">
        <is>
          <t>+ES3</t>
        </is>
      </c>
      <c r="D9145" t="inlineStr">
        <is>
          <t>-424K3548.0.1</t>
        </is>
      </c>
      <c r="E9145" t="inlineStr">
        <is>
          <t>40_DIL-E</t>
        </is>
      </c>
      <c r="F9145" t="inlineStr">
        <is>
          <t>40_DIL-E</t>
        </is>
      </c>
      <c r="G9145" t="inlineStr">
        <is>
          <t>HILFSKONTAKTBLOCK</t>
        </is>
      </c>
      <c r="H9145" t="inlineStr">
        <is>
          <t>4S Last+Hilfsschuetz</t>
        </is>
      </c>
      <c r="I9145">
        <v>550</v>
      </c>
      <c r="J9145">
        <f>GS25/424.6</f>
        <v>0</v>
      </c>
      <c r="M9145" t="inlineStr">
        <is>
          <t>-424K3548.0.1</t>
        </is>
      </c>
    </row>
    <row r="9146">
      <c r="A9146">
        <v>9145</v>
      </c>
      <c r="B9146">
        <f>GS25</f>
        <v>0</v>
      </c>
      <c r="C9146" t="inlineStr">
        <is>
          <t>+ES3</t>
        </is>
      </c>
      <c r="D9146" t="inlineStr">
        <is>
          <t>-424K3548.1</t>
        </is>
      </c>
      <c r="E9146" t="inlineStr">
        <is>
          <t>DIL_ER-40-G</t>
        </is>
      </c>
      <c r="F9146" t="inlineStr">
        <is>
          <t>40_DIL-E</t>
        </is>
      </c>
      <c r="G9146" t="inlineStr">
        <is>
          <t>HILFSSCHUETZ</t>
        </is>
      </c>
      <c r="H9146" t="inlineStr">
        <is>
          <t>4S</t>
        </is>
      </c>
      <c r="I9146">
        <v>550</v>
      </c>
      <c r="J9146">
        <f>GS25/424.7</f>
        <v>0</v>
      </c>
      <c r="M9146" t="inlineStr">
        <is>
          <t>-424K3548.1</t>
        </is>
      </c>
    </row>
    <row r="9147">
      <c r="A9147">
        <v>9146</v>
      </c>
      <c r="B9147">
        <f>GS25</f>
        <v>0</v>
      </c>
      <c r="C9147" t="inlineStr">
        <is>
          <t>+ES3</t>
        </is>
      </c>
      <c r="D9147" t="inlineStr">
        <is>
          <t>-424K3548.1</t>
        </is>
      </c>
      <c r="E9147" t="inlineStr">
        <is>
          <t>40_DIL-E</t>
        </is>
      </c>
      <c r="F9147" t="inlineStr">
        <is>
          <t>40_DIL-E</t>
        </is>
      </c>
      <c r="G9147" t="inlineStr">
        <is>
          <t>HILFSKONTAKTBLOCK</t>
        </is>
      </c>
      <c r="H9147" t="inlineStr">
        <is>
          <t>4S Last+Hilfsschuetz</t>
        </is>
      </c>
      <c r="I9147">
        <v>550</v>
      </c>
      <c r="J9147">
        <f>GS25/424.7</f>
        <v>0</v>
      </c>
      <c r="M9147" t="inlineStr">
        <is>
          <t>-424K3548.1</t>
        </is>
      </c>
    </row>
    <row r="9148">
      <c r="A9148">
        <v>9147</v>
      </c>
      <c r="B9148">
        <f>GS16</f>
        <v>0</v>
      </c>
      <c r="C9148" t="inlineStr">
        <is>
          <t>+LS7</t>
        </is>
      </c>
      <c r="D9148" t="inlineStr">
        <is>
          <t>-424K54.5</t>
        </is>
      </c>
      <c r="E9148" t="inlineStr">
        <is>
          <t>DIL_EM-10-G</t>
        </is>
      </c>
      <c r="F9148" t="inlineStr">
        <is>
          <t>#KALK!</t>
        </is>
      </c>
      <c r="G9148" t="inlineStr">
        <is>
          <t>LASTSCHUETZ</t>
        </is>
      </c>
      <c r="H9148" t="inlineStr">
        <is>
          <t>4kW 1S</t>
        </is>
      </c>
      <c r="I9148">
        <v>661</v>
      </c>
      <c r="J9148">
        <f>GS16/424.7</f>
        <v>0</v>
      </c>
      <c r="M9148" t="inlineStr">
        <is>
          <t>-424K54.5</t>
        </is>
      </c>
    </row>
    <row r="9149">
      <c r="A9149">
        <v>9148</v>
      </c>
      <c r="B9149">
        <f>GC22</f>
        <v>0</v>
      </c>
      <c r="C9149" t="inlineStr">
        <is>
          <t>+LS6</t>
        </is>
      </c>
      <c r="D9149" t="inlineStr">
        <is>
          <t>-424K55.4</t>
        </is>
      </c>
      <c r="E9149" t="inlineStr">
        <is>
          <t>DILM-9-01</t>
        </is>
      </c>
      <c r="F9149" t="inlineStr">
        <is>
          <t>#KALK!</t>
        </is>
      </c>
      <c r="G9149" t="inlineStr">
        <is>
          <t>LASTSCHUETZ</t>
        </is>
      </c>
      <c r="H9149" t="inlineStr">
        <is>
          <t>4kW 1Oe Federzugkl.</t>
        </is>
      </c>
      <c r="I9149">
        <v>3352</v>
      </c>
      <c r="J9149">
        <f>GC22/424.6</f>
        <v>0</v>
      </c>
      <c r="M9149" t="inlineStr">
        <is>
          <t>-424K55.4</t>
        </is>
      </c>
    </row>
    <row r="9150">
      <c r="A9150">
        <v>9149</v>
      </c>
      <c r="B9150">
        <f>GS12</f>
        <v>0</v>
      </c>
      <c r="C9150" t="inlineStr">
        <is>
          <t>+LS6</t>
        </is>
      </c>
      <c r="D9150" t="inlineStr">
        <is>
          <t>-424K55.4</t>
        </is>
      </c>
      <c r="E9150" t="inlineStr">
        <is>
          <t>DILM-9-01</t>
        </is>
      </c>
      <c r="F9150" t="inlineStr">
        <is>
          <t>#KALK!</t>
        </is>
      </c>
      <c r="G9150" t="inlineStr">
        <is>
          <t>LASTSCHUETZ</t>
        </is>
      </c>
      <c r="H9150" t="inlineStr">
        <is>
          <t>4kW 1Oe Federzugkl.</t>
        </is>
      </c>
      <c r="I9150">
        <v>556</v>
      </c>
      <c r="J9150">
        <f>GS12/424.6</f>
        <v>0</v>
      </c>
      <c r="M9150" t="inlineStr">
        <is>
          <t>-424K55.4</t>
        </is>
      </c>
    </row>
    <row r="9151">
      <c r="A9151">
        <v>9150</v>
      </c>
      <c r="B9151">
        <f>GC22</f>
        <v>0</v>
      </c>
      <c r="C9151" t="inlineStr">
        <is>
          <t>+LS6</t>
        </is>
      </c>
      <c r="D9151" t="inlineStr">
        <is>
          <t>-424K55.5</t>
        </is>
      </c>
      <c r="E9151" t="inlineStr">
        <is>
          <t>DIL_EM-10-G</t>
        </is>
      </c>
      <c r="F9151" t="inlineStr">
        <is>
          <t>#KALK!</t>
        </is>
      </c>
      <c r="G9151" t="inlineStr">
        <is>
          <t>LASTSCHUETZ</t>
        </is>
      </c>
      <c r="H9151" t="inlineStr">
        <is>
          <t>4kW 1S</t>
        </is>
      </c>
      <c r="I9151">
        <v>3352</v>
      </c>
      <c r="J9151">
        <f>GC22/424.7</f>
        <v>0</v>
      </c>
      <c r="M9151" t="inlineStr">
        <is>
          <t>-424K55.5</t>
        </is>
      </c>
    </row>
    <row r="9152">
      <c r="A9152">
        <v>9151</v>
      </c>
      <c r="B9152">
        <f>GS12</f>
        <v>0</v>
      </c>
      <c r="C9152" t="inlineStr">
        <is>
          <t>+LS6</t>
        </is>
      </c>
      <c r="D9152" t="inlineStr">
        <is>
          <t>-424K55.5</t>
        </is>
      </c>
      <c r="E9152" t="inlineStr">
        <is>
          <t>DIL_EM-10-G</t>
        </is>
      </c>
      <c r="F9152" t="inlineStr">
        <is>
          <t>#KALK!</t>
        </is>
      </c>
      <c r="G9152" t="inlineStr">
        <is>
          <t>LASTSCHUETZ</t>
        </is>
      </c>
      <c r="H9152" t="inlineStr">
        <is>
          <t>4kW 1S</t>
        </is>
      </c>
      <c r="I9152">
        <v>556</v>
      </c>
      <c r="J9152">
        <f>GS12/424.7</f>
        <v>0</v>
      </c>
      <c r="M9152" t="inlineStr">
        <is>
          <t>-424K55.5</t>
        </is>
      </c>
    </row>
    <row r="9153">
      <c r="A9153">
        <v>9152</v>
      </c>
      <c r="B9153">
        <f>GC22</f>
        <v>0</v>
      </c>
      <c r="C9153" t="inlineStr">
        <is>
          <t>+LS6</t>
        </is>
      </c>
      <c r="D9153" t="inlineStr">
        <is>
          <t>-424K56.7</t>
        </is>
      </c>
      <c r="E9153" t="inlineStr">
        <is>
          <t>DILM-9-01</t>
        </is>
      </c>
      <c r="F9153" t="inlineStr">
        <is>
          <t>#KALK!</t>
        </is>
      </c>
      <c r="G9153" t="inlineStr">
        <is>
          <t>LASTSCHUETZ</t>
        </is>
      </c>
      <c r="H9153" t="inlineStr">
        <is>
          <t>4kW 1Oe Federzugkl.</t>
        </is>
      </c>
      <c r="I9153">
        <v>3352</v>
      </c>
      <c r="J9153">
        <f>GC22/424.6</f>
        <v>0</v>
      </c>
      <c r="M9153" t="inlineStr">
        <is>
          <t>-424K56.7</t>
        </is>
      </c>
    </row>
    <row r="9154">
      <c r="A9154">
        <v>9153</v>
      </c>
      <c r="B9154">
        <f>GS12</f>
        <v>0</v>
      </c>
      <c r="C9154" t="inlineStr">
        <is>
          <t>+LS6</t>
        </is>
      </c>
      <c r="D9154" t="inlineStr">
        <is>
          <t>-424K56.7</t>
        </is>
      </c>
      <c r="E9154" t="inlineStr">
        <is>
          <t>DILM-9-01</t>
        </is>
      </c>
      <c r="F9154" t="inlineStr">
        <is>
          <t>#KALK!</t>
        </is>
      </c>
      <c r="G9154" t="inlineStr">
        <is>
          <t>LASTSCHUETZ</t>
        </is>
      </c>
      <c r="H9154" t="inlineStr">
        <is>
          <t>4kW 1Oe Federzugkl.</t>
        </is>
      </c>
      <c r="I9154">
        <v>556</v>
      </c>
      <c r="J9154">
        <f>GS12/424.6</f>
        <v>0</v>
      </c>
      <c r="M9154" t="inlineStr">
        <is>
          <t>-424K56.7</t>
        </is>
      </c>
    </row>
    <row r="9155">
      <c r="A9155">
        <v>9154</v>
      </c>
      <c r="B9155">
        <f>GS11</f>
        <v>0</v>
      </c>
      <c r="C9155" t="inlineStr">
        <is>
          <t>+LS11</t>
        </is>
      </c>
      <c r="D9155" t="inlineStr">
        <is>
          <t>-424K70.7</t>
        </is>
      </c>
      <c r="E9155" t="inlineStr">
        <is>
          <t>DIL_EM-10-G</t>
        </is>
      </c>
      <c r="F9155" t="inlineStr">
        <is>
          <t>#KALK!</t>
        </is>
      </c>
      <c r="G9155" t="inlineStr">
        <is>
          <t>LASTSCHUETZ</t>
        </is>
      </c>
      <c r="H9155" t="inlineStr">
        <is>
          <t>4kW 1S</t>
        </is>
      </c>
      <c r="I9155">
        <v>530</v>
      </c>
      <c r="J9155">
        <f>GS11/424.7</f>
        <v>0</v>
      </c>
      <c r="M9155" t="inlineStr">
        <is>
          <t>-424K70.7</t>
        </is>
      </c>
    </row>
    <row r="9156">
      <c r="A9156">
        <v>9155</v>
      </c>
      <c r="B9156">
        <f>GS21</f>
        <v>0</v>
      </c>
      <c r="C9156" t="inlineStr">
        <is>
          <t>+LS11</t>
        </is>
      </c>
      <c r="D9156" t="inlineStr">
        <is>
          <t>-424K70.7</t>
        </is>
      </c>
      <c r="E9156" t="inlineStr">
        <is>
          <t>DIL_EM-10-G</t>
        </is>
      </c>
      <c r="F9156" t="inlineStr">
        <is>
          <t>#KALK!</t>
        </is>
      </c>
      <c r="G9156" t="inlineStr">
        <is>
          <t>LASTSCHUETZ</t>
        </is>
      </c>
      <c r="H9156" t="inlineStr">
        <is>
          <t>4kW 1S</t>
        </is>
      </c>
      <c r="I9156">
        <v>512</v>
      </c>
      <c r="J9156">
        <f>GS21/424.7</f>
        <v>0</v>
      </c>
      <c r="M9156" t="inlineStr">
        <is>
          <t>-424K70.7</t>
        </is>
      </c>
    </row>
    <row r="9157">
      <c r="A9157">
        <v>9156</v>
      </c>
      <c r="B9157">
        <f>GC03</f>
        <v>0</v>
      </c>
      <c r="C9157" t="inlineStr">
        <is>
          <t>+LS10</t>
        </is>
      </c>
      <c r="D9157" t="inlineStr">
        <is>
          <t>-425K1</t>
        </is>
      </c>
      <c r="E9157" t="inlineStr">
        <is>
          <t>22_DIL-M</t>
        </is>
      </c>
      <c r="F9157" t="inlineStr">
        <is>
          <t>22_DIL-M</t>
        </is>
      </c>
      <c r="G9157" t="inlineStr">
        <is>
          <t>HILFSKONTAKTBLOCK</t>
        </is>
      </c>
      <c r="H9157" t="inlineStr">
        <is>
          <t>2S 2OE Lastschuetz DIL M</t>
        </is>
      </c>
      <c r="I9157">
        <v>960</v>
      </c>
      <c r="J9157">
        <f>GC03/425.2</f>
        <v>0</v>
      </c>
      <c r="K9157" t="inlineStr">
        <is>
          <t>DIL0AM</t>
        </is>
      </c>
      <c r="M9157" t="inlineStr">
        <is>
          <t>-425K1</t>
        </is>
      </c>
    </row>
    <row r="9158">
      <c r="A9158">
        <v>9157</v>
      </c>
      <c r="B9158">
        <f>GC03</f>
        <v>0</v>
      </c>
      <c r="C9158" t="inlineStr">
        <is>
          <t>+LS10</t>
        </is>
      </c>
      <c r="D9158" t="inlineStr">
        <is>
          <t>-425K1</t>
        </is>
      </c>
      <c r="E9158" t="inlineStr">
        <is>
          <t>DIL_0AM</t>
        </is>
      </c>
      <c r="F9158" t="inlineStr">
        <is>
          <t>22_DIL-M</t>
        </is>
      </c>
      <c r="G9158" t="inlineStr">
        <is>
          <t>LASTSCHUETZ</t>
        </is>
      </c>
      <c r="H9158" t="inlineStr">
        <is>
          <t>11 kW</t>
        </is>
      </c>
      <c r="I9158">
        <v>960</v>
      </c>
      <c r="J9158">
        <f>GC03/425.2</f>
        <v>0</v>
      </c>
      <c r="K9158" t="inlineStr">
        <is>
          <t>DIL0AM</t>
        </is>
      </c>
      <c r="M9158" t="inlineStr">
        <is>
          <t>-425K1</t>
        </is>
      </c>
    </row>
    <row r="9159">
      <c r="A9159">
        <v>9158</v>
      </c>
      <c r="B9159">
        <f>GS06</f>
        <v>0</v>
      </c>
      <c r="C9159" t="inlineStr">
        <is>
          <t>+LS07</t>
        </is>
      </c>
      <c r="D9159" t="inlineStr">
        <is>
          <t>-425K1</t>
        </is>
      </c>
      <c r="E9159" t="inlineStr">
        <is>
          <t>DILA-22</t>
        </is>
      </c>
      <c r="F9159" t="inlineStr">
        <is>
          <t>#KALK!</t>
        </is>
      </c>
      <c r="G9159" t="inlineStr">
        <is>
          <t>HILFSSCHUETZ</t>
        </is>
      </c>
      <c r="H9159" t="inlineStr">
        <is>
          <t>2S 2Oe Federzugkl.</t>
        </is>
      </c>
      <c r="I9159">
        <v>880</v>
      </c>
      <c r="J9159">
        <f>GS06/425.8</f>
        <v>0</v>
      </c>
      <c r="M9159" t="inlineStr">
        <is>
          <t>-425K1</t>
        </is>
      </c>
    </row>
    <row r="9160">
      <c r="A9160">
        <v>9159</v>
      </c>
      <c r="B9160">
        <f>GS33</f>
        <v>0</v>
      </c>
      <c r="C9160" t="inlineStr">
        <is>
          <t>+LS9</t>
        </is>
      </c>
      <c r="D9160" t="inlineStr">
        <is>
          <t>-425K1</t>
        </is>
      </c>
      <c r="E9160" t="inlineStr">
        <is>
          <t>DIL_0AM</t>
        </is>
      </c>
      <c r="F9160" t="inlineStr">
        <is>
          <t>22_DIL-M</t>
        </is>
      </c>
      <c r="G9160" t="inlineStr">
        <is>
          <t>LASTSCHUETZ</t>
        </is>
      </c>
      <c r="H9160" t="inlineStr">
        <is>
          <t>11 kW</t>
        </is>
      </c>
      <c r="I9160">
        <v>879</v>
      </c>
      <c r="J9160">
        <f>GS33/425.2</f>
        <v>0</v>
      </c>
      <c r="K9160" t="inlineStr">
        <is>
          <t>DIL0AM</t>
        </is>
      </c>
      <c r="M9160" t="inlineStr">
        <is>
          <t>-425K1</t>
        </is>
      </c>
    </row>
    <row r="9161">
      <c r="A9161">
        <v>9160</v>
      </c>
      <c r="B9161">
        <f>GS33</f>
        <v>0</v>
      </c>
      <c r="C9161" t="inlineStr">
        <is>
          <t>+LS9</t>
        </is>
      </c>
      <c r="D9161" t="inlineStr">
        <is>
          <t>-425K1</t>
        </is>
      </c>
      <c r="E9161" t="inlineStr">
        <is>
          <t>22_DIL-M</t>
        </is>
      </c>
      <c r="F9161" t="inlineStr">
        <is>
          <t>22_DIL-M</t>
        </is>
      </c>
      <c r="G9161" t="inlineStr">
        <is>
          <t>HILFSKONTAKTBLOCK</t>
        </is>
      </c>
      <c r="H9161" t="inlineStr">
        <is>
          <t>2S 2OE Lastschuetz DIL M</t>
        </is>
      </c>
      <c r="I9161">
        <v>879</v>
      </c>
      <c r="J9161">
        <f>GS33/425.2</f>
        <v>0</v>
      </c>
      <c r="K9161" t="inlineStr">
        <is>
          <t>DIL0AM</t>
        </is>
      </c>
      <c r="M9161" t="inlineStr">
        <is>
          <t>-425K1</t>
        </is>
      </c>
    </row>
    <row r="9162">
      <c r="A9162">
        <v>9161</v>
      </c>
      <c r="B9162">
        <f>GS15</f>
        <v>0</v>
      </c>
      <c r="C9162" t="inlineStr">
        <is>
          <t>+LS9</t>
        </is>
      </c>
      <c r="D9162" t="inlineStr">
        <is>
          <t>-425K35.3</t>
        </is>
      </c>
      <c r="E9162" t="inlineStr">
        <is>
          <t>DIL_EM-10-G</t>
        </is>
      </c>
      <c r="F9162" t="inlineStr">
        <is>
          <t>#KALK!</t>
        </is>
      </c>
      <c r="G9162" t="inlineStr">
        <is>
          <t>LASTSCHUETZ</t>
        </is>
      </c>
      <c r="H9162" t="inlineStr">
        <is>
          <t>4kW 1S</t>
        </is>
      </c>
      <c r="I9162">
        <v>927</v>
      </c>
      <c r="J9162">
        <f>GS15/425.6</f>
        <v>0</v>
      </c>
      <c r="M9162" t="inlineStr">
        <is>
          <t>-425K35.3</t>
        </is>
      </c>
    </row>
    <row r="9163">
      <c r="A9163">
        <v>9162</v>
      </c>
      <c r="B9163">
        <f>GS15</f>
        <v>0</v>
      </c>
      <c r="C9163" t="inlineStr">
        <is>
          <t>+LS9</t>
        </is>
      </c>
      <c r="D9163" t="inlineStr">
        <is>
          <t>-425K35.4</t>
        </is>
      </c>
      <c r="E9163" t="inlineStr">
        <is>
          <t>DIL_EM-10-G</t>
        </is>
      </c>
      <c r="F9163" t="inlineStr">
        <is>
          <t>#KALK!</t>
        </is>
      </c>
      <c r="G9163" t="inlineStr">
        <is>
          <t>LASTSCHUETZ</t>
        </is>
      </c>
      <c r="H9163" t="inlineStr">
        <is>
          <t>4kW 1S</t>
        </is>
      </c>
      <c r="I9163">
        <v>927</v>
      </c>
      <c r="J9163">
        <f>GS15/425.6</f>
        <v>0</v>
      </c>
      <c r="M9163" t="inlineStr">
        <is>
          <t>-425K35.4</t>
        </is>
      </c>
    </row>
    <row r="9164">
      <c r="A9164">
        <v>9163</v>
      </c>
      <c r="B9164">
        <f>GS25</f>
        <v>0</v>
      </c>
      <c r="C9164" t="inlineStr">
        <is>
          <t>+ES3</t>
        </is>
      </c>
      <c r="D9164" t="inlineStr">
        <is>
          <t>-425K3548.3</t>
        </is>
      </c>
      <c r="E9164" t="inlineStr">
        <is>
          <t>DIL_ER-22-G</t>
        </is>
      </c>
      <c r="F9164" t="inlineStr">
        <is>
          <t>#KALK!</t>
        </is>
      </c>
      <c r="G9164" t="inlineStr">
        <is>
          <t>HILFSSCHUETZ</t>
        </is>
      </c>
      <c r="H9164" t="inlineStr">
        <is>
          <t>2S 2OE</t>
        </is>
      </c>
      <c r="I9164">
        <v>551</v>
      </c>
      <c r="J9164">
        <f>GS25/425.6</f>
        <v>0</v>
      </c>
      <c r="M9164" t="inlineStr">
        <is>
          <t>-425K3548.3</t>
        </is>
      </c>
    </row>
    <row r="9165">
      <c r="A9165">
        <v>9164</v>
      </c>
      <c r="B9165">
        <f>GS90</f>
        <v>0</v>
      </c>
      <c r="C9165" t="inlineStr">
        <is>
          <t>+LS08</t>
        </is>
      </c>
      <c r="D9165" t="inlineStr">
        <is>
          <t>-425K454.4</t>
        </is>
      </c>
      <c r="E9165" t="inlineStr">
        <is>
          <t>DILA-40</t>
        </is>
      </c>
      <c r="F9165" t="inlineStr">
        <is>
          <t>#KALK!</t>
        </is>
      </c>
      <c r="G9165" t="inlineStr">
        <is>
          <t>HILFSSCHUETZ</t>
        </is>
      </c>
      <c r="H9165" t="inlineStr">
        <is>
          <t>4S Federzugkl.</t>
        </is>
      </c>
      <c r="I9165">
        <v>815</v>
      </c>
      <c r="J9165">
        <f>GS90/425.7</f>
        <v>0</v>
      </c>
      <c r="M9165" t="inlineStr">
        <is>
          <t>-425K454.4</t>
        </is>
      </c>
    </row>
    <row r="9166">
      <c r="A9166">
        <v>9165</v>
      </c>
      <c r="B9166">
        <f>GS92</f>
        <v>0</v>
      </c>
      <c r="C9166" t="inlineStr">
        <is>
          <t>+LS07</t>
        </is>
      </c>
      <c r="D9166" t="inlineStr">
        <is>
          <t>-425K467.4</t>
        </is>
      </c>
      <c r="E9166" t="inlineStr">
        <is>
          <t>DILA-40</t>
        </is>
      </c>
      <c r="F9166" t="inlineStr">
        <is>
          <t>#KALK!</t>
        </is>
      </c>
      <c r="G9166" t="inlineStr">
        <is>
          <t>HILFSSCHUETZ</t>
        </is>
      </c>
      <c r="H9166" t="inlineStr">
        <is>
          <t>4S Federzugkl.</t>
        </is>
      </c>
      <c r="I9166">
        <v>573</v>
      </c>
      <c r="J9166">
        <f>GS92/425.7</f>
        <v>0</v>
      </c>
      <c r="M9166" t="inlineStr">
        <is>
          <t>-425K467.4</t>
        </is>
      </c>
    </row>
    <row r="9167">
      <c r="A9167">
        <v>9166</v>
      </c>
      <c r="B9167">
        <f>GS93</f>
        <v>0</v>
      </c>
      <c r="C9167" t="inlineStr">
        <is>
          <t>+LS08</t>
        </is>
      </c>
      <c r="D9167" t="inlineStr">
        <is>
          <t>-425K472.4</t>
        </is>
      </c>
      <c r="E9167" t="inlineStr">
        <is>
          <t>DILA-40</t>
        </is>
      </c>
      <c r="F9167" t="inlineStr">
        <is>
          <t>#KALK!</t>
        </is>
      </c>
      <c r="G9167" t="inlineStr">
        <is>
          <t>HILFSSCHUETZ</t>
        </is>
      </c>
      <c r="H9167" t="inlineStr">
        <is>
          <t>4S Federzugkl.</t>
        </is>
      </c>
      <c r="I9167">
        <v>979</v>
      </c>
      <c r="J9167">
        <f>GS93/425.7</f>
        <v>0</v>
      </c>
      <c r="M9167" t="inlineStr">
        <is>
          <t>-425K472.4</t>
        </is>
      </c>
    </row>
    <row r="9168">
      <c r="A9168">
        <v>9167</v>
      </c>
      <c r="B9168">
        <f>GS16</f>
        <v>0</v>
      </c>
      <c r="C9168" t="inlineStr">
        <is>
          <t>+LS7</t>
        </is>
      </c>
      <c r="D9168" t="inlineStr">
        <is>
          <t>-425K55.0</t>
        </is>
      </c>
      <c r="E9168" t="inlineStr">
        <is>
          <t>DIL_EM-10-G</t>
        </is>
      </c>
      <c r="F9168" t="inlineStr">
        <is>
          <t>#KALK!</t>
        </is>
      </c>
      <c r="G9168" t="inlineStr">
        <is>
          <t>LASTSCHUETZ</t>
        </is>
      </c>
      <c r="H9168" t="inlineStr">
        <is>
          <t>4kW 1S</t>
        </is>
      </c>
      <c r="I9168">
        <v>662</v>
      </c>
      <c r="J9168">
        <f>GS16/425.6</f>
        <v>0</v>
      </c>
      <c r="M9168" t="inlineStr">
        <is>
          <t>-425K55.0</t>
        </is>
      </c>
    </row>
    <row r="9169">
      <c r="A9169">
        <v>9168</v>
      </c>
      <c r="B9169">
        <f>GC22</f>
        <v>0</v>
      </c>
      <c r="C9169" t="inlineStr">
        <is>
          <t>+LS6</t>
        </is>
      </c>
      <c r="D9169" t="inlineStr">
        <is>
          <t>-425K56.1</t>
        </is>
      </c>
      <c r="E9169" t="inlineStr">
        <is>
          <t>DIL_EM-10-G</t>
        </is>
      </c>
      <c r="F9169" t="inlineStr">
        <is>
          <t>#KALK!</t>
        </is>
      </c>
      <c r="G9169" t="inlineStr">
        <is>
          <t>LASTSCHUETZ</t>
        </is>
      </c>
      <c r="H9169" t="inlineStr">
        <is>
          <t>4kW 1S</t>
        </is>
      </c>
      <c r="I9169">
        <v>3351</v>
      </c>
      <c r="J9169">
        <f>GC22/425.7</f>
        <v>0</v>
      </c>
      <c r="M9169" t="inlineStr">
        <is>
          <t>-425K56.1</t>
        </is>
      </c>
    </row>
    <row r="9170">
      <c r="A9170">
        <v>9169</v>
      </c>
      <c r="B9170">
        <f>GS12</f>
        <v>0</v>
      </c>
      <c r="C9170" t="inlineStr">
        <is>
          <t>+LS6</t>
        </is>
      </c>
      <c r="D9170" t="inlineStr">
        <is>
          <t>-425K56.1</t>
        </is>
      </c>
      <c r="E9170" t="inlineStr">
        <is>
          <t>DIL_EM-10-G</t>
        </is>
      </c>
      <c r="F9170" t="inlineStr">
        <is>
          <t>#KALK!</t>
        </is>
      </c>
      <c r="G9170" t="inlineStr">
        <is>
          <t>LASTSCHUETZ</t>
        </is>
      </c>
      <c r="H9170" t="inlineStr">
        <is>
          <t>4kW 1S</t>
        </is>
      </c>
      <c r="I9170">
        <v>557</v>
      </c>
      <c r="J9170">
        <f>GS12/425.7</f>
        <v>0</v>
      </c>
      <c r="M9170" t="inlineStr">
        <is>
          <t>-425K56.1</t>
        </is>
      </c>
    </row>
    <row r="9171">
      <c r="A9171">
        <v>9170</v>
      </c>
      <c r="B9171">
        <f>GS11</f>
        <v>0</v>
      </c>
      <c r="C9171" t="inlineStr">
        <is>
          <t>+LS11</t>
        </is>
      </c>
      <c r="D9171" t="inlineStr">
        <is>
          <t>-425K71.3</t>
        </is>
      </c>
      <c r="E9171" t="inlineStr">
        <is>
          <t>DIL_EM-10-G</t>
        </is>
      </c>
      <c r="F9171" t="inlineStr">
        <is>
          <t>#KALK!</t>
        </is>
      </c>
      <c r="G9171" t="inlineStr">
        <is>
          <t>LASTSCHUETZ</t>
        </is>
      </c>
      <c r="H9171" t="inlineStr">
        <is>
          <t>4kW 1S</t>
        </is>
      </c>
      <c r="I9171">
        <v>531</v>
      </c>
      <c r="J9171">
        <f>GS11/425.7</f>
        <v>0</v>
      </c>
      <c r="M9171" t="inlineStr">
        <is>
          <t>-425K71.3</t>
        </is>
      </c>
    </row>
    <row r="9172">
      <c r="A9172">
        <v>9171</v>
      </c>
      <c r="B9172">
        <f>GS21</f>
        <v>0</v>
      </c>
      <c r="C9172" t="inlineStr">
        <is>
          <t>+LS11</t>
        </is>
      </c>
      <c r="D9172" t="inlineStr">
        <is>
          <t>-425K71.3</t>
        </is>
      </c>
      <c r="E9172" t="inlineStr">
        <is>
          <t>DIL_EM-10-G</t>
        </is>
      </c>
      <c r="F9172" t="inlineStr">
        <is>
          <t>#KALK!</t>
        </is>
      </c>
      <c r="G9172" t="inlineStr">
        <is>
          <t>LASTSCHUETZ</t>
        </is>
      </c>
      <c r="H9172" t="inlineStr">
        <is>
          <t>4kW 1S</t>
        </is>
      </c>
      <c r="I9172">
        <v>513</v>
      </c>
      <c r="J9172">
        <f>GS21/425.7</f>
        <v>0</v>
      </c>
      <c r="M9172" t="inlineStr">
        <is>
          <t>-425K71.3</t>
        </is>
      </c>
    </row>
    <row r="9173">
      <c r="A9173">
        <v>9172</v>
      </c>
      <c r="B9173">
        <f>GS46</f>
        <v>0</v>
      </c>
      <c r="C9173" t="inlineStr">
        <is>
          <t>+LS07</t>
        </is>
      </c>
      <c r="D9173" t="inlineStr">
        <is>
          <t>-425K744.0</t>
        </is>
      </c>
      <c r="E9173" t="inlineStr">
        <is>
          <t>DILA-40</t>
        </is>
      </c>
      <c r="F9173" t="inlineStr">
        <is>
          <t>#KALK!</t>
        </is>
      </c>
      <c r="G9173" t="inlineStr">
        <is>
          <t>HILFSSCHUETZ</t>
        </is>
      </c>
      <c r="H9173" t="inlineStr">
        <is>
          <t>4S Federzugkl.</t>
        </is>
      </c>
      <c r="I9173">
        <v>653</v>
      </c>
      <c r="J9173">
        <f>GS46/425.7</f>
        <v>0</v>
      </c>
      <c r="M9173" t="inlineStr">
        <is>
          <t>-425K744.0</t>
        </is>
      </c>
    </row>
    <row r="9174">
      <c r="A9174">
        <v>9173</v>
      </c>
      <c r="B9174">
        <f>GS47</f>
        <v>0</v>
      </c>
      <c r="C9174" t="inlineStr">
        <is>
          <t>+LS07</t>
        </is>
      </c>
      <c r="D9174" t="inlineStr">
        <is>
          <t>-425K744.0</t>
        </is>
      </c>
      <c r="E9174" t="inlineStr">
        <is>
          <t>DILA-40</t>
        </is>
      </c>
      <c r="F9174" t="inlineStr">
        <is>
          <t>#KALK!</t>
        </is>
      </c>
      <c r="G9174" t="inlineStr">
        <is>
          <t>HILFSSCHUETZ</t>
        </is>
      </c>
      <c r="H9174" t="inlineStr">
        <is>
          <t>4S Federzugkl.</t>
        </is>
      </c>
      <c r="I9174">
        <v>653</v>
      </c>
      <c r="J9174">
        <f>GS47/425.7</f>
        <v>0</v>
      </c>
      <c r="M9174" t="inlineStr">
        <is>
          <t>-425K744.0</t>
        </is>
      </c>
    </row>
    <row r="9175">
      <c r="A9175">
        <v>9174</v>
      </c>
      <c r="B9175">
        <f>GS48</f>
        <v>0</v>
      </c>
      <c r="C9175" t="inlineStr">
        <is>
          <t>+LS07</t>
        </is>
      </c>
      <c r="D9175" t="inlineStr">
        <is>
          <t>-425K744.0</t>
        </is>
      </c>
      <c r="E9175" t="inlineStr">
        <is>
          <t>DILA-40</t>
        </is>
      </c>
      <c r="F9175" t="inlineStr">
        <is>
          <t>#KALK!</t>
        </is>
      </c>
      <c r="G9175" t="inlineStr">
        <is>
          <t>HILFSSCHUETZ</t>
        </is>
      </c>
      <c r="H9175" t="inlineStr">
        <is>
          <t>4S Federzugkl.</t>
        </is>
      </c>
      <c r="I9175">
        <v>537</v>
      </c>
      <c r="J9175">
        <f>GS48/425.7</f>
        <v>0</v>
      </c>
      <c r="M9175" t="inlineStr">
        <is>
          <t>-425K744.0</t>
        </is>
      </c>
    </row>
    <row r="9176">
      <c r="A9176">
        <v>9175</v>
      </c>
      <c r="B9176">
        <f>GS49</f>
        <v>0</v>
      </c>
      <c r="C9176" t="inlineStr">
        <is>
          <t>+LS07</t>
        </is>
      </c>
      <c r="D9176" t="inlineStr">
        <is>
          <t>-425K744.0</t>
        </is>
      </c>
      <c r="E9176" t="inlineStr">
        <is>
          <t>DILA-40</t>
        </is>
      </c>
      <c r="F9176" t="inlineStr">
        <is>
          <t>#KALK!</t>
        </is>
      </c>
      <c r="G9176" t="inlineStr">
        <is>
          <t>HILFSSCHUETZ</t>
        </is>
      </c>
      <c r="H9176" t="inlineStr">
        <is>
          <t>4S Federzugkl.</t>
        </is>
      </c>
      <c r="I9176">
        <v>536</v>
      </c>
      <c r="J9176">
        <f>GS49/425.7</f>
        <v>0</v>
      </c>
      <c r="M9176" t="inlineStr">
        <is>
          <t>-425K744.0</t>
        </is>
      </c>
    </row>
    <row r="9177">
      <c r="A9177">
        <v>9176</v>
      </c>
      <c r="B9177">
        <f>GS06</f>
        <v>0</v>
      </c>
      <c r="C9177" t="inlineStr">
        <is>
          <t>+LS07</t>
        </is>
      </c>
      <c r="D9177" t="inlineStr">
        <is>
          <t>-425Q1</t>
        </is>
      </c>
      <c r="E9177" t="inlineStr">
        <is>
          <t>DILMC40(RDC24)</t>
        </is>
      </c>
      <c r="F9177" t="inlineStr">
        <is>
          <t>DILM150-XHIC22</t>
        </is>
      </c>
      <c r="G9177" t="inlineStr">
        <is>
          <t>LASTSCHUETZ</t>
        </is>
      </c>
      <c r="H9177" t="inlineStr">
        <is>
          <t>18,5kW Federzugkl.</t>
        </is>
      </c>
      <c r="I9177">
        <v>880</v>
      </c>
      <c r="J9177">
        <f>GS06/425.7</f>
        <v>0</v>
      </c>
      <c r="K9177" t="inlineStr">
        <is>
          <t>DIL MC40</t>
        </is>
      </c>
      <c r="M9177" t="inlineStr">
        <is>
          <t>-425Q1</t>
        </is>
      </c>
    </row>
    <row r="9178">
      <c r="A9178">
        <v>9177</v>
      </c>
      <c r="B9178">
        <f>GS06</f>
        <v>0</v>
      </c>
      <c r="C9178" t="inlineStr">
        <is>
          <t>+LS07</t>
        </is>
      </c>
      <c r="D9178" t="inlineStr">
        <is>
          <t>-425Q1</t>
        </is>
      </c>
      <c r="E9178" t="inlineStr">
        <is>
          <t>DILM150-XHIC22</t>
        </is>
      </c>
      <c r="F9178" t="inlineStr">
        <is>
          <t>DILM150-XHIC22</t>
        </is>
      </c>
      <c r="G9178" t="inlineStr">
        <is>
          <t>HILFSKONTAKTBLOCK</t>
        </is>
      </c>
      <c r="H9178" t="inlineStr">
        <is>
          <t>2S 2OE ab DILMC40</t>
        </is>
      </c>
      <c r="I9178">
        <v>880</v>
      </c>
      <c r="J9178">
        <f>GS06/425.7</f>
        <v>0</v>
      </c>
      <c r="K9178" t="inlineStr">
        <is>
          <t>DIL MC40</t>
        </is>
      </c>
      <c r="M9178" t="inlineStr">
        <is>
          <t>-425Q1</t>
        </is>
      </c>
    </row>
    <row r="9179">
      <c r="A9179">
        <v>9178</v>
      </c>
      <c r="B9179">
        <f>GS07</f>
        <v>0</v>
      </c>
      <c r="C9179" t="inlineStr">
        <is>
          <t>+LS06</t>
        </is>
      </c>
      <c r="D9179" t="inlineStr">
        <is>
          <t>-425Q1</t>
        </is>
      </c>
      <c r="E9179" t="inlineStr">
        <is>
          <t>DILMC25-10(RDC24)</t>
        </is>
      </c>
      <c r="F9179" t="inlineStr">
        <is>
          <t>DILA-XHI22</t>
        </is>
      </c>
      <c r="G9179" t="inlineStr">
        <is>
          <t>LASTSCHUETZ</t>
        </is>
      </c>
      <c r="H9179" t="inlineStr">
        <is>
          <t>11kW 1S Federzugkl.</t>
        </is>
      </c>
      <c r="I9179">
        <v>516</v>
      </c>
      <c r="J9179">
        <f>GS07/425.6</f>
        <v>0</v>
      </c>
      <c r="K9179" t="inlineStr">
        <is>
          <t>DIL MC25</t>
        </is>
      </c>
      <c r="M9179" t="inlineStr">
        <is>
          <t>-425Q1</t>
        </is>
      </c>
    </row>
    <row r="9180">
      <c r="A9180">
        <v>9179</v>
      </c>
      <c r="B9180">
        <f>GS07</f>
        <v>0</v>
      </c>
      <c r="C9180" t="inlineStr">
        <is>
          <t>+LS06</t>
        </is>
      </c>
      <c r="D9180" t="inlineStr">
        <is>
          <t>-425Q1</t>
        </is>
      </c>
      <c r="E9180" t="inlineStr">
        <is>
          <t>DILA-XHI22</t>
        </is>
      </c>
      <c r="F9180" t="inlineStr">
        <is>
          <t>DILA-XHI22</t>
        </is>
      </c>
      <c r="G9180" t="inlineStr">
        <is>
          <t>HILFSKONTAKTBLOCK</t>
        </is>
      </c>
      <c r="H9180" t="inlineStr">
        <is>
          <t>2S 2OE Last+Hilfssch. Cage</t>
        </is>
      </c>
      <c r="I9180">
        <v>516</v>
      </c>
      <c r="J9180">
        <f>GS07/425.6</f>
        <v>0</v>
      </c>
      <c r="K9180" t="inlineStr">
        <is>
          <t>DIL MC25</t>
        </is>
      </c>
      <c r="M9180" t="inlineStr">
        <is>
          <t>-425Q1</t>
        </is>
      </c>
    </row>
    <row r="9181">
      <c r="A9181">
        <v>9180</v>
      </c>
      <c r="B9181">
        <f>GS46</f>
        <v>0</v>
      </c>
      <c r="C9181" t="inlineStr">
        <is>
          <t>+LS07</t>
        </is>
      </c>
      <c r="D9181" t="inlineStr">
        <is>
          <t>-425Q1</t>
        </is>
      </c>
      <c r="E9181" t="inlineStr">
        <is>
          <t>DILM150-XHIC22</t>
        </is>
      </c>
      <c r="F9181" t="inlineStr">
        <is>
          <t>DILM150-XHIC22</t>
        </is>
      </c>
      <c r="G9181" t="inlineStr">
        <is>
          <t>HILFSKONTAKTBLOCK</t>
        </is>
      </c>
      <c r="H9181" t="inlineStr">
        <is>
          <t>2S 2OE ab DILMC40</t>
        </is>
      </c>
      <c r="I9181">
        <v>653</v>
      </c>
      <c r="J9181">
        <f>GS46/425.2</f>
        <v>0</v>
      </c>
      <c r="K9181" t="inlineStr">
        <is>
          <t>DIL MC40</t>
        </is>
      </c>
      <c r="M9181" t="inlineStr">
        <is>
          <t>-425Q1</t>
        </is>
      </c>
    </row>
    <row r="9182">
      <c r="A9182">
        <v>9181</v>
      </c>
      <c r="B9182">
        <f>GS46</f>
        <v>0</v>
      </c>
      <c r="C9182" t="inlineStr">
        <is>
          <t>+LS07</t>
        </is>
      </c>
      <c r="D9182" t="inlineStr">
        <is>
          <t>-425Q1</t>
        </is>
      </c>
      <c r="E9182" t="inlineStr">
        <is>
          <t>DILMC40(RDC24)</t>
        </is>
      </c>
      <c r="F9182" t="inlineStr">
        <is>
          <t>DILM150-XHIC22</t>
        </is>
      </c>
      <c r="G9182" t="inlineStr">
        <is>
          <t>LASTSCHUETZ</t>
        </is>
      </c>
      <c r="H9182" t="inlineStr">
        <is>
          <t>18,5kW Federzugkl.</t>
        </is>
      </c>
      <c r="I9182">
        <v>653</v>
      </c>
      <c r="J9182">
        <f>GS46/425.2</f>
        <v>0</v>
      </c>
      <c r="K9182" t="inlineStr">
        <is>
          <t>DIL MC40</t>
        </is>
      </c>
      <c r="M9182" t="inlineStr">
        <is>
          <t>-425Q1</t>
        </is>
      </c>
    </row>
    <row r="9183">
      <c r="A9183">
        <v>9182</v>
      </c>
      <c r="B9183">
        <f>GS47</f>
        <v>0</v>
      </c>
      <c r="C9183" t="inlineStr">
        <is>
          <t>+LS07</t>
        </is>
      </c>
      <c r="D9183" t="inlineStr">
        <is>
          <t>-425Q1</t>
        </is>
      </c>
      <c r="E9183" t="inlineStr">
        <is>
          <t>DILM150-XHIC22</t>
        </is>
      </c>
      <c r="F9183" t="inlineStr">
        <is>
          <t>DILM150-XHIC22</t>
        </is>
      </c>
      <c r="G9183" t="inlineStr">
        <is>
          <t>HILFSKONTAKTBLOCK</t>
        </is>
      </c>
      <c r="H9183" t="inlineStr">
        <is>
          <t>2S 2OE ab DILMC40</t>
        </is>
      </c>
      <c r="I9183">
        <v>653</v>
      </c>
      <c r="J9183">
        <f>GS47/425.2</f>
        <v>0</v>
      </c>
      <c r="K9183" t="inlineStr">
        <is>
          <t>DIL MC40</t>
        </is>
      </c>
      <c r="M9183" t="inlineStr">
        <is>
          <t>-425Q1</t>
        </is>
      </c>
    </row>
    <row r="9184">
      <c r="A9184">
        <v>9183</v>
      </c>
      <c r="B9184">
        <f>GS47</f>
        <v>0</v>
      </c>
      <c r="C9184" t="inlineStr">
        <is>
          <t>+LS07</t>
        </is>
      </c>
      <c r="D9184" t="inlineStr">
        <is>
          <t>-425Q1</t>
        </is>
      </c>
      <c r="E9184" t="inlineStr">
        <is>
          <t>DILMC40(RDC24)</t>
        </is>
      </c>
      <c r="F9184" t="inlineStr">
        <is>
          <t>DILM150-XHIC22</t>
        </is>
      </c>
      <c r="G9184" t="inlineStr">
        <is>
          <t>LASTSCHUETZ</t>
        </is>
      </c>
      <c r="H9184" t="inlineStr">
        <is>
          <t>18,5kW Federzugkl.</t>
        </is>
      </c>
      <c r="I9184">
        <v>653</v>
      </c>
      <c r="J9184">
        <f>GS47/425.2</f>
        <v>0</v>
      </c>
      <c r="K9184" t="inlineStr">
        <is>
          <t>DIL MC40</t>
        </is>
      </c>
      <c r="M9184" t="inlineStr">
        <is>
          <t>-425Q1</t>
        </is>
      </c>
    </row>
    <row r="9185">
      <c r="A9185">
        <v>9184</v>
      </c>
      <c r="B9185">
        <f>GS48</f>
        <v>0</v>
      </c>
      <c r="C9185" t="inlineStr">
        <is>
          <t>+LS07</t>
        </is>
      </c>
      <c r="D9185" t="inlineStr">
        <is>
          <t>-425Q1</t>
        </is>
      </c>
      <c r="E9185" t="inlineStr">
        <is>
          <t>DILMC40(RDC24)</t>
        </is>
      </c>
      <c r="F9185" t="inlineStr">
        <is>
          <t>DILM150-XHIC22</t>
        </is>
      </c>
      <c r="G9185" t="inlineStr">
        <is>
          <t>LASTSCHUETZ</t>
        </is>
      </c>
      <c r="H9185" t="inlineStr">
        <is>
          <t>18,5kW Federzugkl.</t>
        </is>
      </c>
      <c r="I9185">
        <v>537</v>
      </c>
      <c r="J9185">
        <f>GS48/425.2</f>
        <v>0</v>
      </c>
      <c r="K9185" t="inlineStr">
        <is>
          <t>DIL MC40</t>
        </is>
      </c>
      <c r="M9185" t="inlineStr">
        <is>
          <t>-425Q1</t>
        </is>
      </c>
    </row>
    <row r="9186">
      <c r="A9186">
        <v>9185</v>
      </c>
      <c r="B9186">
        <f>GS48</f>
        <v>0</v>
      </c>
      <c r="C9186" t="inlineStr">
        <is>
          <t>+LS07</t>
        </is>
      </c>
      <c r="D9186" t="inlineStr">
        <is>
          <t>-425Q1</t>
        </is>
      </c>
      <c r="E9186" t="inlineStr">
        <is>
          <t>DILM150-XHIC22</t>
        </is>
      </c>
      <c r="F9186" t="inlineStr">
        <is>
          <t>DILM150-XHIC22</t>
        </is>
      </c>
      <c r="G9186" t="inlineStr">
        <is>
          <t>HILFSKONTAKTBLOCK</t>
        </is>
      </c>
      <c r="H9186" t="inlineStr">
        <is>
          <t>2S 2OE ab DILMC40</t>
        </is>
      </c>
      <c r="I9186">
        <v>537</v>
      </c>
      <c r="J9186">
        <f>GS48/425.2</f>
        <v>0</v>
      </c>
      <c r="K9186" t="inlineStr">
        <is>
          <t>DIL MC40</t>
        </is>
      </c>
      <c r="M9186" t="inlineStr">
        <is>
          <t>-425Q1</t>
        </is>
      </c>
    </row>
    <row r="9187">
      <c r="A9187">
        <v>9186</v>
      </c>
      <c r="B9187">
        <f>GS49</f>
        <v>0</v>
      </c>
      <c r="C9187" t="inlineStr">
        <is>
          <t>+LS07</t>
        </is>
      </c>
      <c r="D9187" t="inlineStr">
        <is>
          <t>-425Q1</t>
        </is>
      </c>
      <c r="E9187" t="inlineStr">
        <is>
          <t>DILMC40(RDC24)</t>
        </is>
      </c>
      <c r="F9187" t="inlineStr">
        <is>
          <t>DILM150-XHIC22</t>
        </is>
      </c>
      <c r="G9187" t="inlineStr">
        <is>
          <t>LASTSCHUETZ</t>
        </is>
      </c>
      <c r="H9187" t="inlineStr">
        <is>
          <t>18,5kW Federzugkl.</t>
        </is>
      </c>
      <c r="I9187">
        <v>536</v>
      </c>
      <c r="J9187">
        <f>GS49/425.2</f>
        <v>0</v>
      </c>
      <c r="K9187" t="inlineStr">
        <is>
          <t>DIL MC40</t>
        </is>
      </c>
      <c r="M9187" t="inlineStr">
        <is>
          <t>-425Q1</t>
        </is>
      </c>
    </row>
    <row r="9188">
      <c r="A9188">
        <v>9187</v>
      </c>
      <c r="B9188">
        <f>GS49</f>
        <v>0</v>
      </c>
      <c r="C9188" t="inlineStr">
        <is>
          <t>+LS07</t>
        </is>
      </c>
      <c r="D9188" t="inlineStr">
        <is>
          <t>-425Q1</t>
        </is>
      </c>
      <c r="E9188" t="inlineStr">
        <is>
          <t>DILM150-XHIC22</t>
        </is>
      </c>
      <c r="F9188" t="inlineStr">
        <is>
          <t>DILM150-XHIC22</t>
        </is>
      </c>
      <c r="G9188" t="inlineStr">
        <is>
          <t>HILFSKONTAKTBLOCK</t>
        </is>
      </c>
      <c r="H9188" t="inlineStr">
        <is>
          <t>2S 2OE ab DILMC40</t>
        </is>
      </c>
      <c r="I9188">
        <v>536</v>
      </c>
      <c r="J9188">
        <f>GS49/425.2</f>
        <v>0</v>
      </c>
      <c r="K9188" t="inlineStr">
        <is>
          <t>DIL MC40</t>
        </is>
      </c>
      <c r="M9188" t="inlineStr">
        <is>
          <t>-425Q1</t>
        </is>
      </c>
    </row>
    <row r="9189">
      <c r="A9189">
        <v>9188</v>
      </c>
      <c r="B9189">
        <f>GS90</f>
        <v>0</v>
      </c>
      <c r="C9189" t="inlineStr">
        <is>
          <t>+LS08</t>
        </is>
      </c>
      <c r="D9189" t="inlineStr">
        <is>
          <t>-425Q1</t>
        </is>
      </c>
      <c r="E9189" t="inlineStr">
        <is>
          <t>DILMC25-10(RDC24)</t>
        </is>
      </c>
      <c r="F9189" t="inlineStr">
        <is>
          <t>DILA-XHI22</t>
        </is>
      </c>
      <c r="G9189" t="inlineStr">
        <is>
          <t>LASTSCHUETZ</t>
        </is>
      </c>
      <c r="H9189" t="inlineStr">
        <is>
          <t>11kW 1S Federzugkl.</t>
        </is>
      </c>
      <c r="I9189">
        <v>815</v>
      </c>
      <c r="J9189">
        <f>GS90/425.4</f>
        <v>0</v>
      </c>
      <c r="K9189" t="inlineStr">
        <is>
          <t>DIL MC25</t>
        </is>
      </c>
      <c r="M9189" t="inlineStr">
        <is>
          <t>-425Q1</t>
        </is>
      </c>
    </row>
    <row r="9190">
      <c r="A9190">
        <v>9189</v>
      </c>
      <c r="B9190">
        <f>GS90</f>
        <v>0</v>
      </c>
      <c r="C9190" t="inlineStr">
        <is>
          <t>+LS08</t>
        </is>
      </c>
      <c r="D9190" t="inlineStr">
        <is>
          <t>-425Q1</t>
        </is>
      </c>
      <c r="E9190" t="inlineStr">
        <is>
          <t>DILA-XHI22</t>
        </is>
      </c>
      <c r="F9190" t="inlineStr">
        <is>
          <t>DILA-XHI22</t>
        </is>
      </c>
      <c r="G9190" t="inlineStr">
        <is>
          <t>HILFSKONTAKTBLOCK</t>
        </is>
      </c>
      <c r="H9190" t="inlineStr">
        <is>
          <t>2S 2OE Last+Hilfssch. Cage</t>
        </is>
      </c>
      <c r="I9190">
        <v>815</v>
      </c>
      <c r="J9190">
        <f>GS90/425.4</f>
        <v>0</v>
      </c>
      <c r="K9190" t="inlineStr">
        <is>
          <t>DIL MC25</t>
        </is>
      </c>
      <c r="M9190" t="inlineStr">
        <is>
          <t>-425Q1</t>
        </is>
      </c>
    </row>
    <row r="9191">
      <c r="A9191">
        <v>9190</v>
      </c>
      <c r="B9191">
        <f>GS92</f>
        <v>0</v>
      </c>
      <c r="C9191" t="inlineStr">
        <is>
          <t>+LS07</t>
        </is>
      </c>
      <c r="D9191" t="inlineStr">
        <is>
          <t>-425Q1</t>
        </is>
      </c>
      <c r="E9191" t="inlineStr">
        <is>
          <t>DILMC25-10(RDC24)</t>
        </is>
      </c>
      <c r="F9191" t="inlineStr">
        <is>
          <t>DILA-XHI22</t>
        </is>
      </c>
      <c r="G9191" t="inlineStr">
        <is>
          <t>LASTSCHUETZ</t>
        </is>
      </c>
      <c r="H9191" t="inlineStr">
        <is>
          <t>11kW 1S Federzugkl.</t>
        </is>
      </c>
      <c r="I9191">
        <v>573</v>
      </c>
      <c r="J9191">
        <f>GS92/425.4</f>
        <v>0</v>
      </c>
      <c r="K9191" t="inlineStr">
        <is>
          <t>DIL MC25</t>
        </is>
      </c>
      <c r="M9191" t="inlineStr">
        <is>
          <t>-425Q1</t>
        </is>
      </c>
    </row>
    <row r="9192">
      <c r="A9192">
        <v>9191</v>
      </c>
      <c r="B9192">
        <f>GS92</f>
        <v>0</v>
      </c>
      <c r="C9192" t="inlineStr">
        <is>
          <t>+LS07</t>
        </is>
      </c>
      <c r="D9192" t="inlineStr">
        <is>
          <t>-425Q1</t>
        </is>
      </c>
      <c r="E9192" t="inlineStr">
        <is>
          <t>DILA-XHI22</t>
        </is>
      </c>
      <c r="F9192" t="inlineStr">
        <is>
          <t>DILA-XHI22</t>
        </is>
      </c>
      <c r="G9192" t="inlineStr">
        <is>
          <t>HILFSKONTAKTBLOCK</t>
        </is>
      </c>
      <c r="H9192" t="inlineStr">
        <is>
          <t>2S 2OE Last+Hilfssch. Cage</t>
        </is>
      </c>
      <c r="I9192">
        <v>573</v>
      </c>
      <c r="J9192">
        <f>GS92/425.4</f>
        <v>0</v>
      </c>
      <c r="K9192" t="inlineStr">
        <is>
          <t>DIL MC25</t>
        </is>
      </c>
      <c r="M9192" t="inlineStr">
        <is>
          <t>-425Q1</t>
        </is>
      </c>
    </row>
    <row r="9193">
      <c r="A9193">
        <v>9192</v>
      </c>
      <c r="B9193">
        <f>GS93</f>
        <v>0</v>
      </c>
      <c r="C9193" t="inlineStr">
        <is>
          <t>+LS08</t>
        </is>
      </c>
      <c r="D9193" t="inlineStr">
        <is>
          <t>-425Q1</t>
        </is>
      </c>
      <c r="E9193" t="inlineStr">
        <is>
          <t>DILMC25-10(RDC24)</t>
        </is>
      </c>
      <c r="F9193" t="inlineStr">
        <is>
          <t>DILA-XHI22</t>
        </is>
      </c>
      <c r="G9193" t="inlineStr">
        <is>
          <t>LASTSCHUETZ</t>
        </is>
      </c>
      <c r="H9193" t="inlineStr">
        <is>
          <t>11kW 1S Federzugkl.</t>
        </is>
      </c>
      <c r="I9193">
        <v>979</v>
      </c>
      <c r="J9193">
        <f>GS93/425.4</f>
        <v>0</v>
      </c>
      <c r="K9193" t="inlineStr">
        <is>
          <t>DIL MC25</t>
        </is>
      </c>
      <c r="M9193" t="inlineStr">
        <is>
          <t>-425Q1</t>
        </is>
      </c>
    </row>
    <row r="9194">
      <c r="A9194">
        <v>9193</v>
      </c>
      <c r="B9194">
        <f>GS93</f>
        <v>0</v>
      </c>
      <c r="C9194" t="inlineStr">
        <is>
          <t>+LS08</t>
        </is>
      </c>
      <c r="D9194" t="inlineStr">
        <is>
          <t>-425Q1</t>
        </is>
      </c>
      <c r="E9194" t="inlineStr">
        <is>
          <t>DILA-XHI22</t>
        </is>
      </c>
      <c r="F9194" t="inlineStr">
        <is>
          <t>DILA-XHI22</t>
        </is>
      </c>
      <c r="G9194" t="inlineStr">
        <is>
          <t>HILFSKONTAKTBLOCK</t>
        </is>
      </c>
      <c r="H9194" t="inlineStr">
        <is>
          <t>2S 2OE Last+Hilfssch. Cage</t>
        </is>
      </c>
      <c r="I9194">
        <v>979</v>
      </c>
      <c r="J9194">
        <f>GS93/425.4</f>
        <v>0</v>
      </c>
      <c r="K9194" t="inlineStr">
        <is>
          <t>DIL MC25</t>
        </is>
      </c>
      <c r="M9194" t="inlineStr">
        <is>
          <t>-425Q1</t>
        </is>
      </c>
    </row>
    <row r="9195">
      <c r="A9195">
        <v>9194</v>
      </c>
      <c r="B9195">
        <f>GS38</f>
        <v>0</v>
      </c>
      <c r="C9195" t="inlineStr">
        <is>
          <t>+LS09</t>
        </is>
      </c>
      <c r="D9195" t="inlineStr">
        <is>
          <t>-425Q122.3</t>
        </is>
      </c>
      <c r="E9195" t="inlineStr">
        <is>
          <t>DILA-XHI22</t>
        </is>
      </c>
      <c r="F9195" t="inlineStr">
        <is>
          <t>DILA-XHI22</t>
        </is>
      </c>
      <c r="G9195" t="inlineStr">
        <is>
          <t>HILFSKONTAKTBLOCK</t>
        </is>
      </c>
      <c r="H9195" t="inlineStr">
        <is>
          <t>2S 2OE Last+Hilfssch. Cage</t>
        </is>
      </c>
      <c r="I9195">
        <v>585</v>
      </c>
      <c r="J9195">
        <f>GS38/425.5</f>
        <v>0</v>
      </c>
      <c r="K9195" t="inlineStr">
        <is>
          <t>DIL MC12</t>
        </is>
      </c>
      <c r="M9195" t="inlineStr">
        <is>
          <t>-425Q122.3</t>
        </is>
      </c>
    </row>
    <row r="9196">
      <c r="A9196">
        <v>9195</v>
      </c>
      <c r="B9196">
        <f>GS38</f>
        <v>0</v>
      </c>
      <c r="C9196" t="inlineStr">
        <is>
          <t>+LS09</t>
        </is>
      </c>
      <c r="D9196" t="inlineStr">
        <is>
          <t>-425Q122.3</t>
        </is>
      </c>
      <c r="E9196" t="inlineStr">
        <is>
          <t>DILMC12-10(24VDC)</t>
        </is>
      </c>
      <c r="F9196" t="inlineStr">
        <is>
          <t>DILA-XHI22</t>
        </is>
      </c>
      <c r="G9196" t="inlineStr">
        <is>
          <t>LASTSCHUETZ</t>
        </is>
      </c>
      <c r="H9196" t="inlineStr">
        <is>
          <t>5,5kW 1S Federzugkl.</t>
        </is>
      </c>
      <c r="I9196">
        <v>585</v>
      </c>
      <c r="J9196">
        <f>GS38/425.5</f>
        <v>0</v>
      </c>
      <c r="K9196" t="inlineStr">
        <is>
          <t>DIL MC12</t>
        </is>
      </c>
      <c r="M9196" t="inlineStr">
        <is>
          <t>-425Q122.3</t>
        </is>
      </c>
    </row>
    <row r="9197">
      <c r="A9197">
        <v>9196</v>
      </c>
      <c r="B9197">
        <f>GS39</f>
        <v>0</v>
      </c>
      <c r="C9197" t="inlineStr">
        <is>
          <t>+LS09</t>
        </is>
      </c>
      <c r="D9197" t="inlineStr">
        <is>
          <t>-425Q122.3</t>
        </is>
      </c>
      <c r="E9197" t="inlineStr">
        <is>
          <t>DILA-XHI22</t>
        </is>
      </c>
      <c r="F9197" t="inlineStr">
        <is>
          <t>DILA-XHI22</t>
        </is>
      </c>
      <c r="G9197" t="inlineStr">
        <is>
          <t>HILFSKONTAKTBLOCK</t>
        </is>
      </c>
      <c r="H9197" t="inlineStr">
        <is>
          <t>2S 2OE Last+Hilfssch. Cage</t>
        </is>
      </c>
      <c r="I9197">
        <v>599</v>
      </c>
      <c r="J9197">
        <f>GS39/425.5</f>
        <v>0</v>
      </c>
      <c r="K9197" t="inlineStr">
        <is>
          <t>DIL MC12</t>
        </is>
      </c>
      <c r="M9197" t="inlineStr">
        <is>
          <t>-425Q122.3</t>
        </is>
      </c>
    </row>
    <row r="9198">
      <c r="A9198">
        <v>9197</v>
      </c>
      <c r="B9198">
        <f>GS39</f>
        <v>0</v>
      </c>
      <c r="C9198" t="inlineStr">
        <is>
          <t>+LS09</t>
        </is>
      </c>
      <c r="D9198" t="inlineStr">
        <is>
          <t>-425Q122.3</t>
        </is>
      </c>
      <c r="E9198" t="inlineStr">
        <is>
          <t>DILMC12-10(24VDC)</t>
        </is>
      </c>
      <c r="F9198" t="inlineStr">
        <is>
          <t>DILA-XHI22</t>
        </is>
      </c>
      <c r="G9198" t="inlineStr">
        <is>
          <t>LASTSCHUETZ</t>
        </is>
      </c>
      <c r="H9198" t="inlineStr">
        <is>
          <t>5,5kW 1S Federzugkl.</t>
        </is>
      </c>
      <c r="I9198">
        <v>599</v>
      </c>
      <c r="J9198">
        <f>GS39/425.5</f>
        <v>0</v>
      </c>
      <c r="K9198" t="inlineStr">
        <is>
          <t>DIL MC12</t>
        </is>
      </c>
      <c r="M9198" t="inlineStr">
        <is>
          <t>-425Q122.3</t>
        </is>
      </c>
    </row>
    <row r="9199">
      <c r="A9199">
        <v>9198</v>
      </c>
      <c r="B9199">
        <f>GS38</f>
        <v>0</v>
      </c>
      <c r="C9199" t="inlineStr">
        <is>
          <t>+LS09</t>
        </is>
      </c>
      <c r="D9199" t="inlineStr">
        <is>
          <t>-425Q122.4</t>
        </is>
      </c>
      <c r="E9199" t="inlineStr">
        <is>
          <t>DILA-XHI22</t>
        </is>
      </c>
      <c r="F9199" t="inlineStr">
        <is>
          <t>DILA-XHI22</t>
        </is>
      </c>
      <c r="G9199" t="inlineStr">
        <is>
          <t>HILFSKONTAKTBLOCK</t>
        </is>
      </c>
      <c r="H9199" t="inlineStr">
        <is>
          <t>2S 2OE Last+Hilfssch. Cage</t>
        </is>
      </c>
      <c r="I9199">
        <v>585</v>
      </c>
      <c r="J9199">
        <f>GS38/425.6</f>
        <v>0</v>
      </c>
      <c r="K9199" t="inlineStr">
        <is>
          <t>DIL MC12</t>
        </is>
      </c>
      <c r="M9199" t="inlineStr">
        <is>
          <t>-425Q122.4</t>
        </is>
      </c>
    </row>
    <row r="9200">
      <c r="A9200">
        <v>9199</v>
      </c>
      <c r="B9200">
        <f>GS38</f>
        <v>0</v>
      </c>
      <c r="C9200" t="inlineStr">
        <is>
          <t>+LS09</t>
        </is>
      </c>
      <c r="D9200" t="inlineStr">
        <is>
          <t>-425Q122.4</t>
        </is>
      </c>
      <c r="E9200" t="inlineStr">
        <is>
          <t>DILMC12-10(24VDC)</t>
        </is>
      </c>
      <c r="F9200" t="inlineStr">
        <is>
          <t>DILA-XHI22</t>
        </is>
      </c>
      <c r="G9200" t="inlineStr">
        <is>
          <t>LASTSCHUETZ</t>
        </is>
      </c>
      <c r="H9200" t="inlineStr">
        <is>
          <t>5,5kW 1S Federzugkl.</t>
        </is>
      </c>
      <c r="I9200">
        <v>585</v>
      </c>
      <c r="J9200">
        <f>GS38/425.6</f>
        <v>0</v>
      </c>
      <c r="K9200" t="inlineStr">
        <is>
          <t>DIL MC12</t>
        </is>
      </c>
      <c r="M9200" t="inlineStr">
        <is>
          <t>-425Q122.4</t>
        </is>
      </c>
    </row>
    <row r="9201">
      <c r="A9201">
        <v>9200</v>
      </c>
      <c r="B9201">
        <f>GS39</f>
        <v>0</v>
      </c>
      <c r="C9201" t="inlineStr">
        <is>
          <t>+LS09</t>
        </is>
      </c>
      <c r="D9201" t="inlineStr">
        <is>
          <t>-425Q122.4</t>
        </is>
      </c>
      <c r="E9201" t="inlineStr">
        <is>
          <t>DILA-XHI22</t>
        </is>
      </c>
      <c r="F9201" t="inlineStr">
        <is>
          <t>DILA-XHI22</t>
        </is>
      </c>
      <c r="G9201" t="inlineStr">
        <is>
          <t>HILFSKONTAKTBLOCK</t>
        </is>
      </c>
      <c r="H9201" t="inlineStr">
        <is>
          <t>2S 2OE Last+Hilfssch. Cage</t>
        </is>
      </c>
      <c r="I9201">
        <v>599</v>
      </c>
      <c r="J9201">
        <f>GS39/425.6</f>
        <v>0</v>
      </c>
      <c r="K9201" t="inlineStr">
        <is>
          <t>DIL MC12</t>
        </is>
      </c>
      <c r="M9201" t="inlineStr">
        <is>
          <t>-425Q122.4</t>
        </is>
      </c>
    </row>
    <row r="9202">
      <c r="A9202">
        <v>9201</v>
      </c>
      <c r="B9202">
        <f>GS39</f>
        <v>0</v>
      </c>
      <c r="C9202" t="inlineStr">
        <is>
          <t>+LS09</t>
        </is>
      </c>
      <c r="D9202" t="inlineStr">
        <is>
          <t>-425Q122.4</t>
        </is>
      </c>
      <c r="E9202" t="inlineStr">
        <is>
          <t>DILMC12-10(24VDC)</t>
        </is>
      </c>
      <c r="F9202" t="inlineStr">
        <is>
          <t>DILA-XHI22</t>
        </is>
      </c>
      <c r="G9202" t="inlineStr">
        <is>
          <t>LASTSCHUETZ</t>
        </is>
      </c>
      <c r="H9202" t="inlineStr">
        <is>
          <t>5,5kW 1S Federzugkl.</t>
        </is>
      </c>
      <c r="I9202">
        <v>599</v>
      </c>
      <c r="J9202">
        <f>GS39/425.6</f>
        <v>0</v>
      </c>
      <c r="K9202" t="inlineStr">
        <is>
          <t>DIL MC12</t>
        </is>
      </c>
      <c r="M9202" t="inlineStr">
        <is>
          <t>-425Q122.4</t>
        </is>
      </c>
    </row>
    <row r="9203">
      <c r="A9203">
        <v>9202</v>
      </c>
      <c r="B9203">
        <f>GS46</f>
        <v>0</v>
      </c>
      <c r="C9203" t="inlineStr">
        <is>
          <t>+LS07</t>
        </is>
      </c>
      <c r="D9203" t="inlineStr">
        <is>
          <t>-425Q2</t>
        </is>
      </c>
      <c r="E9203" t="inlineStr">
        <is>
          <t>DILA-XHI22</t>
        </is>
      </c>
      <c r="F9203" t="inlineStr">
        <is>
          <t>DILA-XHI22</t>
        </is>
      </c>
      <c r="G9203" t="inlineStr">
        <is>
          <t>HILFSKONTAKTBLOCK</t>
        </is>
      </c>
      <c r="H9203" t="inlineStr">
        <is>
          <t>2S 2OE Last+Hilfssch. Cage</t>
        </is>
      </c>
      <c r="I9203">
        <v>653</v>
      </c>
      <c r="J9203">
        <f>GS46/425.3</f>
        <v>0</v>
      </c>
      <c r="M9203" t="inlineStr">
        <is>
          <t>-425Q2</t>
        </is>
      </c>
    </row>
    <row r="9204">
      <c r="A9204">
        <v>9203</v>
      </c>
      <c r="B9204">
        <f>GS46</f>
        <v>0</v>
      </c>
      <c r="C9204" t="inlineStr">
        <is>
          <t>+LS07</t>
        </is>
      </c>
      <c r="D9204" t="inlineStr">
        <is>
          <t>-425Q2</t>
        </is>
      </c>
      <c r="E9204" t="inlineStr">
        <is>
          <t>DILM-9-10</t>
        </is>
      </c>
      <c r="F9204" t="inlineStr">
        <is>
          <t>DILA-XHI22</t>
        </is>
      </c>
      <c r="G9204" t="inlineStr">
        <is>
          <t>LASTSCHUETZ</t>
        </is>
      </c>
      <c r="H9204" t="inlineStr">
        <is>
          <t>4kW 1S Federzugkl.</t>
        </is>
      </c>
      <c r="I9204">
        <v>653</v>
      </c>
      <c r="J9204">
        <f>GS46/425.3</f>
        <v>0</v>
      </c>
      <c r="M9204" t="inlineStr">
        <is>
          <t>-425Q2</t>
        </is>
      </c>
    </row>
    <row r="9205">
      <c r="A9205">
        <v>9204</v>
      </c>
      <c r="B9205">
        <f>GS47</f>
        <v>0</v>
      </c>
      <c r="C9205" t="inlineStr">
        <is>
          <t>+LS07</t>
        </is>
      </c>
      <c r="D9205" t="inlineStr">
        <is>
          <t>-425Q2</t>
        </is>
      </c>
      <c r="E9205" t="inlineStr">
        <is>
          <t>DILM-9-10</t>
        </is>
      </c>
      <c r="F9205" t="inlineStr">
        <is>
          <t>DILA-XHI22</t>
        </is>
      </c>
      <c r="G9205" t="inlineStr">
        <is>
          <t>LASTSCHUETZ</t>
        </is>
      </c>
      <c r="H9205" t="inlineStr">
        <is>
          <t>4kW 1S Federzugkl.</t>
        </is>
      </c>
      <c r="I9205">
        <v>653</v>
      </c>
      <c r="J9205">
        <f>GS47/425.3</f>
        <v>0</v>
      </c>
      <c r="M9205" t="inlineStr">
        <is>
          <t>-425Q2</t>
        </is>
      </c>
    </row>
    <row r="9206">
      <c r="A9206">
        <v>9205</v>
      </c>
      <c r="B9206">
        <f>GS47</f>
        <v>0</v>
      </c>
      <c r="C9206" t="inlineStr">
        <is>
          <t>+LS07</t>
        </is>
      </c>
      <c r="D9206" t="inlineStr">
        <is>
          <t>-425Q2</t>
        </is>
      </c>
      <c r="E9206" t="inlineStr">
        <is>
          <t>DILA-XHI22</t>
        </is>
      </c>
      <c r="F9206" t="inlineStr">
        <is>
          <t>DILA-XHI22</t>
        </is>
      </c>
      <c r="G9206" t="inlineStr">
        <is>
          <t>HILFSKONTAKTBLOCK</t>
        </is>
      </c>
      <c r="H9206" t="inlineStr">
        <is>
          <t>2S 2OE Last+Hilfssch. Cage</t>
        </is>
      </c>
      <c r="I9206">
        <v>653</v>
      </c>
      <c r="J9206">
        <f>GS47/425.3</f>
        <v>0</v>
      </c>
      <c r="M9206" t="inlineStr">
        <is>
          <t>-425Q2</t>
        </is>
      </c>
    </row>
    <row r="9207">
      <c r="A9207">
        <v>9206</v>
      </c>
      <c r="B9207">
        <f>GS48</f>
        <v>0</v>
      </c>
      <c r="C9207" t="inlineStr">
        <is>
          <t>+LS07</t>
        </is>
      </c>
      <c r="D9207" t="inlineStr">
        <is>
          <t>-425Q2</t>
        </is>
      </c>
      <c r="E9207" t="inlineStr">
        <is>
          <t>DILA-XHI22</t>
        </is>
      </c>
      <c r="F9207" t="inlineStr">
        <is>
          <t>DILA-XHI22</t>
        </is>
      </c>
      <c r="G9207" t="inlineStr">
        <is>
          <t>HILFSKONTAKTBLOCK</t>
        </is>
      </c>
      <c r="H9207" t="inlineStr">
        <is>
          <t>2S 2OE Last+Hilfssch. Cage</t>
        </is>
      </c>
      <c r="I9207">
        <v>537</v>
      </c>
      <c r="J9207">
        <f>GS48/425.3</f>
        <v>0</v>
      </c>
      <c r="M9207" t="inlineStr">
        <is>
          <t>-425Q2</t>
        </is>
      </c>
    </row>
    <row r="9208">
      <c r="A9208">
        <v>9207</v>
      </c>
      <c r="B9208">
        <f>GS48</f>
        <v>0</v>
      </c>
      <c r="C9208" t="inlineStr">
        <is>
          <t>+LS07</t>
        </is>
      </c>
      <c r="D9208" t="inlineStr">
        <is>
          <t>-425Q2</t>
        </is>
      </c>
      <c r="E9208" t="inlineStr">
        <is>
          <t>DILM-9-10</t>
        </is>
      </c>
      <c r="F9208" t="inlineStr">
        <is>
          <t>DILA-XHI22</t>
        </is>
      </c>
      <c r="G9208" t="inlineStr">
        <is>
          <t>LASTSCHUETZ</t>
        </is>
      </c>
      <c r="H9208" t="inlineStr">
        <is>
          <t>4kW 1S Federzugkl.</t>
        </is>
      </c>
      <c r="I9208">
        <v>537</v>
      </c>
      <c r="J9208">
        <f>GS48/425.3</f>
        <v>0</v>
      </c>
      <c r="M9208" t="inlineStr">
        <is>
          <t>-425Q2</t>
        </is>
      </c>
    </row>
    <row r="9209">
      <c r="A9209">
        <v>9208</v>
      </c>
      <c r="B9209">
        <f>GS49</f>
        <v>0</v>
      </c>
      <c r="C9209" t="inlineStr">
        <is>
          <t>+LS07</t>
        </is>
      </c>
      <c r="D9209" t="inlineStr">
        <is>
          <t>-425Q2</t>
        </is>
      </c>
      <c r="E9209" t="inlineStr">
        <is>
          <t>DILM-9-10</t>
        </is>
      </c>
      <c r="F9209" t="inlineStr">
        <is>
          <t>DILA-XHI22</t>
        </is>
      </c>
      <c r="G9209" t="inlineStr">
        <is>
          <t>LASTSCHUETZ</t>
        </is>
      </c>
      <c r="H9209" t="inlineStr">
        <is>
          <t>4kW 1S Federzugkl.</t>
        </is>
      </c>
      <c r="I9209">
        <v>536</v>
      </c>
      <c r="J9209">
        <f>GS49/425.3</f>
        <v>0</v>
      </c>
      <c r="M9209" t="inlineStr">
        <is>
          <t>-425Q2</t>
        </is>
      </c>
    </row>
    <row r="9210">
      <c r="A9210">
        <v>9209</v>
      </c>
      <c r="B9210">
        <f>GS49</f>
        <v>0</v>
      </c>
      <c r="C9210" t="inlineStr">
        <is>
          <t>+LS07</t>
        </is>
      </c>
      <c r="D9210" t="inlineStr">
        <is>
          <t>-425Q2</t>
        </is>
      </c>
      <c r="E9210" t="inlineStr">
        <is>
          <t>DILA-XHI22</t>
        </is>
      </c>
      <c r="F9210" t="inlineStr">
        <is>
          <t>DILA-XHI22</t>
        </is>
      </c>
      <c r="G9210" t="inlineStr">
        <is>
          <t>HILFSKONTAKTBLOCK</t>
        </is>
      </c>
      <c r="H9210" t="inlineStr">
        <is>
          <t>2S 2OE Last+Hilfssch. Cage</t>
        </is>
      </c>
      <c r="I9210">
        <v>536</v>
      </c>
      <c r="J9210">
        <f>GS49/425.3</f>
        <v>0</v>
      </c>
      <c r="M9210" t="inlineStr">
        <is>
          <t>-425Q2</t>
        </is>
      </c>
    </row>
    <row r="9211">
      <c r="A9211">
        <v>9210</v>
      </c>
      <c r="B9211">
        <f>GS08</f>
        <v>0</v>
      </c>
      <c r="C9211" t="inlineStr">
        <is>
          <t>+LS06</t>
        </is>
      </c>
      <c r="D9211" t="inlineStr">
        <is>
          <t>-426K1</t>
        </is>
      </c>
      <c r="E9211" t="inlineStr">
        <is>
          <t>DILM-9-01</t>
        </is>
      </c>
      <c r="F9211" t="inlineStr">
        <is>
          <t>#KALK!</t>
        </is>
      </c>
      <c r="G9211" t="inlineStr">
        <is>
          <t>LASTSCHUETZ</t>
        </is>
      </c>
      <c r="H9211" t="inlineStr">
        <is>
          <t>4kW 1Oe Federzugkl.</t>
        </is>
      </c>
      <c r="I9211">
        <v>276</v>
      </c>
      <c r="J9211">
        <f>GS08/426.6</f>
        <v>0</v>
      </c>
      <c r="M9211" t="inlineStr">
        <is>
          <t>-426K1</t>
        </is>
      </c>
    </row>
    <row r="9212">
      <c r="A9212">
        <v>9211</v>
      </c>
      <c r="B9212">
        <f>GS34</f>
        <v>0</v>
      </c>
      <c r="C9212" t="inlineStr">
        <is>
          <t>+QVW2501</t>
        </is>
      </c>
      <c r="D9212" t="inlineStr">
        <is>
          <t>-426K1</t>
        </is>
      </c>
      <c r="E9212" t="inlineStr">
        <is>
          <t>DIL_1AM-G</t>
        </is>
      </c>
      <c r="F9212" t="inlineStr">
        <is>
          <t>#KALK!</t>
        </is>
      </c>
      <c r="G9212" t="inlineStr">
        <is>
          <t>LASTSCHUETZ</t>
        </is>
      </c>
      <c r="H9212" t="inlineStr">
        <is>
          <t>18,5kW</t>
        </is>
      </c>
      <c r="I9212">
        <v>551</v>
      </c>
      <c r="J9212">
        <f>GS34/426.2</f>
        <v>0</v>
      </c>
      <c r="M9212" t="inlineStr">
        <is>
          <t>-426K1</t>
        </is>
      </c>
    </row>
    <row r="9213">
      <c r="A9213">
        <v>9212</v>
      </c>
      <c r="B9213">
        <f>GS08</f>
        <v>0</v>
      </c>
      <c r="C9213" t="inlineStr">
        <is>
          <t>+LS06</t>
        </is>
      </c>
      <c r="D9213" t="inlineStr">
        <is>
          <t>-426K2</t>
        </is>
      </c>
      <c r="E9213" t="inlineStr">
        <is>
          <t>DILM-9-01</t>
        </is>
      </c>
      <c r="F9213" t="inlineStr">
        <is>
          <t>#KALK!</t>
        </is>
      </c>
      <c r="G9213" t="inlineStr">
        <is>
          <t>LASTSCHUETZ</t>
        </is>
      </c>
      <c r="H9213" t="inlineStr">
        <is>
          <t>4kW 1Oe Federzugkl.</t>
        </is>
      </c>
      <c r="I9213">
        <v>276</v>
      </c>
      <c r="J9213">
        <f>GS08/426.7</f>
        <v>0</v>
      </c>
      <c r="M9213" t="inlineStr">
        <is>
          <t>-426K2</t>
        </is>
      </c>
    </row>
    <row r="9214">
      <c r="A9214">
        <v>9213</v>
      </c>
      <c r="B9214">
        <f>GS15</f>
        <v>0</v>
      </c>
      <c r="C9214" t="inlineStr">
        <is>
          <t>+LS9</t>
        </is>
      </c>
      <c r="D9214" t="inlineStr">
        <is>
          <t>-426K35.5</t>
        </is>
      </c>
      <c r="E9214" t="inlineStr">
        <is>
          <t>DIL_EM-10-G</t>
        </is>
      </c>
      <c r="F9214" t="inlineStr">
        <is>
          <t>#KALK!</t>
        </is>
      </c>
      <c r="G9214" t="inlineStr">
        <is>
          <t>LASTSCHUETZ</t>
        </is>
      </c>
      <c r="H9214" t="inlineStr">
        <is>
          <t>4kW 1S</t>
        </is>
      </c>
      <c r="I9214">
        <v>928</v>
      </c>
      <c r="J9214">
        <f>GS15/426.6</f>
        <v>0</v>
      </c>
      <c r="M9214" t="inlineStr">
        <is>
          <t>-426K35.5</t>
        </is>
      </c>
    </row>
    <row r="9215">
      <c r="A9215">
        <v>9214</v>
      </c>
      <c r="B9215">
        <f>GS15</f>
        <v>0</v>
      </c>
      <c r="C9215" t="inlineStr">
        <is>
          <t>+LS9</t>
        </is>
      </c>
      <c r="D9215" t="inlineStr">
        <is>
          <t>-426K35.6</t>
        </is>
      </c>
      <c r="E9215" t="inlineStr">
        <is>
          <t>DIL_EM-10-G</t>
        </is>
      </c>
      <c r="F9215" t="inlineStr">
        <is>
          <t>#KALK!</t>
        </is>
      </c>
      <c r="G9215" t="inlineStr">
        <is>
          <t>LASTSCHUETZ</t>
        </is>
      </c>
      <c r="H9215" t="inlineStr">
        <is>
          <t>4kW 1S</t>
        </is>
      </c>
      <c r="I9215">
        <v>928</v>
      </c>
      <c r="J9215">
        <f>GS15/426.6</f>
        <v>0</v>
      </c>
      <c r="M9215" t="inlineStr">
        <is>
          <t>-426K35.6</t>
        </is>
      </c>
    </row>
    <row r="9216">
      <c r="A9216">
        <v>9215</v>
      </c>
      <c r="B9216">
        <f>GS11</f>
        <v>0</v>
      </c>
      <c r="C9216" t="inlineStr">
        <is>
          <t>+LS11</t>
        </is>
      </c>
      <c r="D9216" t="inlineStr">
        <is>
          <t>-426K71.7</t>
        </is>
      </c>
      <c r="E9216" t="inlineStr">
        <is>
          <t>DIL_EM-10-G</t>
        </is>
      </c>
      <c r="F9216" t="inlineStr">
        <is>
          <t>#KALK!</t>
        </is>
      </c>
      <c r="G9216" t="inlineStr">
        <is>
          <t>LASTSCHUETZ</t>
        </is>
      </c>
      <c r="H9216" t="inlineStr">
        <is>
          <t>4kW 1S</t>
        </is>
      </c>
      <c r="I9216">
        <v>532</v>
      </c>
      <c r="J9216">
        <f>GS11/426.7</f>
        <v>0</v>
      </c>
      <c r="M9216" t="inlineStr">
        <is>
          <t>-426K71.7</t>
        </is>
      </c>
    </row>
    <row r="9217">
      <c r="A9217">
        <v>9216</v>
      </c>
      <c r="B9217">
        <f>GS21</f>
        <v>0</v>
      </c>
      <c r="C9217" t="inlineStr">
        <is>
          <t>+LS11</t>
        </is>
      </c>
      <c r="D9217" t="inlineStr">
        <is>
          <t>-426K71.7</t>
        </is>
      </c>
      <c r="E9217" t="inlineStr">
        <is>
          <t>DIL_EM-10-G</t>
        </is>
      </c>
      <c r="F9217" t="inlineStr">
        <is>
          <t>#KALK!</t>
        </is>
      </c>
      <c r="G9217" t="inlineStr">
        <is>
          <t>LASTSCHUETZ</t>
        </is>
      </c>
      <c r="H9217" t="inlineStr">
        <is>
          <t>4kW 1S</t>
        </is>
      </c>
      <c r="I9217">
        <v>514</v>
      </c>
      <c r="J9217">
        <f>GS21/426.7</f>
        <v>0</v>
      </c>
      <c r="M9217" t="inlineStr">
        <is>
          <t>-426K71.7</t>
        </is>
      </c>
    </row>
    <row r="9218">
      <c r="A9218">
        <v>9217</v>
      </c>
      <c r="B9218">
        <f>GS38</f>
        <v>0</v>
      </c>
      <c r="C9218" t="inlineStr">
        <is>
          <t>+LS09</t>
        </is>
      </c>
      <c r="D9218" t="inlineStr">
        <is>
          <t>-426Q122.5</t>
        </is>
      </c>
      <c r="E9218" t="inlineStr">
        <is>
          <t>DILA-XHI22</t>
        </is>
      </c>
      <c r="F9218" t="inlineStr">
        <is>
          <t>DILA-XHI22</t>
        </is>
      </c>
      <c r="G9218" t="inlineStr">
        <is>
          <t>HILFSKONTAKTBLOCK</t>
        </is>
      </c>
      <c r="H9218" t="inlineStr">
        <is>
          <t>2S 2OE Last+Hilfssch. Cage</t>
        </is>
      </c>
      <c r="I9218">
        <v>586</v>
      </c>
      <c r="J9218">
        <f>GS38/426.5</f>
        <v>0</v>
      </c>
      <c r="M9218" t="inlineStr">
        <is>
          <t>-426Q122.5</t>
        </is>
      </c>
    </row>
    <row r="9219">
      <c r="A9219">
        <v>9218</v>
      </c>
      <c r="B9219">
        <f>GS38</f>
        <v>0</v>
      </c>
      <c r="C9219" t="inlineStr">
        <is>
          <t>+LS09</t>
        </is>
      </c>
      <c r="D9219" t="inlineStr">
        <is>
          <t>-426Q122.5</t>
        </is>
      </c>
      <c r="E9219" t="inlineStr">
        <is>
          <t>DILM-9-10</t>
        </is>
      </c>
      <c r="F9219" t="inlineStr">
        <is>
          <t>DILA-XHI22</t>
        </is>
      </c>
      <c r="G9219" t="inlineStr">
        <is>
          <t>LASTSCHUETZ</t>
        </is>
      </c>
      <c r="H9219" t="inlineStr">
        <is>
          <t>4kW 1S Federzugkl.</t>
        </is>
      </c>
      <c r="I9219">
        <v>586</v>
      </c>
      <c r="J9219">
        <f>GS38/426.5</f>
        <v>0</v>
      </c>
      <c r="M9219" t="inlineStr">
        <is>
          <t>-426Q122.5</t>
        </is>
      </c>
    </row>
    <row r="9220">
      <c r="A9220">
        <v>9219</v>
      </c>
      <c r="B9220">
        <f>GS39</f>
        <v>0</v>
      </c>
      <c r="C9220" t="inlineStr">
        <is>
          <t>+LS09</t>
        </is>
      </c>
      <c r="D9220" t="inlineStr">
        <is>
          <t>-426Q122.5</t>
        </is>
      </c>
      <c r="E9220" t="inlineStr">
        <is>
          <t>DILA-XHI22</t>
        </is>
      </c>
      <c r="F9220" t="inlineStr">
        <is>
          <t>DILA-XHI22</t>
        </is>
      </c>
      <c r="G9220" t="inlineStr">
        <is>
          <t>HILFSKONTAKTBLOCK</t>
        </is>
      </c>
      <c r="H9220" t="inlineStr">
        <is>
          <t>2S 2OE Last+Hilfssch. Cage</t>
        </is>
      </c>
      <c r="I9220">
        <v>600</v>
      </c>
      <c r="J9220">
        <f>GS39/426.5</f>
        <v>0</v>
      </c>
      <c r="M9220" t="inlineStr">
        <is>
          <t>-426Q122.5</t>
        </is>
      </c>
    </row>
    <row r="9221">
      <c r="A9221">
        <v>9220</v>
      </c>
      <c r="B9221">
        <f>GS39</f>
        <v>0</v>
      </c>
      <c r="C9221" t="inlineStr">
        <is>
          <t>+LS09</t>
        </is>
      </c>
      <c r="D9221" t="inlineStr">
        <is>
          <t>-426Q122.5</t>
        </is>
      </c>
      <c r="E9221" t="inlineStr">
        <is>
          <t>DILM-9-10</t>
        </is>
      </c>
      <c r="F9221" t="inlineStr">
        <is>
          <t>DILA-XHI22</t>
        </is>
      </c>
      <c r="G9221" t="inlineStr">
        <is>
          <t>LASTSCHUETZ</t>
        </is>
      </c>
      <c r="H9221" t="inlineStr">
        <is>
          <t>4kW 1S Federzugkl.</t>
        </is>
      </c>
      <c r="I9221">
        <v>600</v>
      </c>
      <c r="J9221">
        <f>GS39/426.5</f>
        <v>0</v>
      </c>
      <c r="M9221" t="inlineStr">
        <is>
          <t>-426Q122.5</t>
        </is>
      </c>
    </row>
    <row r="9222">
      <c r="A9222">
        <v>9221</v>
      </c>
      <c r="B9222">
        <f>GS38</f>
        <v>0</v>
      </c>
      <c r="C9222" t="inlineStr">
        <is>
          <t>+LS09</t>
        </is>
      </c>
      <c r="D9222" t="inlineStr">
        <is>
          <t>-426Q122.6</t>
        </is>
      </c>
      <c r="E9222" t="inlineStr">
        <is>
          <t>DILA-XHI22</t>
        </is>
      </c>
      <c r="F9222" t="inlineStr">
        <is>
          <t>DILA-XHI22</t>
        </is>
      </c>
      <c r="G9222" t="inlineStr">
        <is>
          <t>HILFSKONTAKTBLOCK</t>
        </is>
      </c>
      <c r="H9222" t="inlineStr">
        <is>
          <t>2S 2OE Last+Hilfssch. Cage</t>
        </is>
      </c>
      <c r="I9222">
        <v>586</v>
      </c>
      <c r="J9222">
        <f>GS38/426.6</f>
        <v>0</v>
      </c>
      <c r="M9222" t="inlineStr">
        <is>
          <t>-426Q122.6</t>
        </is>
      </c>
    </row>
    <row r="9223">
      <c r="A9223">
        <v>9222</v>
      </c>
      <c r="B9223">
        <f>GS38</f>
        <v>0</v>
      </c>
      <c r="C9223" t="inlineStr">
        <is>
          <t>+LS09</t>
        </is>
      </c>
      <c r="D9223" t="inlineStr">
        <is>
          <t>-426Q122.6</t>
        </is>
      </c>
      <c r="E9223" t="inlineStr">
        <is>
          <t>DILM-9-10</t>
        </is>
      </c>
      <c r="F9223" t="inlineStr">
        <is>
          <t>DILA-XHI22</t>
        </is>
      </c>
      <c r="G9223" t="inlineStr">
        <is>
          <t>LASTSCHUETZ</t>
        </is>
      </c>
      <c r="H9223" t="inlineStr">
        <is>
          <t>4kW 1S Federzugkl.</t>
        </is>
      </c>
      <c r="I9223">
        <v>586</v>
      </c>
      <c r="J9223">
        <f>GS38/426.6</f>
        <v>0</v>
      </c>
      <c r="M9223" t="inlineStr">
        <is>
          <t>-426Q122.6</t>
        </is>
      </c>
    </row>
    <row r="9224">
      <c r="A9224">
        <v>9223</v>
      </c>
      <c r="B9224">
        <f>GS39</f>
        <v>0</v>
      </c>
      <c r="C9224" t="inlineStr">
        <is>
          <t>+LS09</t>
        </is>
      </c>
      <c r="D9224" t="inlineStr">
        <is>
          <t>-426Q122.6</t>
        </is>
      </c>
      <c r="E9224" t="inlineStr">
        <is>
          <t>DILA-XHI22</t>
        </is>
      </c>
      <c r="F9224" t="inlineStr">
        <is>
          <t>DILA-XHI22</t>
        </is>
      </c>
      <c r="G9224" t="inlineStr">
        <is>
          <t>HILFSKONTAKTBLOCK</t>
        </is>
      </c>
      <c r="H9224" t="inlineStr">
        <is>
          <t>2S 2OE Last+Hilfssch. Cage</t>
        </is>
      </c>
      <c r="I9224">
        <v>600</v>
      </c>
      <c r="J9224">
        <f>GS39/426.6</f>
        <v>0</v>
      </c>
      <c r="M9224" t="inlineStr">
        <is>
          <t>-426Q122.6</t>
        </is>
      </c>
    </row>
    <row r="9225">
      <c r="A9225">
        <v>9224</v>
      </c>
      <c r="B9225">
        <f>GS39</f>
        <v>0</v>
      </c>
      <c r="C9225" t="inlineStr">
        <is>
          <t>+LS09</t>
        </is>
      </c>
      <c r="D9225" t="inlineStr">
        <is>
          <t>-426Q122.6</t>
        </is>
      </c>
      <c r="E9225" t="inlineStr">
        <is>
          <t>DILM-9-10</t>
        </is>
      </c>
      <c r="F9225" t="inlineStr">
        <is>
          <t>DILA-XHI22</t>
        </is>
      </c>
      <c r="G9225" t="inlineStr">
        <is>
          <t>LASTSCHUETZ</t>
        </is>
      </c>
      <c r="H9225" t="inlineStr">
        <is>
          <t>4kW 1S Federzugkl.</t>
        </is>
      </c>
      <c r="I9225">
        <v>600</v>
      </c>
      <c r="J9225">
        <f>GS39/426.6</f>
        <v>0</v>
      </c>
      <c r="M9225" t="inlineStr">
        <is>
          <t>-426Q122.6</t>
        </is>
      </c>
    </row>
    <row r="9226">
      <c r="A9226">
        <v>9225</v>
      </c>
      <c r="B9226">
        <f>GS08</f>
        <v>0</v>
      </c>
      <c r="C9226" t="inlineStr">
        <is>
          <t>+LS06</t>
        </is>
      </c>
      <c r="D9226" t="inlineStr">
        <is>
          <t>-427K1</t>
        </is>
      </c>
      <c r="E9226" t="inlineStr">
        <is>
          <t>DILM-9-01</t>
        </is>
      </c>
      <c r="F9226" t="inlineStr">
        <is>
          <t>#KALK!</t>
        </is>
      </c>
      <c r="G9226" t="inlineStr">
        <is>
          <t>LASTSCHUETZ</t>
        </is>
      </c>
      <c r="H9226" t="inlineStr">
        <is>
          <t>4kW 1Oe Federzugkl.</t>
        </is>
      </c>
      <c r="I9226">
        <v>2987</v>
      </c>
      <c r="J9226">
        <f>GS08/427.6</f>
        <v>0</v>
      </c>
      <c r="M9226" t="inlineStr">
        <is>
          <t>-427K1</t>
        </is>
      </c>
    </row>
    <row r="9227">
      <c r="A9227">
        <v>9226</v>
      </c>
      <c r="B9227">
        <f>GS08</f>
        <v>0</v>
      </c>
      <c r="C9227" t="inlineStr">
        <is>
          <t>+LS06</t>
        </is>
      </c>
      <c r="D9227" t="inlineStr">
        <is>
          <t>-427K2</t>
        </is>
      </c>
      <c r="E9227" t="inlineStr">
        <is>
          <t>DILM-9-01</t>
        </is>
      </c>
      <c r="F9227" t="inlineStr">
        <is>
          <t>#KALK!</t>
        </is>
      </c>
      <c r="G9227" t="inlineStr">
        <is>
          <t>LASTSCHUETZ</t>
        </is>
      </c>
      <c r="H9227" t="inlineStr">
        <is>
          <t>4kW 1Oe Federzugkl.</t>
        </is>
      </c>
      <c r="I9227">
        <v>2987</v>
      </c>
      <c r="J9227">
        <f>GS08/427.7</f>
        <v>0</v>
      </c>
      <c r="M9227" t="inlineStr">
        <is>
          <t>-427K2</t>
        </is>
      </c>
    </row>
    <row r="9228">
      <c r="A9228">
        <v>9227</v>
      </c>
      <c r="B9228">
        <f>GC03</f>
        <v>0</v>
      </c>
      <c r="C9228" t="inlineStr">
        <is>
          <t>+LS10</t>
        </is>
      </c>
      <c r="D9228" t="inlineStr">
        <is>
          <t>-427K22.0</t>
        </is>
      </c>
      <c r="E9228" t="inlineStr">
        <is>
          <t>DIL_EM-10-G</t>
        </is>
      </c>
      <c r="F9228" t="inlineStr">
        <is>
          <t>#KALK!</t>
        </is>
      </c>
      <c r="G9228" t="inlineStr">
        <is>
          <t>LASTSCHUETZ</t>
        </is>
      </c>
      <c r="H9228" t="inlineStr">
        <is>
          <t>4kW 1S</t>
        </is>
      </c>
      <c r="I9228">
        <v>977</v>
      </c>
      <c r="J9228">
        <f>GC03/427.6</f>
        <v>0</v>
      </c>
      <c r="M9228" t="inlineStr">
        <is>
          <t>-427K22.0</t>
        </is>
      </c>
    </row>
    <row r="9229">
      <c r="A9229">
        <v>9228</v>
      </c>
      <c r="B9229">
        <f>GC03</f>
        <v>0</v>
      </c>
      <c r="C9229" t="inlineStr">
        <is>
          <t>+LS10</t>
        </is>
      </c>
      <c r="D9229" t="inlineStr">
        <is>
          <t>-427K22.1</t>
        </is>
      </c>
      <c r="E9229" t="inlineStr">
        <is>
          <t>DIL_EM-10-G</t>
        </is>
      </c>
      <c r="F9229" t="inlineStr">
        <is>
          <t>#KALK!</t>
        </is>
      </c>
      <c r="G9229" t="inlineStr">
        <is>
          <t>LASTSCHUETZ</t>
        </is>
      </c>
      <c r="H9229" t="inlineStr">
        <is>
          <t>4kW 1S</t>
        </is>
      </c>
      <c r="I9229">
        <v>977</v>
      </c>
      <c r="J9229">
        <f>GC03/427.7</f>
        <v>0</v>
      </c>
      <c r="M9229" t="inlineStr">
        <is>
          <t>-427K22.1</t>
        </is>
      </c>
    </row>
    <row r="9230">
      <c r="A9230">
        <v>9229</v>
      </c>
      <c r="B9230">
        <f>GS15</f>
        <v>0</v>
      </c>
      <c r="C9230" t="inlineStr">
        <is>
          <t>+LS9</t>
        </is>
      </c>
      <c r="D9230" t="inlineStr">
        <is>
          <t>-427K35.7</t>
        </is>
      </c>
      <c r="E9230" t="inlineStr">
        <is>
          <t>DIL_EM-10-G</t>
        </is>
      </c>
      <c r="F9230" t="inlineStr">
        <is>
          <t>#KALK!</t>
        </is>
      </c>
      <c r="G9230" t="inlineStr">
        <is>
          <t>LASTSCHUETZ</t>
        </is>
      </c>
      <c r="H9230" t="inlineStr">
        <is>
          <t>4kW 1S</t>
        </is>
      </c>
      <c r="I9230">
        <v>929</v>
      </c>
      <c r="J9230">
        <f>GS15/427.6</f>
        <v>0</v>
      </c>
      <c r="M9230" t="inlineStr">
        <is>
          <t>-427K35.7</t>
        </is>
      </c>
    </row>
    <row r="9231">
      <c r="A9231">
        <v>9230</v>
      </c>
      <c r="B9231">
        <f>GS15</f>
        <v>0</v>
      </c>
      <c r="C9231" t="inlineStr">
        <is>
          <t>+LS9</t>
        </is>
      </c>
      <c r="D9231" t="inlineStr">
        <is>
          <t>-427K36.0</t>
        </is>
      </c>
      <c r="E9231" t="inlineStr">
        <is>
          <t>DIL_EM-10-G</t>
        </is>
      </c>
      <c r="F9231" t="inlineStr">
        <is>
          <t>#KALK!</t>
        </is>
      </c>
      <c r="G9231" t="inlineStr">
        <is>
          <t>LASTSCHUETZ</t>
        </is>
      </c>
      <c r="H9231" t="inlineStr">
        <is>
          <t>4kW 1S</t>
        </is>
      </c>
      <c r="I9231">
        <v>929</v>
      </c>
      <c r="J9231">
        <f>GS15/427.6</f>
        <v>0</v>
      </c>
      <c r="M9231" t="inlineStr">
        <is>
          <t>-427K36.0</t>
        </is>
      </c>
    </row>
    <row r="9232">
      <c r="A9232">
        <v>9231</v>
      </c>
      <c r="B9232">
        <f>GS11</f>
        <v>0</v>
      </c>
      <c r="C9232" t="inlineStr">
        <is>
          <t>+LS11</t>
        </is>
      </c>
      <c r="D9232" t="inlineStr">
        <is>
          <t>-427K72.3</t>
        </is>
      </c>
      <c r="E9232" t="inlineStr">
        <is>
          <t>DIL_EM-10-G</t>
        </is>
      </c>
      <c r="F9232" t="inlineStr">
        <is>
          <t>#KALK!</t>
        </is>
      </c>
      <c r="G9232" t="inlineStr">
        <is>
          <t>LASTSCHUETZ</t>
        </is>
      </c>
      <c r="H9232" t="inlineStr">
        <is>
          <t>4kW 1S</t>
        </is>
      </c>
      <c r="I9232">
        <v>533</v>
      </c>
      <c r="J9232">
        <f>GS11/427.7</f>
        <v>0</v>
      </c>
      <c r="M9232" t="inlineStr">
        <is>
          <t>-427K72.3</t>
        </is>
      </c>
    </row>
    <row r="9233">
      <c r="A9233">
        <v>9232</v>
      </c>
      <c r="B9233">
        <f>GS21</f>
        <v>0</v>
      </c>
      <c r="C9233" t="inlineStr">
        <is>
          <t>+LS11</t>
        </is>
      </c>
      <c r="D9233" t="inlineStr">
        <is>
          <t>-427K72.3</t>
        </is>
      </c>
      <c r="E9233" t="inlineStr">
        <is>
          <t>DIL_EM-10-G</t>
        </is>
      </c>
      <c r="F9233" t="inlineStr">
        <is>
          <t>#KALK!</t>
        </is>
      </c>
      <c r="G9233" t="inlineStr">
        <is>
          <t>LASTSCHUETZ</t>
        </is>
      </c>
      <c r="H9233" t="inlineStr">
        <is>
          <t>4kW 1S</t>
        </is>
      </c>
      <c r="I9233">
        <v>515</v>
      </c>
      <c r="J9233">
        <f>GS21/427.7</f>
        <v>0</v>
      </c>
      <c r="M9233" t="inlineStr">
        <is>
          <t>-427K72.3</t>
        </is>
      </c>
    </row>
    <row r="9234">
      <c r="A9234">
        <v>9233</v>
      </c>
      <c r="B9234">
        <f>GS53</f>
        <v>0</v>
      </c>
      <c r="C9234" t="inlineStr">
        <is>
          <t>+LS13</t>
        </is>
      </c>
      <c r="D9234" t="inlineStr">
        <is>
          <t>-427Q427.4</t>
        </is>
      </c>
      <c r="E9234" t="inlineStr">
        <is>
          <t>DILM-9-10</t>
        </is>
      </c>
      <c r="F9234" t="inlineStr">
        <is>
          <t>#KALK!</t>
        </is>
      </c>
      <c r="G9234" t="inlineStr">
        <is>
          <t>LASTSCHUETZ</t>
        </is>
      </c>
      <c r="H9234" t="inlineStr">
        <is>
          <t>4kW 1S Federzugkl.</t>
        </is>
      </c>
      <c r="I9234">
        <v>517</v>
      </c>
      <c r="J9234">
        <f>GS53/427.6</f>
        <v>0</v>
      </c>
      <c r="K9234" t="inlineStr">
        <is>
          <t>DIL MC9</t>
        </is>
      </c>
      <c r="M9234" t="inlineStr">
        <is>
          <t>-427Q427.4</t>
        </is>
      </c>
    </row>
    <row r="9235">
      <c r="A9235">
        <v>9234</v>
      </c>
      <c r="B9235">
        <f>GS06</f>
        <v>0</v>
      </c>
      <c r="C9235" t="inlineStr">
        <is>
          <t>+LS07</t>
        </is>
      </c>
      <c r="D9235" t="inlineStr">
        <is>
          <t>-428K1</t>
        </is>
      </c>
      <c r="E9235" t="inlineStr">
        <is>
          <t>DILM-9-10</t>
        </is>
      </c>
      <c r="F9235" t="inlineStr">
        <is>
          <t>#KALK!</t>
        </is>
      </c>
      <c r="G9235" t="inlineStr">
        <is>
          <t>LASTSCHUETZ</t>
        </is>
      </c>
      <c r="H9235" t="inlineStr">
        <is>
          <t>4kW 1S Federzugkl.</t>
        </is>
      </c>
      <c r="I9235">
        <v>877</v>
      </c>
      <c r="J9235">
        <f>GS06/428.5</f>
        <v>0</v>
      </c>
      <c r="M9235" t="inlineStr">
        <is>
          <t>-428K1</t>
        </is>
      </c>
    </row>
    <row r="9236">
      <c r="A9236">
        <v>9235</v>
      </c>
      <c r="B9236">
        <f>GC03</f>
        <v>0</v>
      </c>
      <c r="C9236" t="inlineStr">
        <is>
          <t>+LS10</t>
        </is>
      </c>
      <c r="D9236" t="inlineStr">
        <is>
          <t>-428K22.2</t>
        </is>
      </c>
      <c r="E9236" t="inlineStr">
        <is>
          <t>DIL_EM-10-G</t>
        </is>
      </c>
      <c r="F9236" t="inlineStr">
        <is>
          <t>#KALK!</t>
        </is>
      </c>
      <c r="G9236" t="inlineStr">
        <is>
          <t>LASTSCHUETZ</t>
        </is>
      </c>
      <c r="H9236" t="inlineStr">
        <is>
          <t>4kW 1S</t>
        </is>
      </c>
      <c r="I9236">
        <v>1033</v>
      </c>
      <c r="J9236">
        <f>GC03/428.6</f>
        <v>0</v>
      </c>
      <c r="M9236" t="inlineStr">
        <is>
          <t>-428K22.2</t>
        </is>
      </c>
    </row>
    <row r="9237">
      <c r="A9237">
        <v>9236</v>
      </c>
      <c r="B9237">
        <f>GC03</f>
        <v>0</v>
      </c>
      <c r="C9237" t="inlineStr">
        <is>
          <t>+LS10</t>
        </is>
      </c>
      <c r="D9237" t="inlineStr">
        <is>
          <t>-428K22.3</t>
        </is>
      </c>
      <c r="E9237" t="inlineStr">
        <is>
          <t>DIL_EM-10-G</t>
        </is>
      </c>
      <c r="F9237" t="inlineStr">
        <is>
          <t>#KALK!</t>
        </is>
      </c>
      <c r="G9237" t="inlineStr">
        <is>
          <t>LASTSCHUETZ</t>
        </is>
      </c>
      <c r="H9237" t="inlineStr">
        <is>
          <t>4kW 1S</t>
        </is>
      </c>
      <c r="I9237">
        <v>1033</v>
      </c>
      <c r="J9237">
        <f>GC03/428.7</f>
        <v>0</v>
      </c>
      <c r="M9237" t="inlineStr">
        <is>
          <t>-428K22.3</t>
        </is>
      </c>
    </row>
    <row r="9238">
      <c r="A9238">
        <v>9237</v>
      </c>
      <c r="B9238">
        <f>GS34</f>
        <v>0</v>
      </c>
      <c r="C9238" t="inlineStr">
        <is>
          <t>+QVW2501</t>
        </is>
      </c>
      <c r="D9238" t="inlineStr">
        <is>
          <t>-428K3508.2</t>
        </is>
      </c>
      <c r="E9238" t="inlineStr">
        <is>
          <t>DIL_ER-22-G</t>
        </is>
      </c>
      <c r="F9238" t="inlineStr">
        <is>
          <t>#KALK!</t>
        </is>
      </c>
      <c r="G9238" t="inlineStr">
        <is>
          <t>HILFSSCHUETZ</t>
        </is>
      </c>
      <c r="H9238" t="inlineStr">
        <is>
          <t>2S 2OE</t>
        </is>
      </c>
      <c r="I9238">
        <v>553</v>
      </c>
      <c r="J9238">
        <f>GS34/428.2</f>
        <v>0</v>
      </c>
      <c r="M9238" t="inlineStr">
        <is>
          <t>-428K3508.2</t>
        </is>
      </c>
    </row>
    <row r="9239">
      <c r="A9239">
        <v>9238</v>
      </c>
      <c r="B9239">
        <f>GS34</f>
        <v>0</v>
      </c>
      <c r="C9239" t="inlineStr">
        <is>
          <t>+QVW2501</t>
        </is>
      </c>
      <c r="D9239" t="inlineStr">
        <is>
          <t>-428K3508.3</t>
        </is>
      </c>
      <c r="E9239" t="inlineStr">
        <is>
          <t>DIL_EM-10-G</t>
        </is>
      </c>
      <c r="F9239" t="inlineStr">
        <is>
          <t>#KALK!</t>
        </is>
      </c>
      <c r="G9239" t="inlineStr">
        <is>
          <t>LASTSCHUETZ</t>
        </is>
      </c>
      <c r="H9239" t="inlineStr">
        <is>
          <t>4kW 1S</t>
        </is>
      </c>
      <c r="I9239">
        <v>553</v>
      </c>
      <c r="J9239">
        <f>GS34/428.5</f>
        <v>0</v>
      </c>
      <c r="M9239" t="inlineStr">
        <is>
          <t>-428K3508.3</t>
        </is>
      </c>
    </row>
    <row r="9240">
      <c r="A9240">
        <v>9239</v>
      </c>
      <c r="B9240">
        <f>GS34</f>
        <v>0</v>
      </c>
      <c r="C9240" t="inlineStr">
        <is>
          <t>+QVW2501</t>
        </is>
      </c>
      <c r="D9240" t="inlineStr">
        <is>
          <t>-428K3511.1</t>
        </is>
      </c>
      <c r="E9240" t="inlineStr">
        <is>
          <t>DIL_ER-22-G</t>
        </is>
      </c>
      <c r="F9240" t="inlineStr">
        <is>
          <t>#KALK!</t>
        </is>
      </c>
      <c r="G9240" t="inlineStr">
        <is>
          <t>HILFSSCHUETZ</t>
        </is>
      </c>
      <c r="H9240" t="inlineStr">
        <is>
          <t>2S 2OE</t>
        </is>
      </c>
      <c r="I9240">
        <v>553</v>
      </c>
      <c r="J9240">
        <f>GS34/428.3</f>
        <v>0</v>
      </c>
      <c r="M9240" t="inlineStr">
        <is>
          <t>-428K3511.1</t>
        </is>
      </c>
    </row>
    <row r="9241">
      <c r="A9241">
        <v>9240</v>
      </c>
      <c r="B9241">
        <f>GS34</f>
        <v>0</v>
      </c>
      <c r="C9241" t="inlineStr">
        <is>
          <t>+QVW2501</t>
        </is>
      </c>
      <c r="D9241" t="inlineStr">
        <is>
          <t>-428K3511.2</t>
        </is>
      </c>
      <c r="E9241" t="inlineStr">
        <is>
          <t>DIL_ER-22-G</t>
        </is>
      </c>
      <c r="F9241" t="inlineStr">
        <is>
          <t>#KALK!</t>
        </is>
      </c>
      <c r="G9241" t="inlineStr">
        <is>
          <t>HILFSSCHUETZ</t>
        </is>
      </c>
      <c r="H9241" t="inlineStr">
        <is>
          <t>2S 2OE</t>
        </is>
      </c>
      <c r="I9241">
        <v>553</v>
      </c>
      <c r="J9241">
        <f>GS34/428.4</f>
        <v>0</v>
      </c>
      <c r="M9241" t="inlineStr">
        <is>
          <t>-428K3511.2</t>
        </is>
      </c>
    </row>
    <row r="9242">
      <c r="A9242">
        <v>9241</v>
      </c>
      <c r="B9242">
        <f>GS33</f>
        <v>0</v>
      </c>
      <c r="C9242" t="inlineStr">
        <is>
          <t>+LS9</t>
        </is>
      </c>
      <c r="D9242" t="inlineStr">
        <is>
          <t>-428K49.0</t>
        </is>
      </c>
      <c r="E9242" t="inlineStr">
        <is>
          <t>DIL_EM-10-G</t>
        </is>
      </c>
      <c r="F9242" t="inlineStr">
        <is>
          <t>#KALK!</t>
        </is>
      </c>
      <c r="G9242" t="inlineStr">
        <is>
          <t>LASTSCHUETZ</t>
        </is>
      </c>
      <c r="H9242" t="inlineStr">
        <is>
          <t>4kW 1S</t>
        </is>
      </c>
      <c r="I9242">
        <v>882</v>
      </c>
      <c r="J9242">
        <f>GS33/428.6</f>
        <v>0</v>
      </c>
      <c r="M9242" t="inlineStr">
        <is>
          <t>-428K49.0</t>
        </is>
      </c>
    </row>
    <row r="9243">
      <c r="A9243">
        <v>9242</v>
      </c>
      <c r="B9243">
        <f>GS33</f>
        <v>0</v>
      </c>
      <c r="C9243" t="inlineStr">
        <is>
          <t>+LS9</t>
        </is>
      </c>
      <c r="D9243" t="inlineStr">
        <is>
          <t>-428K51.0</t>
        </is>
      </c>
      <c r="E9243" t="inlineStr">
        <is>
          <t>DIL_EM-10-G</t>
        </is>
      </c>
      <c r="F9243" t="inlineStr">
        <is>
          <t>#KALK!</t>
        </is>
      </c>
      <c r="G9243" t="inlineStr">
        <is>
          <t>LASTSCHUETZ</t>
        </is>
      </c>
      <c r="H9243" t="inlineStr">
        <is>
          <t>4kW 1S</t>
        </is>
      </c>
      <c r="I9243">
        <v>882</v>
      </c>
      <c r="J9243">
        <f>GS33/428.6</f>
        <v>0</v>
      </c>
      <c r="M9243" t="inlineStr">
        <is>
          <t>-428K51.0</t>
        </is>
      </c>
    </row>
    <row r="9244">
      <c r="A9244">
        <v>9243</v>
      </c>
      <c r="B9244">
        <f>GS11</f>
        <v>0</v>
      </c>
      <c r="C9244" t="inlineStr">
        <is>
          <t>+LS11</t>
        </is>
      </c>
      <c r="D9244" t="inlineStr">
        <is>
          <t>-428K72.7</t>
        </is>
      </c>
      <c r="E9244" t="inlineStr">
        <is>
          <t>DIL_EM-10-G</t>
        </is>
      </c>
      <c r="F9244" t="inlineStr">
        <is>
          <t>#KALK!</t>
        </is>
      </c>
      <c r="G9244" t="inlineStr">
        <is>
          <t>LASTSCHUETZ</t>
        </is>
      </c>
      <c r="H9244" t="inlineStr">
        <is>
          <t>4kW 1S</t>
        </is>
      </c>
      <c r="I9244">
        <v>534</v>
      </c>
      <c r="J9244">
        <f>GS11/428.7</f>
        <v>0</v>
      </c>
      <c r="M9244" t="inlineStr">
        <is>
          <t>-428K72.7</t>
        </is>
      </c>
    </row>
    <row r="9245">
      <c r="A9245">
        <v>9244</v>
      </c>
      <c r="B9245">
        <f>GS21</f>
        <v>0</v>
      </c>
      <c r="C9245" t="inlineStr">
        <is>
          <t>+LS11</t>
        </is>
      </c>
      <c r="D9245" t="inlineStr">
        <is>
          <t>-428K72.7</t>
        </is>
      </c>
      <c r="E9245" t="inlineStr">
        <is>
          <t>DIL_EM-10-G</t>
        </is>
      </c>
      <c r="F9245" t="inlineStr">
        <is>
          <t>#KALK!</t>
        </is>
      </c>
      <c r="G9245" t="inlineStr">
        <is>
          <t>LASTSCHUETZ</t>
        </is>
      </c>
      <c r="H9245" t="inlineStr">
        <is>
          <t>4kW 1S</t>
        </is>
      </c>
      <c r="I9245">
        <v>516</v>
      </c>
      <c r="J9245">
        <f>GS21/428.7</f>
        <v>0</v>
      </c>
      <c r="M9245" t="inlineStr">
        <is>
          <t>-428K72.7</t>
        </is>
      </c>
    </row>
    <row r="9246">
      <c r="A9246">
        <v>9245</v>
      </c>
      <c r="B9246">
        <f>GC03</f>
        <v>0</v>
      </c>
      <c r="C9246" t="inlineStr">
        <is>
          <t>+LS10</t>
        </is>
      </c>
      <c r="D9246" t="inlineStr">
        <is>
          <t>-429K22.4</t>
        </is>
      </c>
      <c r="E9246" t="inlineStr">
        <is>
          <t>DIL_EM-10-G</t>
        </is>
      </c>
      <c r="F9246" t="inlineStr">
        <is>
          <t>#KALK!</t>
        </is>
      </c>
      <c r="G9246" t="inlineStr">
        <is>
          <t>LASTSCHUETZ</t>
        </is>
      </c>
      <c r="H9246" t="inlineStr">
        <is>
          <t>4kW 1S</t>
        </is>
      </c>
      <c r="I9246">
        <v>2743</v>
      </c>
      <c r="J9246">
        <f>GC03/429.6</f>
        <v>0</v>
      </c>
      <c r="M9246" t="inlineStr">
        <is>
          <t>-429K22.4</t>
        </is>
      </c>
    </row>
    <row r="9247">
      <c r="A9247">
        <v>9246</v>
      </c>
      <c r="B9247">
        <f>GC03</f>
        <v>0</v>
      </c>
      <c r="C9247" t="inlineStr">
        <is>
          <t>+LS10</t>
        </is>
      </c>
      <c r="D9247" t="inlineStr">
        <is>
          <t>-429K22.5</t>
        </is>
      </c>
      <c r="E9247" t="inlineStr">
        <is>
          <t>DIL_EM-10-G</t>
        </is>
      </c>
      <c r="F9247" t="inlineStr">
        <is>
          <t>#KALK!</t>
        </is>
      </c>
      <c r="G9247" t="inlineStr">
        <is>
          <t>LASTSCHUETZ</t>
        </is>
      </c>
      <c r="H9247" t="inlineStr">
        <is>
          <t>4kW 1S</t>
        </is>
      </c>
      <c r="I9247">
        <v>2743</v>
      </c>
      <c r="J9247">
        <f>GC03/429.7</f>
        <v>0</v>
      </c>
      <c r="M9247" t="inlineStr">
        <is>
          <t>-429K22.5</t>
        </is>
      </c>
    </row>
    <row r="9248">
      <c r="A9248">
        <v>9247</v>
      </c>
      <c r="B9248">
        <f>GS34</f>
        <v>0</v>
      </c>
      <c r="C9248" t="inlineStr">
        <is>
          <t>+QVW2501</t>
        </is>
      </c>
      <c r="D9248" t="inlineStr">
        <is>
          <t>-429K3508.1</t>
        </is>
      </c>
      <c r="E9248" t="inlineStr">
        <is>
          <t>DIL_EM-10-G</t>
        </is>
      </c>
      <c r="F9248" t="inlineStr">
        <is>
          <t>#KALK!</t>
        </is>
      </c>
      <c r="G9248" t="inlineStr">
        <is>
          <t>LASTSCHUETZ</t>
        </is>
      </c>
      <c r="H9248" t="inlineStr">
        <is>
          <t>4kW 1S</t>
        </is>
      </c>
      <c r="I9248">
        <v>554</v>
      </c>
      <c r="J9248">
        <f>GS34/429.7</f>
        <v>0</v>
      </c>
      <c r="M9248" t="inlineStr">
        <is>
          <t>-429K3508.1</t>
        </is>
      </c>
    </row>
    <row r="9249">
      <c r="A9249">
        <v>9248</v>
      </c>
      <c r="B9249">
        <f>GS15</f>
        <v>0</v>
      </c>
      <c r="C9249" t="inlineStr">
        <is>
          <t>+LS9</t>
        </is>
      </c>
      <c r="D9249" t="inlineStr">
        <is>
          <t>-429K36.6</t>
        </is>
      </c>
      <c r="E9249" t="inlineStr">
        <is>
          <t>DIL_EM-10-G</t>
        </is>
      </c>
      <c r="F9249" t="inlineStr">
        <is>
          <t>#KALK!</t>
        </is>
      </c>
      <c r="G9249" t="inlineStr">
        <is>
          <t>LASTSCHUETZ</t>
        </is>
      </c>
      <c r="H9249" t="inlineStr">
        <is>
          <t>4kW 1S</t>
        </is>
      </c>
      <c r="I9249">
        <v>931</v>
      </c>
      <c r="J9249">
        <f>GS15/429.5</f>
        <v>0</v>
      </c>
      <c r="M9249" t="inlineStr">
        <is>
          <t>-429K36.6</t>
        </is>
      </c>
    </row>
    <row r="9250">
      <c r="A9250">
        <v>9249</v>
      </c>
      <c r="B9250">
        <f>GS15</f>
        <v>0</v>
      </c>
      <c r="C9250" t="inlineStr">
        <is>
          <t>+LS9</t>
        </is>
      </c>
      <c r="D9250" t="inlineStr">
        <is>
          <t>-429K36.7</t>
        </is>
      </c>
      <c r="E9250" t="inlineStr">
        <is>
          <t>DIL_EM-10-G</t>
        </is>
      </c>
      <c r="F9250" t="inlineStr">
        <is>
          <t>#KALK!</t>
        </is>
      </c>
      <c r="G9250" t="inlineStr">
        <is>
          <t>LASTSCHUETZ</t>
        </is>
      </c>
      <c r="H9250" t="inlineStr">
        <is>
          <t>4kW 1S</t>
        </is>
      </c>
      <c r="I9250">
        <v>931</v>
      </c>
      <c r="J9250">
        <f>GS15/429.6</f>
        <v>0</v>
      </c>
      <c r="M9250" t="inlineStr">
        <is>
          <t>-429K36.7</t>
        </is>
      </c>
    </row>
    <row r="9251">
      <c r="A9251">
        <v>9250</v>
      </c>
      <c r="B9251">
        <f>GS15</f>
        <v>0</v>
      </c>
      <c r="C9251" t="inlineStr">
        <is>
          <t>+LS9</t>
        </is>
      </c>
      <c r="D9251" t="inlineStr">
        <is>
          <t>-429K37.0</t>
        </is>
      </c>
      <c r="E9251" t="inlineStr">
        <is>
          <t>DIL_EM-01-G</t>
        </is>
      </c>
      <c r="F9251" t="inlineStr">
        <is>
          <t>#KALK!</t>
        </is>
      </c>
      <c r="G9251" t="inlineStr">
        <is>
          <t>LASTSCHUETZ</t>
        </is>
      </c>
      <c r="H9251" t="inlineStr">
        <is>
          <t>4kW 1OE</t>
        </is>
      </c>
      <c r="I9251">
        <v>931</v>
      </c>
      <c r="J9251">
        <f>GS15/429.7</f>
        <v>0</v>
      </c>
      <c r="M9251" t="inlineStr">
        <is>
          <t>-429K37.0</t>
        </is>
      </c>
    </row>
    <row r="9252">
      <c r="A9252">
        <v>9251</v>
      </c>
      <c r="B9252">
        <f>GS15</f>
        <v>0</v>
      </c>
      <c r="C9252" t="inlineStr">
        <is>
          <t>+LS9</t>
        </is>
      </c>
      <c r="D9252" t="inlineStr">
        <is>
          <t>-429K37.1</t>
        </is>
      </c>
      <c r="E9252" t="inlineStr">
        <is>
          <t>DIL_EM-01-G</t>
        </is>
      </c>
      <c r="F9252" t="inlineStr">
        <is>
          <t>#KALK!</t>
        </is>
      </c>
      <c r="G9252" t="inlineStr">
        <is>
          <t>LASTSCHUETZ</t>
        </is>
      </c>
      <c r="H9252" t="inlineStr">
        <is>
          <t>4kW 1OE</t>
        </is>
      </c>
      <c r="I9252">
        <v>931</v>
      </c>
      <c r="J9252">
        <f>GS15/429.8</f>
        <v>0</v>
      </c>
      <c r="M9252" t="inlineStr">
        <is>
          <t>-429K37.1</t>
        </is>
      </c>
    </row>
    <row r="9253">
      <c r="A9253">
        <v>9252</v>
      </c>
      <c r="B9253">
        <f>GS33</f>
        <v>0</v>
      </c>
      <c r="C9253" t="inlineStr">
        <is>
          <t>+LS9</t>
        </is>
      </c>
      <c r="D9253" t="inlineStr">
        <is>
          <t>-429K49.1</t>
        </is>
      </c>
      <c r="E9253" t="inlineStr">
        <is>
          <t>DIL_EM-10-G</t>
        </is>
      </c>
      <c r="F9253" t="inlineStr">
        <is>
          <t>#KALK!</t>
        </is>
      </c>
      <c r="G9253" t="inlineStr">
        <is>
          <t>LASTSCHUETZ</t>
        </is>
      </c>
      <c r="H9253" t="inlineStr">
        <is>
          <t>4kW 1S</t>
        </is>
      </c>
      <c r="I9253">
        <v>883</v>
      </c>
      <c r="J9253">
        <f>GS33/429.6</f>
        <v>0</v>
      </c>
      <c r="M9253" t="inlineStr">
        <is>
          <t>-429K49.1</t>
        </is>
      </c>
    </row>
    <row r="9254">
      <c r="A9254">
        <v>9253</v>
      </c>
      <c r="B9254">
        <f>GS33</f>
        <v>0</v>
      </c>
      <c r="C9254" t="inlineStr">
        <is>
          <t>+LS9</t>
        </is>
      </c>
      <c r="D9254" t="inlineStr">
        <is>
          <t>-429K51.1</t>
        </is>
      </c>
      <c r="E9254" t="inlineStr">
        <is>
          <t>DIL_EM-10-G</t>
        </is>
      </c>
      <c r="F9254" t="inlineStr">
        <is>
          <t>#KALK!</t>
        </is>
      </c>
      <c r="G9254" t="inlineStr">
        <is>
          <t>LASTSCHUETZ</t>
        </is>
      </c>
      <c r="H9254" t="inlineStr">
        <is>
          <t>4kW 1S</t>
        </is>
      </c>
      <c r="I9254">
        <v>883</v>
      </c>
      <c r="J9254">
        <f>GS33/429.6</f>
        <v>0</v>
      </c>
      <c r="M9254" t="inlineStr">
        <is>
          <t>-429K51.1</t>
        </is>
      </c>
    </row>
    <row r="9255">
      <c r="A9255">
        <v>9254</v>
      </c>
      <c r="B9255">
        <f>GS35</f>
        <v>0</v>
      </c>
      <c r="C9255" t="inlineStr">
        <is>
          <t>+LS10</t>
        </is>
      </c>
      <c r="D9255" t="inlineStr">
        <is>
          <t>-430K1</t>
        </is>
      </c>
      <c r="E9255" t="inlineStr">
        <is>
          <t>DILA-40</t>
        </is>
      </c>
      <c r="F9255" t="inlineStr">
        <is>
          <t>#KALK!</t>
        </is>
      </c>
      <c r="G9255" t="inlineStr">
        <is>
          <t>HILFSSCHUETZ</t>
        </is>
      </c>
      <c r="H9255" t="inlineStr">
        <is>
          <t>4S Federzugkl.</t>
        </is>
      </c>
      <c r="I9255">
        <v>584</v>
      </c>
      <c r="J9255">
        <f>GS35/430.6</f>
        <v>0</v>
      </c>
      <c r="M9255" t="inlineStr">
        <is>
          <t>-430K1</t>
        </is>
      </c>
    </row>
    <row r="9256">
      <c r="A9256">
        <v>9255</v>
      </c>
      <c r="B9256">
        <f>GS35</f>
        <v>0</v>
      </c>
      <c r="C9256" t="inlineStr">
        <is>
          <t>+LS10</t>
        </is>
      </c>
      <c r="D9256" t="inlineStr">
        <is>
          <t>-430K162.4</t>
        </is>
      </c>
      <c r="E9256" t="inlineStr">
        <is>
          <t>DILA-40</t>
        </is>
      </c>
      <c r="F9256" t="inlineStr">
        <is>
          <t>#KALK!</t>
        </is>
      </c>
      <c r="G9256" t="inlineStr">
        <is>
          <t>HILFSSCHUETZ</t>
        </is>
      </c>
      <c r="H9256" t="inlineStr">
        <is>
          <t>4S Federzugkl.</t>
        </is>
      </c>
      <c r="I9256">
        <v>584</v>
      </c>
      <c r="J9256">
        <f>GS35/430.7</f>
        <v>0</v>
      </c>
      <c r="M9256" t="inlineStr">
        <is>
          <t>-430K162.4</t>
        </is>
      </c>
    </row>
    <row r="9257">
      <c r="A9257">
        <v>9256</v>
      </c>
      <c r="B9257">
        <f>GC03</f>
        <v>0</v>
      </c>
      <c r="C9257" t="inlineStr">
        <is>
          <t>+LS10</t>
        </is>
      </c>
      <c r="D9257" t="inlineStr">
        <is>
          <t>-430K22.6</t>
        </is>
      </c>
      <c r="E9257" t="inlineStr">
        <is>
          <t>DIL_EM-10-G</t>
        </is>
      </c>
      <c r="F9257" t="inlineStr">
        <is>
          <t>#KALK!</t>
        </is>
      </c>
      <c r="G9257" t="inlineStr">
        <is>
          <t>LASTSCHUETZ</t>
        </is>
      </c>
      <c r="H9257" t="inlineStr">
        <is>
          <t>4kW 1S</t>
        </is>
      </c>
      <c r="I9257">
        <v>2742</v>
      </c>
      <c r="J9257">
        <f>GC03/430.6</f>
        <v>0</v>
      </c>
      <c r="M9257" t="inlineStr">
        <is>
          <t>-430K22.6</t>
        </is>
      </c>
    </row>
    <row r="9258">
      <c r="A9258">
        <v>9257</v>
      </c>
      <c r="B9258">
        <f>GC03</f>
        <v>0</v>
      </c>
      <c r="C9258" t="inlineStr">
        <is>
          <t>+LS10</t>
        </is>
      </c>
      <c r="D9258" t="inlineStr">
        <is>
          <t>-430K22.7</t>
        </is>
      </c>
      <c r="E9258" t="inlineStr">
        <is>
          <t>DIL_EM-10-G</t>
        </is>
      </c>
      <c r="F9258" t="inlineStr">
        <is>
          <t>#KALK!</t>
        </is>
      </c>
      <c r="G9258" t="inlineStr">
        <is>
          <t>LASTSCHUETZ</t>
        </is>
      </c>
      <c r="H9258" t="inlineStr">
        <is>
          <t>4kW 1S</t>
        </is>
      </c>
      <c r="I9258">
        <v>2742</v>
      </c>
      <c r="J9258">
        <f>GC03/430.7</f>
        <v>0</v>
      </c>
      <c r="M9258" t="inlineStr">
        <is>
          <t>-430K22.7</t>
        </is>
      </c>
    </row>
    <row r="9259">
      <c r="A9259">
        <v>9258</v>
      </c>
      <c r="B9259">
        <f>GS15</f>
        <v>0</v>
      </c>
      <c r="C9259" t="inlineStr">
        <is>
          <t>+LS9</t>
        </is>
      </c>
      <c r="D9259" t="inlineStr">
        <is>
          <t>-430K37.2</t>
        </is>
      </c>
      <c r="E9259" t="inlineStr">
        <is>
          <t>DIL_EM-10-G</t>
        </is>
      </c>
      <c r="F9259" t="inlineStr">
        <is>
          <t>#KALK!</t>
        </is>
      </c>
      <c r="G9259" t="inlineStr">
        <is>
          <t>LASTSCHUETZ</t>
        </is>
      </c>
      <c r="H9259" t="inlineStr">
        <is>
          <t>4kW 1S</t>
        </is>
      </c>
      <c r="I9259">
        <v>932</v>
      </c>
      <c r="J9259">
        <f>GS15/430.6</f>
        <v>0</v>
      </c>
      <c r="M9259" t="inlineStr">
        <is>
          <t>-430K37.2</t>
        </is>
      </c>
    </row>
    <row r="9260">
      <c r="A9260">
        <v>9259</v>
      </c>
      <c r="B9260">
        <f>GS15</f>
        <v>0</v>
      </c>
      <c r="C9260" t="inlineStr">
        <is>
          <t>+LS9</t>
        </is>
      </c>
      <c r="D9260" t="inlineStr">
        <is>
          <t>-430K37.3</t>
        </is>
      </c>
      <c r="E9260" t="inlineStr">
        <is>
          <t>DIL_EM-10-G</t>
        </is>
      </c>
      <c r="F9260" t="inlineStr">
        <is>
          <t>#KALK!</t>
        </is>
      </c>
      <c r="G9260" t="inlineStr">
        <is>
          <t>LASTSCHUETZ</t>
        </is>
      </c>
      <c r="H9260" t="inlineStr">
        <is>
          <t>4kW 1S</t>
        </is>
      </c>
      <c r="I9260">
        <v>932</v>
      </c>
      <c r="J9260">
        <f>GS15/430.6</f>
        <v>0</v>
      </c>
      <c r="M9260" t="inlineStr">
        <is>
          <t>-430K37.3</t>
        </is>
      </c>
    </row>
    <row r="9261">
      <c r="A9261">
        <v>9260</v>
      </c>
      <c r="B9261">
        <f>GS33</f>
        <v>0</v>
      </c>
      <c r="C9261" t="inlineStr">
        <is>
          <t>+LS9</t>
        </is>
      </c>
      <c r="D9261" t="inlineStr">
        <is>
          <t>-430K49.2</t>
        </is>
      </c>
      <c r="E9261" t="inlineStr">
        <is>
          <t>DIL_EM-10-G</t>
        </is>
      </c>
      <c r="F9261" t="inlineStr">
        <is>
          <t>#KALK!</t>
        </is>
      </c>
      <c r="G9261" t="inlineStr">
        <is>
          <t>LASTSCHUETZ</t>
        </is>
      </c>
      <c r="H9261" t="inlineStr">
        <is>
          <t>4kW 1S</t>
        </is>
      </c>
      <c r="I9261">
        <v>884</v>
      </c>
      <c r="J9261">
        <f>GS33/430.6</f>
        <v>0</v>
      </c>
      <c r="M9261" t="inlineStr">
        <is>
          <t>-430K49.2</t>
        </is>
      </c>
    </row>
    <row r="9262">
      <c r="A9262">
        <v>9261</v>
      </c>
      <c r="B9262">
        <f>GS33</f>
        <v>0</v>
      </c>
      <c r="C9262" t="inlineStr">
        <is>
          <t>+LS9</t>
        </is>
      </c>
      <c r="D9262" t="inlineStr">
        <is>
          <t>-430K51.2</t>
        </is>
      </c>
      <c r="E9262" t="inlineStr">
        <is>
          <t>DIL_EM-10-G</t>
        </is>
      </c>
      <c r="F9262" t="inlineStr">
        <is>
          <t>#KALK!</t>
        </is>
      </c>
      <c r="G9262" t="inlineStr">
        <is>
          <t>LASTSCHUETZ</t>
        </is>
      </c>
      <c r="H9262" t="inlineStr">
        <is>
          <t>4kW 1S</t>
        </is>
      </c>
      <c r="I9262">
        <v>884</v>
      </c>
      <c r="J9262">
        <f>GS33/430.6</f>
        <v>0</v>
      </c>
      <c r="M9262" t="inlineStr">
        <is>
          <t>-430K51.2</t>
        </is>
      </c>
    </row>
    <row r="9263">
      <c r="A9263">
        <v>9262</v>
      </c>
      <c r="B9263">
        <f>GS37</f>
        <v>0</v>
      </c>
      <c r="C9263" t="inlineStr">
        <is>
          <t>+LS09</t>
        </is>
      </c>
      <c r="D9263" t="inlineStr">
        <is>
          <t>-430K711.0</t>
        </is>
      </c>
      <c r="E9263" t="inlineStr">
        <is>
          <t>DILA-40</t>
        </is>
      </c>
      <c r="F9263" t="inlineStr">
        <is>
          <t>#KALK!</t>
        </is>
      </c>
      <c r="G9263" t="inlineStr">
        <is>
          <t>HILFSSCHUETZ</t>
        </is>
      </c>
      <c r="H9263" t="inlineStr">
        <is>
          <t>4S Federzugkl.</t>
        </is>
      </c>
      <c r="I9263">
        <v>523</v>
      </c>
      <c r="J9263">
        <f>GS37/430.7</f>
        <v>0</v>
      </c>
      <c r="M9263" t="inlineStr">
        <is>
          <t>-430K711.0</t>
        </is>
      </c>
    </row>
    <row r="9264">
      <c r="A9264">
        <v>9263</v>
      </c>
      <c r="B9264">
        <f>GS35</f>
        <v>0</v>
      </c>
      <c r="C9264" t="inlineStr">
        <is>
          <t>+LS10</t>
        </is>
      </c>
      <c r="D9264" t="inlineStr">
        <is>
          <t>-430Q1</t>
        </is>
      </c>
      <c r="E9264" t="inlineStr">
        <is>
          <t>DILA-XHI22</t>
        </is>
      </c>
      <c r="F9264" t="inlineStr">
        <is>
          <t>DILA-XHI22</t>
        </is>
      </c>
      <c r="G9264" t="inlineStr">
        <is>
          <t>HILFSKONTAKTBLOCK</t>
        </is>
      </c>
      <c r="H9264" t="inlineStr">
        <is>
          <t>2S 2OE Last+Hilfssch. Cage</t>
        </is>
      </c>
      <c r="I9264">
        <v>584</v>
      </c>
      <c r="J9264">
        <f>GS35/430.4</f>
        <v>0</v>
      </c>
      <c r="K9264" t="inlineStr">
        <is>
          <t>DIL MC25</t>
        </is>
      </c>
      <c r="M9264" t="inlineStr">
        <is>
          <t>-430Q1</t>
        </is>
      </c>
    </row>
    <row r="9265">
      <c r="A9265">
        <v>9264</v>
      </c>
      <c r="B9265">
        <f>GS35</f>
        <v>0</v>
      </c>
      <c r="C9265" t="inlineStr">
        <is>
          <t>+LS10</t>
        </is>
      </c>
      <c r="D9265" t="inlineStr">
        <is>
          <t>-430Q1</t>
        </is>
      </c>
      <c r="E9265" t="inlineStr">
        <is>
          <t>DILM-25-10</t>
        </is>
      </c>
      <c r="F9265" t="inlineStr">
        <is>
          <t>DILA-XHI22</t>
        </is>
      </c>
      <c r="G9265" t="inlineStr">
        <is>
          <t>LASTSCHUETZ</t>
        </is>
      </c>
      <c r="H9265" t="inlineStr">
        <is>
          <t>11kW 1S Federzugkl.</t>
        </is>
      </c>
      <c r="I9265">
        <v>584</v>
      </c>
      <c r="J9265">
        <f>GS35/430.4</f>
        <v>0</v>
      </c>
      <c r="K9265" t="inlineStr">
        <is>
          <t>DIL MC25</t>
        </is>
      </c>
      <c r="M9265" t="inlineStr">
        <is>
          <t>-430Q1</t>
        </is>
      </c>
    </row>
    <row r="9266">
      <c r="A9266">
        <v>9265</v>
      </c>
      <c r="B9266">
        <f>GS37</f>
        <v>0</v>
      </c>
      <c r="C9266" t="inlineStr">
        <is>
          <t>+LS09</t>
        </is>
      </c>
      <c r="D9266" t="inlineStr">
        <is>
          <t>-430Q1</t>
        </is>
      </c>
      <c r="E9266" t="inlineStr">
        <is>
          <t>DILMC25-10(RDC24)</t>
        </is>
      </c>
      <c r="F9266" t="inlineStr">
        <is>
          <t>DILA-XHI22</t>
        </is>
      </c>
      <c r="G9266" t="inlineStr">
        <is>
          <t>LASTSCHUETZ</t>
        </is>
      </c>
      <c r="H9266" t="inlineStr">
        <is>
          <t>11kW 1S Federzugkl.</t>
        </is>
      </c>
      <c r="I9266">
        <v>523</v>
      </c>
      <c r="J9266">
        <f>GS37/430.4</f>
        <v>0</v>
      </c>
      <c r="K9266" t="inlineStr">
        <is>
          <t>DIL MC25</t>
        </is>
      </c>
      <c r="M9266" t="inlineStr">
        <is>
          <t>-430Q1</t>
        </is>
      </c>
    </row>
    <row r="9267">
      <c r="A9267">
        <v>9266</v>
      </c>
      <c r="B9267">
        <f>GS37</f>
        <v>0</v>
      </c>
      <c r="C9267" t="inlineStr">
        <is>
          <t>+LS09</t>
        </is>
      </c>
      <c r="D9267" t="inlineStr">
        <is>
          <t>-430Q1</t>
        </is>
      </c>
      <c r="E9267" t="inlineStr">
        <is>
          <t>DILA-XHI22</t>
        </is>
      </c>
      <c r="F9267" t="inlineStr">
        <is>
          <t>DILA-XHI22</t>
        </is>
      </c>
      <c r="G9267" t="inlineStr">
        <is>
          <t>HILFSKONTAKTBLOCK</t>
        </is>
      </c>
      <c r="H9267" t="inlineStr">
        <is>
          <t>2S 2OE Last+Hilfssch. Cage</t>
        </is>
      </c>
      <c r="I9267">
        <v>523</v>
      </c>
      <c r="J9267">
        <f>GS37/430.4</f>
        <v>0</v>
      </c>
      <c r="K9267" t="inlineStr">
        <is>
          <t>DIL MC25</t>
        </is>
      </c>
      <c r="M9267" t="inlineStr">
        <is>
          <t>-430Q1</t>
        </is>
      </c>
    </row>
    <row r="9268">
      <c r="A9268">
        <v>9267</v>
      </c>
      <c r="B9268">
        <f>GS55</f>
        <v>0</v>
      </c>
      <c r="C9268" t="inlineStr">
        <is>
          <t>+LS06</t>
        </is>
      </c>
      <c r="D9268" t="inlineStr">
        <is>
          <t>-430Q1</t>
        </is>
      </c>
      <c r="E9268" t="inlineStr">
        <is>
          <t>DILA-XHI22</t>
        </is>
      </c>
      <c r="F9268" t="inlineStr">
        <is>
          <t>DILA-XHI22</t>
        </is>
      </c>
      <c r="G9268" t="inlineStr">
        <is>
          <t>HILFSKONTAKTBLOCK</t>
        </is>
      </c>
      <c r="H9268" t="inlineStr">
        <is>
          <t>2S 2OE Last+Hilfssch. Cage</t>
        </is>
      </c>
      <c r="I9268">
        <v>693</v>
      </c>
      <c r="J9268">
        <f>GS55/430.6</f>
        <v>0</v>
      </c>
      <c r="K9268" t="inlineStr">
        <is>
          <t>DIL MC25</t>
        </is>
      </c>
      <c r="M9268" t="inlineStr">
        <is>
          <t>-430Q1</t>
        </is>
      </c>
    </row>
    <row r="9269">
      <c r="A9269">
        <v>9268</v>
      </c>
      <c r="B9269">
        <f>GS55</f>
        <v>0</v>
      </c>
      <c r="C9269" t="inlineStr">
        <is>
          <t>+LS06</t>
        </is>
      </c>
      <c r="D9269" t="inlineStr">
        <is>
          <t>-430Q1</t>
        </is>
      </c>
      <c r="E9269" t="inlineStr">
        <is>
          <t>DILMC25-10(RDC24)</t>
        </is>
      </c>
      <c r="F9269" t="inlineStr">
        <is>
          <t>DILA-XHI22</t>
        </is>
      </c>
      <c r="G9269" t="inlineStr">
        <is>
          <t>LASTSCHUETZ</t>
        </is>
      </c>
      <c r="H9269" t="inlineStr">
        <is>
          <t>11kW 1S Federzugkl.</t>
        </is>
      </c>
      <c r="I9269">
        <v>693</v>
      </c>
      <c r="J9269">
        <f>GS55/430.6</f>
        <v>0</v>
      </c>
      <c r="K9269" t="inlineStr">
        <is>
          <t>DIL MC25</t>
        </is>
      </c>
      <c r="M9269" t="inlineStr">
        <is>
          <t>-430Q1</t>
        </is>
      </c>
    </row>
    <row r="9270">
      <c r="A9270">
        <v>9269</v>
      </c>
      <c r="B9270">
        <f>GS90</f>
        <v>0</v>
      </c>
      <c r="C9270" t="inlineStr">
        <is>
          <t>+LS08</t>
        </is>
      </c>
      <c r="D9270" t="inlineStr">
        <is>
          <t>-430Q455.0</t>
        </is>
      </c>
      <c r="E9270" t="inlineStr">
        <is>
          <t>DILM-9-10</t>
        </is>
      </c>
      <c r="F9270" t="inlineStr">
        <is>
          <t>#KALK!</t>
        </is>
      </c>
      <c r="G9270" t="inlineStr">
        <is>
          <t>LASTSCHUETZ</t>
        </is>
      </c>
      <c r="H9270" t="inlineStr">
        <is>
          <t>4kW 1S Federzugkl.</t>
        </is>
      </c>
      <c r="I9270">
        <v>585</v>
      </c>
      <c r="J9270">
        <f>GS90/430.5</f>
        <v>0</v>
      </c>
      <c r="M9270" t="inlineStr">
        <is>
          <t>-430Q455.0</t>
        </is>
      </c>
    </row>
    <row r="9271">
      <c r="A9271">
        <v>9270</v>
      </c>
      <c r="B9271">
        <f>GC22</f>
        <v>0</v>
      </c>
      <c r="C9271" t="inlineStr">
        <is>
          <t>+LS6</t>
        </is>
      </c>
      <c r="D9271" t="inlineStr">
        <is>
          <t>-431K1</t>
        </is>
      </c>
      <c r="E9271" t="inlineStr">
        <is>
          <t>DIL_0AM</t>
        </is>
      </c>
      <c r="F9271" t="inlineStr">
        <is>
          <t>22_DIL-M</t>
        </is>
      </c>
      <c r="G9271" t="inlineStr">
        <is>
          <t>LASTSCHUETZ</t>
        </is>
      </c>
      <c r="H9271" t="inlineStr">
        <is>
          <t>11 kW</t>
        </is>
      </c>
      <c r="I9271">
        <v>2956</v>
      </c>
      <c r="J9271">
        <f>GC22/431.2</f>
        <v>0</v>
      </c>
      <c r="K9271" t="inlineStr">
        <is>
          <t>DIL0AM</t>
        </is>
      </c>
      <c r="M9271" t="inlineStr">
        <is>
          <t>-431K1</t>
        </is>
      </c>
    </row>
    <row r="9272">
      <c r="A9272">
        <v>9271</v>
      </c>
      <c r="B9272">
        <f>GC22</f>
        <v>0</v>
      </c>
      <c r="C9272" t="inlineStr">
        <is>
          <t>+LS6</t>
        </is>
      </c>
      <c r="D9272" t="inlineStr">
        <is>
          <t>-431K1</t>
        </is>
      </c>
      <c r="E9272" t="inlineStr">
        <is>
          <t>22_DIL-M</t>
        </is>
      </c>
      <c r="F9272" t="inlineStr">
        <is>
          <t>22_DIL-M</t>
        </is>
      </c>
      <c r="G9272" t="inlineStr">
        <is>
          <t>HILFSKONTAKTBLOCK</t>
        </is>
      </c>
      <c r="H9272" t="inlineStr">
        <is>
          <t>2S 2OE Lastschuetz DIL M</t>
        </is>
      </c>
      <c r="I9272">
        <v>2956</v>
      </c>
      <c r="J9272">
        <f>GC22/431.2</f>
        <v>0</v>
      </c>
      <c r="K9272" t="inlineStr">
        <is>
          <t>DIL0AM</t>
        </is>
      </c>
      <c r="M9272" t="inlineStr">
        <is>
          <t>-431K1</t>
        </is>
      </c>
    </row>
    <row r="9273">
      <c r="A9273">
        <v>9272</v>
      </c>
      <c r="B9273">
        <f>GS12</f>
        <v>0</v>
      </c>
      <c r="C9273" t="inlineStr">
        <is>
          <t>+LS6</t>
        </is>
      </c>
      <c r="D9273" t="inlineStr">
        <is>
          <t>-431K1</t>
        </is>
      </c>
      <c r="E9273" t="inlineStr">
        <is>
          <t>22_DIL-M</t>
        </is>
      </c>
      <c r="F9273" t="inlineStr">
        <is>
          <t>22_DIL-M</t>
        </is>
      </c>
      <c r="G9273" t="inlineStr">
        <is>
          <t>HILFSKONTAKTBLOCK</t>
        </is>
      </c>
      <c r="H9273" t="inlineStr">
        <is>
          <t>2S 2OE Lastschuetz DIL M</t>
        </is>
      </c>
      <c r="I9273">
        <v>563</v>
      </c>
      <c r="J9273">
        <f>GS12/431.2</f>
        <v>0</v>
      </c>
      <c r="K9273" t="inlineStr">
        <is>
          <t>DIL0AM</t>
        </is>
      </c>
      <c r="M9273" t="inlineStr">
        <is>
          <t>-431K1</t>
        </is>
      </c>
    </row>
    <row r="9274">
      <c r="A9274">
        <v>9273</v>
      </c>
      <c r="B9274">
        <f>GS12</f>
        <v>0</v>
      </c>
      <c r="C9274" t="inlineStr">
        <is>
          <t>+LS6</t>
        </is>
      </c>
      <c r="D9274" t="inlineStr">
        <is>
          <t>-431K1</t>
        </is>
      </c>
      <c r="E9274" t="inlineStr">
        <is>
          <t>DIL_0AM</t>
        </is>
      </c>
      <c r="F9274" t="inlineStr">
        <is>
          <t>22_DIL-M</t>
        </is>
      </c>
      <c r="G9274" t="inlineStr">
        <is>
          <t>LASTSCHUETZ</t>
        </is>
      </c>
      <c r="H9274" t="inlineStr">
        <is>
          <t>11 kW</t>
        </is>
      </c>
      <c r="I9274">
        <v>563</v>
      </c>
      <c r="J9274">
        <f>GS12/431.2</f>
        <v>0</v>
      </c>
      <c r="K9274" t="inlineStr">
        <is>
          <t>DIL0AM</t>
        </is>
      </c>
      <c r="M9274" t="inlineStr">
        <is>
          <t>-431K1</t>
        </is>
      </c>
    </row>
    <row r="9275">
      <c r="A9275">
        <v>9274</v>
      </c>
      <c r="B9275">
        <f>GS16</f>
        <v>0</v>
      </c>
      <c r="C9275" t="inlineStr">
        <is>
          <t>+LS7</t>
        </is>
      </c>
      <c r="D9275" t="inlineStr">
        <is>
          <t>-431K1</t>
        </is>
      </c>
      <c r="E9275" t="inlineStr">
        <is>
          <t>22_DIL-M</t>
        </is>
      </c>
      <c r="F9275" t="inlineStr">
        <is>
          <t>22_DIL-M</t>
        </is>
      </c>
      <c r="G9275" t="inlineStr">
        <is>
          <t>HILFSKONTAKTBLOCK</t>
        </is>
      </c>
      <c r="H9275" t="inlineStr">
        <is>
          <t>2S 2OE Lastschuetz DIL M</t>
        </is>
      </c>
      <c r="I9275">
        <v>668</v>
      </c>
      <c r="J9275">
        <f>GS16/431.2</f>
        <v>0</v>
      </c>
      <c r="K9275" t="inlineStr">
        <is>
          <t>DIL0AM</t>
        </is>
      </c>
      <c r="M9275" t="inlineStr">
        <is>
          <t>-431K1</t>
        </is>
      </c>
    </row>
    <row r="9276">
      <c r="A9276">
        <v>9275</v>
      </c>
      <c r="B9276">
        <f>GS16</f>
        <v>0</v>
      </c>
      <c r="C9276" t="inlineStr">
        <is>
          <t>+LS7</t>
        </is>
      </c>
      <c r="D9276" t="inlineStr">
        <is>
          <t>-431K1</t>
        </is>
      </c>
      <c r="E9276" t="inlineStr">
        <is>
          <t>DIL_0AM</t>
        </is>
      </c>
      <c r="F9276" t="inlineStr">
        <is>
          <t>22_DIL-M</t>
        </is>
      </c>
      <c r="G9276" t="inlineStr">
        <is>
          <t>LASTSCHUETZ</t>
        </is>
      </c>
      <c r="H9276" t="inlineStr">
        <is>
          <t>11 kW</t>
        </is>
      </c>
      <c r="I9276">
        <v>668</v>
      </c>
      <c r="J9276">
        <f>GS16/431.2</f>
        <v>0</v>
      </c>
      <c r="K9276" t="inlineStr">
        <is>
          <t>DIL0AM</t>
        </is>
      </c>
      <c r="M9276" t="inlineStr">
        <is>
          <t>-431K1</t>
        </is>
      </c>
    </row>
    <row r="9277">
      <c r="A9277">
        <v>9276</v>
      </c>
      <c r="B9277">
        <f>GS25</f>
        <v>0</v>
      </c>
      <c r="C9277" t="inlineStr">
        <is>
          <t>+ES3</t>
        </is>
      </c>
      <c r="D9277" t="inlineStr">
        <is>
          <t>-431K1</t>
        </is>
      </c>
      <c r="E9277" t="inlineStr">
        <is>
          <t>22_DIL-E</t>
        </is>
      </c>
      <c r="F9277" t="inlineStr">
        <is>
          <t>22_DIL-E</t>
        </is>
      </c>
      <c r="G9277" t="inlineStr">
        <is>
          <t>HILFSKONTAKTBLOCK</t>
        </is>
      </c>
      <c r="H9277" t="inlineStr">
        <is>
          <t>2S 2OE Last+Hilfsschuetz</t>
        </is>
      </c>
      <c r="I9277">
        <v>558</v>
      </c>
      <c r="J9277">
        <f>GS25/431.5</f>
        <v>0</v>
      </c>
      <c r="M9277" t="inlineStr">
        <is>
          <t>-431K1</t>
        </is>
      </c>
    </row>
    <row r="9278">
      <c r="A9278">
        <v>9277</v>
      </c>
      <c r="B9278">
        <f>GS25</f>
        <v>0</v>
      </c>
      <c r="C9278" t="inlineStr">
        <is>
          <t>+ES3</t>
        </is>
      </c>
      <c r="D9278" t="inlineStr">
        <is>
          <t>-431K1</t>
        </is>
      </c>
      <c r="E9278" t="inlineStr">
        <is>
          <t>DIL_ER-40-G</t>
        </is>
      </c>
      <c r="F9278" t="inlineStr">
        <is>
          <t>22_DIL-E</t>
        </is>
      </c>
      <c r="G9278" t="inlineStr">
        <is>
          <t>HILFSSCHUETZ</t>
        </is>
      </c>
      <c r="H9278" t="inlineStr">
        <is>
          <t>4S</t>
        </is>
      </c>
      <c r="I9278">
        <v>558</v>
      </c>
      <c r="J9278">
        <f>GS25/431.5</f>
        <v>0</v>
      </c>
      <c r="M9278" t="inlineStr">
        <is>
          <t>-431K1</t>
        </is>
      </c>
    </row>
    <row r="9279">
      <c r="A9279">
        <v>9278</v>
      </c>
      <c r="B9279">
        <f>GS25</f>
        <v>0</v>
      </c>
      <c r="C9279" t="inlineStr">
        <is>
          <t>+ES3</t>
        </is>
      </c>
      <c r="D9279" t="inlineStr">
        <is>
          <t>-431K2</t>
        </is>
      </c>
      <c r="E9279" t="inlineStr">
        <is>
          <t>22_DIL-E</t>
        </is>
      </c>
      <c r="F9279" t="inlineStr">
        <is>
          <t>22_DIL-E</t>
        </is>
      </c>
      <c r="G9279" t="inlineStr">
        <is>
          <t>HILFSKONTAKTBLOCK</t>
        </is>
      </c>
      <c r="H9279" t="inlineStr">
        <is>
          <t>2S 2OE Last+Hilfsschuetz</t>
        </is>
      </c>
      <c r="I9279">
        <v>558</v>
      </c>
      <c r="J9279">
        <f>GS25/431.6</f>
        <v>0</v>
      </c>
      <c r="M9279" t="inlineStr">
        <is>
          <t>-431K2</t>
        </is>
      </c>
    </row>
    <row r="9280">
      <c r="A9280">
        <v>9279</v>
      </c>
      <c r="B9280">
        <f>GS25</f>
        <v>0</v>
      </c>
      <c r="C9280" t="inlineStr">
        <is>
          <t>+ES3</t>
        </is>
      </c>
      <c r="D9280" t="inlineStr">
        <is>
          <t>-431K2</t>
        </is>
      </c>
      <c r="E9280" t="inlineStr">
        <is>
          <t>DIL_ER-40-G</t>
        </is>
      </c>
      <c r="F9280" t="inlineStr">
        <is>
          <t>22_DIL-E</t>
        </is>
      </c>
      <c r="G9280" t="inlineStr">
        <is>
          <t>HILFSSCHUETZ</t>
        </is>
      </c>
      <c r="H9280" t="inlineStr">
        <is>
          <t>4S</t>
        </is>
      </c>
      <c r="I9280">
        <v>558</v>
      </c>
      <c r="J9280">
        <f>GS25/431.6</f>
        <v>0</v>
      </c>
      <c r="M9280" t="inlineStr">
        <is>
          <t>-431K2</t>
        </is>
      </c>
    </row>
    <row r="9281">
      <c r="A9281">
        <v>9280</v>
      </c>
      <c r="B9281">
        <f>GS34</f>
        <v>0</v>
      </c>
      <c r="C9281" t="inlineStr">
        <is>
          <t>+QVW2501</t>
        </is>
      </c>
      <c r="D9281" t="inlineStr">
        <is>
          <t>-431K3509.1</t>
        </is>
      </c>
      <c r="E9281" t="inlineStr">
        <is>
          <t>3RT1016-1BB41</t>
        </is>
      </c>
      <c r="F9281" t="inlineStr">
        <is>
          <t>#KALK!</t>
        </is>
      </c>
      <c r="G9281" t="inlineStr">
        <is>
          <t>LASTSCHUETZ</t>
        </is>
      </c>
      <c r="H9281" t="inlineStr">
        <is>
          <t>3H/1S/0OE</t>
        </is>
      </c>
      <c r="I9281">
        <v>556</v>
      </c>
      <c r="J9281">
        <f>GS34/431.2</f>
        <v>0</v>
      </c>
      <c r="M9281" t="inlineStr">
        <is>
          <t>-431K3509.1</t>
        </is>
      </c>
    </row>
    <row r="9282">
      <c r="A9282">
        <v>9281</v>
      </c>
      <c r="B9282">
        <f>GS34</f>
        <v>0</v>
      </c>
      <c r="C9282" t="inlineStr">
        <is>
          <t>+QVW2501</t>
        </is>
      </c>
      <c r="D9282" t="inlineStr">
        <is>
          <t>-431K3509.7</t>
        </is>
      </c>
      <c r="E9282" t="inlineStr">
        <is>
          <t>DIL_EM-10-G</t>
        </is>
      </c>
      <c r="F9282" t="inlineStr">
        <is>
          <t>#KALK!</t>
        </is>
      </c>
      <c r="G9282" t="inlineStr">
        <is>
          <t>LASTSCHUETZ</t>
        </is>
      </c>
      <c r="H9282" t="inlineStr">
        <is>
          <t>4kW 1S</t>
        </is>
      </c>
      <c r="I9282">
        <v>556</v>
      </c>
      <c r="J9282">
        <f>GS34/431.3</f>
        <v>0</v>
      </c>
      <c r="M9282" t="inlineStr">
        <is>
          <t>-431K3509.7</t>
        </is>
      </c>
    </row>
    <row r="9283">
      <c r="A9283">
        <v>9282</v>
      </c>
      <c r="B9283">
        <f>GS15</f>
        <v>0</v>
      </c>
      <c r="C9283" t="inlineStr">
        <is>
          <t>+LS9</t>
        </is>
      </c>
      <c r="D9283" t="inlineStr">
        <is>
          <t>-431K37.4</t>
        </is>
      </c>
      <c r="E9283" t="inlineStr">
        <is>
          <t>DIL_EM-10-G</t>
        </is>
      </c>
      <c r="F9283" t="inlineStr">
        <is>
          <t>#KALK!</t>
        </is>
      </c>
      <c r="G9283" t="inlineStr">
        <is>
          <t>LASTSCHUETZ</t>
        </is>
      </c>
      <c r="H9283" t="inlineStr">
        <is>
          <t>4kW 1S</t>
        </is>
      </c>
      <c r="I9283">
        <v>933</v>
      </c>
      <c r="J9283">
        <f>GS15/431.6</f>
        <v>0</v>
      </c>
      <c r="M9283" t="inlineStr">
        <is>
          <t>-431K37.4</t>
        </is>
      </c>
    </row>
    <row r="9284">
      <c r="A9284">
        <v>9283</v>
      </c>
      <c r="B9284">
        <f>GS15</f>
        <v>0</v>
      </c>
      <c r="C9284" t="inlineStr">
        <is>
          <t>+LS9</t>
        </is>
      </c>
      <c r="D9284" t="inlineStr">
        <is>
          <t>-431K37.5</t>
        </is>
      </c>
      <c r="E9284" t="inlineStr">
        <is>
          <t>DIL_EM-10-G</t>
        </is>
      </c>
      <c r="F9284" t="inlineStr">
        <is>
          <t>#KALK!</t>
        </is>
      </c>
      <c r="G9284" t="inlineStr">
        <is>
          <t>LASTSCHUETZ</t>
        </is>
      </c>
      <c r="H9284" t="inlineStr">
        <is>
          <t>4kW 1S</t>
        </is>
      </c>
      <c r="I9284">
        <v>933</v>
      </c>
      <c r="J9284">
        <f>GS15/431.6</f>
        <v>0</v>
      </c>
      <c r="M9284" t="inlineStr">
        <is>
          <t>-431K37.5</t>
        </is>
      </c>
    </row>
    <row r="9285">
      <c r="A9285">
        <v>9284</v>
      </c>
      <c r="B9285">
        <f>GS33</f>
        <v>0</v>
      </c>
      <c r="C9285" t="inlineStr">
        <is>
          <t>+LS9</t>
        </is>
      </c>
      <c r="D9285" t="inlineStr">
        <is>
          <t>-431K49.3</t>
        </is>
      </c>
      <c r="E9285" t="inlineStr">
        <is>
          <t>DIL_EM-10-G</t>
        </is>
      </c>
      <c r="F9285" t="inlineStr">
        <is>
          <t>#KALK!</t>
        </is>
      </c>
      <c r="G9285" t="inlineStr">
        <is>
          <t>LASTSCHUETZ</t>
        </is>
      </c>
      <c r="H9285" t="inlineStr">
        <is>
          <t>4kW 1S</t>
        </is>
      </c>
      <c r="I9285">
        <v>885</v>
      </c>
      <c r="J9285">
        <f>GS33/431.6</f>
        <v>0</v>
      </c>
      <c r="M9285" t="inlineStr">
        <is>
          <t>-431K49.3</t>
        </is>
      </c>
    </row>
    <row r="9286">
      <c r="A9286">
        <v>9285</v>
      </c>
      <c r="B9286">
        <f>GS33</f>
        <v>0</v>
      </c>
      <c r="C9286" t="inlineStr">
        <is>
          <t>+LS9</t>
        </is>
      </c>
      <c r="D9286" t="inlineStr">
        <is>
          <t>-431K51.3</t>
        </is>
      </c>
      <c r="E9286" t="inlineStr">
        <is>
          <t>DIL_EM-10-G</t>
        </is>
      </c>
      <c r="F9286" t="inlineStr">
        <is>
          <t>#KALK!</t>
        </is>
      </c>
      <c r="G9286" t="inlineStr">
        <is>
          <t>LASTSCHUETZ</t>
        </is>
      </c>
      <c r="H9286" t="inlineStr">
        <is>
          <t>4kW 1S</t>
        </is>
      </c>
      <c r="I9286">
        <v>885</v>
      </c>
      <c r="J9286">
        <f>GS33/431.6</f>
        <v>0</v>
      </c>
      <c r="M9286" t="inlineStr">
        <is>
          <t>-431K51.3</t>
        </is>
      </c>
    </row>
    <row r="9287">
      <c r="A9287">
        <v>9286</v>
      </c>
      <c r="B9287">
        <f>GS13</f>
        <v>0</v>
      </c>
      <c r="C9287" t="inlineStr">
        <is>
          <t>+ES2</t>
        </is>
      </c>
      <c r="D9287" t="inlineStr">
        <is>
          <t>-431K92.0</t>
        </is>
      </c>
      <c r="E9287" t="inlineStr">
        <is>
          <t>40_DIL-E</t>
        </is>
      </c>
      <c r="F9287" t="inlineStr">
        <is>
          <t>40_DIL-E</t>
        </is>
      </c>
      <c r="G9287" t="inlineStr">
        <is>
          <t>HILFSKONTAKTBLOCK</t>
        </is>
      </c>
      <c r="H9287" t="inlineStr">
        <is>
          <t>4S Last+Hilfsschuetz</t>
        </is>
      </c>
      <c r="I9287">
        <v>680</v>
      </c>
      <c r="J9287">
        <f>GS13/431.6</f>
        <v>0</v>
      </c>
      <c r="M9287" t="inlineStr">
        <is>
          <t>-431K92.0</t>
        </is>
      </c>
    </row>
    <row r="9288">
      <c r="A9288">
        <v>9287</v>
      </c>
      <c r="B9288">
        <f>GS13</f>
        <v>0</v>
      </c>
      <c r="C9288" t="inlineStr">
        <is>
          <t>+ES2</t>
        </is>
      </c>
      <c r="D9288" t="inlineStr">
        <is>
          <t>-431K92.0</t>
        </is>
      </c>
      <c r="E9288" t="inlineStr">
        <is>
          <t>DIL_ER-40-G</t>
        </is>
      </c>
      <c r="F9288" t="inlineStr">
        <is>
          <t>40_DIL-E</t>
        </is>
      </c>
      <c r="G9288" t="inlineStr">
        <is>
          <t>HILFSSCHUETZ</t>
        </is>
      </c>
      <c r="H9288" t="inlineStr">
        <is>
          <t>4S</t>
        </is>
      </c>
      <c r="I9288">
        <v>680</v>
      </c>
      <c r="J9288">
        <f>GS13/431.6</f>
        <v>0</v>
      </c>
      <c r="M9288" t="inlineStr">
        <is>
          <t>-431K92.0</t>
        </is>
      </c>
    </row>
    <row r="9289">
      <c r="A9289">
        <v>9288</v>
      </c>
      <c r="B9289">
        <f>GS23</f>
        <v>0</v>
      </c>
      <c r="C9289" t="inlineStr">
        <is>
          <t>+ES2</t>
        </is>
      </c>
      <c r="D9289" t="inlineStr">
        <is>
          <t>-431K92.0</t>
        </is>
      </c>
      <c r="E9289" t="inlineStr">
        <is>
          <t>DIL_ER-40-G</t>
        </is>
      </c>
      <c r="F9289" t="inlineStr">
        <is>
          <t>40_DIL-E</t>
        </is>
      </c>
      <c r="G9289" t="inlineStr">
        <is>
          <t>HILFSSCHUETZ</t>
        </is>
      </c>
      <c r="H9289" t="inlineStr">
        <is>
          <t>4S</t>
        </is>
      </c>
      <c r="I9289">
        <v>734</v>
      </c>
      <c r="J9289">
        <f>GS23/431.6</f>
        <v>0</v>
      </c>
      <c r="M9289" t="inlineStr">
        <is>
          <t>-431K92.0</t>
        </is>
      </c>
    </row>
    <row r="9290">
      <c r="A9290">
        <v>9289</v>
      </c>
      <c r="B9290">
        <f>GS23</f>
        <v>0</v>
      </c>
      <c r="C9290" t="inlineStr">
        <is>
          <t>+ES2</t>
        </is>
      </c>
      <c r="D9290" t="inlineStr">
        <is>
          <t>-431K92.0</t>
        </is>
      </c>
      <c r="E9290" t="inlineStr">
        <is>
          <t>40_DIL-E</t>
        </is>
      </c>
      <c r="F9290" t="inlineStr">
        <is>
          <t>40_DIL-E</t>
        </is>
      </c>
      <c r="G9290" t="inlineStr">
        <is>
          <t>HILFSKONTAKTBLOCK</t>
        </is>
      </c>
      <c r="H9290" t="inlineStr">
        <is>
          <t>4S Last+Hilfsschuetz</t>
        </is>
      </c>
      <c r="I9290">
        <v>734</v>
      </c>
      <c r="J9290">
        <f>GS23/431.6</f>
        <v>0</v>
      </c>
      <c r="M9290" t="inlineStr">
        <is>
          <t>-431K92.0</t>
        </is>
      </c>
    </row>
    <row r="9291">
      <c r="A9291">
        <v>9290</v>
      </c>
      <c r="B9291">
        <f>GS13</f>
        <v>0</v>
      </c>
      <c r="C9291" t="inlineStr">
        <is>
          <t>+ES2</t>
        </is>
      </c>
      <c r="D9291" t="inlineStr">
        <is>
          <t>-431K92.1</t>
        </is>
      </c>
      <c r="E9291" t="inlineStr">
        <is>
          <t>40_DIL-E</t>
        </is>
      </c>
      <c r="F9291" t="inlineStr">
        <is>
          <t>40_DIL-E</t>
        </is>
      </c>
      <c r="G9291" t="inlineStr">
        <is>
          <t>HILFSKONTAKTBLOCK</t>
        </is>
      </c>
      <c r="H9291" t="inlineStr">
        <is>
          <t>4S Last+Hilfsschuetz</t>
        </is>
      </c>
      <c r="I9291">
        <v>680</v>
      </c>
      <c r="J9291">
        <f>GS13/431.6</f>
        <v>0</v>
      </c>
      <c r="M9291" t="inlineStr">
        <is>
          <t>-431K92.1</t>
        </is>
      </c>
    </row>
    <row r="9292">
      <c r="A9292">
        <v>9291</v>
      </c>
      <c r="B9292">
        <f>GS13</f>
        <v>0</v>
      </c>
      <c r="C9292" t="inlineStr">
        <is>
          <t>+ES2</t>
        </is>
      </c>
      <c r="D9292" t="inlineStr">
        <is>
          <t>-431K92.1</t>
        </is>
      </c>
      <c r="E9292" t="inlineStr">
        <is>
          <t>DIL_ER-40-G</t>
        </is>
      </c>
      <c r="F9292" t="inlineStr">
        <is>
          <t>40_DIL-E</t>
        </is>
      </c>
      <c r="G9292" t="inlineStr">
        <is>
          <t>HILFSSCHUETZ</t>
        </is>
      </c>
      <c r="H9292" t="inlineStr">
        <is>
          <t>4S</t>
        </is>
      </c>
      <c r="I9292">
        <v>680</v>
      </c>
      <c r="J9292">
        <f>GS13/431.6</f>
        <v>0</v>
      </c>
      <c r="M9292" t="inlineStr">
        <is>
          <t>-431K92.1</t>
        </is>
      </c>
    </row>
    <row r="9293">
      <c r="A9293">
        <v>9292</v>
      </c>
      <c r="B9293">
        <f>GS23</f>
        <v>0</v>
      </c>
      <c r="C9293" t="inlineStr">
        <is>
          <t>+ES2</t>
        </is>
      </c>
      <c r="D9293" t="inlineStr">
        <is>
          <t>-431K92.1</t>
        </is>
      </c>
      <c r="E9293" t="inlineStr">
        <is>
          <t>DIL_ER-40-G</t>
        </is>
      </c>
      <c r="F9293" t="inlineStr">
        <is>
          <t>40_DIL-E</t>
        </is>
      </c>
      <c r="G9293" t="inlineStr">
        <is>
          <t>HILFSSCHUETZ</t>
        </is>
      </c>
      <c r="H9293" t="inlineStr">
        <is>
          <t>4S</t>
        </is>
      </c>
      <c r="I9293">
        <v>734</v>
      </c>
      <c r="J9293">
        <f>GS23/431.6</f>
        <v>0</v>
      </c>
      <c r="M9293" t="inlineStr">
        <is>
          <t>-431K92.1</t>
        </is>
      </c>
    </row>
    <row r="9294">
      <c r="A9294">
        <v>9293</v>
      </c>
      <c r="B9294">
        <f>GS23</f>
        <v>0</v>
      </c>
      <c r="C9294" t="inlineStr">
        <is>
          <t>+ES2</t>
        </is>
      </c>
      <c r="D9294" t="inlineStr">
        <is>
          <t>-431K92.1</t>
        </is>
      </c>
      <c r="E9294" t="inlineStr">
        <is>
          <t>40_DIL-E</t>
        </is>
      </c>
      <c r="F9294" t="inlineStr">
        <is>
          <t>40_DIL-E</t>
        </is>
      </c>
      <c r="G9294" t="inlineStr">
        <is>
          <t>HILFSKONTAKTBLOCK</t>
        </is>
      </c>
      <c r="H9294" t="inlineStr">
        <is>
          <t>4S Last+Hilfsschuetz</t>
        </is>
      </c>
      <c r="I9294">
        <v>734</v>
      </c>
      <c r="J9294">
        <f>GS23/431.6</f>
        <v>0</v>
      </c>
      <c r="M9294" t="inlineStr">
        <is>
          <t>-431K92.1</t>
        </is>
      </c>
    </row>
    <row r="9295">
      <c r="A9295">
        <v>9294</v>
      </c>
      <c r="B9295">
        <f>GS90</f>
        <v>0</v>
      </c>
      <c r="C9295" t="inlineStr">
        <is>
          <t>+LS08</t>
        </is>
      </c>
      <c r="D9295" t="inlineStr">
        <is>
          <t>-431Q455.1</t>
        </is>
      </c>
      <c r="E9295" t="inlineStr">
        <is>
          <t>DILM-9-10</t>
        </is>
      </c>
      <c r="F9295" t="inlineStr">
        <is>
          <t>#KALK!</t>
        </is>
      </c>
      <c r="G9295" t="inlineStr">
        <is>
          <t>LASTSCHUETZ</t>
        </is>
      </c>
      <c r="H9295" t="inlineStr">
        <is>
          <t>4kW 1S Federzugkl.</t>
        </is>
      </c>
      <c r="I9295">
        <v>810</v>
      </c>
      <c r="J9295">
        <f>GS90/431.5</f>
        <v>0</v>
      </c>
      <c r="M9295" t="inlineStr">
        <is>
          <t>-431Q455.1</t>
        </is>
      </c>
    </row>
    <row r="9296">
      <c r="A9296">
        <v>9295</v>
      </c>
      <c r="B9296">
        <f>GS46</f>
        <v>0</v>
      </c>
      <c r="C9296" t="inlineStr">
        <is>
          <t>+LS07</t>
        </is>
      </c>
      <c r="D9296" t="inlineStr">
        <is>
          <t>-432K1</t>
        </is>
      </c>
      <c r="E9296" t="inlineStr">
        <is>
          <t>DILA-22</t>
        </is>
      </c>
      <c r="F9296" t="inlineStr">
        <is>
          <t>#KALK!</t>
        </is>
      </c>
      <c r="G9296" t="inlineStr">
        <is>
          <t>HILFSSCHUETZ</t>
        </is>
      </c>
      <c r="H9296" t="inlineStr">
        <is>
          <t>2S 2Oe Federzugkl.</t>
        </is>
      </c>
      <c r="I9296">
        <v>646</v>
      </c>
      <c r="J9296">
        <f>GS46/432.6</f>
        <v>0</v>
      </c>
      <c r="M9296" t="inlineStr">
        <is>
          <t>-432K1</t>
        </is>
      </c>
    </row>
    <row r="9297">
      <c r="A9297">
        <v>9296</v>
      </c>
      <c r="B9297">
        <f>GS47</f>
        <v>0</v>
      </c>
      <c r="C9297" t="inlineStr">
        <is>
          <t>+LS07</t>
        </is>
      </c>
      <c r="D9297" t="inlineStr">
        <is>
          <t>-432K1</t>
        </is>
      </c>
      <c r="E9297" t="inlineStr">
        <is>
          <t>DILA-22</t>
        </is>
      </c>
      <c r="F9297" t="inlineStr">
        <is>
          <t>#KALK!</t>
        </is>
      </c>
      <c r="G9297" t="inlineStr">
        <is>
          <t>HILFSSCHUETZ</t>
        </is>
      </c>
      <c r="H9297" t="inlineStr">
        <is>
          <t>2S 2Oe Federzugkl.</t>
        </is>
      </c>
      <c r="I9297">
        <v>646</v>
      </c>
      <c r="J9297">
        <f>GS47/432.6</f>
        <v>0</v>
      </c>
      <c r="M9297" t="inlineStr">
        <is>
          <t>-432K1</t>
        </is>
      </c>
    </row>
    <row r="9298">
      <c r="A9298">
        <v>9297</v>
      </c>
      <c r="B9298">
        <f>GS48</f>
        <v>0</v>
      </c>
      <c r="C9298" t="inlineStr">
        <is>
          <t>+LS07</t>
        </is>
      </c>
      <c r="D9298" t="inlineStr">
        <is>
          <t>-432K1</t>
        </is>
      </c>
      <c r="E9298" t="inlineStr">
        <is>
          <t>DILA-22</t>
        </is>
      </c>
      <c r="F9298" t="inlineStr">
        <is>
          <t>#KALK!</t>
        </is>
      </c>
      <c r="G9298" t="inlineStr">
        <is>
          <t>HILFSSCHUETZ</t>
        </is>
      </c>
      <c r="H9298" t="inlineStr">
        <is>
          <t>2S 2Oe Federzugkl.</t>
        </is>
      </c>
      <c r="I9298">
        <v>544</v>
      </c>
      <c r="J9298">
        <f>GS48/432.6</f>
        <v>0</v>
      </c>
      <c r="M9298" t="inlineStr">
        <is>
          <t>-432K1</t>
        </is>
      </c>
    </row>
    <row r="9299">
      <c r="A9299">
        <v>9298</v>
      </c>
      <c r="B9299">
        <f>GS49</f>
        <v>0</v>
      </c>
      <c r="C9299" t="inlineStr">
        <is>
          <t>+LS07</t>
        </is>
      </c>
      <c r="D9299" t="inlineStr">
        <is>
          <t>-432K1</t>
        </is>
      </c>
      <c r="E9299" t="inlineStr">
        <is>
          <t>DILA-22</t>
        </is>
      </c>
      <c r="F9299" t="inlineStr">
        <is>
          <t>#KALK!</t>
        </is>
      </c>
      <c r="G9299" t="inlineStr">
        <is>
          <t>HILFSSCHUETZ</t>
        </is>
      </c>
      <c r="H9299" t="inlineStr">
        <is>
          <t>2S 2Oe Federzugkl.</t>
        </is>
      </c>
      <c r="I9299">
        <v>543</v>
      </c>
      <c r="J9299">
        <f>GS49/432.6</f>
        <v>0</v>
      </c>
      <c r="M9299" t="inlineStr">
        <is>
          <t>-432K1</t>
        </is>
      </c>
    </row>
    <row r="9300">
      <c r="A9300">
        <v>9299</v>
      </c>
      <c r="B9300">
        <f>GS34</f>
        <v>0</v>
      </c>
      <c r="C9300" t="inlineStr">
        <is>
          <t>+QVW2501</t>
        </is>
      </c>
      <c r="D9300" t="inlineStr">
        <is>
          <t>-432K3509.0</t>
        </is>
      </c>
      <c r="E9300" t="inlineStr">
        <is>
          <t>DIL_EM-10-G</t>
        </is>
      </c>
      <c r="F9300" t="inlineStr">
        <is>
          <t>#KALK!</t>
        </is>
      </c>
      <c r="G9300" t="inlineStr">
        <is>
          <t>LASTSCHUETZ</t>
        </is>
      </c>
      <c r="H9300" t="inlineStr">
        <is>
          <t>4kW 1S</t>
        </is>
      </c>
      <c r="I9300">
        <v>557</v>
      </c>
      <c r="J9300">
        <f>GS34/432.6</f>
        <v>0</v>
      </c>
      <c r="M9300" t="inlineStr">
        <is>
          <t>-432K3509.0</t>
        </is>
      </c>
    </row>
    <row r="9301">
      <c r="A9301">
        <v>9300</v>
      </c>
      <c r="B9301">
        <f>GS15</f>
        <v>0</v>
      </c>
      <c r="C9301" t="inlineStr">
        <is>
          <t>+LS9</t>
        </is>
      </c>
      <c r="D9301" t="inlineStr">
        <is>
          <t>-432K37.6</t>
        </is>
      </c>
      <c r="E9301" t="inlineStr">
        <is>
          <t>DIL_EM-10-G</t>
        </is>
      </c>
      <c r="F9301" t="inlineStr">
        <is>
          <t>#KALK!</t>
        </is>
      </c>
      <c r="G9301" t="inlineStr">
        <is>
          <t>LASTSCHUETZ</t>
        </is>
      </c>
      <c r="H9301" t="inlineStr">
        <is>
          <t>4kW 1S</t>
        </is>
      </c>
      <c r="I9301">
        <v>934</v>
      </c>
      <c r="J9301">
        <f>GS15/432.6</f>
        <v>0</v>
      </c>
      <c r="M9301" t="inlineStr">
        <is>
          <t>-432K37.6</t>
        </is>
      </c>
    </row>
    <row r="9302">
      <c r="A9302">
        <v>9301</v>
      </c>
      <c r="B9302">
        <f>GS15</f>
        <v>0</v>
      </c>
      <c r="C9302" t="inlineStr">
        <is>
          <t>+LS9</t>
        </is>
      </c>
      <c r="D9302" t="inlineStr">
        <is>
          <t>-432K37.7</t>
        </is>
      </c>
      <c r="E9302" t="inlineStr">
        <is>
          <t>DIL_EM-10-G</t>
        </is>
      </c>
      <c r="F9302" t="inlineStr">
        <is>
          <t>#KALK!</t>
        </is>
      </c>
      <c r="G9302" t="inlineStr">
        <is>
          <t>LASTSCHUETZ</t>
        </is>
      </c>
      <c r="H9302" t="inlineStr">
        <is>
          <t>4kW 1S</t>
        </is>
      </c>
      <c r="I9302">
        <v>934</v>
      </c>
      <c r="J9302">
        <f>GS15/432.6</f>
        <v>0</v>
      </c>
      <c r="M9302" t="inlineStr">
        <is>
          <t>-432K37.7</t>
        </is>
      </c>
    </row>
    <row r="9303">
      <c r="A9303">
        <v>9302</v>
      </c>
      <c r="B9303">
        <f>GS16</f>
        <v>0</v>
      </c>
      <c r="C9303" t="inlineStr">
        <is>
          <t>+LS7</t>
        </is>
      </c>
      <c r="D9303" t="inlineStr">
        <is>
          <t>-432K58.0</t>
        </is>
      </c>
      <c r="E9303" t="inlineStr">
        <is>
          <t>DIL_EM-01-G</t>
        </is>
      </c>
      <c r="F9303" t="inlineStr">
        <is>
          <t>#KALK!</t>
        </is>
      </c>
      <c r="G9303" t="inlineStr">
        <is>
          <t>LASTSCHUETZ</t>
        </is>
      </c>
      <c r="H9303" t="inlineStr">
        <is>
          <t>4kW 1OE</t>
        </is>
      </c>
      <c r="I9303">
        <v>669</v>
      </c>
      <c r="J9303">
        <f>GS16/432.6</f>
        <v>0</v>
      </c>
      <c r="M9303" t="inlineStr">
        <is>
          <t>-432K58.0</t>
        </is>
      </c>
    </row>
    <row r="9304">
      <c r="A9304">
        <v>9303</v>
      </c>
      <c r="B9304">
        <f>GS16</f>
        <v>0</v>
      </c>
      <c r="C9304" t="inlineStr">
        <is>
          <t>+LS7</t>
        </is>
      </c>
      <c r="D9304" t="inlineStr">
        <is>
          <t>-432K58.1</t>
        </is>
      </c>
      <c r="E9304" t="inlineStr">
        <is>
          <t>DIL_EM-01-G</t>
        </is>
      </c>
      <c r="F9304" t="inlineStr">
        <is>
          <t>#KALK!</t>
        </is>
      </c>
      <c r="G9304" t="inlineStr">
        <is>
          <t>LASTSCHUETZ</t>
        </is>
      </c>
      <c r="H9304" t="inlineStr">
        <is>
          <t>4kW 1OE</t>
        </is>
      </c>
      <c r="I9304">
        <v>669</v>
      </c>
      <c r="J9304">
        <f>GS16/432.6</f>
        <v>0</v>
      </c>
      <c r="M9304" t="inlineStr">
        <is>
          <t>-432K58.1</t>
        </is>
      </c>
    </row>
    <row r="9305">
      <c r="A9305">
        <v>9304</v>
      </c>
      <c r="B9305">
        <f>GS16</f>
        <v>0</v>
      </c>
      <c r="C9305" t="inlineStr">
        <is>
          <t>+LS7</t>
        </is>
      </c>
      <c r="D9305" t="inlineStr">
        <is>
          <t>-432K58.2</t>
        </is>
      </c>
      <c r="E9305" t="inlineStr">
        <is>
          <t>DIL_EM-10-G</t>
        </is>
      </c>
      <c r="F9305" t="inlineStr">
        <is>
          <t>#KALK!</t>
        </is>
      </c>
      <c r="G9305" t="inlineStr">
        <is>
          <t>LASTSCHUETZ</t>
        </is>
      </c>
      <c r="H9305" t="inlineStr">
        <is>
          <t>4kW 1S</t>
        </is>
      </c>
      <c r="I9305">
        <v>669</v>
      </c>
      <c r="J9305">
        <f>GS16/432.7</f>
        <v>0</v>
      </c>
      <c r="M9305" t="inlineStr">
        <is>
          <t>-432K58.2</t>
        </is>
      </c>
    </row>
    <row r="9306">
      <c r="A9306">
        <v>9305</v>
      </c>
      <c r="B9306">
        <f>GS46</f>
        <v>0</v>
      </c>
      <c r="C9306" t="inlineStr">
        <is>
          <t>+LS07</t>
        </is>
      </c>
      <c r="D9306" t="inlineStr">
        <is>
          <t>-432K747.7</t>
        </is>
      </c>
      <c r="E9306" t="inlineStr">
        <is>
          <t>DILA-31</t>
        </is>
      </c>
      <c r="F9306" t="inlineStr">
        <is>
          <t>#KALK!</t>
        </is>
      </c>
      <c r="G9306" t="inlineStr">
        <is>
          <t>HILFSSCHUETZ</t>
        </is>
      </c>
      <c r="H9306" t="inlineStr">
        <is>
          <t>3S 1Oe Federzugkl.</t>
        </is>
      </c>
      <c r="I9306">
        <v>646</v>
      </c>
      <c r="J9306">
        <f>GS46/432.8</f>
        <v>0</v>
      </c>
      <c r="M9306" t="inlineStr">
        <is>
          <t>-432K747.7</t>
        </is>
      </c>
    </row>
    <row r="9307">
      <c r="A9307">
        <v>9306</v>
      </c>
      <c r="B9307">
        <f>GS47</f>
        <v>0</v>
      </c>
      <c r="C9307" t="inlineStr">
        <is>
          <t>+LS07</t>
        </is>
      </c>
      <c r="D9307" t="inlineStr">
        <is>
          <t>-432K747.7</t>
        </is>
      </c>
      <c r="E9307" t="inlineStr">
        <is>
          <t>DILA-31</t>
        </is>
      </c>
      <c r="F9307" t="inlineStr">
        <is>
          <t>#KALK!</t>
        </is>
      </c>
      <c r="G9307" t="inlineStr">
        <is>
          <t>HILFSSCHUETZ</t>
        </is>
      </c>
      <c r="H9307" t="inlineStr">
        <is>
          <t>3S 1Oe Federzugkl.</t>
        </is>
      </c>
      <c r="I9307">
        <v>646</v>
      </c>
      <c r="J9307">
        <f>GS47/432.8</f>
        <v>0</v>
      </c>
      <c r="M9307" t="inlineStr">
        <is>
          <t>-432K747.7</t>
        </is>
      </c>
    </row>
    <row r="9308">
      <c r="A9308">
        <v>9307</v>
      </c>
      <c r="B9308">
        <f>GS48</f>
        <v>0</v>
      </c>
      <c r="C9308" t="inlineStr">
        <is>
          <t>+LS07</t>
        </is>
      </c>
      <c r="D9308" t="inlineStr">
        <is>
          <t>-432K747.7</t>
        </is>
      </c>
      <c r="E9308" t="inlineStr">
        <is>
          <t>DILA-31</t>
        </is>
      </c>
      <c r="F9308" t="inlineStr">
        <is>
          <t>#KALK!</t>
        </is>
      </c>
      <c r="G9308" t="inlineStr">
        <is>
          <t>HILFSSCHUETZ</t>
        </is>
      </c>
      <c r="H9308" t="inlineStr">
        <is>
          <t>3S 1Oe Federzugkl.</t>
        </is>
      </c>
      <c r="I9308">
        <v>544</v>
      </c>
      <c r="J9308">
        <f>GS48/432.8</f>
        <v>0</v>
      </c>
      <c r="M9308" t="inlineStr">
        <is>
          <t>-432K747.7</t>
        </is>
      </c>
    </row>
    <row r="9309">
      <c r="A9309">
        <v>9308</v>
      </c>
      <c r="B9309">
        <f>GS49</f>
        <v>0</v>
      </c>
      <c r="C9309" t="inlineStr">
        <is>
          <t>+LS07</t>
        </is>
      </c>
      <c r="D9309" t="inlineStr">
        <is>
          <t>-432K747.7</t>
        </is>
      </c>
      <c r="E9309" t="inlineStr">
        <is>
          <t>DILA-31</t>
        </is>
      </c>
      <c r="F9309" t="inlineStr">
        <is>
          <t>#KALK!</t>
        </is>
      </c>
      <c r="G9309" t="inlineStr">
        <is>
          <t>HILFSSCHUETZ</t>
        </is>
      </c>
      <c r="H9309" t="inlineStr">
        <is>
          <t>3S 1Oe Federzugkl.</t>
        </is>
      </c>
      <c r="I9309">
        <v>543</v>
      </c>
      <c r="J9309">
        <f>GS49/432.8</f>
        <v>0</v>
      </c>
      <c r="M9309" t="inlineStr">
        <is>
          <t>-432K747.7</t>
        </is>
      </c>
    </row>
    <row r="9310">
      <c r="A9310">
        <v>9309</v>
      </c>
      <c r="B9310">
        <f>GS35</f>
        <v>0</v>
      </c>
      <c r="C9310" t="inlineStr">
        <is>
          <t>+LS10</t>
        </is>
      </c>
      <c r="D9310" t="inlineStr">
        <is>
          <t>-432Q162.6</t>
        </is>
      </c>
      <c r="E9310" t="inlineStr">
        <is>
          <t>DILM-12-10</t>
        </is>
      </c>
      <c r="F9310" t="inlineStr">
        <is>
          <t>#KALK!</t>
        </is>
      </c>
      <c r="G9310" t="inlineStr">
        <is>
          <t>LASTSCHUETZ</t>
        </is>
      </c>
      <c r="H9310" t="inlineStr">
        <is>
          <t>5,5kW 1S Federzugkl.</t>
        </is>
      </c>
      <c r="I9310">
        <v>586</v>
      </c>
      <c r="J9310">
        <f>GS35/432.5</f>
        <v>0</v>
      </c>
      <c r="K9310" t="inlineStr">
        <is>
          <t>DIL MC12</t>
        </is>
      </c>
      <c r="M9310" t="inlineStr">
        <is>
          <t>-432Q162.6</t>
        </is>
      </c>
    </row>
    <row r="9311">
      <c r="A9311">
        <v>9310</v>
      </c>
      <c r="B9311">
        <f>GC22</f>
        <v>0</v>
      </c>
      <c r="C9311" t="inlineStr">
        <is>
          <t>+LS6</t>
        </is>
      </c>
      <c r="D9311" t="inlineStr">
        <is>
          <t>-433K57.3</t>
        </is>
      </c>
      <c r="E9311" t="inlineStr">
        <is>
          <t>DIL_EM-10-G</t>
        </is>
      </c>
      <c r="F9311" t="inlineStr">
        <is>
          <t>#KALK!</t>
        </is>
      </c>
      <c r="G9311" t="inlineStr">
        <is>
          <t>LASTSCHUETZ</t>
        </is>
      </c>
      <c r="H9311" t="inlineStr">
        <is>
          <t>4kW 1S</t>
        </is>
      </c>
      <c r="I9311">
        <v>2954</v>
      </c>
      <c r="J9311">
        <f>GC22/433.7</f>
        <v>0</v>
      </c>
      <c r="M9311" t="inlineStr">
        <is>
          <t>-433K57.3</t>
        </is>
      </c>
    </row>
    <row r="9312">
      <c r="A9312">
        <v>9311</v>
      </c>
      <c r="B9312">
        <f>GS12</f>
        <v>0</v>
      </c>
      <c r="C9312" t="inlineStr">
        <is>
          <t>+LS6</t>
        </is>
      </c>
      <c r="D9312" t="inlineStr">
        <is>
          <t>-433K57.3</t>
        </is>
      </c>
      <c r="E9312" t="inlineStr">
        <is>
          <t>DIL_EM-10-G</t>
        </is>
      </c>
      <c r="F9312" t="inlineStr">
        <is>
          <t>#KALK!</t>
        </is>
      </c>
      <c r="G9312" t="inlineStr">
        <is>
          <t>LASTSCHUETZ</t>
        </is>
      </c>
      <c r="H9312" t="inlineStr">
        <is>
          <t>4kW 1S</t>
        </is>
      </c>
      <c r="I9312">
        <v>565</v>
      </c>
      <c r="J9312">
        <f>GS12/433.7</f>
        <v>0</v>
      </c>
      <c r="M9312" t="inlineStr">
        <is>
          <t>-433K57.3</t>
        </is>
      </c>
    </row>
    <row r="9313">
      <c r="A9313">
        <v>9312</v>
      </c>
      <c r="B9313">
        <f>GS16</f>
        <v>0</v>
      </c>
      <c r="C9313" t="inlineStr">
        <is>
          <t>+LS7</t>
        </is>
      </c>
      <c r="D9313" t="inlineStr">
        <is>
          <t>-433K58.6</t>
        </is>
      </c>
      <c r="E9313" t="inlineStr">
        <is>
          <t>DIL_EM-10-G</t>
        </is>
      </c>
      <c r="F9313" t="inlineStr">
        <is>
          <t>#KALK!</t>
        </is>
      </c>
      <c r="G9313" t="inlineStr">
        <is>
          <t>LASTSCHUETZ</t>
        </is>
      </c>
      <c r="H9313" t="inlineStr">
        <is>
          <t>4kW 1S</t>
        </is>
      </c>
      <c r="I9313">
        <v>670</v>
      </c>
      <c r="J9313">
        <f>GS16/433.7</f>
        <v>0</v>
      </c>
      <c r="M9313" t="inlineStr">
        <is>
          <t>-433K58.6</t>
        </is>
      </c>
    </row>
    <row r="9314">
      <c r="A9314">
        <v>9313</v>
      </c>
      <c r="B9314">
        <f>GS06</f>
        <v>0</v>
      </c>
      <c r="C9314" t="inlineStr">
        <is>
          <t>+LS07</t>
        </is>
      </c>
      <c r="D9314" t="inlineStr">
        <is>
          <t>-433Q147.1</t>
        </is>
      </c>
      <c r="E9314" t="inlineStr">
        <is>
          <t>DILM-9-10</t>
        </is>
      </c>
      <c r="F9314" t="inlineStr">
        <is>
          <t>#KALK!</t>
        </is>
      </c>
      <c r="G9314" t="inlineStr">
        <is>
          <t>LASTSCHUETZ</t>
        </is>
      </c>
      <c r="H9314" t="inlineStr">
        <is>
          <t>4kW 1S Federzugkl.</t>
        </is>
      </c>
      <c r="I9314">
        <v>317</v>
      </c>
      <c r="J9314">
        <f>GS06/433.6</f>
        <v>0</v>
      </c>
      <c r="K9314" t="inlineStr">
        <is>
          <t>DIL MC9</t>
        </is>
      </c>
      <c r="M9314" t="inlineStr">
        <is>
          <t>-433Q147.1</t>
        </is>
      </c>
    </row>
    <row r="9315">
      <c r="A9315">
        <v>9314</v>
      </c>
      <c r="B9315">
        <f>GS37</f>
        <v>0</v>
      </c>
      <c r="C9315" t="inlineStr">
        <is>
          <t>+LS09</t>
        </is>
      </c>
      <c r="D9315" t="inlineStr">
        <is>
          <t>-433Q711.4</t>
        </is>
      </c>
      <c r="E9315" t="inlineStr">
        <is>
          <t>DILM-9-10</t>
        </is>
      </c>
      <c r="F9315" t="inlineStr">
        <is>
          <t>#KALK!</t>
        </is>
      </c>
      <c r="G9315" t="inlineStr">
        <is>
          <t>LASTSCHUETZ</t>
        </is>
      </c>
      <c r="H9315" t="inlineStr">
        <is>
          <t>4kW 1S Federzugkl.</t>
        </is>
      </c>
      <c r="I9315">
        <v>520</v>
      </c>
      <c r="J9315">
        <f>GS37/433.6</f>
        <v>0</v>
      </c>
      <c r="M9315" t="inlineStr">
        <is>
          <t>-433Q711.4</t>
        </is>
      </c>
    </row>
    <row r="9316">
      <c r="A9316">
        <v>9315</v>
      </c>
      <c r="B9316">
        <f>GS46</f>
        <v>0</v>
      </c>
      <c r="C9316" t="inlineStr">
        <is>
          <t>+LS07</t>
        </is>
      </c>
      <c r="D9316" t="inlineStr">
        <is>
          <t>-433Q745.7</t>
        </is>
      </c>
      <c r="E9316" t="inlineStr">
        <is>
          <t>DILM-9-10</t>
        </is>
      </c>
      <c r="F9316" t="inlineStr">
        <is>
          <t>#KALK!</t>
        </is>
      </c>
      <c r="G9316" t="inlineStr">
        <is>
          <t>LASTSCHUETZ</t>
        </is>
      </c>
      <c r="H9316" t="inlineStr">
        <is>
          <t>4kW 1S Federzugkl.</t>
        </is>
      </c>
      <c r="I9316">
        <v>645</v>
      </c>
      <c r="J9316">
        <f>GS46/433.6</f>
        <v>0</v>
      </c>
      <c r="M9316" t="inlineStr">
        <is>
          <t>-433Q745.7</t>
        </is>
      </c>
    </row>
    <row r="9317">
      <c r="A9317">
        <v>9316</v>
      </c>
      <c r="B9317">
        <f>GS47</f>
        <v>0</v>
      </c>
      <c r="C9317" t="inlineStr">
        <is>
          <t>+LS07</t>
        </is>
      </c>
      <c r="D9317" t="inlineStr">
        <is>
          <t>-433Q745.7</t>
        </is>
      </c>
      <c r="E9317" t="inlineStr">
        <is>
          <t>DILM-9-10</t>
        </is>
      </c>
      <c r="F9317" t="inlineStr">
        <is>
          <t>#KALK!</t>
        </is>
      </c>
      <c r="G9317" t="inlineStr">
        <is>
          <t>LASTSCHUETZ</t>
        </is>
      </c>
      <c r="H9317" t="inlineStr">
        <is>
          <t>4kW 1S Federzugkl.</t>
        </is>
      </c>
      <c r="I9317">
        <v>645</v>
      </c>
      <c r="J9317">
        <f>GS47/433.6</f>
        <v>0</v>
      </c>
      <c r="M9317" t="inlineStr">
        <is>
          <t>-433Q745.7</t>
        </is>
      </c>
    </row>
    <row r="9318">
      <c r="A9318">
        <v>9317</v>
      </c>
      <c r="B9318">
        <f>GS48</f>
        <v>0</v>
      </c>
      <c r="C9318" t="inlineStr">
        <is>
          <t>+LS07</t>
        </is>
      </c>
      <c r="D9318" t="inlineStr">
        <is>
          <t>-433Q745.7</t>
        </is>
      </c>
      <c r="E9318" t="inlineStr">
        <is>
          <t>DILM-9-10</t>
        </is>
      </c>
      <c r="F9318" t="inlineStr">
        <is>
          <t>#KALK!</t>
        </is>
      </c>
      <c r="G9318" t="inlineStr">
        <is>
          <t>LASTSCHUETZ</t>
        </is>
      </c>
      <c r="H9318" t="inlineStr">
        <is>
          <t>4kW 1S Federzugkl.</t>
        </is>
      </c>
      <c r="I9318">
        <v>545</v>
      </c>
      <c r="J9318">
        <f>GS48/433.6</f>
        <v>0</v>
      </c>
      <c r="M9318" t="inlineStr">
        <is>
          <t>-433Q745.7</t>
        </is>
      </c>
    </row>
    <row r="9319">
      <c r="A9319">
        <v>9318</v>
      </c>
      <c r="B9319">
        <f>GS49</f>
        <v>0</v>
      </c>
      <c r="C9319" t="inlineStr">
        <is>
          <t>+LS07</t>
        </is>
      </c>
      <c r="D9319" t="inlineStr">
        <is>
          <t>-433Q745.7</t>
        </is>
      </c>
      <c r="E9319" t="inlineStr">
        <is>
          <t>DILM-9-10</t>
        </is>
      </c>
      <c r="F9319" t="inlineStr">
        <is>
          <t>#KALK!</t>
        </is>
      </c>
      <c r="G9319" t="inlineStr">
        <is>
          <t>LASTSCHUETZ</t>
        </is>
      </c>
      <c r="H9319" t="inlineStr">
        <is>
          <t>4kW 1S Federzugkl.</t>
        </is>
      </c>
      <c r="I9319">
        <v>544</v>
      </c>
      <c r="J9319">
        <f>GS49/433.6</f>
        <v>0</v>
      </c>
      <c r="M9319" t="inlineStr">
        <is>
          <t>-433Q745.7</t>
        </is>
      </c>
    </row>
    <row r="9320">
      <c r="A9320">
        <v>9319</v>
      </c>
      <c r="B9320">
        <f>GS31</f>
        <v>0</v>
      </c>
      <c r="C9320" t="inlineStr">
        <is>
          <t>+ES3</t>
        </is>
      </c>
      <c r="D9320" t="inlineStr">
        <is>
          <t>-434K56.0</t>
        </is>
      </c>
      <c r="E9320" t="inlineStr">
        <is>
          <t>40_DIL-E</t>
        </is>
      </c>
      <c r="F9320" t="inlineStr">
        <is>
          <t>40_DIL-E</t>
        </is>
      </c>
      <c r="G9320" t="inlineStr">
        <is>
          <t>HILFSKONTAKTBLOCK</t>
        </is>
      </c>
      <c r="H9320" t="inlineStr">
        <is>
          <t>4S Last+Hilfsschuetz</t>
        </is>
      </c>
      <c r="I9320">
        <v>727</v>
      </c>
      <c r="J9320">
        <f>GS31/434.6</f>
        <v>0</v>
      </c>
      <c r="M9320" t="inlineStr">
        <is>
          <t>-434K56.0</t>
        </is>
      </c>
    </row>
    <row r="9321">
      <c r="A9321">
        <v>9320</v>
      </c>
      <c r="B9321">
        <f>GS31</f>
        <v>0</v>
      </c>
      <c r="C9321" t="inlineStr">
        <is>
          <t>+ES3</t>
        </is>
      </c>
      <c r="D9321" t="inlineStr">
        <is>
          <t>-434K56.0</t>
        </is>
      </c>
      <c r="E9321" t="inlineStr">
        <is>
          <t>DIL_ER-40-G</t>
        </is>
      </c>
      <c r="F9321" t="inlineStr">
        <is>
          <t>40_DIL-E</t>
        </is>
      </c>
      <c r="G9321" t="inlineStr">
        <is>
          <t>HILFSSCHUETZ</t>
        </is>
      </c>
      <c r="H9321" t="inlineStr">
        <is>
          <t>4S</t>
        </is>
      </c>
      <c r="I9321">
        <v>727</v>
      </c>
      <c r="J9321">
        <f>GS31/434.6</f>
        <v>0</v>
      </c>
      <c r="M9321" t="inlineStr">
        <is>
          <t>-434K56.0</t>
        </is>
      </c>
    </row>
    <row r="9322">
      <c r="A9322">
        <v>9321</v>
      </c>
      <c r="B9322">
        <f>GS31</f>
        <v>0</v>
      </c>
      <c r="C9322" t="inlineStr">
        <is>
          <t>+ES3</t>
        </is>
      </c>
      <c r="D9322" t="inlineStr">
        <is>
          <t>-434K56.1</t>
        </is>
      </c>
      <c r="E9322" t="inlineStr">
        <is>
          <t>40_DIL-E</t>
        </is>
      </c>
      <c r="F9322" t="inlineStr">
        <is>
          <t>40_DIL-E</t>
        </is>
      </c>
      <c r="G9322" t="inlineStr">
        <is>
          <t>HILFSKONTAKTBLOCK</t>
        </is>
      </c>
      <c r="H9322" t="inlineStr">
        <is>
          <t>4S Last+Hilfsschuetz</t>
        </is>
      </c>
      <c r="I9322">
        <v>727</v>
      </c>
      <c r="J9322">
        <f>GS31/434.6</f>
        <v>0</v>
      </c>
      <c r="M9322" t="inlineStr">
        <is>
          <t>-434K56.1</t>
        </is>
      </c>
    </row>
    <row r="9323">
      <c r="A9323">
        <v>9322</v>
      </c>
      <c r="B9323">
        <f>GS31</f>
        <v>0</v>
      </c>
      <c r="C9323" t="inlineStr">
        <is>
          <t>+ES3</t>
        </is>
      </c>
      <c r="D9323" t="inlineStr">
        <is>
          <t>-434K56.1</t>
        </is>
      </c>
      <c r="E9323" t="inlineStr">
        <is>
          <t>DIL_ER-40-G</t>
        </is>
      </c>
      <c r="F9323" t="inlineStr">
        <is>
          <t>40_DIL-E</t>
        </is>
      </c>
      <c r="G9323" t="inlineStr">
        <is>
          <t>HILFSSCHUETZ</t>
        </is>
      </c>
      <c r="H9323" t="inlineStr">
        <is>
          <t>4S</t>
        </is>
      </c>
      <c r="I9323">
        <v>727</v>
      </c>
      <c r="J9323">
        <f>GS31/434.6</f>
        <v>0</v>
      </c>
      <c r="M9323" t="inlineStr">
        <is>
          <t>-434K56.1</t>
        </is>
      </c>
    </row>
    <row r="9324">
      <c r="A9324">
        <v>9323</v>
      </c>
      <c r="B9324">
        <f>GC22</f>
        <v>0</v>
      </c>
      <c r="C9324" t="inlineStr">
        <is>
          <t>+LS6</t>
        </is>
      </c>
      <c r="D9324" t="inlineStr">
        <is>
          <t>-434K57.4</t>
        </is>
      </c>
      <c r="E9324" t="inlineStr">
        <is>
          <t>DIL_EM-10-G</t>
        </is>
      </c>
      <c r="F9324" t="inlineStr">
        <is>
          <t>#KALK!</t>
        </is>
      </c>
      <c r="G9324" t="inlineStr">
        <is>
          <t>LASTSCHUETZ</t>
        </is>
      </c>
      <c r="H9324" t="inlineStr">
        <is>
          <t>4kW 1S</t>
        </is>
      </c>
      <c r="I9324">
        <v>3523</v>
      </c>
      <c r="J9324">
        <f>GC22/434.6</f>
        <v>0</v>
      </c>
      <c r="M9324" t="inlineStr">
        <is>
          <t>-434K57.4</t>
        </is>
      </c>
    </row>
    <row r="9325">
      <c r="A9325">
        <v>9324</v>
      </c>
      <c r="B9325">
        <f>GS12</f>
        <v>0</v>
      </c>
      <c r="C9325" t="inlineStr">
        <is>
          <t>+LS6</t>
        </is>
      </c>
      <c r="D9325" t="inlineStr">
        <is>
          <t>-434K57.4</t>
        </is>
      </c>
      <c r="E9325" t="inlineStr">
        <is>
          <t>DIL_EM-10-G</t>
        </is>
      </c>
      <c r="F9325" t="inlineStr">
        <is>
          <t>#KALK!</t>
        </is>
      </c>
      <c r="G9325" t="inlineStr">
        <is>
          <t>LASTSCHUETZ</t>
        </is>
      </c>
      <c r="H9325" t="inlineStr">
        <is>
          <t>4kW 1S</t>
        </is>
      </c>
      <c r="I9325">
        <v>566</v>
      </c>
      <c r="J9325">
        <f>GS12/434.6</f>
        <v>0</v>
      </c>
      <c r="M9325" t="inlineStr">
        <is>
          <t>-434K57.4</t>
        </is>
      </c>
    </row>
    <row r="9326">
      <c r="A9326">
        <v>9325</v>
      </c>
      <c r="B9326">
        <f>GS16</f>
        <v>0</v>
      </c>
      <c r="C9326" t="inlineStr">
        <is>
          <t>+LS7</t>
        </is>
      </c>
      <c r="D9326" t="inlineStr">
        <is>
          <t>-434K59.1</t>
        </is>
      </c>
      <c r="E9326" t="inlineStr">
        <is>
          <t>DIL_EM-10-G</t>
        </is>
      </c>
      <c r="F9326" t="inlineStr">
        <is>
          <t>#KALK!</t>
        </is>
      </c>
      <c r="G9326" t="inlineStr">
        <is>
          <t>LASTSCHUETZ</t>
        </is>
      </c>
      <c r="H9326" t="inlineStr">
        <is>
          <t>4kW 1S</t>
        </is>
      </c>
      <c r="I9326">
        <v>671</v>
      </c>
      <c r="J9326">
        <f>GS16/434.6</f>
        <v>0</v>
      </c>
      <c r="M9326" t="inlineStr">
        <is>
          <t>-434K59.1</t>
        </is>
      </c>
    </row>
    <row r="9327">
      <c r="A9327">
        <v>9326</v>
      </c>
      <c r="B9327">
        <f>GS46</f>
        <v>0</v>
      </c>
      <c r="C9327" t="inlineStr">
        <is>
          <t>+LS07</t>
        </is>
      </c>
      <c r="D9327" t="inlineStr">
        <is>
          <t>-434Q746.0</t>
        </is>
      </c>
      <c r="E9327" t="inlineStr">
        <is>
          <t>DILM-9-10</t>
        </is>
      </c>
      <c r="F9327" t="inlineStr">
        <is>
          <t>#KALK!</t>
        </is>
      </c>
      <c r="G9327" t="inlineStr">
        <is>
          <t>LASTSCHUETZ</t>
        </is>
      </c>
      <c r="H9327" t="inlineStr">
        <is>
          <t>4kW 1S Federzugkl.</t>
        </is>
      </c>
      <c r="I9327">
        <v>644</v>
      </c>
      <c r="J9327">
        <f>GS46/434.6</f>
        <v>0</v>
      </c>
      <c r="M9327" t="inlineStr">
        <is>
          <t>-434Q746.0</t>
        </is>
      </c>
    </row>
    <row r="9328">
      <c r="A9328">
        <v>9327</v>
      </c>
      <c r="B9328">
        <f>GS47</f>
        <v>0</v>
      </c>
      <c r="C9328" t="inlineStr">
        <is>
          <t>+LS07</t>
        </is>
      </c>
      <c r="D9328" t="inlineStr">
        <is>
          <t>-434Q746.0</t>
        </is>
      </c>
      <c r="E9328" t="inlineStr">
        <is>
          <t>DILM-9-10</t>
        </is>
      </c>
      <c r="F9328" t="inlineStr">
        <is>
          <t>#KALK!</t>
        </is>
      </c>
      <c r="G9328" t="inlineStr">
        <is>
          <t>LASTSCHUETZ</t>
        </is>
      </c>
      <c r="H9328" t="inlineStr">
        <is>
          <t>4kW 1S Federzugkl.</t>
        </is>
      </c>
      <c r="I9328">
        <v>644</v>
      </c>
      <c r="J9328">
        <f>GS47/434.6</f>
        <v>0</v>
      </c>
      <c r="M9328" t="inlineStr">
        <is>
          <t>-434Q746.0</t>
        </is>
      </c>
    </row>
    <row r="9329">
      <c r="A9329">
        <v>9328</v>
      </c>
      <c r="B9329">
        <f>GS48</f>
        <v>0</v>
      </c>
      <c r="C9329" t="inlineStr">
        <is>
          <t>+LS07</t>
        </is>
      </c>
      <c r="D9329" t="inlineStr">
        <is>
          <t>-434Q746.0</t>
        </is>
      </c>
      <c r="E9329" t="inlineStr">
        <is>
          <t>DILM-9-10</t>
        </is>
      </c>
      <c r="F9329" t="inlineStr">
        <is>
          <t>#KALK!</t>
        </is>
      </c>
      <c r="G9329" t="inlineStr">
        <is>
          <t>LASTSCHUETZ</t>
        </is>
      </c>
      <c r="H9329" t="inlineStr">
        <is>
          <t>4kW 1S Federzugkl.</t>
        </is>
      </c>
      <c r="I9329">
        <v>546</v>
      </c>
      <c r="J9329">
        <f>GS48/434.6</f>
        <v>0</v>
      </c>
      <c r="M9329" t="inlineStr">
        <is>
          <t>-434Q746.0</t>
        </is>
      </c>
    </row>
    <row r="9330">
      <c r="A9330">
        <v>9329</v>
      </c>
      <c r="B9330">
        <f>GS49</f>
        <v>0</v>
      </c>
      <c r="C9330" t="inlineStr">
        <is>
          <t>+LS07</t>
        </is>
      </c>
      <c r="D9330" t="inlineStr">
        <is>
          <t>-434Q746.0</t>
        </is>
      </c>
      <c r="E9330" t="inlineStr">
        <is>
          <t>DILM-9-10</t>
        </is>
      </c>
      <c r="F9330" t="inlineStr">
        <is>
          <t>#KALK!</t>
        </is>
      </c>
      <c r="G9330" t="inlineStr">
        <is>
          <t>LASTSCHUETZ</t>
        </is>
      </c>
      <c r="H9330" t="inlineStr">
        <is>
          <t>4kW 1S Federzugkl.</t>
        </is>
      </c>
      <c r="I9330">
        <v>545</v>
      </c>
      <c r="J9330">
        <f>GS49/434.6</f>
        <v>0</v>
      </c>
      <c r="M9330" t="inlineStr">
        <is>
          <t>-434Q746.0</t>
        </is>
      </c>
    </row>
    <row r="9331">
      <c r="A9331">
        <v>9330</v>
      </c>
      <c r="B9331">
        <f>GS14</f>
        <v>0</v>
      </c>
      <c r="C9331" t="inlineStr">
        <is>
          <t>+LS8</t>
        </is>
      </c>
      <c r="D9331" t="inlineStr">
        <is>
          <t>-435K1</t>
        </is>
      </c>
      <c r="E9331" t="inlineStr">
        <is>
          <t>DIL_0AM</t>
        </is>
      </c>
      <c r="F9331" t="inlineStr">
        <is>
          <t>22_DIL-M</t>
        </is>
      </c>
      <c r="G9331" t="inlineStr">
        <is>
          <t>LASTSCHUETZ</t>
        </is>
      </c>
      <c r="H9331" t="inlineStr">
        <is>
          <t>11 kW</t>
        </is>
      </c>
      <c r="I9331">
        <v>567</v>
      </c>
      <c r="J9331">
        <f>GS14/435.2</f>
        <v>0</v>
      </c>
      <c r="K9331" t="inlineStr">
        <is>
          <t>DIL0AM</t>
        </is>
      </c>
      <c r="M9331" t="inlineStr">
        <is>
          <t>-435K1</t>
        </is>
      </c>
    </row>
    <row r="9332">
      <c r="A9332">
        <v>9331</v>
      </c>
      <c r="B9332">
        <f>GS14</f>
        <v>0</v>
      </c>
      <c r="C9332" t="inlineStr">
        <is>
          <t>+LS8</t>
        </is>
      </c>
      <c r="D9332" t="inlineStr">
        <is>
          <t>-435K1</t>
        </is>
      </c>
      <c r="E9332" t="inlineStr">
        <is>
          <t>22_DIL-M</t>
        </is>
      </c>
      <c r="F9332" t="inlineStr">
        <is>
          <t>22_DIL-M</t>
        </is>
      </c>
      <c r="G9332" t="inlineStr">
        <is>
          <t>HILFSKONTAKTBLOCK</t>
        </is>
      </c>
      <c r="H9332" t="inlineStr">
        <is>
          <t>2S 2OE Lastschuetz DIL M</t>
        </is>
      </c>
      <c r="I9332">
        <v>567</v>
      </c>
      <c r="J9332">
        <f>GS14/435.2</f>
        <v>0</v>
      </c>
      <c r="K9332" t="inlineStr">
        <is>
          <t>DIL0AM</t>
        </is>
      </c>
      <c r="M9332" t="inlineStr">
        <is>
          <t>-435K1</t>
        </is>
      </c>
    </row>
    <row r="9333">
      <c r="A9333">
        <v>9332</v>
      </c>
      <c r="B9333">
        <f>GS38</f>
        <v>0</v>
      </c>
      <c r="C9333" t="inlineStr">
        <is>
          <t>+LS10</t>
        </is>
      </c>
      <c r="D9333" t="inlineStr">
        <is>
          <t>-435K1</t>
        </is>
      </c>
      <c r="E9333" t="inlineStr">
        <is>
          <t>DILA-XHIC40</t>
        </is>
      </c>
      <c r="F9333" t="inlineStr">
        <is>
          <t>DILA-XHIC40</t>
        </is>
      </c>
      <c r="G9333" t="inlineStr">
        <is>
          <t>HILFSKONTAKTBLOCK</t>
        </is>
      </c>
      <c r="H9333" t="inlineStr">
        <is>
          <t>4S Last+Hilfssch. Cage</t>
        </is>
      </c>
      <c r="I9333">
        <v>595</v>
      </c>
      <c r="J9333">
        <f>GS38/435.5</f>
        <v>0</v>
      </c>
      <c r="M9333" t="inlineStr">
        <is>
          <t>-435K1</t>
        </is>
      </c>
    </row>
    <row r="9334">
      <c r="A9334">
        <v>9333</v>
      </c>
      <c r="B9334">
        <f>GS38</f>
        <v>0</v>
      </c>
      <c r="C9334" t="inlineStr">
        <is>
          <t>+LS10</t>
        </is>
      </c>
      <c r="D9334" t="inlineStr">
        <is>
          <t>-435K1</t>
        </is>
      </c>
      <c r="E9334" t="inlineStr">
        <is>
          <t>DILA-40</t>
        </is>
      </c>
      <c r="F9334" t="inlineStr">
        <is>
          <t>DILA-XHIC40</t>
        </is>
      </c>
      <c r="G9334" t="inlineStr">
        <is>
          <t>HILFSSCHUETZ</t>
        </is>
      </c>
      <c r="H9334" t="inlineStr">
        <is>
          <t>4S Federzugkl.</t>
        </is>
      </c>
      <c r="I9334">
        <v>595</v>
      </c>
      <c r="J9334">
        <f>GS38/435.5</f>
        <v>0</v>
      </c>
      <c r="M9334" t="inlineStr">
        <is>
          <t>-435K1</t>
        </is>
      </c>
    </row>
    <row r="9335">
      <c r="A9335">
        <v>9334</v>
      </c>
      <c r="B9335">
        <f>GS39</f>
        <v>0</v>
      </c>
      <c r="C9335" t="inlineStr">
        <is>
          <t>+LS10</t>
        </is>
      </c>
      <c r="D9335" t="inlineStr">
        <is>
          <t>-435K1</t>
        </is>
      </c>
      <c r="E9335" t="inlineStr">
        <is>
          <t>DILA-40</t>
        </is>
      </c>
      <c r="F9335" t="inlineStr">
        <is>
          <t>DILA-XHIC40</t>
        </is>
      </c>
      <c r="G9335" t="inlineStr">
        <is>
          <t>HILFSSCHUETZ</t>
        </is>
      </c>
      <c r="H9335" t="inlineStr">
        <is>
          <t>4S Federzugkl.</t>
        </is>
      </c>
      <c r="I9335">
        <v>609</v>
      </c>
      <c r="J9335">
        <f>GS39/435.5</f>
        <v>0</v>
      </c>
      <c r="M9335" t="inlineStr">
        <is>
          <t>-435K1</t>
        </is>
      </c>
    </row>
    <row r="9336">
      <c r="A9336">
        <v>9335</v>
      </c>
      <c r="B9336">
        <f>GS39</f>
        <v>0</v>
      </c>
      <c r="C9336" t="inlineStr">
        <is>
          <t>+LS10</t>
        </is>
      </c>
      <c r="D9336" t="inlineStr">
        <is>
          <t>-435K1</t>
        </is>
      </c>
      <c r="E9336" t="inlineStr">
        <is>
          <t>DILA-XHIC40</t>
        </is>
      </c>
      <c r="F9336" t="inlineStr">
        <is>
          <t>DILA-XHIC40</t>
        </is>
      </c>
      <c r="G9336" t="inlineStr">
        <is>
          <t>HILFSKONTAKTBLOCK</t>
        </is>
      </c>
      <c r="H9336" t="inlineStr">
        <is>
          <t>4S Last+Hilfssch. Cage</t>
        </is>
      </c>
      <c r="I9336">
        <v>609</v>
      </c>
      <c r="J9336">
        <f>GS39/435.5</f>
        <v>0</v>
      </c>
      <c r="M9336" t="inlineStr">
        <is>
          <t>-435K1</t>
        </is>
      </c>
    </row>
    <row r="9337">
      <c r="A9337">
        <v>9336</v>
      </c>
      <c r="B9337">
        <f>GS30</f>
        <v>0</v>
      </c>
      <c r="C9337" t="inlineStr">
        <is>
          <t>+LS14</t>
        </is>
      </c>
      <c r="D9337" t="inlineStr">
        <is>
          <t>-435K1010.4</t>
        </is>
      </c>
      <c r="E9337" t="inlineStr">
        <is>
          <t>DILA-40</t>
        </is>
      </c>
      <c r="F9337" t="inlineStr">
        <is>
          <t>#KALK!</t>
        </is>
      </c>
      <c r="G9337" t="inlineStr">
        <is>
          <t>HILFSSCHUETZ</t>
        </is>
      </c>
      <c r="H9337" t="inlineStr">
        <is>
          <t>4S Federzugkl.</t>
        </is>
      </c>
      <c r="I9337">
        <v>2607</v>
      </c>
      <c r="J9337">
        <f>GS30/435.7</f>
        <v>0</v>
      </c>
      <c r="M9337" t="inlineStr">
        <is>
          <t>-435K1010.4</t>
        </is>
      </c>
    </row>
    <row r="9338">
      <c r="A9338">
        <v>9337</v>
      </c>
      <c r="B9338">
        <f>GS91</f>
        <v>0</v>
      </c>
      <c r="C9338" t="inlineStr">
        <is>
          <t>+LS08</t>
        </is>
      </c>
      <c r="D9338" t="inlineStr">
        <is>
          <t>-435K454.4</t>
        </is>
      </c>
      <c r="E9338" t="inlineStr">
        <is>
          <t>DILA-40</t>
        </is>
      </c>
      <c r="F9338" t="inlineStr">
        <is>
          <t>#KALK!</t>
        </is>
      </c>
      <c r="G9338" t="inlineStr">
        <is>
          <t>HILFSSCHUETZ</t>
        </is>
      </c>
      <c r="H9338" t="inlineStr">
        <is>
          <t>4S Federzugkl.</t>
        </is>
      </c>
      <c r="I9338">
        <v>583</v>
      </c>
      <c r="J9338">
        <f>GS91/435.7</f>
        <v>0</v>
      </c>
      <c r="M9338" t="inlineStr">
        <is>
          <t>-435K454.4</t>
        </is>
      </c>
    </row>
    <row r="9339">
      <c r="A9339">
        <v>9338</v>
      </c>
      <c r="B9339">
        <f>GS90</f>
        <v>0</v>
      </c>
      <c r="C9339" t="inlineStr">
        <is>
          <t>+LS08</t>
        </is>
      </c>
      <c r="D9339" t="inlineStr">
        <is>
          <t>-435K456.4</t>
        </is>
      </c>
      <c r="E9339" t="inlineStr">
        <is>
          <t>DILA-40</t>
        </is>
      </c>
      <c r="F9339" t="inlineStr">
        <is>
          <t>#KALK!</t>
        </is>
      </c>
      <c r="G9339" t="inlineStr">
        <is>
          <t>HILFSSCHUETZ</t>
        </is>
      </c>
      <c r="H9339" t="inlineStr">
        <is>
          <t>4S Federzugkl.</t>
        </is>
      </c>
      <c r="I9339">
        <v>805</v>
      </c>
      <c r="J9339">
        <f>GS90/435.7</f>
        <v>0</v>
      </c>
      <c r="M9339" t="inlineStr">
        <is>
          <t>-435K456.4</t>
        </is>
      </c>
    </row>
    <row r="9340">
      <c r="A9340">
        <v>9339</v>
      </c>
      <c r="B9340">
        <f>GS38</f>
        <v>0</v>
      </c>
      <c r="C9340" t="inlineStr">
        <is>
          <t>+LS10</t>
        </is>
      </c>
      <c r="D9340" t="inlineStr">
        <is>
          <t>-435K462.0</t>
        </is>
      </c>
      <c r="E9340" t="inlineStr">
        <is>
          <t>DILA-40</t>
        </is>
      </c>
      <c r="F9340" t="inlineStr">
        <is>
          <t>#KALK!</t>
        </is>
      </c>
      <c r="G9340" t="inlineStr">
        <is>
          <t>HILFSSCHUETZ</t>
        </is>
      </c>
      <c r="H9340" t="inlineStr">
        <is>
          <t>4S Federzugkl.</t>
        </is>
      </c>
      <c r="I9340">
        <v>595</v>
      </c>
      <c r="J9340">
        <f>GS38/435.7</f>
        <v>0</v>
      </c>
      <c r="M9340" t="inlineStr">
        <is>
          <t>-435K462.0</t>
        </is>
      </c>
    </row>
    <row r="9341">
      <c r="A9341">
        <v>9340</v>
      </c>
      <c r="B9341">
        <f>GS39</f>
        <v>0</v>
      </c>
      <c r="C9341" t="inlineStr">
        <is>
          <t>+LS10</t>
        </is>
      </c>
      <c r="D9341" t="inlineStr">
        <is>
          <t>-435K462.0</t>
        </is>
      </c>
      <c r="E9341" t="inlineStr">
        <is>
          <t>DILA-40</t>
        </is>
      </c>
      <c r="F9341" t="inlineStr">
        <is>
          <t>#KALK!</t>
        </is>
      </c>
      <c r="G9341" t="inlineStr">
        <is>
          <t>HILFSSCHUETZ</t>
        </is>
      </c>
      <c r="H9341" t="inlineStr">
        <is>
          <t>4S Federzugkl.</t>
        </is>
      </c>
      <c r="I9341">
        <v>609</v>
      </c>
      <c r="J9341">
        <f>GS39/435.7</f>
        <v>0</v>
      </c>
      <c r="M9341" t="inlineStr">
        <is>
          <t>-435K462.0</t>
        </is>
      </c>
    </row>
    <row r="9342">
      <c r="A9342">
        <v>9341</v>
      </c>
      <c r="B9342">
        <f>GS93</f>
        <v>0</v>
      </c>
      <c r="C9342" t="inlineStr">
        <is>
          <t>+LS08</t>
        </is>
      </c>
      <c r="D9342" t="inlineStr">
        <is>
          <t>-435K475.0</t>
        </is>
      </c>
      <c r="E9342" t="inlineStr">
        <is>
          <t>DILA-40</t>
        </is>
      </c>
      <c r="F9342" t="inlineStr">
        <is>
          <t>#KALK!</t>
        </is>
      </c>
      <c r="G9342" t="inlineStr">
        <is>
          <t>HILFSSCHUETZ</t>
        </is>
      </c>
      <c r="H9342" t="inlineStr">
        <is>
          <t>4S Federzugkl.</t>
        </is>
      </c>
      <c r="I9342">
        <v>989</v>
      </c>
      <c r="J9342">
        <f>GS93/435.7</f>
        <v>0</v>
      </c>
      <c r="M9342" t="inlineStr">
        <is>
          <t>-435K475.0</t>
        </is>
      </c>
    </row>
    <row r="9343">
      <c r="A9343">
        <v>9342</v>
      </c>
      <c r="B9343">
        <f>GC22</f>
        <v>0</v>
      </c>
      <c r="C9343" t="inlineStr">
        <is>
          <t>+LS6</t>
        </is>
      </c>
      <c r="D9343" t="inlineStr">
        <is>
          <t>-435K58.1</t>
        </is>
      </c>
      <c r="E9343" t="inlineStr">
        <is>
          <t>DIL_EM-10-G</t>
        </is>
      </c>
      <c r="F9343" t="inlineStr">
        <is>
          <t>#KALK!</t>
        </is>
      </c>
      <c r="G9343" t="inlineStr">
        <is>
          <t>LASTSCHUETZ</t>
        </is>
      </c>
      <c r="H9343" t="inlineStr">
        <is>
          <t>4kW 1S</t>
        </is>
      </c>
      <c r="I9343">
        <v>3308</v>
      </c>
      <c r="J9343">
        <f>GC22/435.7</f>
        <v>0</v>
      </c>
      <c r="M9343" t="inlineStr">
        <is>
          <t>-435K58.1</t>
        </is>
      </c>
    </row>
    <row r="9344">
      <c r="A9344">
        <v>9343</v>
      </c>
      <c r="B9344">
        <f>GS12</f>
        <v>0</v>
      </c>
      <c r="C9344" t="inlineStr">
        <is>
          <t>+LS6</t>
        </is>
      </c>
      <c r="D9344" t="inlineStr">
        <is>
          <t>-435K58.1</t>
        </is>
      </c>
      <c r="E9344" t="inlineStr">
        <is>
          <t>DIL_EM-10-G</t>
        </is>
      </c>
      <c r="F9344" t="inlineStr">
        <is>
          <t>#KALK!</t>
        </is>
      </c>
      <c r="G9344" t="inlineStr">
        <is>
          <t>LASTSCHUETZ</t>
        </is>
      </c>
      <c r="H9344" t="inlineStr">
        <is>
          <t>4kW 1S</t>
        </is>
      </c>
      <c r="I9344">
        <v>567</v>
      </c>
      <c r="J9344">
        <f>GS12/435.7</f>
        <v>0</v>
      </c>
      <c r="M9344" t="inlineStr">
        <is>
          <t>-435K58.1</t>
        </is>
      </c>
    </row>
    <row r="9345">
      <c r="A9345">
        <v>9344</v>
      </c>
      <c r="B9345">
        <f>GS16</f>
        <v>0</v>
      </c>
      <c r="C9345" t="inlineStr">
        <is>
          <t>+LS7</t>
        </is>
      </c>
      <c r="D9345" t="inlineStr">
        <is>
          <t>-435K59.5</t>
        </is>
      </c>
      <c r="E9345" t="inlineStr">
        <is>
          <t>DIL_EM-10-G</t>
        </is>
      </c>
      <c r="F9345" t="inlineStr">
        <is>
          <t>#KALK!</t>
        </is>
      </c>
      <c r="G9345" t="inlineStr">
        <is>
          <t>LASTSCHUETZ</t>
        </is>
      </c>
      <c r="H9345" t="inlineStr">
        <is>
          <t>4kW 1S</t>
        </is>
      </c>
      <c r="I9345">
        <v>672</v>
      </c>
      <c r="J9345">
        <f>GS16/435.7</f>
        <v>0</v>
      </c>
      <c r="M9345" t="inlineStr">
        <is>
          <t>-435K59.5</t>
        </is>
      </c>
    </row>
    <row r="9346">
      <c r="A9346">
        <v>9345</v>
      </c>
      <c r="B9346">
        <f>GS30</f>
        <v>0</v>
      </c>
      <c r="C9346" t="inlineStr">
        <is>
          <t>+LS14</t>
        </is>
      </c>
      <c r="D9346" t="inlineStr">
        <is>
          <t>-435Q1</t>
        </is>
      </c>
      <c r="E9346" t="inlineStr">
        <is>
          <t>DILA-XHI22</t>
        </is>
      </c>
      <c r="F9346" t="inlineStr">
        <is>
          <t>DILA-XHI22</t>
        </is>
      </c>
      <c r="G9346" t="inlineStr">
        <is>
          <t>HILFSKONTAKTBLOCK</t>
        </is>
      </c>
      <c r="H9346" t="inlineStr">
        <is>
          <t>2S 2OE Last+Hilfssch. Cage</t>
        </is>
      </c>
      <c r="I9346">
        <v>2607</v>
      </c>
      <c r="J9346">
        <f>GS30/435.4</f>
        <v>0</v>
      </c>
      <c r="K9346" t="inlineStr">
        <is>
          <t>DIL MC25</t>
        </is>
      </c>
      <c r="M9346" t="inlineStr">
        <is>
          <t>-435Q1</t>
        </is>
      </c>
    </row>
    <row r="9347">
      <c r="A9347">
        <v>9346</v>
      </c>
      <c r="B9347">
        <f>GS30</f>
        <v>0</v>
      </c>
      <c r="C9347" t="inlineStr">
        <is>
          <t>+LS14</t>
        </is>
      </c>
      <c r="D9347" t="inlineStr">
        <is>
          <t>-435Q1</t>
        </is>
      </c>
      <c r="E9347" t="inlineStr">
        <is>
          <t>DILMC25-10(RDC24)</t>
        </is>
      </c>
      <c r="F9347" t="inlineStr">
        <is>
          <t>DILA-XHI22</t>
        </is>
      </c>
      <c r="G9347" t="inlineStr">
        <is>
          <t>LASTSCHUETZ</t>
        </is>
      </c>
      <c r="H9347" t="inlineStr">
        <is>
          <t>11kW 1S Federzugkl.</t>
        </is>
      </c>
      <c r="I9347">
        <v>2607</v>
      </c>
      <c r="J9347">
        <f>GS30/435.4</f>
        <v>0</v>
      </c>
      <c r="K9347" t="inlineStr">
        <is>
          <t>DIL MC25</t>
        </is>
      </c>
      <c r="M9347" t="inlineStr">
        <is>
          <t>-435Q1</t>
        </is>
      </c>
    </row>
    <row r="9348">
      <c r="A9348">
        <v>9347</v>
      </c>
      <c r="B9348">
        <f>GS38</f>
        <v>0</v>
      </c>
      <c r="C9348" t="inlineStr">
        <is>
          <t>+LS10</t>
        </is>
      </c>
      <c r="D9348" t="inlineStr">
        <is>
          <t>-435Q1</t>
        </is>
      </c>
      <c r="E9348" t="inlineStr">
        <is>
          <t>DILA-XHI22</t>
        </is>
      </c>
      <c r="F9348" t="inlineStr">
        <is>
          <t>DILA-XHI22</t>
        </is>
      </c>
      <c r="G9348" t="inlineStr">
        <is>
          <t>HILFSKONTAKTBLOCK</t>
        </is>
      </c>
      <c r="H9348" t="inlineStr">
        <is>
          <t>2S 2OE Last+Hilfssch. Cage</t>
        </is>
      </c>
      <c r="I9348">
        <v>595</v>
      </c>
      <c r="J9348">
        <f>GS38/435.3</f>
        <v>0</v>
      </c>
      <c r="K9348" t="inlineStr">
        <is>
          <t>DIL MC25</t>
        </is>
      </c>
      <c r="M9348" t="inlineStr">
        <is>
          <t>-435Q1</t>
        </is>
      </c>
    </row>
    <row r="9349">
      <c r="A9349">
        <v>9348</v>
      </c>
      <c r="B9349">
        <f>GS38</f>
        <v>0</v>
      </c>
      <c r="C9349" t="inlineStr">
        <is>
          <t>+LS10</t>
        </is>
      </c>
      <c r="D9349" t="inlineStr">
        <is>
          <t>-435Q1</t>
        </is>
      </c>
      <c r="E9349" t="inlineStr">
        <is>
          <t>DILMC25-10(RDC24)</t>
        </is>
      </c>
      <c r="F9349" t="inlineStr">
        <is>
          <t>DILA-XHI22</t>
        </is>
      </c>
      <c r="G9349" t="inlineStr">
        <is>
          <t>LASTSCHUETZ</t>
        </is>
      </c>
      <c r="H9349" t="inlineStr">
        <is>
          <t>11kW 1S Federzugkl.</t>
        </is>
      </c>
      <c r="I9349">
        <v>595</v>
      </c>
      <c r="J9349">
        <f>GS38/435.3</f>
        <v>0</v>
      </c>
      <c r="K9349" t="inlineStr">
        <is>
          <t>DIL MC25</t>
        </is>
      </c>
      <c r="M9349" t="inlineStr">
        <is>
          <t>-435Q1</t>
        </is>
      </c>
    </row>
    <row r="9350">
      <c r="A9350">
        <v>9349</v>
      </c>
      <c r="B9350">
        <f>GS39</f>
        <v>0</v>
      </c>
      <c r="C9350" t="inlineStr">
        <is>
          <t>+LS10</t>
        </is>
      </c>
      <c r="D9350" t="inlineStr">
        <is>
          <t>-435Q1</t>
        </is>
      </c>
      <c r="E9350" t="inlineStr">
        <is>
          <t>DILA-XHI22</t>
        </is>
      </c>
      <c r="F9350" t="inlineStr">
        <is>
          <t>DILA-XHI22</t>
        </is>
      </c>
      <c r="G9350" t="inlineStr">
        <is>
          <t>HILFSKONTAKTBLOCK</t>
        </is>
      </c>
      <c r="H9350" t="inlineStr">
        <is>
          <t>2S 2OE Last+Hilfssch. Cage</t>
        </is>
      </c>
      <c r="I9350">
        <v>609</v>
      </c>
      <c r="J9350">
        <f>GS39/435.3</f>
        <v>0</v>
      </c>
      <c r="K9350" t="inlineStr">
        <is>
          <t>DIL MC25</t>
        </is>
      </c>
      <c r="M9350" t="inlineStr">
        <is>
          <t>-435Q1</t>
        </is>
      </c>
    </row>
    <row r="9351">
      <c r="A9351">
        <v>9350</v>
      </c>
      <c r="B9351">
        <f>GS39</f>
        <v>0</v>
      </c>
      <c r="C9351" t="inlineStr">
        <is>
          <t>+LS10</t>
        </is>
      </c>
      <c r="D9351" t="inlineStr">
        <is>
          <t>-435Q1</t>
        </is>
      </c>
      <c r="E9351" t="inlineStr">
        <is>
          <t>DILMC25-10(RDC24)</t>
        </is>
      </c>
      <c r="F9351" t="inlineStr">
        <is>
          <t>DILA-XHI22</t>
        </is>
      </c>
      <c r="G9351" t="inlineStr">
        <is>
          <t>LASTSCHUETZ</t>
        </is>
      </c>
      <c r="H9351" t="inlineStr">
        <is>
          <t>11kW 1S Federzugkl.</t>
        </is>
      </c>
      <c r="I9351">
        <v>609</v>
      </c>
      <c r="J9351">
        <f>GS39/435.3</f>
        <v>0</v>
      </c>
      <c r="K9351" t="inlineStr">
        <is>
          <t>DIL MC25</t>
        </is>
      </c>
      <c r="M9351" t="inlineStr">
        <is>
          <t>-435Q1</t>
        </is>
      </c>
    </row>
    <row r="9352">
      <c r="A9352">
        <v>9351</v>
      </c>
      <c r="B9352">
        <f>GS90</f>
        <v>0</v>
      </c>
      <c r="C9352" t="inlineStr">
        <is>
          <t>+LS08</t>
        </is>
      </c>
      <c r="D9352" t="inlineStr">
        <is>
          <t>-435Q1</t>
        </is>
      </c>
      <c r="E9352" t="inlineStr">
        <is>
          <t>DILMC25-10(RDC24)</t>
        </is>
      </c>
      <c r="F9352" t="inlineStr">
        <is>
          <t>DILA-XHI22</t>
        </is>
      </c>
      <c r="G9352" t="inlineStr">
        <is>
          <t>LASTSCHUETZ</t>
        </is>
      </c>
      <c r="H9352" t="inlineStr">
        <is>
          <t>11kW 1S Federzugkl.</t>
        </is>
      </c>
      <c r="I9352">
        <v>805</v>
      </c>
      <c r="J9352">
        <f>GS90/435.4</f>
        <v>0</v>
      </c>
      <c r="K9352" t="inlineStr">
        <is>
          <t>DIL MC25</t>
        </is>
      </c>
      <c r="M9352" t="inlineStr">
        <is>
          <t>-435Q1</t>
        </is>
      </c>
    </row>
    <row r="9353">
      <c r="A9353">
        <v>9352</v>
      </c>
      <c r="B9353">
        <f>GS90</f>
        <v>0</v>
      </c>
      <c r="C9353" t="inlineStr">
        <is>
          <t>+LS08</t>
        </is>
      </c>
      <c r="D9353" t="inlineStr">
        <is>
          <t>-435Q1</t>
        </is>
      </c>
      <c r="E9353" t="inlineStr">
        <is>
          <t>DILA-XHI22</t>
        </is>
      </c>
      <c r="F9353" t="inlineStr">
        <is>
          <t>DILA-XHI22</t>
        </is>
      </c>
      <c r="G9353" t="inlineStr">
        <is>
          <t>HILFSKONTAKTBLOCK</t>
        </is>
      </c>
      <c r="H9353" t="inlineStr">
        <is>
          <t>2S 2OE Last+Hilfssch. Cage</t>
        </is>
      </c>
      <c r="I9353">
        <v>805</v>
      </c>
      <c r="J9353">
        <f>GS90/435.4</f>
        <v>0</v>
      </c>
      <c r="K9353" t="inlineStr">
        <is>
          <t>DIL MC25</t>
        </is>
      </c>
      <c r="M9353" t="inlineStr">
        <is>
          <t>-435Q1</t>
        </is>
      </c>
    </row>
    <row r="9354">
      <c r="A9354">
        <v>9353</v>
      </c>
      <c r="B9354">
        <f>GS91</f>
        <v>0</v>
      </c>
      <c r="C9354" t="inlineStr">
        <is>
          <t>+LS08</t>
        </is>
      </c>
      <c r="D9354" t="inlineStr">
        <is>
          <t>-435Q1</t>
        </is>
      </c>
      <c r="E9354" t="inlineStr">
        <is>
          <t>DILA-XHI22</t>
        </is>
      </c>
      <c r="F9354" t="inlineStr">
        <is>
          <t>DILA-XHI22</t>
        </is>
      </c>
      <c r="G9354" t="inlineStr">
        <is>
          <t>HILFSKONTAKTBLOCK</t>
        </is>
      </c>
      <c r="H9354" t="inlineStr">
        <is>
          <t>2S 2OE Last+Hilfssch. Cage</t>
        </is>
      </c>
      <c r="I9354">
        <v>583</v>
      </c>
      <c r="J9354">
        <f>GS91/435.4</f>
        <v>0</v>
      </c>
      <c r="K9354" t="inlineStr">
        <is>
          <t>DIL MC25</t>
        </is>
      </c>
      <c r="M9354" t="inlineStr">
        <is>
          <t>-435Q1</t>
        </is>
      </c>
    </row>
    <row r="9355">
      <c r="A9355">
        <v>9354</v>
      </c>
      <c r="B9355">
        <f>GS91</f>
        <v>0</v>
      </c>
      <c r="C9355" t="inlineStr">
        <is>
          <t>+LS08</t>
        </is>
      </c>
      <c r="D9355" t="inlineStr">
        <is>
          <t>-435Q1</t>
        </is>
      </c>
      <c r="E9355" t="inlineStr">
        <is>
          <t>DILMC25-10(RDC24)</t>
        </is>
      </c>
      <c r="F9355" t="inlineStr">
        <is>
          <t>DILA-XHI22</t>
        </is>
      </c>
      <c r="G9355" t="inlineStr">
        <is>
          <t>LASTSCHUETZ</t>
        </is>
      </c>
      <c r="H9355" t="inlineStr">
        <is>
          <t>11kW 1S Federzugkl.</t>
        </is>
      </c>
      <c r="I9355">
        <v>583</v>
      </c>
      <c r="J9355">
        <f>GS91/435.4</f>
        <v>0</v>
      </c>
      <c r="K9355" t="inlineStr">
        <is>
          <t>DIL MC25</t>
        </is>
      </c>
      <c r="M9355" t="inlineStr">
        <is>
          <t>-435Q1</t>
        </is>
      </c>
    </row>
    <row r="9356">
      <c r="A9356">
        <v>9355</v>
      </c>
      <c r="B9356">
        <f>GS93</f>
        <v>0</v>
      </c>
      <c r="C9356" t="inlineStr">
        <is>
          <t>+LS08</t>
        </is>
      </c>
      <c r="D9356" t="inlineStr">
        <is>
          <t>-435Q1</t>
        </is>
      </c>
      <c r="E9356" t="inlineStr">
        <is>
          <t>DILMC25-10(RDC24)</t>
        </is>
      </c>
      <c r="F9356" t="inlineStr">
        <is>
          <t>DILA-XHI22</t>
        </is>
      </c>
      <c r="G9356" t="inlineStr">
        <is>
          <t>LASTSCHUETZ</t>
        </is>
      </c>
      <c r="H9356" t="inlineStr">
        <is>
          <t>11kW 1S Federzugkl.</t>
        </is>
      </c>
      <c r="I9356">
        <v>989</v>
      </c>
      <c r="J9356">
        <f>GS93/435.4</f>
        <v>0</v>
      </c>
      <c r="K9356" t="inlineStr">
        <is>
          <t>DIL MC25</t>
        </is>
      </c>
      <c r="M9356" t="inlineStr">
        <is>
          <t>-435Q1</t>
        </is>
      </c>
    </row>
    <row r="9357">
      <c r="A9357">
        <v>9356</v>
      </c>
      <c r="B9357">
        <f>GS93</f>
        <v>0</v>
      </c>
      <c r="C9357" t="inlineStr">
        <is>
          <t>+LS08</t>
        </is>
      </c>
      <c r="D9357" t="inlineStr">
        <is>
          <t>-435Q1</t>
        </is>
      </c>
      <c r="E9357" t="inlineStr">
        <is>
          <t>DILA-XHI22</t>
        </is>
      </c>
      <c r="F9357" t="inlineStr">
        <is>
          <t>DILA-XHI22</t>
        </is>
      </c>
      <c r="G9357" t="inlineStr">
        <is>
          <t>HILFSKONTAKTBLOCK</t>
        </is>
      </c>
      <c r="H9357" t="inlineStr">
        <is>
          <t>2S 2OE Last+Hilfssch. Cage</t>
        </is>
      </c>
      <c r="I9357">
        <v>989</v>
      </c>
      <c r="J9357">
        <f>GS93/435.4</f>
        <v>0</v>
      </c>
      <c r="K9357" t="inlineStr">
        <is>
          <t>DIL MC25</t>
        </is>
      </c>
      <c r="M9357" t="inlineStr">
        <is>
          <t>-435Q1</t>
        </is>
      </c>
    </row>
    <row r="9358">
      <c r="A9358">
        <v>9357</v>
      </c>
      <c r="B9358">
        <f>GS46</f>
        <v>0</v>
      </c>
      <c r="C9358" t="inlineStr">
        <is>
          <t>+LS07</t>
        </is>
      </c>
      <c r="D9358" t="inlineStr">
        <is>
          <t>-435Q746.1</t>
        </is>
      </c>
      <c r="E9358" t="inlineStr">
        <is>
          <t>DILM-9-10</t>
        </is>
      </c>
      <c r="F9358" t="inlineStr">
        <is>
          <t>#KALK!</t>
        </is>
      </c>
      <c r="G9358" t="inlineStr">
        <is>
          <t>LASTSCHUETZ</t>
        </is>
      </c>
      <c r="H9358" t="inlineStr">
        <is>
          <t>4kW 1S Federzugkl.</t>
        </is>
      </c>
      <c r="I9358">
        <v>643</v>
      </c>
      <c r="J9358">
        <f>GS46/435.6</f>
        <v>0</v>
      </c>
      <c r="M9358" t="inlineStr">
        <is>
          <t>-435Q746.1</t>
        </is>
      </c>
    </row>
    <row r="9359">
      <c r="A9359">
        <v>9358</v>
      </c>
      <c r="B9359">
        <f>GS47</f>
        <v>0</v>
      </c>
      <c r="C9359" t="inlineStr">
        <is>
          <t>+LS07</t>
        </is>
      </c>
      <c r="D9359" t="inlineStr">
        <is>
          <t>-435Q746.1</t>
        </is>
      </c>
      <c r="E9359" t="inlineStr">
        <is>
          <t>DILM-9-10</t>
        </is>
      </c>
      <c r="F9359" t="inlineStr">
        <is>
          <t>#KALK!</t>
        </is>
      </c>
      <c r="G9359" t="inlineStr">
        <is>
          <t>LASTSCHUETZ</t>
        </is>
      </c>
      <c r="H9359" t="inlineStr">
        <is>
          <t>4kW 1S Federzugkl.</t>
        </is>
      </c>
      <c r="I9359">
        <v>643</v>
      </c>
      <c r="J9359">
        <f>GS47/435.6</f>
        <v>0</v>
      </c>
      <c r="M9359" t="inlineStr">
        <is>
          <t>-435Q746.1</t>
        </is>
      </c>
    </row>
    <row r="9360">
      <c r="A9360">
        <v>9359</v>
      </c>
      <c r="B9360">
        <f>GS48</f>
        <v>0</v>
      </c>
      <c r="C9360" t="inlineStr">
        <is>
          <t>+LS07</t>
        </is>
      </c>
      <c r="D9360" t="inlineStr">
        <is>
          <t>-435Q746.1</t>
        </is>
      </c>
      <c r="E9360" t="inlineStr">
        <is>
          <t>DILM-9-10</t>
        </is>
      </c>
      <c r="F9360" t="inlineStr">
        <is>
          <t>#KALK!</t>
        </is>
      </c>
      <c r="G9360" t="inlineStr">
        <is>
          <t>LASTSCHUETZ</t>
        </is>
      </c>
      <c r="H9360" t="inlineStr">
        <is>
          <t>4kW 1S Federzugkl.</t>
        </is>
      </c>
      <c r="I9360">
        <v>547</v>
      </c>
      <c r="J9360">
        <f>GS48/435.6</f>
        <v>0</v>
      </c>
      <c r="M9360" t="inlineStr">
        <is>
          <t>-435Q746.1</t>
        </is>
      </c>
    </row>
    <row r="9361">
      <c r="A9361">
        <v>9360</v>
      </c>
      <c r="B9361">
        <f>GS49</f>
        <v>0</v>
      </c>
      <c r="C9361" t="inlineStr">
        <is>
          <t>+LS07</t>
        </is>
      </c>
      <c r="D9361" t="inlineStr">
        <is>
          <t>-435Q746.1</t>
        </is>
      </c>
      <c r="E9361" t="inlineStr">
        <is>
          <t>DILM-9-10</t>
        </is>
      </c>
      <c r="F9361" t="inlineStr">
        <is>
          <t>#KALK!</t>
        </is>
      </c>
      <c r="G9361" t="inlineStr">
        <is>
          <t>LASTSCHUETZ</t>
        </is>
      </c>
      <c r="H9361" t="inlineStr">
        <is>
          <t>4kW 1S Federzugkl.</t>
        </is>
      </c>
      <c r="I9361">
        <v>546</v>
      </c>
      <c r="J9361">
        <f>GS49/435.6</f>
        <v>0</v>
      </c>
      <c r="M9361" t="inlineStr">
        <is>
          <t>-435Q746.1</t>
        </is>
      </c>
    </row>
    <row r="9362">
      <c r="A9362">
        <v>9361</v>
      </c>
      <c r="B9362">
        <f>GC22</f>
        <v>0</v>
      </c>
      <c r="C9362" t="inlineStr">
        <is>
          <t>+LS6</t>
        </is>
      </c>
      <c r="D9362" t="inlineStr">
        <is>
          <t>-436K58.5</t>
        </is>
      </c>
      <c r="E9362" t="inlineStr">
        <is>
          <t>DIL_EM-10-G</t>
        </is>
      </c>
      <c r="F9362" t="inlineStr">
        <is>
          <t>#KALK!</t>
        </is>
      </c>
      <c r="G9362" t="inlineStr">
        <is>
          <t>LASTSCHUETZ</t>
        </is>
      </c>
      <c r="H9362" t="inlineStr">
        <is>
          <t>4kW 1S</t>
        </is>
      </c>
      <c r="I9362">
        <v>3283</v>
      </c>
      <c r="J9362">
        <f>GC22/436.7</f>
        <v>0</v>
      </c>
      <c r="M9362" t="inlineStr">
        <is>
          <t>-436K58.5</t>
        </is>
      </c>
    </row>
    <row r="9363">
      <c r="A9363">
        <v>9362</v>
      </c>
      <c r="B9363">
        <f>GS12</f>
        <v>0</v>
      </c>
      <c r="C9363" t="inlineStr">
        <is>
          <t>+LS6</t>
        </is>
      </c>
      <c r="D9363" t="inlineStr">
        <is>
          <t>-436K58.5</t>
        </is>
      </c>
      <c r="E9363" t="inlineStr">
        <is>
          <t>DIL_EM-10-G</t>
        </is>
      </c>
      <c r="F9363" t="inlineStr">
        <is>
          <t>#KALK!</t>
        </is>
      </c>
      <c r="G9363" t="inlineStr">
        <is>
          <t>LASTSCHUETZ</t>
        </is>
      </c>
      <c r="H9363" t="inlineStr">
        <is>
          <t>4kW 1S</t>
        </is>
      </c>
      <c r="I9363">
        <v>568</v>
      </c>
      <c r="J9363">
        <f>GS12/436.7</f>
        <v>0</v>
      </c>
      <c r="M9363" t="inlineStr">
        <is>
          <t>-436K58.5</t>
        </is>
      </c>
    </row>
    <row r="9364">
      <c r="A9364">
        <v>9363</v>
      </c>
      <c r="B9364">
        <f>GS16</f>
        <v>0</v>
      </c>
      <c r="C9364" t="inlineStr">
        <is>
          <t>+LS7</t>
        </is>
      </c>
      <c r="D9364" t="inlineStr">
        <is>
          <t>-436K60.0</t>
        </is>
      </c>
      <c r="E9364" t="inlineStr">
        <is>
          <t>DIL_EM-01-G</t>
        </is>
      </c>
      <c r="F9364" t="inlineStr">
        <is>
          <t>#KALK!</t>
        </is>
      </c>
      <c r="G9364" t="inlineStr">
        <is>
          <t>LASTSCHUETZ</t>
        </is>
      </c>
      <c r="H9364" t="inlineStr">
        <is>
          <t>4kW 1OE</t>
        </is>
      </c>
      <c r="I9364">
        <v>673</v>
      </c>
      <c r="J9364">
        <f>GS16/436.6</f>
        <v>0</v>
      </c>
      <c r="M9364" t="inlineStr">
        <is>
          <t>-436K60.0</t>
        </is>
      </c>
    </row>
    <row r="9365">
      <c r="A9365">
        <v>9364</v>
      </c>
      <c r="B9365">
        <f>GS16</f>
        <v>0</v>
      </c>
      <c r="C9365" t="inlineStr">
        <is>
          <t>+LS7</t>
        </is>
      </c>
      <c r="D9365" t="inlineStr">
        <is>
          <t>-436K60.1</t>
        </is>
      </c>
      <c r="E9365" t="inlineStr">
        <is>
          <t>DIL_EM-01-G</t>
        </is>
      </c>
      <c r="F9365" t="inlineStr">
        <is>
          <t>#KALK!</t>
        </is>
      </c>
      <c r="G9365" t="inlineStr">
        <is>
          <t>LASTSCHUETZ</t>
        </is>
      </c>
      <c r="H9365" t="inlineStr">
        <is>
          <t>4kW 1OE</t>
        </is>
      </c>
      <c r="I9365">
        <v>673</v>
      </c>
      <c r="J9365">
        <f>GS16/436.6</f>
        <v>0</v>
      </c>
      <c r="M9365" t="inlineStr">
        <is>
          <t>-436K60.1</t>
        </is>
      </c>
    </row>
    <row r="9366">
      <c r="A9366">
        <v>9365</v>
      </c>
      <c r="B9366">
        <f>GS16</f>
        <v>0</v>
      </c>
      <c r="C9366" t="inlineStr">
        <is>
          <t>+LS7</t>
        </is>
      </c>
      <c r="D9366" t="inlineStr">
        <is>
          <t>-436K60.2</t>
        </is>
      </c>
      <c r="E9366" t="inlineStr">
        <is>
          <t>DIL_EM-10-G</t>
        </is>
      </c>
      <c r="F9366" t="inlineStr">
        <is>
          <t>#KALK!</t>
        </is>
      </c>
      <c r="G9366" t="inlineStr">
        <is>
          <t>LASTSCHUETZ</t>
        </is>
      </c>
      <c r="H9366" t="inlineStr">
        <is>
          <t>4kW 1S</t>
        </is>
      </c>
      <c r="I9366">
        <v>673</v>
      </c>
      <c r="J9366">
        <f>GS16/436.7</f>
        <v>0</v>
      </c>
      <c r="M9366" t="inlineStr">
        <is>
          <t>-436K60.2</t>
        </is>
      </c>
    </row>
    <row r="9367">
      <c r="A9367">
        <v>9366</v>
      </c>
      <c r="B9367">
        <f>GS35</f>
        <v>0</v>
      </c>
      <c r="C9367" t="inlineStr">
        <is>
          <t>+LS10</t>
        </is>
      </c>
      <c r="D9367" t="inlineStr">
        <is>
          <t>-436Q163.2</t>
        </is>
      </c>
      <c r="E9367" t="inlineStr">
        <is>
          <t>DILM-9-10</t>
        </is>
      </c>
      <c r="F9367" t="inlineStr">
        <is>
          <t>#KALK!</t>
        </is>
      </c>
      <c r="G9367" t="inlineStr">
        <is>
          <t>LASTSCHUETZ</t>
        </is>
      </c>
      <c r="H9367" t="inlineStr">
        <is>
          <t>4kW 1S Federzugkl.</t>
        </is>
      </c>
      <c r="I9367">
        <v>589</v>
      </c>
      <c r="J9367">
        <f>GS35/436.6</f>
        <v>0</v>
      </c>
      <c r="M9367" t="inlineStr">
        <is>
          <t>-436Q163.2</t>
        </is>
      </c>
    </row>
    <row r="9368">
      <c r="A9368">
        <v>9367</v>
      </c>
      <c r="B9368">
        <f>GS90</f>
        <v>0</v>
      </c>
      <c r="C9368" t="inlineStr">
        <is>
          <t>+LS08</t>
        </is>
      </c>
      <c r="D9368" t="inlineStr">
        <is>
          <t>-436Q456.5</t>
        </is>
      </c>
      <c r="E9368" t="inlineStr">
        <is>
          <t>DILA-XHI22</t>
        </is>
      </c>
      <c r="F9368" t="inlineStr">
        <is>
          <t>DILA-XHI22</t>
        </is>
      </c>
      <c r="G9368" t="inlineStr">
        <is>
          <t>HILFSKONTAKTBLOCK</t>
        </is>
      </c>
      <c r="H9368" t="inlineStr">
        <is>
          <t>2S 2OE Last+Hilfssch. Cage</t>
        </is>
      </c>
      <c r="I9368">
        <v>804</v>
      </c>
      <c r="J9368">
        <f>GS90/436.5</f>
        <v>0</v>
      </c>
      <c r="M9368" t="inlineStr">
        <is>
          <t>-436Q456.5</t>
        </is>
      </c>
    </row>
    <row r="9369">
      <c r="A9369">
        <v>9368</v>
      </c>
      <c r="B9369">
        <f>GS90</f>
        <v>0</v>
      </c>
      <c r="C9369" t="inlineStr">
        <is>
          <t>+LS08</t>
        </is>
      </c>
      <c r="D9369" t="inlineStr">
        <is>
          <t>-436Q456.5</t>
        </is>
      </c>
      <c r="E9369" t="inlineStr">
        <is>
          <t>DILM-9-10</t>
        </is>
      </c>
      <c r="F9369" t="inlineStr">
        <is>
          <t>DILA-XHI22</t>
        </is>
      </c>
      <c r="G9369" t="inlineStr">
        <is>
          <t>LASTSCHUETZ</t>
        </is>
      </c>
      <c r="H9369" t="inlineStr">
        <is>
          <t>4kW 1S Federzugkl.</t>
        </is>
      </c>
      <c r="I9369">
        <v>804</v>
      </c>
      <c r="J9369">
        <f>GS90/436.5</f>
        <v>0</v>
      </c>
      <c r="M9369" t="inlineStr">
        <is>
          <t>-436Q456.5</t>
        </is>
      </c>
    </row>
    <row r="9370">
      <c r="A9370">
        <v>9369</v>
      </c>
      <c r="B9370">
        <f>GS90</f>
        <v>0</v>
      </c>
      <c r="C9370" t="inlineStr">
        <is>
          <t>+LS08</t>
        </is>
      </c>
      <c r="D9370" t="inlineStr">
        <is>
          <t>-436Q456.6</t>
        </is>
      </c>
      <c r="E9370" t="inlineStr">
        <is>
          <t>DILA-XHI22</t>
        </is>
      </c>
      <c r="F9370" t="inlineStr">
        <is>
          <t>DILA-XHI22</t>
        </is>
      </c>
      <c r="G9370" t="inlineStr">
        <is>
          <t>HILFSKONTAKTBLOCK</t>
        </is>
      </c>
      <c r="H9370" t="inlineStr">
        <is>
          <t>2S 2OE Last+Hilfssch. Cage</t>
        </is>
      </c>
      <c r="I9370">
        <v>804</v>
      </c>
      <c r="J9370">
        <f>GS90/436.6</f>
        <v>0</v>
      </c>
      <c r="M9370" t="inlineStr">
        <is>
          <t>-436Q456.6</t>
        </is>
      </c>
    </row>
    <row r="9371">
      <c r="A9371">
        <v>9370</v>
      </c>
      <c r="B9371">
        <f>GS90</f>
        <v>0</v>
      </c>
      <c r="C9371" t="inlineStr">
        <is>
          <t>+LS08</t>
        </is>
      </c>
      <c r="D9371" t="inlineStr">
        <is>
          <t>-436Q456.6</t>
        </is>
      </c>
      <c r="E9371" t="inlineStr">
        <is>
          <t>DILM-9-10</t>
        </is>
      </c>
      <c r="F9371" t="inlineStr">
        <is>
          <t>DILA-XHI22</t>
        </is>
      </c>
      <c r="G9371" t="inlineStr">
        <is>
          <t>LASTSCHUETZ</t>
        </is>
      </c>
      <c r="H9371" t="inlineStr">
        <is>
          <t>4kW 1S Federzugkl.</t>
        </is>
      </c>
      <c r="I9371">
        <v>804</v>
      </c>
      <c r="J9371">
        <f>GS90/436.6</f>
        <v>0</v>
      </c>
      <c r="M9371" t="inlineStr">
        <is>
          <t>-436Q456.6</t>
        </is>
      </c>
    </row>
    <row r="9372">
      <c r="A9372">
        <v>9371</v>
      </c>
      <c r="B9372">
        <f>GS93</f>
        <v>0</v>
      </c>
      <c r="C9372" t="inlineStr">
        <is>
          <t>+LS08</t>
        </is>
      </c>
      <c r="D9372" t="inlineStr">
        <is>
          <t>-436Q475.1</t>
        </is>
      </c>
      <c r="E9372" t="inlineStr">
        <is>
          <t>DILM-9-10</t>
        </is>
      </c>
      <c r="F9372" t="inlineStr">
        <is>
          <t>#KALK!</t>
        </is>
      </c>
      <c r="G9372" t="inlineStr">
        <is>
          <t>LASTSCHUETZ</t>
        </is>
      </c>
      <c r="H9372" t="inlineStr">
        <is>
          <t>4kW 1S Federzugkl.</t>
        </is>
      </c>
      <c r="I9372">
        <v>990</v>
      </c>
      <c r="J9372">
        <f>GS93/436.5</f>
        <v>0</v>
      </c>
      <c r="M9372" t="inlineStr">
        <is>
          <t>-436Q475.1</t>
        </is>
      </c>
    </row>
    <row r="9373">
      <c r="A9373">
        <v>9372</v>
      </c>
      <c r="B9373">
        <f>GS46</f>
        <v>0</v>
      </c>
      <c r="C9373" t="inlineStr">
        <is>
          <t>+LS07</t>
        </is>
      </c>
      <c r="D9373" t="inlineStr">
        <is>
          <t>-436Q746.2</t>
        </is>
      </c>
      <c r="E9373" t="inlineStr">
        <is>
          <t>DILM-9-01</t>
        </is>
      </c>
      <c r="F9373" t="inlineStr">
        <is>
          <t>DILA-XHI22</t>
        </is>
      </c>
      <c r="G9373" t="inlineStr">
        <is>
          <t>LASTSCHUETZ</t>
        </is>
      </c>
      <c r="H9373" t="inlineStr">
        <is>
          <t>4kW 1Oe Federzugkl.</t>
        </is>
      </c>
      <c r="I9373">
        <v>642</v>
      </c>
      <c r="J9373">
        <f>GS46/436.5</f>
        <v>0</v>
      </c>
      <c r="M9373" t="inlineStr">
        <is>
          <t>-436Q746.2</t>
        </is>
      </c>
    </row>
    <row r="9374">
      <c r="A9374">
        <v>9373</v>
      </c>
      <c r="B9374">
        <f>GS46</f>
        <v>0</v>
      </c>
      <c r="C9374" t="inlineStr">
        <is>
          <t>+LS07</t>
        </is>
      </c>
      <c r="D9374" t="inlineStr">
        <is>
          <t>-436Q746.2</t>
        </is>
      </c>
      <c r="E9374" t="inlineStr">
        <is>
          <t>DILA-XHI22</t>
        </is>
      </c>
      <c r="F9374" t="inlineStr">
        <is>
          <t>DILA-XHI22</t>
        </is>
      </c>
      <c r="G9374" t="inlineStr">
        <is>
          <t>HILFSKONTAKTBLOCK</t>
        </is>
      </c>
      <c r="H9374" t="inlineStr">
        <is>
          <t>2S 2OE Last+Hilfssch. Cage</t>
        </is>
      </c>
      <c r="I9374">
        <v>642</v>
      </c>
      <c r="J9374">
        <f>GS46/436.5</f>
        <v>0</v>
      </c>
      <c r="M9374" t="inlineStr">
        <is>
          <t>-436Q746.2</t>
        </is>
      </c>
    </row>
    <row r="9375">
      <c r="A9375">
        <v>9374</v>
      </c>
      <c r="B9375">
        <f>GS47</f>
        <v>0</v>
      </c>
      <c r="C9375" t="inlineStr">
        <is>
          <t>+LS07</t>
        </is>
      </c>
      <c r="D9375" t="inlineStr">
        <is>
          <t>-436Q746.2</t>
        </is>
      </c>
      <c r="E9375" t="inlineStr">
        <is>
          <t>DILA-XHI22</t>
        </is>
      </c>
      <c r="F9375" t="inlineStr">
        <is>
          <t>DILA-XHI22</t>
        </is>
      </c>
      <c r="G9375" t="inlineStr">
        <is>
          <t>HILFSKONTAKTBLOCK</t>
        </is>
      </c>
      <c r="H9375" t="inlineStr">
        <is>
          <t>2S 2OE Last+Hilfssch. Cage</t>
        </is>
      </c>
      <c r="I9375">
        <v>642</v>
      </c>
      <c r="J9375">
        <f>GS47/436.5</f>
        <v>0</v>
      </c>
      <c r="M9375" t="inlineStr">
        <is>
          <t>-436Q746.2</t>
        </is>
      </c>
    </row>
    <row r="9376">
      <c r="A9376">
        <v>9375</v>
      </c>
      <c r="B9376">
        <f>GS47</f>
        <v>0</v>
      </c>
      <c r="C9376" t="inlineStr">
        <is>
          <t>+LS07</t>
        </is>
      </c>
      <c r="D9376" t="inlineStr">
        <is>
          <t>-436Q746.2</t>
        </is>
      </c>
      <c r="E9376" t="inlineStr">
        <is>
          <t>DILM-9-01</t>
        </is>
      </c>
      <c r="F9376" t="inlineStr">
        <is>
          <t>DILA-XHI22</t>
        </is>
      </c>
      <c r="G9376" t="inlineStr">
        <is>
          <t>LASTSCHUETZ</t>
        </is>
      </c>
      <c r="H9376" t="inlineStr">
        <is>
          <t>4kW 1Oe Federzugkl.</t>
        </is>
      </c>
      <c r="I9376">
        <v>642</v>
      </c>
      <c r="J9376">
        <f>GS47/436.5</f>
        <v>0</v>
      </c>
      <c r="M9376" t="inlineStr">
        <is>
          <t>-436Q746.2</t>
        </is>
      </c>
    </row>
    <row r="9377">
      <c r="A9377">
        <v>9376</v>
      </c>
      <c r="B9377">
        <f>GS48</f>
        <v>0</v>
      </c>
      <c r="C9377" t="inlineStr">
        <is>
          <t>+LS07</t>
        </is>
      </c>
      <c r="D9377" t="inlineStr">
        <is>
          <t>-436Q746.2</t>
        </is>
      </c>
      <c r="E9377" t="inlineStr">
        <is>
          <t>DILA-XHI22</t>
        </is>
      </c>
      <c r="F9377" t="inlineStr">
        <is>
          <t>DILA-XHI22</t>
        </is>
      </c>
      <c r="G9377" t="inlineStr">
        <is>
          <t>HILFSKONTAKTBLOCK</t>
        </is>
      </c>
      <c r="H9377" t="inlineStr">
        <is>
          <t>2S 2OE Last+Hilfssch. Cage</t>
        </is>
      </c>
      <c r="I9377">
        <v>548</v>
      </c>
      <c r="J9377">
        <f>GS48/436.5</f>
        <v>0</v>
      </c>
      <c r="M9377" t="inlineStr">
        <is>
          <t>-436Q746.2</t>
        </is>
      </c>
    </row>
    <row r="9378">
      <c r="A9378">
        <v>9377</v>
      </c>
      <c r="B9378">
        <f>GS48</f>
        <v>0</v>
      </c>
      <c r="C9378" t="inlineStr">
        <is>
          <t>+LS07</t>
        </is>
      </c>
      <c r="D9378" t="inlineStr">
        <is>
          <t>-436Q746.2</t>
        </is>
      </c>
      <c r="E9378" t="inlineStr">
        <is>
          <t>DILM-9-01</t>
        </is>
      </c>
      <c r="F9378" t="inlineStr">
        <is>
          <t>DILA-XHI22</t>
        </is>
      </c>
      <c r="G9378" t="inlineStr">
        <is>
          <t>LASTSCHUETZ</t>
        </is>
      </c>
      <c r="H9378" t="inlineStr">
        <is>
          <t>4kW 1Oe Federzugkl.</t>
        </is>
      </c>
      <c r="I9378">
        <v>548</v>
      </c>
      <c r="J9378">
        <f>GS48/436.5</f>
        <v>0</v>
      </c>
      <c r="M9378" t="inlineStr">
        <is>
          <t>-436Q746.2</t>
        </is>
      </c>
    </row>
    <row r="9379">
      <c r="A9379">
        <v>9378</v>
      </c>
      <c r="B9379">
        <f>GS49</f>
        <v>0</v>
      </c>
      <c r="C9379" t="inlineStr">
        <is>
          <t>+LS07</t>
        </is>
      </c>
      <c r="D9379" t="inlineStr">
        <is>
          <t>-436Q746.2</t>
        </is>
      </c>
      <c r="E9379" t="inlineStr">
        <is>
          <t>DILM-9-01</t>
        </is>
      </c>
      <c r="F9379" t="inlineStr">
        <is>
          <t>DILA-XHI22</t>
        </is>
      </c>
      <c r="G9379" t="inlineStr">
        <is>
          <t>LASTSCHUETZ</t>
        </is>
      </c>
      <c r="H9379" t="inlineStr">
        <is>
          <t>4kW 1Oe Federzugkl.</t>
        </is>
      </c>
      <c r="I9379">
        <v>547</v>
      </c>
      <c r="J9379">
        <f>GS49/436.5</f>
        <v>0</v>
      </c>
      <c r="M9379" t="inlineStr">
        <is>
          <t>-436Q746.2</t>
        </is>
      </c>
    </row>
    <row r="9380">
      <c r="A9380">
        <v>9379</v>
      </c>
      <c r="B9380">
        <f>GS49</f>
        <v>0</v>
      </c>
      <c r="C9380" t="inlineStr">
        <is>
          <t>+LS07</t>
        </is>
      </c>
      <c r="D9380" t="inlineStr">
        <is>
          <t>-436Q746.2</t>
        </is>
      </c>
      <c r="E9380" t="inlineStr">
        <is>
          <t>DILA-XHI22</t>
        </is>
      </c>
      <c r="F9380" t="inlineStr">
        <is>
          <t>DILA-XHI22</t>
        </is>
      </c>
      <c r="G9380" t="inlineStr">
        <is>
          <t>HILFSKONTAKTBLOCK</t>
        </is>
      </c>
      <c r="H9380" t="inlineStr">
        <is>
          <t>2S 2OE Last+Hilfssch. Cage</t>
        </is>
      </c>
      <c r="I9380">
        <v>547</v>
      </c>
      <c r="J9380">
        <f>GS49/436.5</f>
        <v>0</v>
      </c>
      <c r="M9380" t="inlineStr">
        <is>
          <t>-436Q746.2</t>
        </is>
      </c>
    </row>
    <row r="9381">
      <c r="A9381">
        <v>9380</v>
      </c>
      <c r="B9381">
        <f>GS46</f>
        <v>0</v>
      </c>
      <c r="C9381" t="inlineStr">
        <is>
          <t>+LS07</t>
        </is>
      </c>
      <c r="D9381" t="inlineStr">
        <is>
          <t>-436Q746.3</t>
        </is>
      </c>
      <c r="E9381" t="inlineStr">
        <is>
          <t>DILM-9-01</t>
        </is>
      </c>
      <c r="F9381" t="inlineStr">
        <is>
          <t>DILA-XHI22</t>
        </is>
      </c>
      <c r="G9381" t="inlineStr">
        <is>
          <t>LASTSCHUETZ</t>
        </is>
      </c>
      <c r="H9381" t="inlineStr">
        <is>
          <t>4kW 1Oe Federzugkl.</t>
        </is>
      </c>
      <c r="I9381">
        <v>642</v>
      </c>
      <c r="J9381">
        <f>GS46/436.6</f>
        <v>0</v>
      </c>
      <c r="M9381" t="inlineStr">
        <is>
          <t>-436Q746.3</t>
        </is>
      </c>
    </row>
    <row r="9382">
      <c r="A9382">
        <v>9381</v>
      </c>
      <c r="B9382">
        <f>GS46</f>
        <v>0</v>
      </c>
      <c r="C9382" t="inlineStr">
        <is>
          <t>+LS07</t>
        </is>
      </c>
      <c r="D9382" t="inlineStr">
        <is>
          <t>-436Q746.3</t>
        </is>
      </c>
      <c r="E9382" t="inlineStr">
        <is>
          <t>DILA-XHI22</t>
        </is>
      </c>
      <c r="F9382" t="inlineStr">
        <is>
          <t>DILA-XHI22</t>
        </is>
      </c>
      <c r="G9382" t="inlineStr">
        <is>
          <t>HILFSKONTAKTBLOCK</t>
        </is>
      </c>
      <c r="H9382" t="inlineStr">
        <is>
          <t>2S 2OE Last+Hilfssch. Cage</t>
        </is>
      </c>
      <c r="I9382">
        <v>642</v>
      </c>
      <c r="J9382">
        <f>GS46/436.6</f>
        <v>0</v>
      </c>
      <c r="M9382" t="inlineStr">
        <is>
          <t>-436Q746.3</t>
        </is>
      </c>
    </row>
    <row r="9383">
      <c r="A9383">
        <v>9382</v>
      </c>
      <c r="B9383">
        <f>GS47</f>
        <v>0</v>
      </c>
      <c r="C9383" t="inlineStr">
        <is>
          <t>+LS07</t>
        </is>
      </c>
      <c r="D9383" t="inlineStr">
        <is>
          <t>-436Q746.3</t>
        </is>
      </c>
      <c r="E9383" t="inlineStr">
        <is>
          <t>DILA-XHI22</t>
        </is>
      </c>
      <c r="F9383" t="inlineStr">
        <is>
          <t>DILA-XHI22</t>
        </is>
      </c>
      <c r="G9383" t="inlineStr">
        <is>
          <t>HILFSKONTAKTBLOCK</t>
        </is>
      </c>
      <c r="H9383" t="inlineStr">
        <is>
          <t>2S 2OE Last+Hilfssch. Cage</t>
        </is>
      </c>
      <c r="I9383">
        <v>642</v>
      </c>
      <c r="J9383">
        <f>GS47/436.6</f>
        <v>0</v>
      </c>
      <c r="M9383" t="inlineStr">
        <is>
          <t>-436Q746.3</t>
        </is>
      </c>
    </row>
    <row r="9384">
      <c r="A9384">
        <v>9383</v>
      </c>
      <c r="B9384">
        <f>GS47</f>
        <v>0</v>
      </c>
      <c r="C9384" t="inlineStr">
        <is>
          <t>+LS07</t>
        </is>
      </c>
      <c r="D9384" t="inlineStr">
        <is>
          <t>-436Q746.3</t>
        </is>
      </c>
      <c r="E9384" t="inlineStr">
        <is>
          <t>DILM-9-01</t>
        </is>
      </c>
      <c r="F9384" t="inlineStr">
        <is>
          <t>DILA-XHI22</t>
        </is>
      </c>
      <c r="G9384" t="inlineStr">
        <is>
          <t>LASTSCHUETZ</t>
        </is>
      </c>
      <c r="H9384" t="inlineStr">
        <is>
          <t>4kW 1Oe Federzugkl.</t>
        </is>
      </c>
      <c r="I9384">
        <v>642</v>
      </c>
      <c r="J9384">
        <f>GS47/436.6</f>
        <v>0</v>
      </c>
      <c r="M9384" t="inlineStr">
        <is>
          <t>-436Q746.3</t>
        </is>
      </c>
    </row>
    <row r="9385">
      <c r="A9385">
        <v>9384</v>
      </c>
      <c r="B9385">
        <f>GS48</f>
        <v>0</v>
      </c>
      <c r="C9385" t="inlineStr">
        <is>
          <t>+LS07</t>
        </is>
      </c>
      <c r="D9385" t="inlineStr">
        <is>
          <t>-436Q746.3</t>
        </is>
      </c>
      <c r="E9385" t="inlineStr">
        <is>
          <t>DILA-XHI22</t>
        </is>
      </c>
      <c r="F9385" t="inlineStr">
        <is>
          <t>DILA-XHI22</t>
        </is>
      </c>
      <c r="G9385" t="inlineStr">
        <is>
          <t>HILFSKONTAKTBLOCK</t>
        </is>
      </c>
      <c r="H9385" t="inlineStr">
        <is>
          <t>2S 2OE Last+Hilfssch. Cage</t>
        </is>
      </c>
      <c r="I9385">
        <v>548</v>
      </c>
      <c r="J9385">
        <f>GS48/436.6</f>
        <v>0</v>
      </c>
      <c r="M9385" t="inlineStr">
        <is>
          <t>-436Q746.3</t>
        </is>
      </c>
    </row>
    <row r="9386">
      <c r="A9386">
        <v>9385</v>
      </c>
      <c r="B9386">
        <f>GS48</f>
        <v>0</v>
      </c>
      <c r="C9386" t="inlineStr">
        <is>
          <t>+LS07</t>
        </is>
      </c>
      <c r="D9386" t="inlineStr">
        <is>
          <t>-436Q746.3</t>
        </is>
      </c>
      <c r="E9386" t="inlineStr">
        <is>
          <t>DILM-9-01</t>
        </is>
      </c>
      <c r="F9386" t="inlineStr">
        <is>
          <t>DILA-XHI22</t>
        </is>
      </c>
      <c r="G9386" t="inlineStr">
        <is>
          <t>LASTSCHUETZ</t>
        </is>
      </c>
      <c r="H9386" t="inlineStr">
        <is>
          <t>4kW 1Oe Federzugkl.</t>
        </is>
      </c>
      <c r="I9386">
        <v>548</v>
      </c>
      <c r="J9386">
        <f>GS48/436.6</f>
        <v>0</v>
      </c>
      <c r="M9386" t="inlineStr">
        <is>
          <t>-436Q746.3</t>
        </is>
      </c>
    </row>
    <row r="9387">
      <c r="A9387">
        <v>9386</v>
      </c>
      <c r="B9387">
        <f>GS49</f>
        <v>0</v>
      </c>
      <c r="C9387" t="inlineStr">
        <is>
          <t>+LS07</t>
        </is>
      </c>
      <c r="D9387" t="inlineStr">
        <is>
          <t>-436Q746.3</t>
        </is>
      </c>
      <c r="E9387" t="inlineStr">
        <is>
          <t>DILM-9-01</t>
        </is>
      </c>
      <c r="F9387" t="inlineStr">
        <is>
          <t>DILA-XHI22</t>
        </is>
      </c>
      <c r="G9387" t="inlineStr">
        <is>
          <t>LASTSCHUETZ</t>
        </is>
      </c>
      <c r="H9387" t="inlineStr">
        <is>
          <t>4kW 1Oe Federzugkl.</t>
        </is>
      </c>
      <c r="I9387">
        <v>547</v>
      </c>
      <c r="J9387">
        <f>GS49/436.6</f>
        <v>0</v>
      </c>
      <c r="M9387" t="inlineStr">
        <is>
          <t>-436Q746.3</t>
        </is>
      </c>
    </row>
    <row r="9388">
      <c r="A9388">
        <v>9387</v>
      </c>
      <c r="B9388">
        <f>GS49</f>
        <v>0</v>
      </c>
      <c r="C9388" t="inlineStr">
        <is>
          <t>+LS07</t>
        </is>
      </c>
      <c r="D9388" t="inlineStr">
        <is>
          <t>-436Q746.3</t>
        </is>
      </c>
      <c r="E9388" t="inlineStr">
        <is>
          <t>DILA-XHI22</t>
        </is>
      </c>
      <c r="F9388" t="inlineStr">
        <is>
          <t>DILA-XHI22</t>
        </is>
      </c>
      <c r="G9388" t="inlineStr">
        <is>
          <t>HILFSKONTAKTBLOCK</t>
        </is>
      </c>
      <c r="H9388" t="inlineStr">
        <is>
          <t>2S 2OE Last+Hilfssch. Cage</t>
        </is>
      </c>
      <c r="I9388">
        <v>547</v>
      </c>
      <c r="J9388">
        <f>GS49/436.6</f>
        <v>0</v>
      </c>
      <c r="M9388" t="inlineStr">
        <is>
          <t>-436Q746.3</t>
        </is>
      </c>
    </row>
    <row r="9389">
      <c r="A9389">
        <v>9388</v>
      </c>
      <c r="B9389">
        <f>GC03</f>
        <v>0</v>
      </c>
      <c r="C9389" t="inlineStr">
        <is>
          <t>+LS10</t>
        </is>
      </c>
      <c r="D9389" t="inlineStr">
        <is>
          <t>-437K1</t>
        </is>
      </c>
      <c r="E9389" t="inlineStr">
        <is>
          <t>22_DIL-M</t>
        </is>
      </c>
      <c r="F9389" t="inlineStr">
        <is>
          <t>22_DIL-M</t>
        </is>
      </c>
      <c r="G9389" t="inlineStr">
        <is>
          <t>HILFSKONTAKTBLOCK</t>
        </is>
      </c>
      <c r="H9389" t="inlineStr">
        <is>
          <t>2S 2OE Lastschuetz DIL M</t>
        </is>
      </c>
      <c r="I9389">
        <v>2735</v>
      </c>
      <c r="J9389">
        <f>GC03/437.2</f>
        <v>0</v>
      </c>
      <c r="K9389" t="inlineStr">
        <is>
          <t>DIL0AM</t>
        </is>
      </c>
      <c r="M9389" t="inlineStr">
        <is>
          <t>-437K1</t>
        </is>
      </c>
    </row>
    <row r="9390">
      <c r="A9390">
        <v>9389</v>
      </c>
      <c r="B9390">
        <f>GC03</f>
        <v>0</v>
      </c>
      <c r="C9390" t="inlineStr">
        <is>
          <t>+LS10</t>
        </is>
      </c>
      <c r="D9390" t="inlineStr">
        <is>
          <t>-437K1</t>
        </is>
      </c>
      <c r="E9390" t="inlineStr">
        <is>
          <t>DIL_0AM</t>
        </is>
      </c>
      <c r="F9390" t="inlineStr">
        <is>
          <t>22_DIL-M</t>
        </is>
      </c>
      <c r="G9390" t="inlineStr">
        <is>
          <t>LASTSCHUETZ</t>
        </is>
      </c>
      <c r="H9390" t="inlineStr">
        <is>
          <t>11 kW</t>
        </is>
      </c>
      <c r="I9390">
        <v>2735</v>
      </c>
      <c r="J9390">
        <f>GC03/437.2</f>
        <v>0</v>
      </c>
      <c r="K9390" t="inlineStr">
        <is>
          <t>DIL0AM</t>
        </is>
      </c>
      <c r="M9390" t="inlineStr">
        <is>
          <t>-437K1</t>
        </is>
      </c>
    </row>
    <row r="9391">
      <c r="A9391">
        <v>9390</v>
      </c>
      <c r="B9391">
        <f>GS04</f>
        <v>0</v>
      </c>
      <c r="C9391" t="inlineStr">
        <is>
          <t>+LS10</t>
        </is>
      </c>
      <c r="D9391" t="inlineStr">
        <is>
          <t>-437K1</t>
        </is>
      </c>
      <c r="E9391" t="inlineStr">
        <is>
          <t>DIL_0AM</t>
        </is>
      </c>
      <c r="F9391" t="inlineStr">
        <is>
          <t>22_DIL-M</t>
        </is>
      </c>
      <c r="G9391" t="inlineStr">
        <is>
          <t>LASTSCHUETZ</t>
        </is>
      </c>
      <c r="H9391" t="inlineStr">
        <is>
          <t>11 kW</t>
        </is>
      </c>
      <c r="I9391">
        <v>693</v>
      </c>
      <c r="J9391">
        <f>GS04/437.2</f>
        <v>0</v>
      </c>
      <c r="K9391" t="inlineStr">
        <is>
          <t>DIL0AM</t>
        </is>
      </c>
      <c r="M9391" t="inlineStr">
        <is>
          <t>-437K1</t>
        </is>
      </c>
    </row>
    <row r="9392">
      <c r="A9392">
        <v>9391</v>
      </c>
      <c r="B9392">
        <f>GS04</f>
        <v>0</v>
      </c>
      <c r="C9392" t="inlineStr">
        <is>
          <t>+LS10</t>
        </is>
      </c>
      <c r="D9392" t="inlineStr">
        <is>
          <t>-437K1</t>
        </is>
      </c>
      <c r="E9392" t="inlineStr">
        <is>
          <t>22_DIL-M</t>
        </is>
      </c>
      <c r="F9392" t="inlineStr">
        <is>
          <t>22_DIL-M</t>
        </is>
      </c>
      <c r="G9392" t="inlineStr">
        <is>
          <t>HILFSKONTAKTBLOCK</t>
        </is>
      </c>
      <c r="H9392" t="inlineStr">
        <is>
          <t>2S 2OE Lastschuetz DIL M</t>
        </is>
      </c>
      <c r="I9392">
        <v>693</v>
      </c>
      <c r="J9392">
        <f>GS04/437.2</f>
        <v>0</v>
      </c>
      <c r="K9392" t="inlineStr">
        <is>
          <t>DIL0AM</t>
        </is>
      </c>
      <c r="M9392" t="inlineStr">
        <is>
          <t>-437K1</t>
        </is>
      </c>
    </row>
    <row r="9393">
      <c r="A9393">
        <v>9392</v>
      </c>
      <c r="B9393">
        <f>GS15</f>
        <v>0</v>
      </c>
      <c r="C9393" t="inlineStr">
        <is>
          <t>+LS9</t>
        </is>
      </c>
      <c r="D9393" t="inlineStr">
        <is>
          <t>-437K1</t>
        </is>
      </c>
      <c r="E9393" t="inlineStr">
        <is>
          <t>22_DIL-M</t>
        </is>
      </c>
      <c r="F9393" t="inlineStr">
        <is>
          <t>22_DIL-M</t>
        </is>
      </c>
      <c r="G9393" t="inlineStr">
        <is>
          <t>HILFSKONTAKTBLOCK</t>
        </is>
      </c>
      <c r="H9393" t="inlineStr">
        <is>
          <t>2S 2OE Lastschuetz DIL M</t>
        </is>
      </c>
      <c r="I9393">
        <v>939</v>
      </c>
      <c r="J9393">
        <f>GS15/437.2</f>
        <v>0</v>
      </c>
      <c r="K9393" t="inlineStr">
        <is>
          <t>DIL0AM</t>
        </is>
      </c>
      <c r="M9393" t="inlineStr">
        <is>
          <t>-437K1</t>
        </is>
      </c>
    </row>
    <row r="9394">
      <c r="A9394">
        <v>9393</v>
      </c>
      <c r="B9394">
        <f>GS15</f>
        <v>0</v>
      </c>
      <c r="C9394" t="inlineStr">
        <is>
          <t>+LS9</t>
        </is>
      </c>
      <c r="D9394" t="inlineStr">
        <is>
          <t>-437K1</t>
        </is>
      </c>
      <c r="E9394" t="inlineStr">
        <is>
          <t>DIL_0AM</t>
        </is>
      </c>
      <c r="F9394" t="inlineStr">
        <is>
          <t>22_DIL-M</t>
        </is>
      </c>
      <c r="G9394" t="inlineStr">
        <is>
          <t>LASTSCHUETZ</t>
        </is>
      </c>
      <c r="H9394" t="inlineStr">
        <is>
          <t>11 kW</t>
        </is>
      </c>
      <c r="I9394">
        <v>939</v>
      </c>
      <c r="J9394">
        <f>GS15/437.2</f>
        <v>0</v>
      </c>
      <c r="K9394" t="inlineStr">
        <is>
          <t>DIL0AM</t>
        </is>
      </c>
      <c r="M9394" t="inlineStr">
        <is>
          <t>-437K1</t>
        </is>
      </c>
    </row>
    <row r="9395">
      <c r="A9395">
        <v>9394</v>
      </c>
      <c r="B9395">
        <f>GS14</f>
        <v>0</v>
      </c>
      <c r="C9395" t="inlineStr">
        <is>
          <t>+LS8</t>
        </is>
      </c>
      <c r="D9395" t="inlineStr">
        <is>
          <t>-437K3502.0</t>
        </is>
      </c>
      <c r="E9395" t="inlineStr">
        <is>
          <t>DIL_EM-10-G</t>
        </is>
      </c>
      <c r="F9395" t="inlineStr">
        <is>
          <t>#KALK!</t>
        </is>
      </c>
      <c r="G9395" t="inlineStr">
        <is>
          <t>LASTSCHUETZ</t>
        </is>
      </c>
      <c r="H9395" t="inlineStr">
        <is>
          <t>4kW 1S</t>
        </is>
      </c>
      <c r="I9395">
        <v>569</v>
      </c>
      <c r="J9395">
        <f>GS14/437.6</f>
        <v>0</v>
      </c>
      <c r="M9395" t="inlineStr">
        <is>
          <t>-437K3502.0</t>
        </is>
      </c>
    </row>
    <row r="9396">
      <c r="A9396">
        <v>9395</v>
      </c>
      <c r="B9396">
        <f>GS14</f>
        <v>0</v>
      </c>
      <c r="C9396" t="inlineStr">
        <is>
          <t>+LS8</t>
        </is>
      </c>
      <c r="D9396" t="inlineStr">
        <is>
          <t>-437K3502.1</t>
        </is>
      </c>
      <c r="E9396" t="inlineStr">
        <is>
          <t>DIL_EM-10-G</t>
        </is>
      </c>
      <c r="F9396" t="inlineStr">
        <is>
          <t>#KALK!</t>
        </is>
      </c>
      <c r="G9396" t="inlineStr">
        <is>
          <t>LASTSCHUETZ</t>
        </is>
      </c>
      <c r="H9396" t="inlineStr">
        <is>
          <t>4kW 1S</t>
        </is>
      </c>
      <c r="I9396">
        <v>569</v>
      </c>
      <c r="J9396">
        <f>GS14/437.7</f>
        <v>0</v>
      </c>
      <c r="M9396" t="inlineStr">
        <is>
          <t>-437K3502.1</t>
        </is>
      </c>
    </row>
    <row r="9397">
      <c r="A9397">
        <v>9396</v>
      </c>
      <c r="B9397">
        <f>GS16</f>
        <v>0</v>
      </c>
      <c r="C9397" t="inlineStr">
        <is>
          <t>+LS7</t>
        </is>
      </c>
      <c r="D9397" t="inlineStr">
        <is>
          <t>-437K60.3</t>
        </is>
      </c>
      <c r="E9397" t="inlineStr">
        <is>
          <t>DIL_EM-01-G</t>
        </is>
      </c>
      <c r="F9397" t="inlineStr">
        <is>
          <t>#KALK!</t>
        </is>
      </c>
      <c r="G9397" t="inlineStr">
        <is>
          <t>LASTSCHUETZ</t>
        </is>
      </c>
      <c r="H9397" t="inlineStr">
        <is>
          <t>4kW 1OE</t>
        </is>
      </c>
      <c r="I9397">
        <v>674</v>
      </c>
      <c r="J9397">
        <f>GS16/437.6</f>
        <v>0</v>
      </c>
      <c r="M9397" t="inlineStr">
        <is>
          <t>-437K60.3</t>
        </is>
      </c>
    </row>
    <row r="9398">
      <c r="A9398">
        <v>9397</v>
      </c>
      <c r="B9398">
        <f>GS16</f>
        <v>0</v>
      </c>
      <c r="C9398" t="inlineStr">
        <is>
          <t>+LS7</t>
        </is>
      </c>
      <c r="D9398" t="inlineStr">
        <is>
          <t>-437K60.4</t>
        </is>
      </c>
      <c r="E9398" t="inlineStr">
        <is>
          <t>DIL_EM-01-G</t>
        </is>
      </c>
      <c r="F9398" t="inlineStr">
        <is>
          <t>#KALK!</t>
        </is>
      </c>
      <c r="G9398" t="inlineStr">
        <is>
          <t>LASTSCHUETZ</t>
        </is>
      </c>
      <c r="H9398" t="inlineStr">
        <is>
          <t>4kW 1OE</t>
        </is>
      </c>
      <c r="I9398">
        <v>674</v>
      </c>
      <c r="J9398">
        <f>GS16/437.6</f>
        <v>0</v>
      </c>
      <c r="M9398" t="inlineStr">
        <is>
          <t>-437K60.4</t>
        </is>
      </c>
    </row>
    <row r="9399">
      <c r="A9399">
        <v>9398</v>
      </c>
      <c r="B9399">
        <f>GS16</f>
        <v>0</v>
      </c>
      <c r="C9399" t="inlineStr">
        <is>
          <t>+LS7</t>
        </is>
      </c>
      <c r="D9399" t="inlineStr">
        <is>
          <t>-437K60.5</t>
        </is>
      </c>
      <c r="E9399" t="inlineStr">
        <is>
          <t>DIL_EM-10-G</t>
        </is>
      </c>
      <c r="F9399" t="inlineStr">
        <is>
          <t>#KALK!</t>
        </is>
      </c>
      <c r="G9399" t="inlineStr">
        <is>
          <t>LASTSCHUETZ</t>
        </is>
      </c>
      <c r="H9399" t="inlineStr">
        <is>
          <t>4kW 1S</t>
        </is>
      </c>
      <c r="I9399">
        <v>674</v>
      </c>
      <c r="J9399">
        <f>GS16/437.7</f>
        <v>0</v>
      </c>
      <c r="M9399" t="inlineStr">
        <is>
          <t>-437K60.5</t>
        </is>
      </c>
    </row>
    <row r="9400">
      <c r="A9400">
        <v>9399</v>
      </c>
      <c r="B9400">
        <f>GS91</f>
        <v>0</v>
      </c>
      <c r="C9400" t="inlineStr">
        <is>
          <t>+LS08</t>
        </is>
      </c>
      <c r="D9400" t="inlineStr">
        <is>
          <t>-437Q454.5</t>
        </is>
      </c>
      <c r="E9400" t="inlineStr">
        <is>
          <t>DILM-9-10</t>
        </is>
      </c>
      <c r="F9400" t="inlineStr">
        <is>
          <t>#KALK!</t>
        </is>
      </c>
      <c r="G9400" t="inlineStr">
        <is>
          <t>LASTSCHUETZ</t>
        </is>
      </c>
      <c r="H9400" t="inlineStr">
        <is>
          <t>4kW 1S Federzugkl.</t>
        </is>
      </c>
      <c r="I9400">
        <v>585</v>
      </c>
      <c r="J9400">
        <f>GS91/437.5</f>
        <v>0</v>
      </c>
      <c r="M9400" t="inlineStr">
        <is>
          <t>-437Q454.5</t>
        </is>
      </c>
    </row>
    <row r="9401">
      <c r="A9401">
        <v>9400</v>
      </c>
      <c r="B9401">
        <f>GS90</f>
        <v>0</v>
      </c>
      <c r="C9401" t="inlineStr">
        <is>
          <t>+LS08</t>
        </is>
      </c>
      <c r="D9401" t="inlineStr">
        <is>
          <t>-437Q456.7</t>
        </is>
      </c>
      <c r="E9401" t="inlineStr">
        <is>
          <t>DILM-9-10</t>
        </is>
      </c>
      <c r="F9401" t="inlineStr">
        <is>
          <t>#KALK!</t>
        </is>
      </c>
      <c r="G9401" t="inlineStr">
        <is>
          <t>LASTSCHUETZ</t>
        </is>
      </c>
      <c r="H9401" t="inlineStr">
        <is>
          <t>4kW 1S Federzugkl.</t>
        </is>
      </c>
      <c r="I9401">
        <v>803</v>
      </c>
      <c r="J9401">
        <f>GS90/437.5</f>
        <v>0</v>
      </c>
      <c r="M9401" t="inlineStr">
        <is>
          <t>-437Q456.7</t>
        </is>
      </c>
    </row>
    <row r="9402">
      <c r="A9402">
        <v>9401</v>
      </c>
      <c r="B9402">
        <f>GS93</f>
        <v>0</v>
      </c>
      <c r="C9402" t="inlineStr">
        <is>
          <t>+LS08</t>
        </is>
      </c>
      <c r="D9402" t="inlineStr">
        <is>
          <t>-437Q475.2</t>
        </is>
      </c>
      <c r="E9402" t="inlineStr">
        <is>
          <t>DILM-9-10</t>
        </is>
      </c>
      <c r="F9402" t="inlineStr">
        <is>
          <t>#KALK!</t>
        </is>
      </c>
      <c r="G9402" t="inlineStr">
        <is>
          <t>LASTSCHUETZ</t>
        </is>
      </c>
      <c r="H9402" t="inlineStr">
        <is>
          <t>4kW 1S Federzugkl.</t>
        </is>
      </c>
      <c r="I9402">
        <v>991</v>
      </c>
      <c r="J9402">
        <f>GS93/437.5</f>
        <v>0</v>
      </c>
      <c r="M9402" t="inlineStr">
        <is>
          <t>-437Q475.2</t>
        </is>
      </c>
    </row>
    <row r="9403">
      <c r="A9403">
        <v>9402</v>
      </c>
      <c r="B9403">
        <f>GS14</f>
        <v>0</v>
      </c>
      <c r="C9403" t="inlineStr">
        <is>
          <t>+LS8</t>
        </is>
      </c>
      <c r="D9403" t="inlineStr">
        <is>
          <t>-438K3502.2</t>
        </is>
      </c>
      <c r="E9403" t="inlineStr">
        <is>
          <t>DIL_EM-10-G</t>
        </is>
      </c>
      <c r="F9403" t="inlineStr">
        <is>
          <t>#KALK!</t>
        </is>
      </c>
      <c r="G9403" t="inlineStr">
        <is>
          <t>LASTSCHUETZ</t>
        </is>
      </c>
      <c r="H9403" t="inlineStr">
        <is>
          <t>4kW 1S</t>
        </is>
      </c>
      <c r="I9403">
        <v>570</v>
      </c>
      <c r="J9403">
        <f>GS14/438.6</f>
        <v>0</v>
      </c>
      <c r="M9403" t="inlineStr">
        <is>
          <t>-438K3502.2</t>
        </is>
      </c>
    </row>
    <row r="9404">
      <c r="A9404">
        <v>9403</v>
      </c>
      <c r="B9404">
        <f>GS14</f>
        <v>0</v>
      </c>
      <c r="C9404" t="inlineStr">
        <is>
          <t>+LS8</t>
        </is>
      </c>
      <c r="D9404" t="inlineStr">
        <is>
          <t>-438K3502.3</t>
        </is>
      </c>
      <c r="E9404" t="inlineStr">
        <is>
          <t>DIL_EM-10-G</t>
        </is>
      </c>
      <c r="F9404" t="inlineStr">
        <is>
          <t>#KALK!</t>
        </is>
      </c>
      <c r="G9404" t="inlineStr">
        <is>
          <t>LASTSCHUETZ</t>
        </is>
      </c>
      <c r="H9404" t="inlineStr">
        <is>
          <t>4kW 1S</t>
        </is>
      </c>
      <c r="I9404">
        <v>570</v>
      </c>
      <c r="J9404">
        <f>GS14/438.7</f>
        <v>0</v>
      </c>
      <c r="M9404" t="inlineStr">
        <is>
          <t>-438K3502.3</t>
        </is>
      </c>
    </row>
    <row r="9405">
      <c r="A9405">
        <v>9404</v>
      </c>
      <c r="B9405">
        <f>GS91</f>
        <v>0</v>
      </c>
      <c r="C9405" t="inlineStr">
        <is>
          <t>+LS08</t>
        </is>
      </c>
      <c r="D9405" t="inlineStr">
        <is>
          <t>-438Q454.6</t>
        </is>
      </c>
      <c r="E9405" t="inlineStr">
        <is>
          <t>DILM-9-10</t>
        </is>
      </c>
      <c r="F9405" t="inlineStr">
        <is>
          <t>#KALK!</t>
        </is>
      </c>
      <c r="G9405" t="inlineStr">
        <is>
          <t>LASTSCHUETZ</t>
        </is>
      </c>
      <c r="H9405" t="inlineStr">
        <is>
          <t>4kW 1S Federzugkl.</t>
        </is>
      </c>
      <c r="I9405">
        <v>586</v>
      </c>
      <c r="J9405">
        <f>GS91/438.5</f>
        <v>0</v>
      </c>
      <c r="M9405" t="inlineStr">
        <is>
          <t>-438Q454.6</t>
        </is>
      </c>
    </row>
    <row r="9406">
      <c r="A9406">
        <v>9405</v>
      </c>
      <c r="B9406">
        <f>GS93</f>
        <v>0</v>
      </c>
      <c r="C9406" t="inlineStr">
        <is>
          <t>+LS08</t>
        </is>
      </c>
      <c r="D9406" t="inlineStr">
        <is>
          <t>-438Q475.3</t>
        </is>
      </c>
      <c r="E9406" t="inlineStr">
        <is>
          <t>DILM-9-10</t>
        </is>
      </c>
      <c r="F9406" t="inlineStr">
        <is>
          <t>#KALK!</t>
        </is>
      </c>
      <c r="G9406" t="inlineStr">
        <is>
          <t>LASTSCHUETZ</t>
        </is>
      </c>
      <c r="H9406" t="inlineStr">
        <is>
          <t>4kW 1S Federzugkl.</t>
        </is>
      </c>
      <c r="I9406">
        <v>992</v>
      </c>
      <c r="J9406">
        <f>GS93/438.5</f>
        <v>0</v>
      </c>
      <c r="M9406" t="inlineStr">
        <is>
          <t>-438Q475.3</t>
        </is>
      </c>
    </row>
    <row r="9407">
      <c r="A9407">
        <v>9406</v>
      </c>
      <c r="B9407">
        <f>GS13</f>
        <v>0</v>
      </c>
      <c r="C9407" t="inlineStr">
        <is>
          <t>+ES2</t>
        </is>
      </c>
      <c r="D9407" t="inlineStr">
        <is>
          <t>-4391</t>
        </is>
      </c>
      <c r="E9407" t="inlineStr">
        <is>
          <t>DIL_ER-40-G</t>
        </is>
      </c>
      <c r="F9407" t="inlineStr">
        <is>
          <t>22_DIL-E</t>
        </is>
      </c>
      <c r="G9407" t="inlineStr">
        <is>
          <t>HILFSSCHUETZ</t>
        </is>
      </c>
      <c r="H9407" t="inlineStr">
        <is>
          <t>4S</t>
        </is>
      </c>
      <c r="I9407">
        <v>688</v>
      </c>
      <c r="J9407">
        <f>GS13/439.5</f>
        <v>0</v>
      </c>
      <c r="M9407" t="inlineStr">
        <is>
          <t>-4391</t>
        </is>
      </c>
    </row>
    <row r="9408">
      <c r="A9408">
        <v>9407</v>
      </c>
      <c r="B9408">
        <f>GS13</f>
        <v>0</v>
      </c>
      <c r="C9408" t="inlineStr">
        <is>
          <t>+ES2</t>
        </is>
      </c>
      <c r="D9408" t="inlineStr">
        <is>
          <t>-4391</t>
        </is>
      </c>
      <c r="E9408" t="inlineStr">
        <is>
          <t>22_DIL-E</t>
        </is>
      </c>
      <c r="F9408" t="inlineStr">
        <is>
          <t>22_DIL-E</t>
        </is>
      </c>
      <c r="G9408" t="inlineStr">
        <is>
          <t>HILFSKONTAKTBLOCK</t>
        </is>
      </c>
      <c r="H9408" t="inlineStr">
        <is>
          <t>2S 2OE Last+Hilfsschuetz</t>
        </is>
      </c>
      <c r="I9408">
        <v>688</v>
      </c>
      <c r="J9408">
        <f>GS13/439.5</f>
        <v>0</v>
      </c>
      <c r="M9408" t="inlineStr">
        <is>
          <t>-4391</t>
        </is>
      </c>
    </row>
    <row r="9409">
      <c r="A9409">
        <v>9408</v>
      </c>
      <c r="B9409">
        <f>GS13</f>
        <v>0</v>
      </c>
      <c r="C9409" t="inlineStr">
        <is>
          <t>+ES2</t>
        </is>
      </c>
      <c r="D9409" t="inlineStr">
        <is>
          <t>-4392</t>
        </is>
      </c>
      <c r="E9409" t="inlineStr">
        <is>
          <t>DIL_ER-40-G</t>
        </is>
      </c>
      <c r="F9409" t="inlineStr">
        <is>
          <t>22_DIL-E</t>
        </is>
      </c>
      <c r="G9409" t="inlineStr">
        <is>
          <t>HILFSSCHUETZ</t>
        </is>
      </c>
      <c r="H9409" t="inlineStr">
        <is>
          <t>4S</t>
        </is>
      </c>
      <c r="I9409">
        <v>688</v>
      </c>
      <c r="J9409">
        <f>GS13/439.6</f>
        <v>0</v>
      </c>
      <c r="M9409" t="inlineStr">
        <is>
          <t>-4392</t>
        </is>
      </c>
    </row>
    <row r="9410">
      <c r="A9410">
        <v>9409</v>
      </c>
      <c r="B9410">
        <f>GS13</f>
        <v>0</v>
      </c>
      <c r="C9410" t="inlineStr">
        <is>
          <t>+ES2</t>
        </is>
      </c>
      <c r="D9410" t="inlineStr">
        <is>
          <t>-4392</t>
        </is>
      </c>
      <c r="E9410" t="inlineStr">
        <is>
          <t>22_DIL-E</t>
        </is>
      </c>
      <c r="F9410" t="inlineStr">
        <is>
          <t>22_DIL-E</t>
        </is>
      </c>
      <c r="G9410" t="inlineStr">
        <is>
          <t>HILFSKONTAKTBLOCK</t>
        </is>
      </c>
      <c r="H9410" t="inlineStr">
        <is>
          <t>2S 2OE Last+Hilfsschuetz</t>
        </is>
      </c>
      <c r="I9410">
        <v>688</v>
      </c>
      <c r="J9410">
        <f>GS13/439.6</f>
        <v>0</v>
      </c>
      <c r="M9410" t="inlineStr">
        <is>
          <t>-4392</t>
        </is>
      </c>
    </row>
    <row r="9411">
      <c r="A9411">
        <v>9410</v>
      </c>
      <c r="B9411">
        <f>GS23</f>
        <v>0</v>
      </c>
      <c r="C9411" t="inlineStr">
        <is>
          <t>+ES2</t>
        </is>
      </c>
      <c r="D9411" t="inlineStr">
        <is>
          <t>-439K1</t>
        </is>
      </c>
      <c r="E9411" t="inlineStr">
        <is>
          <t>DIL_ER-40-G</t>
        </is>
      </c>
      <c r="F9411" t="inlineStr">
        <is>
          <t>22_DIL-E</t>
        </is>
      </c>
      <c r="G9411" t="inlineStr">
        <is>
          <t>HILFSSCHUETZ</t>
        </is>
      </c>
      <c r="H9411" t="inlineStr">
        <is>
          <t>4S</t>
        </is>
      </c>
      <c r="I9411">
        <v>742</v>
      </c>
      <c r="J9411">
        <f>GS23/439.5</f>
        <v>0</v>
      </c>
      <c r="M9411" t="inlineStr">
        <is>
          <t>-439K1</t>
        </is>
      </c>
    </row>
    <row r="9412">
      <c r="A9412">
        <v>9411</v>
      </c>
      <c r="B9412">
        <f>GS23</f>
        <v>0</v>
      </c>
      <c r="C9412" t="inlineStr">
        <is>
          <t>+ES2</t>
        </is>
      </c>
      <c r="D9412" t="inlineStr">
        <is>
          <t>-439K1</t>
        </is>
      </c>
      <c r="E9412" t="inlineStr">
        <is>
          <t>22_DIL-E</t>
        </is>
      </c>
      <c r="F9412" t="inlineStr">
        <is>
          <t>22_DIL-E</t>
        </is>
      </c>
      <c r="G9412" t="inlineStr">
        <is>
          <t>HILFSKONTAKTBLOCK</t>
        </is>
      </c>
      <c r="H9412" t="inlineStr">
        <is>
          <t>2S 2OE Last+Hilfsschuetz</t>
        </is>
      </c>
      <c r="I9412">
        <v>742</v>
      </c>
      <c r="J9412">
        <f>GS23/439.5</f>
        <v>0</v>
      </c>
      <c r="M9412" t="inlineStr">
        <is>
          <t>-439K1</t>
        </is>
      </c>
    </row>
    <row r="9413">
      <c r="A9413">
        <v>9412</v>
      </c>
      <c r="B9413">
        <f>GS23</f>
        <v>0</v>
      </c>
      <c r="C9413" t="inlineStr">
        <is>
          <t>+ES2</t>
        </is>
      </c>
      <c r="D9413" t="inlineStr">
        <is>
          <t>-439K2</t>
        </is>
      </c>
      <c r="E9413" t="inlineStr">
        <is>
          <t>DIL_ER-40-G</t>
        </is>
      </c>
      <c r="F9413" t="inlineStr">
        <is>
          <t>22_DIL-E</t>
        </is>
      </c>
      <c r="G9413" t="inlineStr">
        <is>
          <t>HILFSSCHUETZ</t>
        </is>
      </c>
      <c r="H9413" t="inlineStr">
        <is>
          <t>4S</t>
        </is>
      </c>
      <c r="I9413">
        <v>742</v>
      </c>
      <c r="J9413">
        <f>GS23/439.6</f>
        <v>0</v>
      </c>
      <c r="M9413" t="inlineStr">
        <is>
          <t>-439K2</t>
        </is>
      </c>
    </row>
    <row r="9414">
      <c r="A9414">
        <v>9413</v>
      </c>
      <c r="B9414">
        <f>GS23</f>
        <v>0</v>
      </c>
      <c r="C9414" t="inlineStr">
        <is>
          <t>+ES2</t>
        </is>
      </c>
      <c r="D9414" t="inlineStr">
        <is>
          <t>-439K2</t>
        </is>
      </c>
      <c r="E9414" t="inlineStr">
        <is>
          <t>22_DIL-E</t>
        </is>
      </c>
      <c r="F9414" t="inlineStr">
        <is>
          <t>22_DIL-E</t>
        </is>
      </c>
      <c r="G9414" t="inlineStr">
        <is>
          <t>HILFSKONTAKTBLOCK</t>
        </is>
      </c>
      <c r="H9414" t="inlineStr">
        <is>
          <t>2S 2OE Last+Hilfsschuetz</t>
        </is>
      </c>
      <c r="I9414">
        <v>742</v>
      </c>
      <c r="J9414">
        <f>GS23/439.6</f>
        <v>0</v>
      </c>
      <c r="M9414" t="inlineStr">
        <is>
          <t>-439K2</t>
        </is>
      </c>
    </row>
    <row r="9415">
      <c r="A9415">
        <v>9414</v>
      </c>
      <c r="B9415">
        <f>GS04</f>
        <v>0</v>
      </c>
      <c r="C9415" t="inlineStr">
        <is>
          <t>+LS10</t>
        </is>
      </c>
      <c r="D9415" t="inlineStr">
        <is>
          <t>-439K20.0</t>
        </is>
      </c>
      <c r="E9415" t="inlineStr">
        <is>
          <t>DIL_EM-10-G</t>
        </is>
      </c>
      <c r="F9415" t="inlineStr">
        <is>
          <t>#KALK!</t>
        </is>
      </c>
      <c r="G9415" t="inlineStr">
        <is>
          <t>LASTSCHUETZ</t>
        </is>
      </c>
      <c r="H9415" t="inlineStr">
        <is>
          <t>4kW 1S</t>
        </is>
      </c>
      <c r="I9415">
        <v>695</v>
      </c>
      <c r="J9415">
        <f>GS04/439.6</f>
        <v>0</v>
      </c>
      <c r="M9415" t="inlineStr">
        <is>
          <t>-439K20.0</t>
        </is>
      </c>
    </row>
    <row r="9416">
      <c r="A9416">
        <v>9415</v>
      </c>
      <c r="B9416">
        <f>GS04</f>
        <v>0</v>
      </c>
      <c r="C9416" t="inlineStr">
        <is>
          <t>+LS10</t>
        </is>
      </c>
      <c r="D9416" t="inlineStr">
        <is>
          <t>-439K20.1</t>
        </is>
      </c>
      <c r="E9416" t="inlineStr">
        <is>
          <t>DIL_EM-10-G</t>
        </is>
      </c>
      <c r="F9416" t="inlineStr">
        <is>
          <t>#KALK!</t>
        </is>
      </c>
      <c r="G9416" t="inlineStr">
        <is>
          <t>LASTSCHUETZ</t>
        </is>
      </c>
      <c r="H9416" t="inlineStr">
        <is>
          <t>4kW 1S</t>
        </is>
      </c>
      <c r="I9416">
        <v>695</v>
      </c>
      <c r="J9416">
        <f>GS04/439.6</f>
        <v>0</v>
      </c>
      <c r="M9416" t="inlineStr">
        <is>
          <t>-439K20.1</t>
        </is>
      </c>
    </row>
    <row r="9417">
      <c r="A9417">
        <v>9416</v>
      </c>
      <c r="B9417">
        <f>GC03</f>
        <v>0</v>
      </c>
      <c r="C9417" t="inlineStr">
        <is>
          <t>+LS10</t>
        </is>
      </c>
      <c r="D9417" t="inlineStr">
        <is>
          <t>-439K24.0</t>
        </is>
      </c>
      <c r="E9417" t="inlineStr">
        <is>
          <t>DIL_EM-10-G</t>
        </is>
      </c>
      <c r="F9417" t="inlineStr">
        <is>
          <t>#KALK!</t>
        </is>
      </c>
      <c r="G9417" t="inlineStr">
        <is>
          <t>LASTSCHUETZ</t>
        </is>
      </c>
      <c r="H9417" t="inlineStr">
        <is>
          <t>4kW 1S</t>
        </is>
      </c>
      <c r="I9417">
        <v>2280</v>
      </c>
      <c r="J9417">
        <f>GC03/439.6</f>
        <v>0</v>
      </c>
      <c r="M9417" t="inlineStr">
        <is>
          <t>-439K24.0</t>
        </is>
      </c>
    </row>
    <row r="9418">
      <c r="A9418">
        <v>9417</v>
      </c>
      <c r="B9418">
        <f>GC03</f>
        <v>0</v>
      </c>
      <c r="C9418" t="inlineStr">
        <is>
          <t>+LS10</t>
        </is>
      </c>
      <c r="D9418" t="inlineStr">
        <is>
          <t>-439K24.1</t>
        </is>
      </c>
      <c r="E9418" t="inlineStr">
        <is>
          <t>DIL_EM-10-G</t>
        </is>
      </c>
      <c r="F9418" t="inlineStr">
        <is>
          <t>#KALK!</t>
        </is>
      </c>
      <c r="G9418" t="inlineStr">
        <is>
          <t>LASTSCHUETZ</t>
        </is>
      </c>
      <c r="H9418" t="inlineStr">
        <is>
          <t>4kW 1S</t>
        </is>
      </c>
      <c r="I9418">
        <v>2280</v>
      </c>
      <c r="J9418">
        <f>GC03/439.7</f>
        <v>0</v>
      </c>
      <c r="M9418" t="inlineStr">
        <is>
          <t>-439K24.1</t>
        </is>
      </c>
    </row>
    <row r="9419">
      <c r="A9419">
        <v>9418</v>
      </c>
      <c r="B9419">
        <f>GS14</f>
        <v>0</v>
      </c>
      <c r="C9419" t="inlineStr">
        <is>
          <t>+LS8</t>
        </is>
      </c>
      <c r="D9419" t="inlineStr">
        <is>
          <t>-439K3503.3</t>
        </is>
      </c>
      <c r="E9419" t="inlineStr">
        <is>
          <t>DIL_EM-10-G</t>
        </is>
      </c>
      <c r="F9419" t="inlineStr">
        <is>
          <t>#KALK!</t>
        </is>
      </c>
      <c r="G9419" t="inlineStr">
        <is>
          <t>LASTSCHUETZ</t>
        </is>
      </c>
      <c r="H9419" t="inlineStr">
        <is>
          <t>4kW 1S</t>
        </is>
      </c>
      <c r="I9419">
        <v>571</v>
      </c>
      <c r="J9419">
        <f>GS14/439.7</f>
        <v>0</v>
      </c>
      <c r="M9419" t="inlineStr">
        <is>
          <t>-439K3503.3</t>
        </is>
      </c>
    </row>
    <row r="9420">
      <c r="A9420">
        <v>9419</v>
      </c>
      <c r="B9420">
        <f>GS15</f>
        <v>0</v>
      </c>
      <c r="C9420" t="inlineStr">
        <is>
          <t>+LS9</t>
        </is>
      </c>
      <c r="D9420" t="inlineStr">
        <is>
          <t>-439K38.0</t>
        </is>
      </c>
      <c r="E9420" t="inlineStr">
        <is>
          <t>DIL_EM-10-G</t>
        </is>
      </c>
      <c r="F9420" t="inlineStr">
        <is>
          <t>#KALK!</t>
        </is>
      </c>
      <c r="G9420" t="inlineStr">
        <is>
          <t>LASTSCHUETZ</t>
        </is>
      </c>
      <c r="H9420" t="inlineStr">
        <is>
          <t>4kW 1S</t>
        </is>
      </c>
      <c r="I9420">
        <v>941</v>
      </c>
      <c r="J9420">
        <f>GS15/439.6</f>
        <v>0</v>
      </c>
      <c r="M9420" t="inlineStr">
        <is>
          <t>-439K38.0</t>
        </is>
      </c>
    </row>
    <row r="9421">
      <c r="A9421">
        <v>9420</v>
      </c>
      <c r="B9421">
        <f>GS15</f>
        <v>0</v>
      </c>
      <c r="C9421" t="inlineStr">
        <is>
          <t>+LS9</t>
        </is>
      </c>
      <c r="D9421" t="inlineStr">
        <is>
          <t>-439K38.1</t>
        </is>
      </c>
      <c r="E9421" t="inlineStr">
        <is>
          <t>DIL_EM-10-G</t>
        </is>
      </c>
      <c r="F9421" t="inlineStr">
        <is>
          <t>#KALK!</t>
        </is>
      </c>
      <c r="G9421" t="inlineStr">
        <is>
          <t>LASTSCHUETZ</t>
        </is>
      </c>
      <c r="H9421" t="inlineStr">
        <is>
          <t>4kW 1S</t>
        </is>
      </c>
      <c r="I9421">
        <v>941</v>
      </c>
      <c r="J9421">
        <f>GS15/439.6</f>
        <v>0</v>
      </c>
      <c r="M9421" t="inlineStr">
        <is>
          <t>-439K38.1</t>
        </is>
      </c>
    </row>
    <row r="9422">
      <c r="A9422">
        <v>9421</v>
      </c>
      <c r="B9422">
        <f>GS91</f>
        <v>0</v>
      </c>
      <c r="C9422" t="inlineStr">
        <is>
          <t>+LS08</t>
        </is>
      </c>
      <c r="D9422" t="inlineStr">
        <is>
          <t>-439Q454.7</t>
        </is>
      </c>
      <c r="E9422" t="inlineStr">
        <is>
          <t>DILM-9-10</t>
        </is>
      </c>
      <c r="F9422" t="inlineStr">
        <is>
          <t>#KALK!</t>
        </is>
      </c>
      <c r="G9422" t="inlineStr">
        <is>
          <t>LASTSCHUETZ</t>
        </is>
      </c>
      <c r="H9422" t="inlineStr">
        <is>
          <t>4kW 1S Federzugkl.</t>
        </is>
      </c>
      <c r="I9422">
        <v>587</v>
      </c>
      <c r="J9422">
        <f>GS91/439.5</f>
        <v>0</v>
      </c>
      <c r="M9422" t="inlineStr">
        <is>
          <t>-439Q454.7</t>
        </is>
      </c>
    </row>
    <row r="9423">
      <c r="A9423">
        <v>9422</v>
      </c>
      <c r="B9423">
        <f>GS93</f>
        <v>0</v>
      </c>
      <c r="C9423" t="inlineStr">
        <is>
          <t>+LS08</t>
        </is>
      </c>
      <c r="D9423" t="inlineStr">
        <is>
          <t>-439Q475.4</t>
        </is>
      </c>
      <c r="E9423" t="inlineStr">
        <is>
          <t>DILM-9-10</t>
        </is>
      </c>
      <c r="F9423" t="inlineStr">
        <is>
          <t>#KALK!</t>
        </is>
      </c>
      <c r="G9423" t="inlineStr">
        <is>
          <t>LASTSCHUETZ</t>
        </is>
      </c>
      <c r="H9423" t="inlineStr">
        <is>
          <t>4kW 1S Federzugkl.</t>
        </is>
      </c>
      <c r="I9423">
        <v>993</v>
      </c>
      <c r="J9423">
        <f>GS93/439.5</f>
        <v>0</v>
      </c>
      <c r="M9423" t="inlineStr">
        <is>
          <t>-439Q475.4</t>
        </is>
      </c>
    </row>
    <row r="9424">
      <c r="A9424">
        <v>9423</v>
      </c>
      <c r="B9424">
        <f>GS01</f>
        <v>0</v>
      </c>
      <c r="C9424" t="inlineStr">
        <is>
          <t>+LS9</t>
        </is>
      </c>
      <c r="D9424" t="inlineStr">
        <is>
          <t>-440K1</t>
        </is>
      </c>
      <c r="E9424" t="inlineStr">
        <is>
          <t>DIL_2AM</t>
        </is>
      </c>
      <c r="F9424" t="inlineStr">
        <is>
          <t>22_DIL-M</t>
        </is>
      </c>
      <c r="G9424" t="inlineStr">
        <is>
          <t>LASTSCHUETZ</t>
        </is>
      </c>
      <c r="H9424" t="inlineStr">
        <is>
          <t>30 kW</t>
        </is>
      </c>
      <c r="I9424">
        <v>604</v>
      </c>
      <c r="J9424">
        <f>GS01/440.2</f>
        <v>0</v>
      </c>
      <c r="K9424" t="inlineStr">
        <is>
          <t>DIL2AM</t>
        </is>
      </c>
      <c r="M9424" t="inlineStr">
        <is>
          <t>-440K1</t>
        </is>
      </c>
    </row>
    <row r="9425">
      <c r="A9425">
        <v>9424</v>
      </c>
      <c r="B9425">
        <f>GS01</f>
        <v>0</v>
      </c>
      <c r="C9425" t="inlineStr">
        <is>
          <t>+LS9</t>
        </is>
      </c>
      <c r="D9425" t="inlineStr">
        <is>
          <t>-440K1</t>
        </is>
      </c>
      <c r="E9425" t="inlineStr">
        <is>
          <t>22_DIL-M</t>
        </is>
      </c>
      <c r="F9425" t="inlineStr">
        <is>
          <t>22_DIL-M</t>
        </is>
      </c>
      <c r="G9425" t="inlineStr">
        <is>
          <t>HILFSKONTAKTBLOCK</t>
        </is>
      </c>
      <c r="H9425" t="inlineStr">
        <is>
          <t>2S 2OE Lastschuetz DIL M</t>
        </is>
      </c>
      <c r="I9425">
        <v>604</v>
      </c>
      <c r="J9425">
        <f>GS01/440.2</f>
        <v>0</v>
      </c>
      <c r="K9425" t="inlineStr">
        <is>
          <t>DIL2AM</t>
        </is>
      </c>
      <c r="M9425" t="inlineStr">
        <is>
          <t>-440K1</t>
        </is>
      </c>
    </row>
    <row r="9426">
      <c r="A9426">
        <v>9425</v>
      </c>
      <c r="B9426">
        <f>GS04</f>
        <v>0</v>
      </c>
      <c r="C9426" t="inlineStr">
        <is>
          <t>+LS10</t>
        </is>
      </c>
      <c r="D9426" t="inlineStr">
        <is>
          <t>-440K20.2</t>
        </is>
      </c>
      <c r="E9426" t="inlineStr">
        <is>
          <t>DIL_EM-10-G</t>
        </is>
      </c>
      <c r="F9426" t="inlineStr">
        <is>
          <t>#KALK!</t>
        </is>
      </c>
      <c r="G9426" t="inlineStr">
        <is>
          <t>LASTSCHUETZ</t>
        </is>
      </c>
      <c r="H9426" t="inlineStr">
        <is>
          <t>4kW 1S</t>
        </is>
      </c>
      <c r="I9426">
        <v>696</v>
      </c>
      <c r="J9426">
        <f>GS04/440.6</f>
        <v>0</v>
      </c>
      <c r="M9426" t="inlineStr">
        <is>
          <t>-440K20.2</t>
        </is>
      </c>
    </row>
    <row r="9427">
      <c r="A9427">
        <v>9426</v>
      </c>
      <c r="B9427">
        <f>GS04</f>
        <v>0</v>
      </c>
      <c r="C9427" t="inlineStr">
        <is>
          <t>+LS10</t>
        </is>
      </c>
      <c r="D9427" t="inlineStr">
        <is>
          <t>-440K20.3</t>
        </is>
      </c>
      <c r="E9427" t="inlineStr">
        <is>
          <t>DIL_EM-10-G</t>
        </is>
      </c>
      <c r="F9427" t="inlineStr">
        <is>
          <t>#KALK!</t>
        </is>
      </c>
      <c r="G9427" t="inlineStr">
        <is>
          <t>LASTSCHUETZ</t>
        </is>
      </c>
      <c r="H9427" t="inlineStr">
        <is>
          <t>4kW 1S</t>
        </is>
      </c>
      <c r="I9427">
        <v>696</v>
      </c>
      <c r="J9427">
        <f>GS04/440.6</f>
        <v>0</v>
      </c>
      <c r="M9427" t="inlineStr">
        <is>
          <t>-440K20.3</t>
        </is>
      </c>
    </row>
    <row r="9428">
      <c r="A9428">
        <v>9427</v>
      </c>
      <c r="B9428">
        <f>GC03</f>
        <v>0</v>
      </c>
      <c r="C9428" t="inlineStr">
        <is>
          <t>+LS10</t>
        </is>
      </c>
      <c r="D9428" t="inlineStr">
        <is>
          <t>-440K24.2</t>
        </is>
      </c>
      <c r="E9428" t="inlineStr">
        <is>
          <t>DIL_EM-10-G</t>
        </is>
      </c>
      <c r="F9428" t="inlineStr">
        <is>
          <t>#KALK!</t>
        </is>
      </c>
      <c r="G9428" t="inlineStr">
        <is>
          <t>LASTSCHUETZ</t>
        </is>
      </c>
      <c r="H9428" t="inlineStr">
        <is>
          <t>4kW 1S</t>
        </is>
      </c>
      <c r="I9428">
        <v>3606</v>
      </c>
      <c r="J9428">
        <f>GC03/440.6</f>
        <v>0</v>
      </c>
      <c r="M9428" t="inlineStr">
        <is>
          <t>-440K24.2</t>
        </is>
      </c>
    </row>
    <row r="9429">
      <c r="A9429">
        <v>9428</v>
      </c>
      <c r="B9429">
        <f>GC03</f>
        <v>0</v>
      </c>
      <c r="C9429" t="inlineStr">
        <is>
          <t>+LS10</t>
        </is>
      </c>
      <c r="D9429" t="inlineStr">
        <is>
          <t>-440K24.3</t>
        </is>
      </c>
      <c r="E9429" t="inlineStr">
        <is>
          <t>DIL_EM-10-G</t>
        </is>
      </c>
      <c r="F9429" t="inlineStr">
        <is>
          <t>#KALK!</t>
        </is>
      </c>
      <c r="G9429" t="inlineStr">
        <is>
          <t>LASTSCHUETZ</t>
        </is>
      </c>
      <c r="H9429" t="inlineStr">
        <is>
          <t>4kW 1S</t>
        </is>
      </c>
      <c r="I9429">
        <v>3606</v>
      </c>
      <c r="J9429">
        <f>GC03/440.7</f>
        <v>0</v>
      </c>
      <c r="M9429" t="inlineStr">
        <is>
          <t>-440K24.3</t>
        </is>
      </c>
    </row>
    <row r="9430">
      <c r="A9430">
        <v>9429</v>
      </c>
      <c r="B9430">
        <f>GS14</f>
        <v>0</v>
      </c>
      <c r="C9430" t="inlineStr">
        <is>
          <t>+LS8</t>
        </is>
      </c>
      <c r="D9430" t="inlineStr">
        <is>
          <t>-440K3503.4</t>
        </is>
      </c>
      <c r="E9430" t="inlineStr">
        <is>
          <t>DIL_EM-10-G</t>
        </is>
      </c>
      <c r="F9430" t="inlineStr">
        <is>
          <t>#KALK!</t>
        </is>
      </c>
      <c r="G9430" t="inlineStr">
        <is>
          <t>LASTSCHUETZ</t>
        </is>
      </c>
      <c r="H9430" t="inlineStr">
        <is>
          <t>4kW 1S</t>
        </is>
      </c>
      <c r="I9430">
        <v>572</v>
      </c>
      <c r="J9430">
        <f>GS14/440.6</f>
        <v>0</v>
      </c>
      <c r="M9430" t="inlineStr">
        <is>
          <t>-440K3503.4</t>
        </is>
      </c>
    </row>
    <row r="9431">
      <c r="A9431">
        <v>9430</v>
      </c>
      <c r="B9431">
        <f>GS37</f>
        <v>0</v>
      </c>
      <c r="C9431" t="inlineStr">
        <is>
          <t>+LS09</t>
        </is>
      </c>
      <c r="D9431" t="inlineStr">
        <is>
          <t>-440K714.0</t>
        </is>
      </c>
      <c r="E9431" t="inlineStr">
        <is>
          <t>DILA-40</t>
        </is>
      </c>
      <c r="F9431" t="inlineStr">
        <is>
          <t>#KALK!</t>
        </is>
      </c>
      <c r="G9431" t="inlineStr">
        <is>
          <t>HILFSSCHUETZ</t>
        </is>
      </c>
      <c r="H9431" t="inlineStr">
        <is>
          <t>4S Federzugkl.</t>
        </is>
      </c>
      <c r="I9431">
        <v>513</v>
      </c>
      <c r="J9431">
        <f>GS37/440.7</f>
        <v>0</v>
      </c>
      <c r="M9431" t="inlineStr">
        <is>
          <t>-440K714.0</t>
        </is>
      </c>
    </row>
    <row r="9432">
      <c r="A9432">
        <v>9431</v>
      </c>
      <c r="B9432">
        <f>GS37</f>
        <v>0</v>
      </c>
      <c r="C9432" t="inlineStr">
        <is>
          <t>+LS09</t>
        </is>
      </c>
      <c r="D9432" t="inlineStr">
        <is>
          <t>-440Q1</t>
        </is>
      </c>
      <c r="E9432" t="inlineStr">
        <is>
          <t>DILMC25-10(RDC24)</t>
        </is>
      </c>
      <c r="F9432" t="inlineStr">
        <is>
          <t>DILA-XHI22</t>
        </is>
      </c>
      <c r="G9432" t="inlineStr">
        <is>
          <t>LASTSCHUETZ</t>
        </is>
      </c>
      <c r="H9432" t="inlineStr">
        <is>
          <t>11kW 1S Federzugkl.</t>
        </is>
      </c>
      <c r="I9432">
        <v>513</v>
      </c>
      <c r="J9432">
        <f>GS37/440.3</f>
        <v>0</v>
      </c>
      <c r="K9432" t="inlineStr">
        <is>
          <t>DIL MC25</t>
        </is>
      </c>
      <c r="M9432" t="inlineStr">
        <is>
          <t>-440Q1</t>
        </is>
      </c>
    </row>
    <row r="9433">
      <c r="A9433">
        <v>9432</v>
      </c>
      <c r="B9433">
        <f>GS37</f>
        <v>0</v>
      </c>
      <c r="C9433" t="inlineStr">
        <is>
          <t>+LS09</t>
        </is>
      </c>
      <c r="D9433" t="inlineStr">
        <is>
          <t>-440Q1</t>
        </is>
      </c>
      <c r="E9433" t="inlineStr">
        <is>
          <t>DILA-XHI22</t>
        </is>
      </c>
      <c r="F9433" t="inlineStr">
        <is>
          <t>DILA-XHI22</t>
        </is>
      </c>
      <c r="G9433" t="inlineStr">
        <is>
          <t>HILFSKONTAKTBLOCK</t>
        </is>
      </c>
      <c r="H9433" t="inlineStr">
        <is>
          <t>2S 2OE Last+Hilfssch. Cage</t>
        </is>
      </c>
      <c r="I9433">
        <v>513</v>
      </c>
      <c r="J9433">
        <f>GS37/440.3</f>
        <v>0</v>
      </c>
      <c r="K9433" t="inlineStr">
        <is>
          <t>DIL MC25</t>
        </is>
      </c>
      <c r="M9433" t="inlineStr">
        <is>
          <t>-440Q1</t>
        </is>
      </c>
    </row>
    <row r="9434">
      <c r="A9434">
        <v>9433</v>
      </c>
      <c r="B9434">
        <f>GS55</f>
        <v>0</v>
      </c>
      <c r="C9434" t="inlineStr">
        <is>
          <t>+LS06</t>
        </is>
      </c>
      <c r="D9434" t="inlineStr">
        <is>
          <t>-440Q1</t>
        </is>
      </c>
      <c r="E9434" t="inlineStr">
        <is>
          <t>DILA-XHI22</t>
        </is>
      </c>
      <c r="F9434" t="inlineStr">
        <is>
          <t>DILA-XHI22</t>
        </is>
      </c>
      <c r="G9434" t="inlineStr">
        <is>
          <t>HILFSKONTAKTBLOCK</t>
        </is>
      </c>
      <c r="H9434" t="inlineStr">
        <is>
          <t>2S 2OE Last+Hilfssch. Cage</t>
        </is>
      </c>
      <c r="I9434">
        <v>711</v>
      </c>
      <c r="J9434">
        <f>GS55/440.6</f>
        <v>0</v>
      </c>
      <c r="K9434" t="inlineStr">
        <is>
          <t>DIL MC25</t>
        </is>
      </c>
      <c r="M9434" t="inlineStr">
        <is>
          <t>-440Q1</t>
        </is>
      </c>
    </row>
    <row r="9435">
      <c r="A9435">
        <v>9434</v>
      </c>
      <c r="B9435">
        <f>GS55</f>
        <v>0</v>
      </c>
      <c r="C9435" t="inlineStr">
        <is>
          <t>+LS06</t>
        </is>
      </c>
      <c r="D9435" t="inlineStr">
        <is>
          <t>-440Q1</t>
        </is>
      </c>
      <c r="E9435" t="inlineStr">
        <is>
          <t>DILMC25-10(RDC24)</t>
        </is>
      </c>
      <c r="F9435" t="inlineStr">
        <is>
          <t>DILA-XHI22</t>
        </is>
      </c>
      <c r="G9435" t="inlineStr">
        <is>
          <t>LASTSCHUETZ</t>
        </is>
      </c>
      <c r="H9435" t="inlineStr">
        <is>
          <t>11kW 1S Federzugkl.</t>
        </is>
      </c>
      <c r="I9435">
        <v>711</v>
      </c>
      <c r="J9435">
        <f>GS55/440.6</f>
        <v>0</v>
      </c>
      <c r="K9435" t="inlineStr">
        <is>
          <t>DIL MC25</t>
        </is>
      </c>
      <c r="M9435" t="inlineStr">
        <is>
          <t>-440Q1</t>
        </is>
      </c>
    </row>
    <row r="9436">
      <c r="A9436">
        <v>9435</v>
      </c>
      <c r="B9436">
        <f>GS04</f>
        <v>0</v>
      </c>
      <c r="C9436" t="inlineStr">
        <is>
          <t>+LS10</t>
        </is>
      </c>
      <c r="D9436" t="inlineStr">
        <is>
          <t>-441K20.7</t>
        </is>
      </c>
      <c r="E9436" t="inlineStr">
        <is>
          <t>DIL_EM-10-G</t>
        </is>
      </c>
      <c r="F9436" t="inlineStr">
        <is>
          <t>#KALK!</t>
        </is>
      </c>
      <c r="G9436" t="inlineStr">
        <is>
          <t>LASTSCHUETZ</t>
        </is>
      </c>
      <c r="H9436" t="inlineStr">
        <is>
          <t>4kW 1S</t>
        </is>
      </c>
      <c r="I9436">
        <v>697</v>
      </c>
      <c r="J9436">
        <f>GS04/441.7</f>
        <v>0</v>
      </c>
      <c r="M9436" t="inlineStr">
        <is>
          <t>-441K20.7</t>
        </is>
      </c>
    </row>
    <row r="9437">
      <c r="A9437">
        <v>9436</v>
      </c>
      <c r="B9437">
        <f>GC03</f>
        <v>0</v>
      </c>
      <c r="C9437" t="inlineStr">
        <is>
          <t>+LS10</t>
        </is>
      </c>
      <c r="D9437" t="inlineStr">
        <is>
          <t>-441K24.7</t>
        </is>
      </c>
      <c r="E9437" t="inlineStr">
        <is>
          <t>DIL_EM-10-G</t>
        </is>
      </c>
      <c r="F9437" t="inlineStr">
        <is>
          <t>#KALK!</t>
        </is>
      </c>
      <c r="G9437" t="inlineStr">
        <is>
          <t>LASTSCHUETZ</t>
        </is>
      </c>
      <c r="H9437" t="inlineStr">
        <is>
          <t>4kW 1S</t>
        </is>
      </c>
      <c r="I9437">
        <v>3607</v>
      </c>
      <c r="J9437">
        <f>GC03/441.7</f>
        <v>0</v>
      </c>
      <c r="M9437" t="inlineStr">
        <is>
          <t>-441K24.7</t>
        </is>
      </c>
    </row>
    <row r="9438">
      <c r="A9438">
        <v>9437</v>
      </c>
      <c r="B9438">
        <f>GS14</f>
        <v>0</v>
      </c>
      <c r="C9438" t="inlineStr">
        <is>
          <t>+LS8</t>
        </is>
      </c>
      <c r="D9438" t="inlineStr">
        <is>
          <t>-441K3503.5</t>
        </is>
      </c>
      <c r="E9438" t="inlineStr">
        <is>
          <t>DIL_EM-10-G</t>
        </is>
      </c>
      <c r="F9438" t="inlineStr">
        <is>
          <t>#KALK!</t>
        </is>
      </c>
      <c r="G9438" t="inlineStr">
        <is>
          <t>LASTSCHUETZ</t>
        </is>
      </c>
      <c r="H9438" t="inlineStr">
        <is>
          <t>4kW 1S</t>
        </is>
      </c>
      <c r="I9438">
        <v>573</v>
      </c>
      <c r="J9438">
        <f>GS14/441.6</f>
        <v>0</v>
      </c>
      <c r="M9438" t="inlineStr">
        <is>
          <t>-441K3503.5</t>
        </is>
      </c>
    </row>
    <row r="9439">
      <c r="A9439">
        <v>9438</v>
      </c>
      <c r="B9439">
        <f>GS14</f>
        <v>0</v>
      </c>
      <c r="C9439" t="inlineStr">
        <is>
          <t>+LS8</t>
        </is>
      </c>
      <c r="D9439" t="inlineStr">
        <is>
          <t>-441K3504.0</t>
        </is>
      </c>
      <c r="E9439" t="inlineStr">
        <is>
          <t>DIL_EM-10-G</t>
        </is>
      </c>
      <c r="F9439" t="inlineStr">
        <is>
          <t>#KALK!</t>
        </is>
      </c>
      <c r="G9439" t="inlineStr">
        <is>
          <t>LASTSCHUETZ</t>
        </is>
      </c>
      <c r="H9439" t="inlineStr">
        <is>
          <t>4kW 1S</t>
        </is>
      </c>
      <c r="I9439">
        <v>573</v>
      </c>
      <c r="J9439">
        <f>GS14/441.7</f>
        <v>0</v>
      </c>
      <c r="M9439" t="inlineStr">
        <is>
          <t>-441K3504.0</t>
        </is>
      </c>
    </row>
    <row r="9440">
      <c r="A9440">
        <v>9439</v>
      </c>
      <c r="B9440">
        <f>GS15</f>
        <v>0</v>
      </c>
      <c r="C9440" t="inlineStr">
        <is>
          <t>+LS9</t>
        </is>
      </c>
      <c r="D9440" t="inlineStr">
        <is>
          <t>-441K38.7</t>
        </is>
      </c>
      <c r="E9440" t="inlineStr">
        <is>
          <t>DIL_EM-10-G</t>
        </is>
      </c>
      <c r="F9440" t="inlineStr">
        <is>
          <t>#KALK!</t>
        </is>
      </c>
      <c r="G9440" t="inlineStr">
        <is>
          <t>LASTSCHUETZ</t>
        </is>
      </c>
      <c r="H9440" t="inlineStr">
        <is>
          <t>4kW 1S</t>
        </is>
      </c>
      <c r="I9440">
        <v>943</v>
      </c>
      <c r="J9440">
        <f>GS15/441.5</f>
        <v>0</v>
      </c>
      <c r="M9440" t="inlineStr">
        <is>
          <t>-441K38.7</t>
        </is>
      </c>
    </row>
    <row r="9441">
      <c r="A9441">
        <v>9440</v>
      </c>
      <c r="B9441">
        <f>GS15</f>
        <v>0</v>
      </c>
      <c r="C9441" t="inlineStr">
        <is>
          <t>+LS9</t>
        </is>
      </c>
      <c r="D9441" t="inlineStr">
        <is>
          <t>-441K39.0</t>
        </is>
      </c>
      <c r="E9441" t="inlineStr">
        <is>
          <t>DIL_EM-10-G</t>
        </is>
      </c>
      <c r="F9441" t="inlineStr">
        <is>
          <t>#KALK!</t>
        </is>
      </c>
      <c r="G9441" t="inlineStr">
        <is>
          <t>LASTSCHUETZ</t>
        </is>
      </c>
      <c r="H9441" t="inlineStr">
        <is>
          <t>4kW 1S</t>
        </is>
      </c>
      <c r="I9441">
        <v>943</v>
      </c>
      <c r="J9441">
        <f>GS15/441.6</f>
        <v>0</v>
      </c>
      <c r="M9441" t="inlineStr">
        <is>
          <t>-441K39.0</t>
        </is>
      </c>
    </row>
    <row r="9442">
      <c r="A9442">
        <v>9441</v>
      </c>
      <c r="B9442">
        <f>GS15</f>
        <v>0</v>
      </c>
      <c r="C9442" t="inlineStr">
        <is>
          <t>+LS9</t>
        </is>
      </c>
      <c r="D9442" t="inlineStr">
        <is>
          <t>-441K39.1</t>
        </is>
      </c>
      <c r="E9442" t="inlineStr">
        <is>
          <t>DIL_EM-01-G</t>
        </is>
      </c>
      <c r="F9442" t="inlineStr">
        <is>
          <t>#KALK!</t>
        </is>
      </c>
      <c r="G9442" t="inlineStr">
        <is>
          <t>LASTSCHUETZ</t>
        </is>
      </c>
      <c r="H9442" t="inlineStr">
        <is>
          <t>4kW 1OE</t>
        </is>
      </c>
      <c r="I9442">
        <v>943</v>
      </c>
      <c r="J9442">
        <f>GS15/441.7</f>
        <v>0</v>
      </c>
      <c r="M9442" t="inlineStr">
        <is>
          <t>-441K39.1</t>
        </is>
      </c>
    </row>
    <row r="9443">
      <c r="A9443">
        <v>9442</v>
      </c>
      <c r="B9443">
        <f>GS15</f>
        <v>0</v>
      </c>
      <c r="C9443" t="inlineStr">
        <is>
          <t>+LS9</t>
        </is>
      </c>
      <c r="D9443" t="inlineStr">
        <is>
          <t>-441K39.2</t>
        </is>
      </c>
      <c r="E9443" t="inlineStr">
        <is>
          <t>DIL_EM-01-G</t>
        </is>
      </c>
      <c r="F9443" t="inlineStr">
        <is>
          <t>#KALK!</t>
        </is>
      </c>
      <c r="G9443" t="inlineStr">
        <is>
          <t>LASTSCHUETZ</t>
        </is>
      </c>
      <c r="H9443" t="inlineStr">
        <is>
          <t>4kW 1OE</t>
        </is>
      </c>
      <c r="I9443">
        <v>943</v>
      </c>
      <c r="J9443">
        <f>GS15/441.8</f>
        <v>0</v>
      </c>
      <c r="M9443" t="inlineStr">
        <is>
          <t>-441K39.2</t>
        </is>
      </c>
    </row>
    <row r="9444">
      <c r="A9444">
        <v>9443</v>
      </c>
      <c r="B9444">
        <f>GS37</f>
        <v>0</v>
      </c>
      <c r="C9444" t="inlineStr">
        <is>
          <t>+LS09</t>
        </is>
      </c>
      <c r="D9444" t="inlineStr">
        <is>
          <t>-441Q714.2</t>
        </is>
      </c>
      <c r="E9444" t="inlineStr">
        <is>
          <t>DILM-9-10</t>
        </is>
      </c>
      <c r="F9444" t="inlineStr">
        <is>
          <t>#KALK!</t>
        </is>
      </c>
      <c r="G9444" t="inlineStr">
        <is>
          <t>LASTSCHUETZ</t>
        </is>
      </c>
      <c r="H9444" t="inlineStr">
        <is>
          <t>4kW 1S Federzugkl.</t>
        </is>
      </c>
      <c r="I9444">
        <v>512</v>
      </c>
      <c r="J9444">
        <f>GS37/441.6</f>
        <v>0</v>
      </c>
      <c r="M9444" t="inlineStr">
        <is>
          <t>-441Q714.2</t>
        </is>
      </c>
    </row>
    <row r="9445">
      <c r="A9445">
        <v>9444</v>
      </c>
      <c r="B9445">
        <f>GC22</f>
        <v>0</v>
      </c>
      <c r="C9445" t="inlineStr">
        <is>
          <t>+LS6</t>
        </is>
      </c>
      <c r="D9445" t="inlineStr">
        <is>
          <t>-442K1</t>
        </is>
      </c>
      <c r="E9445" t="inlineStr">
        <is>
          <t>31 DIL M</t>
        </is>
      </c>
      <c r="F9445" t="inlineStr">
        <is>
          <t>31 DIL M</t>
        </is>
      </c>
      <c r="G9445" t="inlineStr">
        <is>
          <t>HILFSKONTAKTBLOCK</t>
        </is>
      </c>
      <c r="H9445" t="inlineStr">
        <is>
          <t>3S 1OE Lastschuetz DIL M</t>
        </is>
      </c>
      <c r="I9445">
        <v>3241</v>
      </c>
      <c r="J9445">
        <f>GC22/442.5</f>
        <v>0</v>
      </c>
      <c r="K9445" t="inlineStr">
        <is>
          <t>DIL2AM</t>
        </is>
      </c>
      <c r="M9445" t="inlineStr">
        <is>
          <t>-442K1</t>
        </is>
      </c>
    </row>
    <row r="9446">
      <c r="A9446">
        <v>9445</v>
      </c>
      <c r="B9446">
        <f>GC22</f>
        <v>0</v>
      </c>
      <c r="C9446" t="inlineStr">
        <is>
          <t>+LS6</t>
        </is>
      </c>
      <c r="D9446" t="inlineStr">
        <is>
          <t>-442K1</t>
        </is>
      </c>
      <c r="E9446" t="inlineStr">
        <is>
          <t>DIL_2AM</t>
        </is>
      </c>
      <c r="F9446" t="inlineStr">
        <is>
          <t>31 DIL M</t>
        </is>
      </c>
      <c r="G9446" t="inlineStr">
        <is>
          <t>LASTSCHUETZ</t>
        </is>
      </c>
      <c r="H9446" t="inlineStr">
        <is>
          <t>30 kW</t>
        </is>
      </c>
      <c r="I9446">
        <v>3241</v>
      </c>
      <c r="J9446">
        <f>GC22/442.5</f>
        <v>0</v>
      </c>
      <c r="K9446" t="inlineStr">
        <is>
          <t>DIL2AM</t>
        </is>
      </c>
      <c r="M9446" t="inlineStr">
        <is>
          <t>-442K1</t>
        </is>
      </c>
    </row>
    <row r="9447">
      <c r="A9447">
        <v>9446</v>
      </c>
      <c r="B9447">
        <f>GS12</f>
        <v>0</v>
      </c>
      <c r="C9447" t="inlineStr">
        <is>
          <t>+LS6</t>
        </is>
      </c>
      <c r="D9447" t="inlineStr">
        <is>
          <t>-442K1</t>
        </is>
      </c>
      <c r="E9447" t="inlineStr">
        <is>
          <t>DIL_2AM</t>
        </is>
      </c>
      <c r="F9447" t="inlineStr">
        <is>
          <t>31 DIL M</t>
        </is>
      </c>
      <c r="G9447" t="inlineStr">
        <is>
          <t>LASTSCHUETZ</t>
        </is>
      </c>
      <c r="H9447" t="inlineStr">
        <is>
          <t>30 kW</t>
        </is>
      </c>
      <c r="I9447">
        <v>574</v>
      </c>
      <c r="J9447">
        <f>GS12/442.5</f>
        <v>0</v>
      </c>
      <c r="K9447" t="inlineStr">
        <is>
          <t>DIL2AM</t>
        </is>
      </c>
      <c r="M9447" t="inlineStr">
        <is>
          <t>-442K1</t>
        </is>
      </c>
    </row>
    <row r="9448">
      <c r="A9448">
        <v>9447</v>
      </c>
      <c r="B9448">
        <f>GS12</f>
        <v>0</v>
      </c>
      <c r="C9448" t="inlineStr">
        <is>
          <t>+LS6</t>
        </is>
      </c>
      <c r="D9448" t="inlineStr">
        <is>
          <t>-442K1</t>
        </is>
      </c>
      <c r="E9448" t="inlineStr">
        <is>
          <t>31 DIL M</t>
        </is>
      </c>
      <c r="F9448" t="inlineStr">
        <is>
          <t>31 DIL M</t>
        </is>
      </c>
      <c r="G9448" t="inlineStr">
        <is>
          <t>HILFSKONTAKTBLOCK</t>
        </is>
      </c>
      <c r="H9448" t="inlineStr">
        <is>
          <t>3S 1OE Lastschuetz DIL M</t>
        </is>
      </c>
      <c r="I9448">
        <v>574</v>
      </c>
      <c r="J9448">
        <f>GS12/442.5</f>
        <v>0</v>
      </c>
      <c r="K9448" t="inlineStr">
        <is>
          <t>DIL2AM</t>
        </is>
      </c>
      <c r="M9448" t="inlineStr">
        <is>
          <t>-442K1</t>
        </is>
      </c>
    </row>
    <row r="9449">
      <c r="A9449">
        <v>9448</v>
      </c>
      <c r="B9449">
        <f>GS38</f>
        <v>0</v>
      </c>
      <c r="C9449" t="inlineStr">
        <is>
          <t>+LS10</t>
        </is>
      </c>
      <c r="D9449" t="inlineStr">
        <is>
          <t>-442K1</t>
        </is>
      </c>
      <c r="E9449" t="inlineStr">
        <is>
          <t>DILM-9-01</t>
        </is>
      </c>
      <c r="F9449" t="inlineStr">
        <is>
          <t>#KALK!</t>
        </is>
      </c>
      <c r="G9449" t="inlineStr">
        <is>
          <t>LASTSCHUETZ</t>
        </is>
      </c>
      <c r="H9449" t="inlineStr">
        <is>
          <t>4kW 1Oe Federzugkl.</t>
        </is>
      </c>
      <c r="I9449">
        <v>570</v>
      </c>
      <c r="J9449">
        <f>GS38/442.5</f>
        <v>0</v>
      </c>
      <c r="M9449" t="inlineStr">
        <is>
          <t>-442K1</t>
        </is>
      </c>
    </row>
    <row r="9450">
      <c r="A9450">
        <v>9449</v>
      </c>
      <c r="B9450">
        <f>GS39</f>
        <v>0</v>
      </c>
      <c r="C9450" t="inlineStr">
        <is>
          <t>+LS10</t>
        </is>
      </c>
      <c r="D9450" t="inlineStr">
        <is>
          <t>-442K1</t>
        </is>
      </c>
      <c r="E9450" t="inlineStr">
        <is>
          <t>DILM-9-01</t>
        </is>
      </c>
      <c r="F9450" t="inlineStr">
        <is>
          <t>#KALK!</t>
        </is>
      </c>
      <c r="G9450" t="inlineStr">
        <is>
          <t>LASTSCHUETZ</t>
        </is>
      </c>
      <c r="H9450" t="inlineStr">
        <is>
          <t>4kW 1Oe Federzugkl.</t>
        </is>
      </c>
      <c r="I9450">
        <v>616</v>
      </c>
      <c r="J9450">
        <f>GS39/442.5</f>
        <v>0</v>
      </c>
      <c r="M9450" t="inlineStr">
        <is>
          <t>-442K1</t>
        </is>
      </c>
    </row>
    <row r="9451">
      <c r="A9451">
        <v>9450</v>
      </c>
      <c r="B9451">
        <f>GS38</f>
        <v>0</v>
      </c>
      <c r="C9451" t="inlineStr">
        <is>
          <t>+LS10</t>
        </is>
      </c>
      <c r="D9451" t="inlineStr">
        <is>
          <t>-442K2</t>
        </is>
      </c>
      <c r="E9451" t="inlineStr">
        <is>
          <t>DILM-9-01</t>
        </is>
      </c>
      <c r="F9451" t="inlineStr">
        <is>
          <t>#KALK!</t>
        </is>
      </c>
      <c r="G9451" t="inlineStr">
        <is>
          <t>LASTSCHUETZ</t>
        </is>
      </c>
      <c r="H9451" t="inlineStr">
        <is>
          <t>4kW 1Oe Federzugkl.</t>
        </is>
      </c>
      <c r="I9451">
        <v>570</v>
      </c>
      <c r="J9451">
        <f>GS38/442.6</f>
        <v>0</v>
      </c>
      <c r="M9451" t="inlineStr">
        <is>
          <t>-442K2</t>
        </is>
      </c>
    </row>
    <row r="9452">
      <c r="A9452">
        <v>9451</v>
      </c>
      <c r="B9452">
        <f>GS39</f>
        <v>0</v>
      </c>
      <c r="C9452" t="inlineStr">
        <is>
          <t>+LS10</t>
        </is>
      </c>
      <c r="D9452" t="inlineStr">
        <is>
          <t>-442K2</t>
        </is>
      </c>
      <c r="E9452" t="inlineStr">
        <is>
          <t>DILM-9-01</t>
        </is>
      </c>
      <c r="F9452" t="inlineStr">
        <is>
          <t>#KALK!</t>
        </is>
      </c>
      <c r="G9452" t="inlineStr">
        <is>
          <t>LASTSCHUETZ</t>
        </is>
      </c>
      <c r="H9452" t="inlineStr">
        <is>
          <t>4kW 1Oe Federzugkl.</t>
        </is>
      </c>
      <c r="I9452">
        <v>616</v>
      </c>
      <c r="J9452">
        <f>GS39/442.6</f>
        <v>0</v>
      </c>
      <c r="M9452" t="inlineStr">
        <is>
          <t>-442K2</t>
        </is>
      </c>
    </row>
    <row r="9453">
      <c r="A9453">
        <v>9452</v>
      </c>
      <c r="B9453">
        <f>GS04</f>
        <v>0</v>
      </c>
      <c r="C9453" t="inlineStr">
        <is>
          <t>+LS10</t>
        </is>
      </c>
      <c r="D9453" t="inlineStr">
        <is>
          <t>-442K21.3</t>
        </is>
      </c>
      <c r="E9453" t="inlineStr">
        <is>
          <t>DIL_EM-10-G</t>
        </is>
      </c>
      <c r="F9453" t="inlineStr">
        <is>
          <t>#KALK!</t>
        </is>
      </c>
      <c r="G9453" t="inlineStr">
        <is>
          <t>LASTSCHUETZ</t>
        </is>
      </c>
      <c r="H9453" t="inlineStr">
        <is>
          <t>4kW 1S</t>
        </is>
      </c>
      <c r="I9453">
        <v>698</v>
      </c>
      <c r="J9453">
        <f>GS04/442.7</f>
        <v>0</v>
      </c>
      <c r="M9453" t="inlineStr">
        <is>
          <t>-442K21.3</t>
        </is>
      </c>
    </row>
    <row r="9454">
      <c r="A9454">
        <v>9453</v>
      </c>
      <c r="B9454">
        <f>GC03</f>
        <v>0</v>
      </c>
      <c r="C9454" t="inlineStr">
        <is>
          <t>+LS10</t>
        </is>
      </c>
      <c r="D9454" t="inlineStr">
        <is>
          <t>-442K25.0</t>
        </is>
      </c>
      <c r="E9454" t="inlineStr">
        <is>
          <t>DIL_EM-10-G</t>
        </is>
      </c>
      <c r="F9454" t="inlineStr">
        <is>
          <t>#KALK!</t>
        </is>
      </c>
      <c r="G9454" t="inlineStr">
        <is>
          <t>LASTSCHUETZ</t>
        </is>
      </c>
      <c r="H9454" t="inlineStr">
        <is>
          <t>4kW 1S</t>
        </is>
      </c>
      <c r="I9454">
        <v>3608</v>
      </c>
      <c r="J9454">
        <f>GC03/442.6</f>
        <v>0</v>
      </c>
      <c r="M9454" t="inlineStr">
        <is>
          <t>-442K25.0</t>
        </is>
      </c>
    </row>
    <row r="9455">
      <c r="A9455">
        <v>9454</v>
      </c>
      <c r="B9455">
        <f>GS14</f>
        <v>0</v>
      </c>
      <c r="C9455" t="inlineStr">
        <is>
          <t>+LS8</t>
        </is>
      </c>
      <c r="D9455" t="inlineStr">
        <is>
          <t>-442K3504.1</t>
        </is>
      </c>
      <c r="E9455" t="inlineStr">
        <is>
          <t>DIL_EM-10-G</t>
        </is>
      </c>
      <c r="F9455" t="inlineStr">
        <is>
          <t>#KALK!</t>
        </is>
      </c>
      <c r="G9455" t="inlineStr">
        <is>
          <t>LASTSCHUETZ</t>
        </is>
      </c>
      <c r="H9455" t="inlineStr">
        <is>
          <t>4kW 1S</t>
        </is>
      </c>
      <c r="I9455">
        <v>574</v>
      </c>
      <c r="J9455">
        <f>GS14/442.6</f>
        <v>0</v>
      </c>
      <c r="M9455" t="inlineStr">
        <is>
          <t>-442K3504.1</t>
        </is>
      </c>
    </row>
    <row r="9456">
      <c r="A9456">
        <v>9455</v>
      </c>
      <c r="B9456">
        <f>GS14</f>
        <v>0</v>
      </c>
      <c r="C9456" t="inlineStr">
        <is>
          <t>+LS8</t>
        </is>
      </c>
      <c r="D9456" t="inlineStr">
        <is>
          <t>-442K3504.2</t>
        </is>
      </c>
      <c r="E9456" t="inlineStr">
        <is>
          <t>DIL_EM-10-G</t>
        </is>
      </c>
      <c r="F9456" t="inlineStr">
        <is>
          <t>#KALK!</t>
        </is>
      </c>
      <c r="G9456" t="inlineStr">
        <is>
          <t>LASTSCHUETZ</t>
        </is>
      </c>
      <c r="H9456" t="inlineStr">
        <is>
          <t>4kW 1S</t>
        </is>
      </c>
      <c r="I9456">
        <v>574</v>
      </c>
      <c r="J9456">
        <f>GS14/442.7</f>
        <v>0</v>
      </c>
      <c r="M9456" t="inlineStr">
        <is>
          <t>-442K3504.2</t>
        </is>
      </c>
    </row>
    <row r="9457">
      <c r="A9457">
        <v>9456</v>
      </c>
      <c r="B9457">
        <f>GS37</f>
        <v>0</v>
      </c>
      <c r="C9457" t="inlineStr">
        <is>
          <t>+LS09</t>
        </is>
      </c>
      <c r="D9457" t="inlineStr">
        <is>
          <t>-442Q714.4</t>
        </is>
      </c>
      <c r="E9457" t="inlineStr">
        <is>
          <t>DILM-9-10</t>
        </is>
      </c>
      <c r="F9457" t="inlineStr">
        <is>
          <t>#KALK!</t>
        </is>
      </c>
      <c r="G9457" t="inlineStr">
        <is>
          <t>LASTSCHUETZ</t>
        </is>
      </c>
      <c r="H9457" t="inlineStr">
        <is>
          <t>4kW 1S Federzugkl.</t>
        </is>
      </c>
      <c r="I9457">
        <v>511</v>
      </c>
      <c r="J9457">
        <f>GS37/442.6</f>
        <v>0</v>
      </c>
      <c r="M9457" t="inlineStr">
        <is>
          <t>-442Q714.4</t>
        </is>
      </c>
    </row>
    <row r="9458">
      <c r="A9458">
        <v>9457</v>
      </c>
      <c r="B9458">
        <f>GS38</f>
        <v>0</v>
      </c>
      <c r="C9458" t="inlineStr">
        <is>
          <t>+LS10</t>
        </is>
      </c>
      <c r="D9458" t="inlineStr">
        <is>
          <t>-443K1</t>
        </is>
      </c>
      <c r="E9458" t="inlineStr">
        <is>
          <t>DILM-9-01</t>
        </is>
      </c>
      <c r="F9458" t="inlineStr">
        <is>
          <t>#KALK!</t>
        </is>
      </c>
      <c r="G9458" t="inlineStr">
        <is>
          <t>LASTSCHUETZ</t>
        </is>
      </c>
      <c r="H9458" t="inlineStr">
        <is>
          <t>4kW 1Oe Federzugkl.</t>
        </is>
      </c>
      <c r="I9458">
        <v>598</v>
      </c>
      <c r="J9458">
        <f>GS38/443.5</f>
        <v>0</v>
      </c>
      <c r="M9458" t="inlineStr">
        <is>
          <t>-443K1</t>
        </is>
      </c>
    </row>
    <row r="9459">
      <c r="A9459">
        <v>9458</v>
      </c>
      <c r="B9459">
        <f>GS39</f>
        <v>0</v>
      </c>
      <c r="C9459" t="inlineStr">
        <is>
          <t>+LS10</t>
        </is>
      </c>
      <c r="D9459" t="inlineStr">
        <is>
          <t>-443K1</t>
        </is>
      </c>
      <c r="E9459" t="inlineStr">
        <is>
          <t>DILM-9-01</t>
        </is>
      </c>
      <c r="F9459" t="inlineStr">
        <is>
          <t>#KALK!</t>
        </is>
      </c>
      <c r="G9459" t="inlineStr">
        <is>
          <t>LASTSCHUETZ</t>
        </is>
      </c>
      <c r="H9459" t="inlineStr">
        <is>
          <t>4kW 1Oe Federzugkl.</t>
        </is>
      </c>
      <c r="I9459">
        <v>617</v>
      </c>
      <c r="J9459">
        <f>GS39/443.5</f>
        <v>0</v>
      </c>
      <c r="M9459" t="inlineStr">
        <is>
          <t>-443K1</t>
        </is>
      </c>
    </row>
    <row r="9460">
      <c r="A9460">
        <v>9459</v>
      </c>
      <c r="B9460">
        <f>GS01</f>
        <v>0</v>
      </c>
      <c r="C9460" t="inlineStr">
        <is>
          <t>+LS9</t>
        </is>
      </c>
      <c r="D9460" t="inlineStr">
        <is>
          <t>-443K14.0</t>
        </is>
      </c>
      <c r="E9460" t="inlineStr">
        <is>
          <t>DIL_EM-10-G</t>
        </is>
      </c>
      <c r="F9460" t="inlineStr">
        <is>
          <t>#KALK!</t>
        </is>
      </c>
      <c r="G9460" t="inlineStr">
        <is>
          <t>LASTSCHUETZ</t>
        </is>
      </c>
      <c r="H9460" t="inlineStr">
        <is>
          <t>4kW 1S</t>
        </is>
      </c>
      <c r="I9460">
        <v>607</v>
      </c>
      <c r="J9460">
        <f>GS01/443.6</f>
        <v>0</v>
      </c>
      <c r="M9460" t="inlineStr">
        <is>
          <t>-443K14.0</t>
        </is>
      </c>
    </row>
    <row r="9461">
      <c r="A9461">
        <v>9460</v>
      </c>
      <c r="B9461">
        <f>GS01</f>
        <v>0</v>
      </c>
      <c r="C9461" t="inlineStr">
        <is>
          <t>+LS9</t>
        </is>
      </c>
      <c r="D9461" t="inlineStr">
        <is>
          <t>-443K14.1</t>
        </is>
      </c>
      <c r="E9461" t="inlineStr">
        <is>
          <t>DIL_EM-10-G</t>
        </is>
      </c>
      <c r="F9461" t="inlineStr">
        <is>
          <t>#KALK!</t>
        </is>
      </c>
      <c r="G9461" t="inlineStr">
        <is>
          <t>LASTSCHUETZ</t>
        </is>
      </c>
      <c r="H9461" t="inlineStr">
        <is>
          <t>4kW 1S</t>
        </is>
      </c>
      <c r="I9461">
        <v>607</v>
      </c>
      <c r="J9461">
        <f>GS01/443.6</f>
        <v>0</v>
      </c>
      <c r="M9461" t="inlineStr">
        <is>
          <t>-443K14.1</t>
        </is>
      </c>
    </row>
    <row r="9462">
      <c r="A9462">
        <v>9461</v>
      </c>
      <c r="B9462">
        <f>GS38</f>
        <v>0</v>
      </c>
      <c r="C9462" t="inlineStr">
        <is>
          <t>+LS10</t>
        </is>
      </c>
      <c r="D9462" t="inlineStr">
        <is>
          <t>-443K2</t>
        </is>
      </c>
      <c r="E9462" t="inlineStr">
        <is>
          <t>DILM-9-01</t>
        </is>
      </c>
      <c r="F9462" t="inlineStr">
        <is>
          <t>#KALK!</t>
        </is>
      </c>
      <c r="G9462" t="inlineStr">
        <is>
          <t>LASTSCHUETZ</t>
        </is>
      </c>
      <c r="H9462" t="inlineStr">
        <is>
          <t>4kW 1Oe Federzugkl.</t>
        </is>
      </c>
      <c r="I9462">
        <v>598</v>
      </c>
      <c r="J9462">
        <f>GS38/443.6</f>
        <v>0</v>
      </c>
      <c r="M9462" t="inlineStr">
        <is>
          <t>-443K2</t>
        </is>
      </c>
    </row>
    <row r="9463">
      <c r="A9463">
        <v>9462</v>
      </c>
      <c r="B9463">
        <f>GS39</f>
        <v>0</v>
      </c>
      <c r="C9463" t="inlineStr">
        <is>
          <t>+LS10</t>
        </is>
      </c>
      <c r="D9463" t="inlineStr">
        <is>
          <t>-443K2</t>
        </is>
      </c>
      <c r="E9463" t="inlineStr">
        <is>
          <t>DILM-9-01</t>
        </is>
      </c>
      <c r="F9463" t="inlineStr">
        <is>
          <t>#KALK!</t>
        </is>
      </c>
      <c r="G9463" t="inlineStr">
        <is>
          <t>LASTSCHUETZ</t>
        </is>
      </c>
      <c r="H9463" t="inlineStr">
        <is>
          <t>4kW 1Oe Federzugkl.</t>
        </is>
      </c>
      <c r="I9463">
        <v>617</v>
      </c>
      <c r="J9463">
        <f>GS39/443.6</f>
        <v>0</v>
      </c>
      <c r="M9463" t="inlineStr">
        <is>
          <t>-443K2</t>
        </is>
      </c>
    </row>
    <row r="9464">
      <c r="A9464">
        <v>9463</v>
      </c>
      <c r="B9464">
        <f>GS04</f>
        <v>0</v>
      </c>
      <c r="C9464" t="inlineStr">
        <is>
          <t>+LS10</t>
        </is>
      </c>
      <c r="D9464" t="inlineStr">
        <is>
          <t>-443K21.7</t>
        </is>
      </c>
      <c r="E9464" t="inlineStr">
        <is>
          <t>DIL_EM-10-G</t>
        </is>
      </c>
      <c r="F9464" t="inlineStr">
        <is>
          <t>#KALK!</t>
        </is>
      </c>
      <c r="G9464" t="inlineStr">
        <is>
          <t>LASTSCHUETZ</t>
        </is>
      </c>
      <c r="H9464" t="inlineStr">
        <is>
          <t>4kW 1S</t>
        </is>
      </c>
      <c r="I9464">
        <v>699</v>
      </c>
      <c r="J9464">
        <f>GS04/443.7</f>
        <v>0</v>
      </c>
      <c r="M9464" t="inlineStr">
        <is>
          <t>-443K21.7</t>
        </is>
      </c>
    </row>
    <row r="9465">
      <c r="A9465">
        <v>9464</v>
      </c>
      <c r="B9465">
        <f>GC03</f>
        <v>0</v>
      </c>
      <c r="C9465" t="inlineStr">
        <is>
          <t>+LS10</t>
        </is>
      </c>
      <c r="D9465" t="inlineStr">
        <is>
          <t>-443K25.1</t>
        </is>
      </c>
      <c r="E9465" t="inlineStr">
        <is>
          <t>DIL_EM-10-G</t>
        </is>
      </c>
      <c r="F9465" t="inlineStr">
        <is>
          <t>#KALK!</t>
        </is>
      </c>
      <c r="G9465" t="inlineStr">
        <is>
          <t>LASTSCHUETZ</t>
        </is>
      </c>
      <c r="H9465" t="inlineStr">
        <is>
          <t>4kW 1S</t>
        </is>
      </c>
      <c r="I9465">
        <v>3609</v>
      </c>
      <c r="J9465">
        <f>GC03/443.6</f>
        <v>0</v>
      </c>
      <c r="M9465" t="inlineStr">
        <is>
          <t>-443K25.1</t>
        </is>
      </c>
    </row>
    <row r="9466">
      <c r="A9466">
        <v>9465</v>
      </c>
      <c r="B9466">
        <f>GC03</f>
        <v>0</v>
      </c>
      <c r="C9466" t="inlineStr">
        <is>
          <t>+LS10</t>
        </is>
      </c>
      <c r="D9466" t="inlineStr">
        <is>
          <t>-443K25.2</t>
        </is>
      </c>
      <c r="E9466" t="inlineStr">
        <is>
          <t>DIL_EM-10-G</t>
        </is>
      </c>
      <c r="F9466" t="inlineStr">
        <is>
          <t>#KALK!</t>
        </is>
      </c>
      <c r="G9466" t="inlineStr">
        <is>
          <t>LASTSCHUETZ</t>
        </is>
      </c>
      <c r="H9466" t="inlineStr">
        <is>
          <t>4kW 1S</t>
        </is>
      </c>
      <c r="I9466">
        <v>3609</v>
      </c>
      <c r="J9466">
        <f>GC03/443.7</f>
        <v>0</v>
      </c>
      <c r="M9466" t="inlineStr">
        <is>
          <t>-443K25.2</t>
        </is>
      </c>
    </row>
    <row r="9467">
      <c r="A9467">
        <v>9466</v>
      </c>
      <c r="B9467">
        <f>GS14</f>
        <v>0</v>
      </c>
      <c r="C9467" t="inlineStr">
        <is>
          <t>+LS10</t>
        </is>
      </c>
      <c r="D9467" t="inlineStr">
        <is>
          <t>-443K3504.6</t>
        </is>
      </c>
      <c r="E9467" t="inlineStr">
        <is>
          <t>DIL_EM-10-G</t>
        </is>
      </c>
      <c r="F9467" t="inlineStr">
        <is>
          <t>#KALK!</t>
        </is>
      </c>
      <c r="G9467" t="inlineStr">
        <is>
          <t>LASTSCHUETZ</t>
        </is>
      </c>
      <c r="H9467" t="inlineStr">
        <is>
          <t>4kW 1S</t>
        </is>
      </c>
      <c r="I9467">
        <v>575</v>
      </c>
      <c r="J9467">
        <f>GS14/443.7</f>
        <v>0</v>
      </c>
      <c r="M9467" t="inlineStr">
        <is>
          <t>-443K3504.6</t>
        </is>
      </c>
    </row>
    <row r="9468">
      <c r="A9468">
        <v>9467</v>
      </c>
      <c r="B9468">
        <f>GS15</f>
        <v>0</v>
      </c>
      <c r="C9468" t="inlineStr">
        <is>
          <t>+LS9</t>
        </is>
      </c>
      <c r="D9468" t="inlineStr">
        <is>
          <t>-443K40.1</t>
        </is>
      </c>
      <c r="E9468" t="inlineStr">
        <is>
          <t>DIL_EM-10-G</t>
        </is>
      </c>
      <c r="F9468" t="inlineStr">
        <is>
          <t>#KALK!</t>
        </is>
      </c>
      <c r="G9468" t="inlineStr">
        <is>
          <t>LASTSCHUETZ</t>
        </is>
      </c>
      <c r="H9468" t="inlineStr">
        <is>
          <t>4kW 1S</t>
        </is>
      </c>
      <c r="I9468">
        <v>945</v>
      </c>
      <c r="J9468">
        <f>GS15/443.5</f>
        <v>0</v>
      </c>
      <c r="M9468" t="inlineStr">
        <is>
          <t>-443K40.1</t>
        </is>
      </c>
    </row>
    <row r="9469">
      <c r="A9469">
        <v>9468</v>
      </c>
      <c r="B9469">
        <f>GS15</f>
        <v>0</v>
      </c>
      <c r="C9469" t="inlineStr">
        <is>
          <t>+LS9</t>
        </is>
      </c>
      <c r="D9469" t="inlineStr">
        <is>
          <t>-443K40.2</t>
        </is>
      </c>
      <c r="E9469" t="inlineStr">
        <is>
          <t>DIL_EM-10-G</t>
        </is>
      </c>
      <c r="F9469" t="inlineStr">
        <is>
          <t>#KALK!</t>
        </is>
      </c>
      <c r="G9469" t="inlineStr">
        <is>
          <t>LASTSCHUETZ</t>
        </is>
      </c>
      <c r="H9469" t="inlineStr">
        <is>
          <t>4kW 1S</t>
        </is>
      </c>
      <c r="I9469">
        <v>945</v>
      </c>
      <c r="J9469">
        <f>GS15/443.6</f>
        <v>0</v>
      </c>
      <c r="M9469" t="inlineStr">
        <is>
          <t>-443K40.2</t>
        </is>
      </c>
    </row>
    <row r="9470">
      <c r="A9470">
        <v>9469</v>
      </c>
      <c r="B9470">
        <f>GS15</f>
        <v>0</v>
      </c>
      <c r="C9470" t="inlineStr">
        <is>
          <t>+LS9</t>
        </is>
      </c>
      <c r="D9470" t="inlineStr">
        <is>
          <t>-443K40.3</t>
        </is>
      </c>
      <c r="E9470" t="inlineStr">
        <is>
          <t>DIL_EM-01-G</t>
        </is>
      </c>
      <c r="F9470" t="inlineStr">
        <is>
          <t>#KALK!</t>
        </is>
      </c>
      <c r="G9470" t="inlineStr">
        <is>
          <t>LASTSCHUETZ</t>
        </is>
      </c>
      <c r="H9470" t="inlineStr">
        <is>
          <t>4kW 1OE</t>
        </is>
      </c>
      <c r="I9470">
        <v>945</v>
      </c>
      <c r="J9470">
        <f>GS15/443.7</f>
        <v>0</v>
      </c>
      <c r="M9470" t="inlineStr">
        <is>
          <t>-443K40.3</t>
        </is>
      </c>
    </row>
    <row r="9471">
      <c r="A9471">
        <v>9470</v>
      </c>
      <c r="B9471">
        <f>GS15</f>
        <v>0</v>
      </c>
      <c r="C9471" t="inlineStr">
        <is>
          <t>+LS9</t>
        </is>
      </c>
      <c r="D9471" t="inlineStr">
        <is>
          <t>-443K40.4</t>
        </is>
      </c>
      <c r="E9471" t="inlineStr">
        <is>
          <t>DIL_EM-01-G</t>
        </is>
      </c>
      <c r="F9471" t="inlineStr">
        <is>
          <t>#KALK!</t>
        </is>
      </c>
      <c r="G9471" t="inlineStr">
        <is>
          <t>LASTSCHUETZ</t>
        </is>
      </c>
      <c r="H9471" t="inlineStr">
        <is>
          <t>4kW 1OE</t>
        </is>
      </c>
      <c r="I9471">
        <v>945</v>
      </c>
      <c r="J9471">
        <f>GS15/443.8</f>
        <v>0</v>
      </c>
      <c r="M9471" t="inlineStr">
        <is>
          <t>-443K40.4</t>
        </is>
      </c>
    </row>
    <row r="9472">
      <c r="A9472">
        <v>9471</v>
      </c>
      <c r="B9472">
        <f>GS46</f>
        <v>0</v>
      </c>
      <c r="C9472" t="inlineStr">
        <is>
          <t>+LS07</t>
        </is>
      </c>
      <c r="D9472" t="inlineStr">
        <is>
          <t>-443Q1</t>
        </is>
      </c>
      <c r="E9472" t="inlineStr">
        <is>
          <t>DILM-9-10</t>
        </is>
      </c>
      <c r="F9472" t="inlineStr">
        <is>
          <t>#KALK!</t>
        </is>
      </c>
      <c r="G9472" t="inlineStr">
        <is>
          <t>LASTSCHUETZ</t>
        </is>
      </c>
      <c r="H9472" t="inlineStr">
        <is>
          <t>4kW 1S Federzugkl.</t>
        </is>
      </c>
      <c r="I9472">
        <v>635</v>
      </c>
      <c r="J9472">
        <f>GS46/443.5</f>
        <v>0</v>
      </c>
      <c r="M9472" t="inlineStr">
        <is>
          <t>-443Q1</t>
        </is>
      </c>
    </row>
    <row r="9473">
      <c r="A9473">
        <v>9472</v>
      </c>
      <c r="B9473">
        <f>GS47</f>
        <v>0</v>
      </c>
      <c r="C9473" t="inlineStr">
        <is>
          <t>+LS07</t>
        </is>
      </c>
      <c r="D9473" t="inlineStr">
        <is>
          <t>-443Q1</t>
        </is>
      </c>
      <c r="E9473" t="inlineStr">
        <is>
          <t>DILM-9-10</t>
        </is>
      </c>
      <c r="F9473" t="inlineStr">
        <is>
          <t>#KALK!</t>
        </is>
      </c>
      <c r="G9473" t="inlineStr">
        <is>
          <t>LASTSCHUETZ</t>
        </is>
      </c>
      <c r="H9473" t="inlineStr">
        <is>
          <t>4kW 1S Federzugkl.</t>
        </is>
      </c>
      <c r="I9473">
        <v>635</v>
      </c>
      <c r="J9473">
        <f>GS47/443.5</f>
        <v>0</v>
      </c>
      <c r="M9473" t="inlineStr">
        <is>
          <t>-443Q1</t>
        </is>
      </c>
    </row>
    <row r="9474">
      <c r="A9474">
        <v>9473</v>
      </c>
      <c r="B9474">
        <f>GS48</f>
        <v>0</v>
      </c>
      <c r="C9474" t="inlineStr">
        <is>
          <t>+LS07</t>
        </is>
      </c>
      <c r="D9474" t="inlineStr">
        <is>
          <t>-443Q1</t>
        </is>
      </c>
      <c r="E9474" t="inlineStr">
        <is>
          <t>DILM-9-10</t>
        </is>
      </c>
      <c r="F9474" t="inlineStr">
        <is>
          <t>#KALK!</t>
        </is>
      </c>
      <c r="G9474" t="inlineStr">
        <is>
          <t>LASTSCHUETZ</t>
        </is>
      </c>
      <c r="H9474" t="inlineStr">
        <is>
          <t>4kW 1S Federzugkl.</t>
        </is>
      </c>
      <c r="I9474">
        <v>555</v>
      </c>
      <c r="J9474">
        <f>GS48/443.5</f>
        <v>0</v>
      </c>
      <c r="M9474" t="inlineStr">
        <is>
          <t>-443Q1</t>
        </is>
      </c>
    </row>
    <row r="9475">
      <c r="A9475">
        <v>9474</v>
      </c>
      <c r="B9475">
        <f>GS49</f>
        <v>0</v>
      </c>
      <c r="C9475" t="inlineStr">
        <is>
          <t>+LS07</t>
        </is>
      </c>
      <c r="D9475" t="inlineStr">
        <is>
          <t>-443Q1</t>
        </is>
      </c>
      <c r="E9475" t="inlineStr">
        <is>
          <t>DILM-9-10</t>
        </is>
      </c>
      <c r="F9475" t="inlineStr">
        <is>
          <t>#KALK!</t>
        </is>
      </c>
      <c r="G9475" t="inlineStr">
        <is>
          <t>LASTSCHUETZ</t>
        </is>
      </c>
      <c r="H9475" t="inlineStr">
        <is>
          <t>4kW 1S Federzugkl.</t>
        </is>
      </c>
      <c r="I9475">
        <v>554</v>
      </c>
      <c r="J9475">
        <f>GS49/443.5</f>
        <v>0</v>
      </c>
      <c r="M9475" t="inlineStr">
        <is>
          <t>-443Q1</t>
        </is>
      </c>
    </row>
    <row r="9476">
      <c r="A9476">
        <v>9475</v>
      </c>
      <c r="B9476">
        <f>GS46</f>
        <v>0</v>
      </c>
      <c r="C9476" t="inlineStr">
        <is>
          <t>+LS07</t>
        </is>
      </c>
      <c r="D9476" t="inlineStr">
        <is>
          <t>-443Q745.3</t>
        </is>
      </c>
      <c r="E9476" t="inlineStr">
        <is>
          <t>DILM-9-10</t>
        </is>
      </c>
      <c r="F9476" t="inlineStr">
        <is>
          <t>#KALK!</t>
        </is>
      </c>
      <c r="G9476" t="inlineStr">
        <is>
          <t>LASTSCHUETZ</t>
        </is>
      </c>
      <c r="H9476" t="inlineStr">
        <is>
          <t>4kW 1S Federzugkl.</t>
        </is>
      </c>
      <c r="I9476">
        <v>635</v>
      </c>
      <c r="J9476">
        <f>GS46/443.5</f>
        <v>0</v>
      </c>
      <c r="M9476" t="inlineStr">
        <is>
          <t>-443Q745.3</t>
        </is>
      </c>
    </row>
    <row r="9477">
      <c r="A9477">
        <v>9476</v>
      </c>
      <c r="B9477">
        <f>GS47</f>
        <v>0</v>
      </c>
      <c r="C9477" t="inlineStr">
        <is>
          <t>+LS07</t>
        </is>
      </c>
      <c r="D9477" t="inlineStr">
        <is>
          <t>-443Q745.3</t>
        </is>
      </c>
      <c r="E9477" t="inlineStr">
        <is>
          <t>DILM-9-10</t>
        </is>
      </c>
      <c r="F9477" t="inlineStr">
        <is>
          <t>#KALK!</t>
        </is>
      </c>
      <c r="G9477" t="inlineStr">
        <is>
          <t>LASTSCHUETZ</t>
        </is>
      </c>
      <c r="H9477" t="inlineStr">
        <is>
          <t>4kW 1S Federzugkl.</t>
        </is>
      </c>
      <c r="I9477">
        <v>635</v>
      </c>
      <c r="J9477">
        <f>GS47/443.5</f>
        <v>0</v>
      </c>
      <c r="M9477" t="inlineStr">
        <is>
          <t>-443Q745.3</t>
        </is>
      </c>
    </row>
    <row r="9478">
      <c r="A9478">
        <v>9477</v>
      </c>
      <c r="B9478">
        <f>GS48</f>
        <v>0</v>
      </c>
      <c r="C9478" t="inlineStr">
        <is>
          <t>+LS07</t>
        </is>
      </c>
      <c r="D9478" t="inlineStr">
        <is>
          <t>-443Q745.3</t>
        </is>
      </c>
      <c r="E9478" t="inlineStr">
        <is>
          <t>DILM-9-10</t>
        </is>
      </c>
      <c r="F9478" t="inlineStr">
        <is>
          <t>#KALK!</t>
        </is>
      </c>
      <c r="G9478" t="inlineStr">
        <is>
          <t>LASTSCHUETZ</t>
        </is>
      </c>
      <c r="H9478" t="inlineStr">
        <is>
          <t>4kW 1S Federzugkl.</t>
        </is>
      </c>
      <c r="I9478">
        <v>555</v>
      </c>
      <c r="J9478">
        <f>GS48/443.5</f>
        <v>0</v>
      </c>
      <c r="M9478" t="inlineStr">
        <is>
          <t>-443Q745.3</t>
        </is>
      </c>
    </row>
    <row r="9479">
      <c r="A9479">
        <v>9478</v>
      </c>
      <c r="B9479">
        <f>GS49</f>
        <v>0</v>
      </c>
      <c r="C9479" t="inlineStr">
        <is>
          <t>+LS07</t>
        </is>
      </c>
      <c r="D9479" t="inlineStr">
        <is>
          <t>-443Q745.3</t>
        </is>
      </c>
      <c r="E9479" t="inlineStr">
        <is>
          <t>DILM-9-10</t>
        </is>
      </c>
      <c r="F9479" t="inlineStr">
        <is>
          <t>#KALK!</t>
        </is>
      </c>
      <c r="G9479" t="inlineStr">
        <is>
          <t>LASTSCHUETZ</t>
        </is>
      </c>
      <c r="H9479" t="inlineStr">
        <is>
          <t>4kW 1S Federzugkl.</t>
        </is>
      </c>
      <c r="I9479">
        <v>554</v>
      </c>
      <c r="J9479">
        <f>GS49/443.5</f>
        <v>0</v>
      </c>
      <c r="M9479" t="inlineStr">
        <is>
          <t>-443Q745.3</t>
        </is>
      </c>
    </row>
    <row r="9480">
      <c r="A9480">
        <v>9479</v>
      </c>
      <c r="B9480">
        <f>GS46</f>
        <v>0</v>
      </c>
      <c r="C9480" t="inlineStr">
        <is>
          <t>+LS07</t>
        </is>
      </c>
      <c r="D9480" t="inlineStr">
        <is>
          <t>-443Q745.4</t>
        </is>
      </c>
      <c r="E9480" t="inlineStr">
        <is>
          <t>DILM-9-10</t>
        </is>
      </c>
      <c r="F9480" t="inlineStr">
        <is>
          <t>#KALK!</t>
        </is>
      </c>
      <c r="G9480" t="inlineStr">
        <is>
          <t>LASTSCHUETZ</t>
        </is>
      </c>
      <c r="H9480" t="inlineStr">
        <is>
          <t>4kW 1S Federzugkl.</t>
        </is>
      </c>
      <c r="I9480">
        <v>635</v>
      </c>
      <c r="J9480">
        <f>GS46/443.6</f>
        <v>0</v>
      </c>
      <c r="M9480" t="inlineStr">
        <is>
          <t>-443Q745.4</t>
        </is>
      </c>
    </row>
    <row r="9481">
      <c r="A9481">
        <v>9480</v>
      </c>
      <c r="B9481">
        <f>GS47</f>
        <v>0</v>
      </c>
      <c r="C9481" t="inlineStr">
        <is>
          <t>+LS07</t>
        </is>
      </c>
      <c r="D9481" t="inlineStr">
        <is>
          <t>-443Q745.4</t>
        </is>
      </c>
      <c r="E9481" t="inlineStr">
        <is>
          <t>DILM-9-10</t>
        </is>
      </c>
      <c r="F9481" t="inlineStr">
        <is>
          <t>#KALK!</t>
        </is>
      </c>
      <c r="G9481" t="inlineStr">
        <is>
          <t>LASTSCHUETZ</t>
        </is>
      </c>
      <c r="H9481" t="inlineStr">
        <is>
          <t>4kW 1S Federzugkl.</t>
        </is>
      </c>
      <c r="I9481">
        <v>635</v>
      </c>
      <c r="J9481">
        <f>GS47/443.6</f>
        <v>0</v>
      </c>
      <c r="M9481" t="inlineStr">
        <is>
          <t>-443Q745.4</t>
        </is>
      </c>
    </row>
    <row r="9482">
      <c r="A9482">
        <v>9481</v>
      </c>
      <c r="B9482">
        <f>GS48</f>
        <v>0</v>
      </c>
      <c r="C9482" t="inlineStr">
        <is>
          <t>+LS07</t>
        </is>
      </c>
      <c r="D9482" t="inlineStr">
        <is>
          <t>-443Q745.4</t>
        </is>
      </c>
      <c r="E9482" t="inlineStr">
        <is>
          <t>DILM-9-10</t>
        </is>
      </c>
      <c r="F9482" t="inlineStr">
        <is>
          <t>#KALK!</t>
        </is>
      </c>
      <c r="G9482" t="inlineStr">
        <is>
          <t>LASTSCHUETZ</t>
        </is>
      </c>
      <c r="H9482" t="inlineStr">
        <is>
          <t>4kW 1S Federzugkl.</t>
        </is>
      </c>
      <c r="I9482">
        <v>555</v>
      </c>
      <c r="J9482">
        <f>GS48/443.6</f>
        <v>0</v>
      </c>
      <c r="M9482" t="inlineStr">
        <is>
          <t>-443Q745.4</t>
        </is>
      </c>
    </row>
    <row r="9483">
      <c r="A9483">
        <v>9482</v>
      </c>
      <c r="B9483">
        <f>GS49</f>
        <v>0</v>
      </c>
      <c r="C9483" t="inlineStr">
        <is>
          <t>+LS07</t>
        </is>
      </c>
      <c r="D9483" t="inlineStr">
        <is>
          <t>-443Q745.4</t>
        </is>
      </c>
      <c r="E9483" t="inlineStr">
        <is>
          <t>DILM-9-10</t>
        </is>
      </c>
      <c r="F9483" t="inlineStr">
        <is>
          <t>#KALK!</t>
        </is>
      </c>
      <c r="G9483" t="inlineStr">
        <is>
          <t>LASTSCHUETZ</t>
        </is>
      </c>
      <c r="H9483" t="inlineStr">
        <is>
          <t>4kW 1S Federzugkl.</t>
        </is>
      </c>
      <c r="I9483">
        <v>554</v>
      </c>
      <c r="J9483">
        <f>GS49/443.6</f>
        <v>0</v>
      </c>
      <c r="M9483" t="inlineStr">
        <is>
          <t>-443Q745.4</t>
        </is>
      </c>
    </row>
    <row r="9484">
      <c r="A9484">
        <v>9483</v>
      </c>
      <c r="B9484">
        <f>GS46</f>
        <v>0</v>
      </c>
      <c r="C9484" t="inlineStr">
        <is>
          <t>+LS07</t>
        </is>
      </c>
      <c r="D9484" t="inlineStr">
        <is>
          <t>-443Q745.5</t>
        </is>
      </c>
      <c r="E9484" t="inlineStr">
        <is>
          <t>DILM-9-10</t>
        </is>
      </c>
      <c r="F9484" t="inlineStr">
        <is>
          <t>#KALK!</t>
        </is>
      </c>
      <c r="G9484" t="inlineStr">
        <is>
          <t>LASTSCHUETZ</t>
        </is>
      </c>
      <c r="H9484" t="inlineStr">
        <is>
          <t>4kW 1S Federzugkl.</t>
        </is>
      </c>
      <c r="I9484">
        <v>635</v>
      </c>
      <c r="J9484">
        <f>GS46/443.7</f>
        <v>0</v>
      </c>
      <c r="M9484" t="inlineStr">
        <is>
          <t>-443Q745.5</t>
        </is>
      </c>
    </row>
    <row r="9485">
      <c r="A9485">
        <v>9484</v>
      </c>
      <c r="B9485">
        <f>GS47</f>
        <v>0</v>
      </c>
      <c r="C9485" t="inlineStr">
        <is>
          <t>+LS07</t>
        </is>
      </c>
      <c r="D9485" t="inlineStr">
        <is>
          <t>-443Q745.5</t>
        </is>
      </c>
      <c r="E9485" t="inlineStr">
        <is>
          <t>DILM-9-10</t>
        </is>
      </c>
      <c r="F9485" t="inlineStr">
        <is>
          <t>#KALK!</t>
        </is>
      </c>
      <c r="G9485" t="inlineStr">
        <is>
          <t>LASTSCHUETZ</t>
        </is>
      </c>
      <c r="H9485" t="inlineStr">
        <is>
          <t>4kW 1S Federzugkl.</t>
        </is>
      </c>
      <c r="I9485">
        <v>635</v>
      </c>
      <c r="J9485">
        <f>GS47/443.7</f>
        <v>0</v>
      </c>
      <c r="M9485" t="inlineStr">
        <is>
          <t>-443Q745.5</t>
        </is>
      </c>
    </row>
    <row r="9486">
      <c r="A9486">
        <v>9485</v>
      </c>
      <c r="B9486">
        <f>GS48</f>
        <v>0</v>
      </c>
      <c r="C9486" t="inlineStr">
        <is>
          <t>+LS07</t>
        </is>
      </c>
      <c r="D9486" t="inlineStr">
        <is>
          <t>-443Q745.5</t>
        </is>
      </c>
      <c r="E9486" t="inlineStr">
        <is>
          <t>DILM-9-10</t>
        </is>
      </c>
      <c r="F9486" t="inlineStr">
        <is>
          <t>#KALK!</t>
        </is>
      </c>
      <c r="G9486" t="inlineStr">
        <is>
          <t>LASTSCHUETZ</t>
        </is>
      </c>
      <c r="H9486" t="inlineStr">
        <is>
          <t>4kW 1S Federzugkl.</t>
        </is>
      </c>
      <c r="I9486">
        <v>555</v>
      </c>
      <c r="J9486">
        <f>GS48/443.7</f>
        <v>0</v>
      </c>
      <c r="M9486" t="inlineStr">
        <is>
          <t>-443Q745.5</t>
        </is>
      </c>
    </row>
    <row r="9487">
      <c r="A9487">
        <v>9486</v>
      </c>
      <c r="B9487">
        <f>GS49</f>
        <v>0</v>
      </c>
      <c r="C9487" t="inlineStr">
        <is>
          <t>+LS07</t>
        </is>
      </c>
      <c r="D9487" t="inlineStr">
        <is>
          <t>-443Q745.5</t>
        </is>
      </c>
      <c r="E9487" t="inlineStr">
        <is>
          <t>DILM-9-10</t>
        </is>
      </c>
      <c r="F9487" t="inlineStr">
        <is>
          <t>#KALK!</t>
        </is>
      </c>
      <c r="G9487" t="inlineStr">
        <is>
          <t>LASTSCHUETZ</t>
        </is>
      </c>
      <c r="H9487" t="inlineStr">
        <is>
          <t>4kW 1S Federzugkl.</t>
        </is>
      </c>
      <c r="I9487">
        <v>554</v>
      </c>
      <c r="J9487">
        <f>GS49/443.7</f>
        <v>0</v>
      </c>
      <c r="M9487" t="inlineStr">
        <is>
          <t>-443Q745.5</t>
        </is>
      </c>
    </row>
    <row r="9488">
      <c r="A9488">
        <v>9487</v>
      </c>
      <c r="B9488">
        <f>GS46</f>
        <v>0</v>
      </c>
      <c r="C9488" t="inlineStr">
        <is>
          <t>+LS07</t>
        </is>
      </c>
      <c r="D9488" t="inlineStr">
        <is>
          <t>-443Q746.7</t>
        </is>
      </c>
      <c r="E9488" t="inlineStr">
        <is>
          <t>DILM-9-10</t>
        </is>
      </c>
      <c r="F9488" t="inlineStr">
        <is>
          <t>#KALK!</t>
        </is>
      </c>
      <c r="G9488" t="inlineStr">
        <is>
          <t>LASTSCHUETZ</t>
        </is>
      </c>
      <c r="H9488" t="inlineStr">
        <is>
          <t>4kW 1S Federzugkl.</t>
        </is>
      </c>
      <c r="I9488">
        <v>635</v>
      </c>
      <c r="J9488">
        <f>GS46/443.3</f>
        <v>0</v>
      </c>
      <c r="M9488" t="inlineStr">
        <is>
          <t>-443Q746.7</t>
        </is>
      </c>
    </row>
    <row r="9489">
      <c r="A9489">
        <v>9488</v>
      </c>
      <c r="B9489">
        <f>GS47</f>
        <v>0</v>
      </c>
      <c r="C9489" t="inlineStr">
        <is>
          <t>+LS07</t>
        </is>
      </c>
      <c r="D9489" t="inlineStr">
        <is>
          <t>-443Q746.7</t>
        </is>
      </c>
      <c r="E9489" t="inlineStr">
        <is>
          <t>DILM-9-10</t>
        </is>
      </c>
      <c r="F9489" t="inlineStr">
        <is>
          <t>#KALK!</t>
        </is>
      </c>
      <c r="G9489" t="inlineStr">
        <is>
          <t>LASTSCHUETZ</t>
        </is>
      </c>
      <c r="H9489" t="inlineStr">
        <is>
          <t>4kW 1S Federzugkl.</t>
        </is>
      </c>
      <c r="I9489">
        <v>635</v>
      </c>
      <c r="J9489">
        <f>GS47/443.3</f>
        <v>0</v>
      </c>
      <c r="M9489" t="inlineStr">
        <is>
          <t>-443Q746.7</t>
        </is>
      </c>
    </row>
    <row r="9490">
      <c r="A9490">
        <v>9489</v>
      </c>
      <c r="B9490">
        <f>GS48</f>
        <v>0</v>
      </c>
      <c r="C9490" t="inlineStr">
        <is>
          <t>+LS07</t>
        </is>
      </c>
      <c r="D9490" t="inlineStr">
        <is>
          <t>-443Q746.7</t>
        </is>
      </c>
      <c r="E9490" t="inlineStr">
        <is>
          <t>DILM-9-10</t>
        </is>
      </c>
      <c r="F9490" t="inlineStr">
        <is>
          <t>#KALK!</t>
        </is>
      </c>
      <c r="G9490" t="inlineStr">
        <is>
          <t>LASTSCHUETZ</t>
        </is>
      </c>
      <c r="H9490" t="inlineStr">
        <is>
          <t>4kW 1S Federzugkl.</t>
        </is>
      </c>
      <c r="I9490">
        <v>555</v>
      </c>
      <c r="J9490">
        <f>GS48/443.3</f>
        <v>0</v>
      </c>
      <c r="M9490" t="inlineStr">
        <is>
          <t>-443Q746.7</t>
        </is>
      </c>
    </row>
    <row r="9491">
      <c r="A9491">
        <v>9490</v>
      </c>
      <c r="B9491">
        <f>GS49</f>
        <v>0</v>
      </c>
      <c r="C9491" t="inlineStr">
        <is>
          <t>+LS07</t>
        </is>
      </c>
      <c r="D9491" t="inlineStr">
        <is>
          <t>-443Q746.7</t>
        </is>
      </c>
      <c r="E9491" t="inlineStr">
        <is>
          <t>DILM-9-10</t>
        </is>
      </c>
      <c r="F9491" t="inlineStr">
        <is>
          <t>#KALK!</t>
        </is>
      </c>
      <c r="G9491" t="inlineStr">
        <is>
          <t>LASTSCHUETZ</t>
        </is>
      </c>
      <c r="H9491" t="inlineStr">
        <is>
          <t>4kW 1S Federzugkl.</t>
        </is>
      </c>
      <c r="I9491">
        <v>554</v>
      </c>
      <c r="J9491">
        <f>GS49/443.3</f>
        <v>0</v>
      </c>
      <c r="M9491" t="inlineStr">
        <is>
          <t>-443Q746.7</t>
        </is>
      </c>
    </row>
    <row r="9492">
      <c r="A9492">
        <v>9491</v>
      </c>
      <c r="B9492">
        <f>GS05</f>
        <v>0</v>
      </c>
      <c r="C9492" t="inlineStr">
        <is>
          <t>+LS06</t>
        </is>
      </c>
      <c r="D9492" t="inlineStr">
        <is>
          <t>-444K1</t>
        </is>
      </c>
      <c r="E9492" t="inlineStr">
        <is>
          <t>DILM-9-01</t>
        </is>
      </c>
      <c r="F9492" t="inlineStr">
        <is>
          <t>#KALK!</t>
        </is>
      </c>
      <c r="G9492" t="inlineStr">
        <is>
          <t>LASTSCHUETZ</t>
        </is>
      </c>
      <c r="H9492" t="inlineStr">
        <is>
          <t>4kW 1Oe Federzugkl.</t>
        </is>
      </c>
      <c r="I9492">
        <v>2117</v>
      </c>
      <c r="J9492">
        <f>GS05/444.5</f>
        <v>0</v>
      </c>
      <c r="M9492" t="inlineStr">
        <is>
          <t>-444K1</t>
        </is>
      </c>
    </row>
    <row r="9493">
      <c r="A9493">
        <v>9492</v>
      </c>
      <c r="B9493">
        <f>GS38</f>
        <v>0</v>
      </c>
      <c r="C9493" t="inlineStr">
        <is>
          <t>+LS10</t>
        </is>
      </c>
      <c r="D9493" t="inlineStr">
        <is>
          <t>-444K1</t>
        </is>
      </c>
      <c r="E9493" t="inlineStr">
        <is>
          <t>DILM-9-01</t>
        </is>
      </c>
      <c r="F9493" t="inlineStr">
        <is>
          <t>#KALK!</t>
        </is>
      </c>
      <c r="G9493" t="inlineStr">
        <is>
          <t>LASTSCHUETZ</t>
        </is>
      </c>
      <c r="H9493" t="inlineStr">
        <is>
          <t>4kW 1Oe Federzugkl.</t>
        </is>
      </c>
      <c r="I9493">
        <v>599</v>
      </c>
      <c r="J9493">
        <f>GS38/444.5</f>
        <v>0</v>
      </c>
      <c r="M9493" t="inlineStr">
        <is>
          <t>-444K1</t>
        </is>
      </c>
    </row>
    <row r="9494">
      <c r="A9494">
        <v>9493</v>
      </c>
      <c r="B9494">
        <f>GS39</f>
        <v>0</v>
      </c>
      <c r="C9494" t="inlineStr">
        <is>
          <t>+LS10</t>
        </is>
      </c>
      <c r="D9494" t="inlineStr">
        <is>
          <t>-444K1</t>
        </is>
      </c>
      <c r="E9494" t="inlineStr">
        <is>
          <t>DILM-9-01</t>
        </is>
      </c>
      <c r="F9494" t="inlineStr">
        <is>
          <t>#KALK!</t>
        </is>
      </c>
      <c r="G9494" t="inlineStr">
        <is>
          <t>LASTSCHUETZ</t>
        </is>
      </c>
      <c r="H9494" t="inlineStr">
        <is>
          <t>4kW 1Oe Federzugkl.</t>
        </is>
      </c>
      <c r="I9494">
        <v>618</v>
      </c>
      <c r="J9494">
        <f>GS39/444.5</f>
        <v>0</v>
      </c>
      <c r="M9494" t="inlineStr">
        <is>
          <t>-444K1</t>
        </is>
      </c>
    </row>
    <row r="9495">
      <c r="A9495">
        <v>9494</v>
      </c>
      <c r="B9495">
        <f>GS01</f>
        <v>0</v>
      </c>
      <c r="C9495" t="inlineStr">
        <is>
          <t>+LS9</t>
        </is>
      </c>
      <c r="D9495" t="inlineStr">
        <is>
          <t>-444K14.2</t>
        </is>
      </c>
      <c r="E9495" t="inlineStr">
        <is>
          <t>DIL_EM-10-G</t>
        </is>
      </c>
      <c r="F9495" t="inlineStr">
        <is>
          <t>#KALK!</t>
        </is>
      </c>
      <c r="G9495" t="inlineStr">
        <is>
          <t>LASTSCHUETZ</t>
        </is>
      </c>
      <c r="H9495" t="inlineStr">
        <is>
          <t>4kW 1S</t>
        </is>
      </c>
      <c r="I9495">
        <v>608</v>
      </c>
      <c r="J9495">
        <f>GS01/444.6</f>
        <v>0</v>
      </c>
      <c r="M9495" t="inlineStr">
        <is>
          <t>-444K14.2</t>
        </is>
      </c>
    </row>
    <row r="9496">
      <c r="A9496">
        <v>9495</v>
      </c>
      <c r="B9496">
        <f>GS01</f>
        <v>0</v>
      </c>
      <c r="C9496" t="inlineStr">
        <is>
          <t>+LS9</t>
        </is>
      </c>
      <c r="D9496" t="inlineStr">
        <is>
          <t>-444K14.3</t>
        </is>
      </c>
      <c r="E9496" t="inlineStr">
        <is>
          <t>DIL_EM-10-G</t>
        </is>
      </c>
      <c r="F9496" t="inlineStr">
        <is>
          <t>#KALK!</t>
        </is>
      </c>
      <c r="G9496" t="inlineStr">
        <is>
          <t>LASTSCHUETZ</t>
        </is>
      </c>
      <c r="H9496" t="inlineStr">
        <is>
          <t>4kW 1S</t>
        </is>
      </c>
      <c r="I9496">
        <v>608</v>
      </c>
      <c r="J9496">
        <f>GS01/444.6</f>
        <v>0</v>
      </c>
      <c r="M9496" t="inlineStr">
        <is>
          <t>-444K14.3</t>
        </is>
      </c>
    </row>
    <row r="9497">
      <c r="A9497">
        <v>9496</v>
      </c>
      <c r="B9497">
        <f>GS05</f>
        <v>0</v>
      </c>
      <c r="C9497" t="inlineStr">
        <is>
          <t>+LS06</t>
        </is>
      </c>
      <c r="D9497" t="inlineStr">
        <is>
          <t>-444K2</t>
        </is>
      </c>
      <c r="E9497" t="inlineStr">
        <is>
          <t>DILM-9-01</t>
        </is>
      </c>
      <c r="F9497" t="inlineStr">
        <is>
          <t>#KALK!</t>
        </is>
      </c>
      <c r="G9497" t="inlineStr">
        <is>
          <t>LASTSCHUETZ</t>
        </is>
      </c>
      <c r="H9497" t="inlineStr">
        <is>
          <t>4kW 1Oe Federzugkl.</t>
        </is>
      </c>
      <c r="I9497">
        <v>2117</v>
      </c>
      <c r="J9497">
        <f>GS05/444.6</f>
        <v>0</v>
      </c>
      <c r="M9497" t="inlineStr">
        <is>
          <t>-444K2</t>
        </is>
      </c>
    </row>
    <row r="9498">
      <c r="A9498">
        <v>9497</v>
      </c>
      <c r="B9498">
        <f>GS38</f>
        <v>0</v>
      </c>
      <c r="C9498" t="inlineStr">
        <is>
          <t>+LS10</t>
        </is>
      </c>
      <c r="D9498" t="inlineStr">
        <is>
          <t>-444K2</t>
        </is>
      </c>
      <c r="E9498" t="inlineStr">
        <is>
          <t>DILM-9-01</t>
        </is>
      </c>
      <c r="F9498" t="inlineStr">
        <is>
          <t>#KALK!</t>
        </is>
      </c>
      <c r="G9498" t="inlineStr">
        <is>
          <t>LASTSCHUETZ</t>
        </is>
      </c>
      <c r="H9498" t="inlineStr">
        <is>
          <t>4kW 1Oe Federzugkl.</t>
        </is>
      </c>
      <c r="I9498">
        <v>599</v>
      </c>
      <c r="J9498">
        <f>GS38/444.6</f>
        <v>0</v>
      </c>
      <c r="M9498" t="inlineStr">
        <is>
          <t>-444K2</t>
        </is>
      </c>
    </row>
    <row r="9499">
      <c r="A9499">
        <v>9498</v>
      </c>
      <c r="B9499">
        <f>GS39</f>
        <v>0</v>
      </c>
      <c r="C9499" t="inlineStr">
        <is>
          <t>+LS10</t>
        </is>
      </c>
      <c r="D9499" t="inlineStr">
        <is>
          <t>-444K2</t>
        </is>
      </c>
      <c r="E9499" t="inlineStr">
        <is>
          <t>DILM-9-01</t>
        </is>
      </c>
      <c r="F9499" t="inlineStr">
        <is>
          <t>#KALK!</t>
        </is>
      </c>
      <c r="G9499" t="inlineStr">
        <is>
          <t>LASTSCHUETZ</t>
        </is>
      </c>
      <c r="H9499" t="inlineStr">
        <is>
          <t>4kW 1Oe Federzugkl.</t>
        </is>
      </c>
      <c r="I9499">
        <v>618</v>
      </c>
      <c r="J9499">
        <f>GS39/444.6</f>
        <v>0</v>
      </c>
      <c r="M9499" t="inlineStr">
        <is>
          <t>-444K2</t>
        </is>
      </c>
    </row>
    <row r="9500">
      <c r="A9500">
        <v>9499</v>
      </c>
      <c r="B9500">
        <f>GC03</f>
        <v>0</v>
      </c>
      <c r="C9500" t="inlineStr">
        <is>
          <t>+LS10</t>
        </is>
      </c>
      <c r="D9500" t="inlineStr">
        <is>
          <t>-444K25.3</t>
        </is>
      </c>
      <c r="E9500" t="inlineStr">
        <is>
          <t>DIL_EM-10-G</t>
        </is>
      </c>
      <c r="F9500" t="inlineStr">
        <is>
          <t>#KALK!</t>
        </is>
      </c>
      <c r="G9500" t="inlineStr">
        <is>
          <t>LASTSCHUETZ</t>
        </is>
      </c>
      <c r="H9500" t="inlineStr">
        <is>
          <t>4kW 1S</t>
        </is>
      </c>
      <c r="I9500">
        <v>2279</v>
      </c>
      <c r="J9500">
        <f>GC03/444.6</f>
        <v>0</v>
      </c>
      <c r="M9500" t="inlineStr">
        <is>
          <t>-444K25.3</t>
        </is>
      </c>
    </row>
    <row r="9501">
      <c r="A9501">
        <v>9500</v>
      </c>
      <c r="B9501">
        <f>GC03</f>
        <v>0</v>
      </c>
      <c r="C9501" t="inlineStr">
        <is>
          <t>+LS10</t>
        </is>
      </c>
      <c r="D9501" t="inlineStr">
        <is>
          <t>-444K25.4</t>
        </is>
      </c>
      <c r="E9501" t="inlineStr">
        <is>
          <t>DIL_EM-10-G</t>
        </is>
      </c>
      <c r="F9501" t="inlineStr">
        <is>
          <t>#KALK!</t>
        </is>
      </c>
      <c r="G9501" t="inlineStr">
        <is>
          <t>LASTSCHUETZ</t>
        </is>
      </c>
      <c r="H9501" t="inlineStr">
        <is>
          <t>4kW 1S</t>
        </is>
      </c>
      <c r="I9501">
        <v>2279</v>
      </c>
      <c r="J9501">
        <f>GC03/444.7</f>
        <v>0</v>
      </c>
      <c r="M9501" t="inlineStr">
        <is>
          <t>-444K25.4</t>
        </is>
      </c>
    </row>
    <row r="9502">
      <c r="A9502">
        <v>9501</v>
      </c>
      <c r="B9502">
        <f>GS14</f>
        <v>0</v>
      </c>
      <c r="C9502" t="inlineStr">
        <is>
          <t>+LS8</t>
        </is>
      </c>
      <c r="D9502" t="inlineStr">
        <is>
          <t>-444K3504.7</t>
        </is>
      </c>
      <c r="E9502" t="inlineStr">
        <is>
          <t>DIL_EM-10-G</t>
        </is>
      </c>
      <c r="F9502" t="inlineStr">
        <is>
          <t>#KALK!</t>
        </is>
      </c>
      <c r="G9502" t="inlineStr">
        <is>
          <t>LASTSCHUETZ</t>
        </is>
      </c>
      <c r="H9502" t="inlineStr">
        <is>
          <t>4kW 1S</t>
        </is>
      </c>
      <c r="I9502">
        <v>576</v>
      </c>
      <c r="J9502">
        <f>GS14/444.6</f>
        <v>0</v>
      </c>
      <c r="M9502" t="inlineStr">
        <is>
          <t>-444K3504.7</t>
        </is>
      </c>
    </row>
    <row r="9503">
      <c r="A9503">
        <v>9502</v>
      </c>
      <c r="B9503">
        <f>GS15</f>
        <v>0</v>
      </c>
      <c r="C9503" t="inlineStr">
        <is>
          <t>+LS9</t>
        </is>
      </c>
      <c r="D9503" t="inlineStr">
        <is>
          <t>-444K40.5</t>
        </is>
      </c>
      <c r="E9503" t="inlineStr">
        <is>
          <t>DIL_EM-10-G</t>
        </is>
      </c>
      <c r="F9503" t="inlineStr">
        <is>
          <t>#KALK!</t>
        </is>
      </c>
      <c r="G9503" t="inlineStr">
        <is>
          <t>LASTSCHUETZ</t>
        </is>
      </c>
      <c r="H9503" t="inlineStr">
        <is>
          <t>4kW 1S</t>
        </is>
      </c>
      <c r="I9503">
        <v>946</v>
      </c>
      <c r="J9503">
        <f>GS15/444.6</f>
        <v>0</v>
      </c>
      <c r="M9503" t="inlineStr">
        <is>
          <t>-444K40.5</t>
        </is>
      </c>
    </row>
    <row r="9504">
      <c r="A9504">
        <v>9503</v>
      </c>
      <c r="B9504">
        <f>GS15</f>
        <v>0</v>
      </c>
      <c r="C9504" t="inlineStr">
        <is>
          <t>+LS9</t>
        </is>
      </c>
      <c r="D9504" t="inlineStr">
        <is>
          <t>-444K40.6</t>
        </is>
      </c>
      <c r="E9504" t="inlineStr">
        <is>
          <t>DIL_EM-10-G</t>
        </is>
      </c>
      <c r="F9504" t="inlineStr">
        <is>
          <t>#KALK!</t>
        </is>
      </c>
      <c r="G9504" t="inlineStr">
        <is>
          <t>LASTSCHUETZ</t>
        </is>
      </c>
      <c r="H9504" t="inlineStr">
        <is>
          <t>4kW 1S</t>
        </is>
      </c>
      <c r="I9504">
        <v>946</v>
      </c>
      <c r="J9504">
        <f>GS15/444.6</f>
        <v>0</v>
      </c>
      <c r="M9504" t="inlineStr">
        <is>
          <t>-444K40.6</t>
        </is>
      </c>
    </row>
    <row r="9505">
      <c r="A9505">
        <v>9504</v>
      </c>
      <c r="B9505">
        <f>GS46</f>
        <v>0</v>
      </c>
      <c r="C9505" t="inlineStr">
        <is>
          <t>+LS07</t>
        </is>
      </c>
      <c r="D9505" t="inlineStr">
        <is>
          <t>-444Q1</t>
        </is>
      </c>
      <c r="E9505" t="inlineStr">
        <is>
          <t>DILM-9-01</t>
        </is>
      </c>
      <c r="F9505" t="inlineStr">
        <is>
          <t>DILA-XHI22</t>
        </is>
      </c>
      <c r="G9505" t="inlineStr">
        <is>
          <t>LASTSCHUETZ</t>
        </is>
      </c>
      <c r="H9505" t="inlineStr">
        <is>
          <t>4kW 1Oe Federzugkl.</t>
        </is>
      </c>
      <c r="I9505">
        <v>634</v>
      </c>
      <c r="J9505">
        <f>GS46/444.2</f>
        <v>0</v>
      </c>
      <c r="M9505" t="inlineStr">
        <is>
          <t>-444Q1</t>
        </is>
      </c>
    </row>
    <row r="9506">
      <c r="A9506">
        <v>9505</v>
      </c>
      <c r="B9506">
        <f>GS46</f>
        <v>0</v>
      </c>
      <c r="C9506" t="inlineStr">
        <is>
          <t>+LS07</t>
        </is>
      </c>
      <c r="D9506" t="inlineStr">
        <is>
          <t>-444Q1</t>
        </is>
      </c>
      <c r="E9506" t="inlineStr">
        <is>
          <t>DILA-XHI22</t>
        </is>
      </c>
      <c r="F9506" t="inlineStr">
        <is>
          <t>DILA-XHI22</t>
        </is>
      </c>
      <c r="G9506" t="inlineStr">
        <is>
          <t>HILFSKONTAKTBLOCK</t>
        </is>
      </c>
      <c r="H9506" t="inlineStr">
        <is>
          <t>2S 2OE Last+Hilfssch. Cage</t>
        </is>
      </c>
      <c r="I9506">
        <v>634</v>
      </c>
      <c r="J9506">
        <f>GS46/444.2</f>
        <v>0</v>
      </c>
      <c r="M9506" t="inlineStr">
        <is>
          <t>-444Q1</t>
        </is>
      </c>
    </row>
    <row r="9507">
      <c r="A9507">
        <v>9506</v>
      </c>
      <c r="B9507">
        <f>GS47</f>
        <v>0</v>
      </c>
      <c r="C9507" t="inlineStr">
        <is>
          <t>+LS07</t>
        </is>
      </c>
      <c r="D9507" t="inlineStr">
        <is>
          <t>-444Q1</t>
        </is>
      </c>
      <c r="E9507" t="inlineStr">
        <is>
          <t>DILA-XHI22</t>
        </is>
      </c>
      <c r="F9507" t="inlineStr">
        <is>
          <t>DILA-XHI22</t>
        </is>
      </c>
      <c r="G9507" t="inlineStr">
        <is>
          <t>HILFSKONTAKTBLOCK</t>
        </is>
      </c>
      <c r="H9507" t="inlineStr">
        <is>
          <t>2S 2OE Last+Hilfssch. Cage</t>
        </is>
      </c>
      <c r="I9507">
        <v>634</v>
      </c>
      <c r="J9507">
        <f>GS47/444.2</f>
        <v>0</v>
      </c>
      <c r="M9507" t="inlineStr">
        <is>
          <t>-444Q1</t>
        </is>
      </c>
    </row>
    <row r="9508">
      <c r="A9508">
        <v>9507</v>
      </c>
      <c r="B9508">
        <f>GS47</f>
        <v>0</v>
      </c>
      <c r="C9508" t="inlineStr">
        <is>
          <t>+LS07</t>
        </is>
      </c>
      <c r="D9508" t="inlineStr">
        <is>
          <t>-444Q1</t>
        </is>
      </c>
      <c r="E9508" t="inlineStr">
        <is>
          <t>DILM-9-01</t>
        </is>
      </c>
      <c r="F9508" t="inlineStr">
        <is>
          <t>DILA-XHI22</t>
        </is>
      </c>
      <c r="G9508" t="inlineStr">
        <is>
          <t>LASTSCHUETZ</t>
        </is>
      </c>
      <c r="H9508" t="inlineStr">
        <is>
          <t>4kW 1Oe Federzugkl.</t>
        </is>
      </c>
      <c r="I9508">
        <v>634</v>
      </c>
      <c r="J9508">
        <f>GS47/444.2</f>
        <v>0</v>
      </c>
      <c r="M9508" t="inlineStr">
        <is>
          <t>-444Q1</t>
        </is>
      </c>
    </row>
    <row r="9509">
      <c r="A9509">
        <v>9508</v>
      </c>
      <c r="B9509">
        <f>GS48</f>
        <v>0</v>
      </c>
      <c r="C9509" t="inlineStr">
        <is>
          <t>+LS07</t>
        </is>
      </c>
      <c r="D9509" t="inlineStr">
        <is>
          <t>-444Q1</t>
        </is>
      </c>
      <c r="E9509" t="inlineStr">
        <is>
          <t>DILA-XHI22</t>
        </is>
      </c>
      <c r="F9509" t="inlineStr">
        <is>
          <t>DILA-XHI22</t>
        </is>
      </c>
      <c r="G9509" t="inlineStr">
        <is>
          <t>HILFSKONTAKTBLOCK</t>
        </is>
      </c>
      <c r="H9509" t="inlineStr">
        <is>
          <t>2S 2OE Last+Hilfssch. Cage</t>
        </is>
      </c>
      <c r="I9509">
        <v>556</v>
      </c>
      <c r="J9509">
        <f>GS48/444.2</f>
        <v>0</v>
      </c>
      <c r="M9509" t="inlineStr">
        <is>
          <t>-444Q1</t>
        </is>
      </c>
    </row>
    <row r="9510">
      <c r="A9510">
        <v>9509</v>
      </c>
      <c r="B9510">
        <f>GS48</f>
        <v>0</v>
      </c>
      <c r="C9510" t="inlineStr">
        <is>
          <t>+LS07</t>
        </is>
      </c>
      <c r="D9510" t="inlineStr">
        <is>
          <t>-444Q1</t>
        </is>
      </c>
      <c r="E9510" t="inlineStr">
        <is>
          <t>DILM-9-01</t>
        </is>
      </c>
      <c r="F9510" t="inlineStr">
        <is>
          <t>DILA-XHI22</t>
        </is>
      </c>
      <c r="G9510" t="inlineStr">
        <is>
          <t>LASTSCHUETZ</t>
        </is>
      </c>
      <c r="H9510" t="inlineStr">
        <is>
          <t>4kW 1Oe Federzugkl.</t>
        </is>
      </c>
      <c r="I9510">
        <v>556</v>
      </c>
      <c r="J9510">
        <f>GS48/444.2</f>
        <v>0</v>
      </c>
      <c r="M9510" t="inlineStr">
        <is>
          <t>-444Q1</t>
        </is>
      </c>
    </row>
    <row r="9511">
      <c r="A9511">
        <v>9510</v>
      </c>
      <c r="B9511">
        <f>GS49</f>
        <v>0</v>
      </c>
      <c r="C9511" t="inlineStr">
        <is>
          <t>+LS07</t>
        </is>
      </c>
      <c r="D9511" t="inlineStr">
        <is>
          <t>-444Q1</t>
        </is>
      </c>
      <c r="E9511" t="inlineStr">
        <is>
          <t>DILM-9-01</t>
        </is>
      </c>
      <c r="F9511" t="inlineStr">
        <is>
          <t>DILA-XHI22</t>
        </is>
      </c>
      <c r="G9511" t="inlineStr">
        <is>
          <t>LASTSCHUETZ</t>
        </is>
      </c>
      <c r="H9511" t="inlineStr">
        <is>
          <t>4kW 1Oe Federzugkl.</t>
        </is>
      </c>
      <c r="I9511">
        <v>555</v>
      </c>
      <c r="J9511">
        <f>GS49/444.2</f>
        <v>0</v>
      </c>
      <c r="M9511" t="inlineStr">
        <is>
          <t>-444Q1</t>
        </is>
      </c>
    </row>
    <row r="9512">
      <c r="A9512">
        <v>9511</v>
      </c>
      <c r="B9512">
        <f>GS49</f>
        <v>0</v>
      </c>
      <c r="C9512" t="inlineStr">
        <is>
          <t>+LS07</t>
        </is>
      </c>
      <c r="D9512" t="inlineStr">
        <is>
          <t>-444Q1</t>
        </is>
      </c>
      <c r="E9512" t="inlineStr">
        <is>
          <t>DILA-XHI22</t>
        </is>
      </c>
      <c r="F9512" t="inlineStr">
        <is>
          <t>DILA-XHI22</t>
        </is>
      </c>
      <c r="G9512" t="inlineStr">
        <is>
          <t>HILFSKONTAKTBLOCK</t>
        </is>
      </c>
      <c r="H9512" t="inlineStr">
        <is>
          <t>2S 2OE Last+Hilfssch. Cage</t>
        </is>
      </c>
      <c r="I9512">
        <v>555</v>
      </c>
      <c r="J9512">
        <f>GS49/444.2</f>
        <v>0</v>
      </c>
      <c r="M9512" t="inlineStr">
        <is>
          <t>-444Q1</t>
        </is>
      </c>
    </row>
    <row r="9513">
      <c r="A9513">
        <v>9512</v>
      </c>
      <c r="B9513">
        <f>GS46</f>
        <v>0</v>
      </c>
      <c r="C9513" t="inlineStr">
        <is>
          <t>+LS07</t>
        </is>
      </c>
      <c r="D9513" t="inlineStr">
        <is>
          <t>-444Q2</t>
        </is>
      </c>
      <c r="E9513" t="inlineStr">
        <is>
          <t>DILM-9-01</t>
        </is>
      </c>
      <c r="F9513" t="inlineStr">
        <is>
          <t>DILA-XHI22</t>
        </is>
      </c>
      <c r="G9513" t="inlineStr">
        <is>
          <t>LASTSCHUETZ</t>
        </is>
      </c>
      <c r="H9513" t="inlineStr">
        <is>
          <t>4kW 1Oe Federzugkl.</t>
        </is>
      </c>
      <c r="I9513">
        <v>634</v>
      </c>
      <c r="J9513">
        <f>GS46/444.2</f>
        <v>0</v>
      </c>
      <c r="M9513" t="inlineStr">
        <is>
          <t>-444Q2</t>
        </is>
      </c>
    </row>
    <row r="9514">
      <c r="A9514">
        <v>9513</v>
      </c>
      <c r="B9514">
        <f>GS46</f>
        <v>0</v>
      </c>
      <c r="C9514" t="inlineStr">
        <is>
          <t>+LS07</t>
        </is>
      </c>
      <c r="D9514" t="inlineStr">
        <is>
          <t>-444Q2</t>
        </is>
      </c>
      <c r="E9514" t="inlineStr">
        <is>
          <t>DILA-XHI22</t>
        </is>
      </c>
      <c r="F9514" t="inlineStr">
        <is>
          <t>DILA-XHI22</t>
        </is>
      </c>
      <c r="G9514" t="inlineStr">
        <is>
          <t>HILFSKONTAKTBLOCK</t>
        </is>
      </c>
      <c r="H9514" t="inlineStr">
        <is>
          <t>2S 2OE Last+Hilfssch. Cage</t>
        </is>
      </c>
      <c r="I9514">
        <v>634</v>
      </c>
      <c r="J9514">
        <f>GS46/444.2</f>
        <v>0</v>
      </c>
      <c r="M9514" t="inlineStr">
        <is>
          <t>-444Q2</t>
        </is>
      </c>
    </row>
    <row r="9515">
      <c r="A9515">
        <v>9514</v>
      </c>
      <c r="B9515">
        <f>GS47</f>
        <v>0</v>
      </c>
      <c r="C9515" t="inlineStr">
        <is>
          <t>+LS07</t>
        </is>
      </c>
      <c r="D9515" t="inlineStr">
        <is>
          <t>-444Q2</t>
        </is>
      </c>
      <c r="E9515" t="inlineStr">
        <is>
          <t>DILA-XHI22</t>
        </is>
      </c>
      <c r="F9515" t="inlineStr">
        <is>
          <t>DILA-XHI22</t>
        </is>
      </c>
      <c r="G9515" t="inlineStr">
        <is>
          <t>HILFSKONTAKTBLOCK</t>
        </is>
      </c>
      <c r="H9515" t="inlineStr">
        <is>
          <t>2S 2OE Last+Hilfssch. Cage</t>
        </is>
      </c>
      <c r="I9515">
        <v>634</v>
      </c>
      <c r="J9515">
        <f>GS47/444.2</f>
        <v>0</v>
      </c>
      <c r="M9515" t="inlineStr">
        <is>
          <t>-444Q2</t>
        </is>
      </c>
    </row>
    <row r="9516">
      <c r="A9516">
        <v>9515</v>
      </c>
      <c r="B9516">
        <f>GS47</f>
        <v>0</v>
      </c>
      <c r="C9516" t="inlineStr">
        <is>
          <t>+LS07</t>
        </is>
      </c>
      <c r="D9516" t="inlineStr">
        <is>
          <t>-444Q2</t>
        </is>
      </c>
      <c r="E9516" t="inlineStr">
        <is>
          <t>DILM-9-01</t>
        </is>
      </c>
      <c r="F9516" t="inlineStr">
        <is>
          <t>DILA-XHI22</t>
        </is>
      </c>
      <c r="G9516" t="inlineStr">
        <is>
          <t>LASTSCHUETZ</t>
        </is>
      </c>
      <c r="H9516" t="inlineStr">
        <is>
          <t>4kW 1Oe Federzugkl.</t>
        </is>
      </c>
      <c r="I9516">
        <v>634</v>
      </c>
      <c r="J9516">
        <f>GS47/444.2</f>
        <v>0</v>
      </c>
      <c r="M9516" t="inlineStr">
        <is>
          <t>-444Q2</t>
        </is>
      </c>
    </row>
    <row r="9517">
      <c r="A9517">
        <v>9516</v>
      </c>
      <c r="B9517">
        <f>GS48</f>
        <v>0</v>
      </c>
      <c r="C9517" t="inlineStr">
        <is>
          <t>+LS07</t>
        </is>
      </c>
      <c r="D9517" t="inlineStr">
        <is>
          <t>-444Q2</t>
        </is>
      </c>
      <c r="E9517" t="inlineStr">
        <is>
          <t>DILA-XHI22</t>
        </is>
      </c>
      <c r="F9517" t="inlineStr">
        <is>
          <t>DILA-XHI22</t>
        </is>
      </c>
      <c r="G9517" t="inlineStr">
        <is>
          <t>HILFSKONTAKTBLOCK</t>
        </is>
      </c>
      <c r="H9517" t="inlineStr">
        <is>
          <t>2S 2OE Last+Hilfssch. Cage</t>
        </is>
      </c>
      <c r="I9517">
        <v>556</v>
      </c>
      <c r="J9517">
        <f>GS48/444.3</f>
        <v>0</v>
      </c>
      <c r="M9517" t="inlineStr">
        <is>
          <t>-444Q2</t>
        </is>
      </c>
    </row>
    <row r="9518">
      <c r="A9518">
        <v>9517</v>
      </c>
      <c r="B9518">
        <f>GS48</f>
        <v>0</v>
      </c>
      <c r="C9518" t="inlineStr">
        <is>
          <t>+LS07</t>
        </is>
      </c>
      <c r="D9518" t="inlineStr">
        <is>
          <t>-444Q2</t>
        </is>
      </c>
      <c r="E9518" t="inlineStr">
        <is>
          <t>DILM-9-01</t>
        </is>
      </c>
      <c r="F9518" t="inlineStr">
        <is>
          <t>DILA-XHI22</t>
        </is>
      </c>
      <c r="G9518" t="inlineStr">
        <is>
          <t>LASTSCHUETZ</t>
        </is>
      </c>
      <c r="H9518" t="inlineStr">
        <is>
          <t>4kW 1Oe Federzugkl.</t>
        </is>
      </c>
      <c r="I9518">
        <v>556</v>
      </c>
      <c r="J9518">
        <f>GS48/444.3</f>
        <v>0</v>
      </c>
      <c r="M9518" t="inlineStr">
        <is>
          <t>-444Q2</t>
        </is>
      </c>
    </row>
    <row r="9519">
      <c r="A9519">
        <v>9518</v>
      </c>
      <c r="B9519">
        <f>GS49</f>
        <v>0</v>
      </c>
      <c r="C9519" t="inlineStr">
        <is>
          <t>+LS07</t>
        </is>
      </c>
      <c r="D9519" t="inlineStr">
        <is>
          <t>-444Q2</t>
        </is>
      </c>
      <c r="E9519" t="inlineStr">
        <is>
          <t>DILM-9-01</t>
        </is>
      </c>
      <c r="F9519" t="inlineStr">
        <is>
          <t>DILA-XHI22</t>
        </is>
      </c>
      <c r="G9519" t="inlineStr">
        <is>
          <t>LASTSCHUETZ</t>
        </is>
      </c>
      <c r="H9519" t="inlineStr">
        <is>
          <t>4kW 1Oe Federzugkl.</t>
        </is>
      </c>
      <c r="I9519">
        <v>555</v>
      </c>
      <c r="J9519">
        <f>GS49/444.3</f>
        <v>0</v>
      </c>
      <c r="M9519" t="inlineStr">
        <is>
          <t>-444Q2</t>
        </is>
      </c>
    </row>
    <row r="9520">
      <c r="A9520">
        <v>9519</v>
      </c>
      <c r="B9520">
        <f>GS49</f>
        <v>0</v>
      </c>
      <c r="C9520" t="inlineStr">
        <is>
          <t>+LS07</t>
        </is>
      </c>
      <c r="D9520" t="inlineStr">
        <is>
          <t>-444Q2</t>
        </is>
      </c>
      <c r="E9520" t="inlineStr">
        <is>
          <t>DILA-XHI22</t>
        </is>
      </c>
      <c r="F9520" t="inlineStr">
        <is>
          <t>DILA-XHI22</t>
        </is>
      </c>
      <c r="G9520" t="inlineStr">
        <is>
          <t>HILFSKONTAKTBLOCK</t>
        </is>
      </c>
      <c r="H9520" t="inlineStr">
        <is>
          <t>2S 2OE Last+Hilfssch. Cage</t>
        </is>
      </c>
      <c r="I9520">
        <v>555</v>
      </c>
      <c r="J9520">
        <f>GS49/444.3</f>
        <v>0</v>
      </c>
      <c r="M9520" t="inlineStr">
        <is>
          <t>-444Q2</t>
        </is>
      </c>
    </row>
    <row r="9521">
      <c r="A9521">
        <v>9520</v>
      </c>
      <c r="B9521">
        <f>GS46</f>
        <v>0</v>
      </c>
      <c r="C9521" t="inlineStr">
        <is>
          <t>+LS07</t>
        </is>
      </c>
      <c r="D9521" t="inlineStr">
        <is>
          <t>-444Q3</t>
        </is>
      </c>
      <c r="E9521" t="inlineStr">
        <is>
          <t>DILM-9-01</t>
        </is>
      </c>
      <c r="F9521" t="inlineStr">
        <is>
          <t>DILA-XHI22</t>
        </is>
      </c>
      <c r="G9521" t="inlineStr">
        <is>
          <t>LASTSCHUETZ</t>
        </is>
      </c>
      <c r="H9521" t="inlineStr">
        <is>
          <t>4kW 1Oe Federzugkl.</t>
        </is>
      </c>
      <c r="I9521">
        <v>634</v>
      </c>
      <c r="J9521">
        <f>GS46/444.3</f>
        <v>0</v>
      </c>
      <c r="M9521" t="inlineStr">
        <is>
          <t>-444Q3</t>
        </is>
      </c>
    </row>
    <row r="9522">
      <c r="A9522">
        <v>9521</v>
      </c>
      <c r="B9522">
        <f>GS46</f>
        <v>0</v>
      </c>
      <c r="C9522" t="inlineStr">
        <is>
          <t>+LS07</t>
        </is>
      </c>
      <c r="D9522" t="inlineStr">
        <is>
          <t>-444Q3</t>
        </is>
      </c>
      <c r="E9522" t="inlineStr">
        <is>
          <t>DILA-XHI22</t>
        </is>
      </c>
      <c r="F9522" t="inlineStr">
        <is>
          <t>DILA-XHI22</t>
        </is>
      </c>
      <c r="G9522" t="inlineStr">
        <is>
          <t>HILFSKONTAKTBLOCK</t>
        </is>
      </c>
      <c r="H9522" t="inlineStr">
        <is>
          <t>2S 2OE Last+Hilfssch. Cage</t>
        </is>
      </c>
      <c r="I9522">
        <v>634</v>
      </c>
      <c r="J9522">
        <f>GS46/444.3</f>
        <v>0</v>
      </c>
      <c r="M9522" t="inlineStr">
        <is>
          <t>-444Q3</t>
        </is>
      </c>
    </row>
    <row r="9523">
      <c r="A9523">
        <v>9522</v>
      </c>
      <c r="B9523">
        <f>GS47</f>
        <v>0</v>
      </c>
      <c r="C9523" t="inlineStr">
        <is>
          <t>+LS07</t>
        </is>
      </c>
      <c r="D9523" t="inlineStr">
        <is>
          <t>-444Q3</t>
        </is>
      </c>
      <c r="E9523" t="inlineStr">
        <is>
          <t>DILA-XHI22</t>
        </is>
      </c>
      <c r="F9523" t="inlineStr">
        <is>
          <t>DILA-XHI22</t>
        </is>
      </c>
      <c r="G9523" t="inlineStr">
        <is>
          <t>HILFSKONTAKTBLOCK</t>
        </is>
      </c>
      <c r="H9523" t="inlineStr">
        <is>
          <t>2S 2OE Last+Hilfssch. Cage</t>
        </is>
      </c>
      <c r="I9523">
        <v>634</v>
      </c>
      <c r="J9523">
        <f>GS47/444.3</f>
        <v>0</v>
      </c>
      <c r="M9523" t="inlineStr">
        <is>
          <t>-444Q3</t>
        </is>
      </c>
    </row>
    <row r="9524">
      <c r="A9524">
        <v>9523</v>
      </c>
      <c r="B9524">
        <f>GS47</f>
        <v>0</v>
      </c>
      <c r="C9524" t="inlineStr">
        <is>
          <t>+LS07</t>
        </is>
      </c>
      <c r="D9524" t="inlineStr">
        <is>
          <t>-444Q3</t>
        </is>
      </c>
      <c r="E9524" t="inlineStr">
        <is>
          <t>DILM-9-01</t>
        </is>
      </c>
      <c r="F9524" t="inlineStr">
        <is>
          <t>DILA-XHI22</t>
        </is>
      </c>
      <c r="G9524" t="inlineStr">
        <is>
          <t>LASTSCHUETZ</t>
        </is>
      </c>
      <c r="H9524" t="inlineStr">
        <is>
          <t>4kW 1Oe Federzugkl.</t>
        </is>
      </c>
      <c r="I9524">
        <v>634</v>
      </c>
      <c r="J9524">
        <f>GS47/444.3</f>
        <v>0</v>
      </c>
      <c r="M9524" t="inlineStr">
        <is>
          <t>-444Q3</t>
        </is>
      </c>
    </row>
    <row r="9525">
      <c r="A9525">
        <v>9524</v>
      </c>
      <c r="B9525">
        <f>GS48</f>
        <v>0</v>
      </c>
      <c r="C9525" t="inlineStr">
        <is>
          <t>+LS07</t>
        </is>
      </c>
      <c r="D9525" t="inlineStr">
        <is>
          <t>-444Q3</t>
        </is>
      </c>
      <c r="E9525" t="inlineStr">
        <is>
          <t>DILA-XHI22</t>
        </is>
      </c>
      <c r="F9525" t="inlineStr">
        <is>
          <t>DILA-XHI22</t>
        </is>
      </c>
      <c r="G9525" t="inlineStr">
        <is>
          <t>HILFSKONTAKTBLOCK</t>
        </is>
      </c>
      <c r="H9525" t="inlineStr">
        <is>
          <t>2S 2OE Last+Hilfssch. Cage</t>
        </is>
      </c>
      <c r="I9525">
        <v>556</v>
      </c>
      <c r="J9525">
        <f>GS48/444.3</f>
        <v>0</v>
      </c>
      <c r="M9525" t="inlineStr">
        <is>
          <t>-444Q3</t>
        </is>
      </c>
    </row>
    <row r="9526">
      <c r="A9526">
        <v>9525</v>
      </c>
      <c r="B9526">
        <f>GS48</f>
        <v>0</v>
      </c>
      <c r="C9526" t="inlineStr">
        <is>
          <t>+LS07</t>
        </is>
      </c>
      <c r="D9526" t="inlineStr">
        <is>
          <t>-444Q3</t>
        </is>
      </c>
      <c r="E9526" t="inlineStr">
        <is>
          <t>DILM-9-01</t>
        </is>
      </c>
      <c r="F9526" t="inlineStr">
        <is>
          <t>DILA-XHI22</t>
        </is>
      </c>
      <c r="G9526" t="inlineStr">
        <is>
          <t>LASTSCHUETZ</t>
        </is>
      </c>
      <c r="H9526" t="inlineStr">
        <is>
          <t>4kW 1Oe Federzugkl.</t>
        </is>
      </c>
      <c r="I9526">
        <v>556</v>
      </c>
      <c r="J9526">
        <f>GS48/444.3</f>
        <v>0</v>
      </c>
      <c r="M9526" t="inlineStr">
        <is>
          <t>-444Q3</t>
        </is>
      </c>
    </row>
    <row r="9527">
      <c r="A9527">
        <v>9526</v>
      </c>
      <c r="B9527">
        <f>GS49</f>
        <v>0</v>
      </c>
      <c r="C9527" t="inlineStr">
        <is>
          <t>+LS07</t>
        </is>
      </c>
      <c r="D9527" t="inlineStr">
        <is>
          <t>-444Q3</t>
        </is>
      </c>
      <c r="E9527" t="inlineStr">
        <is>
          <t>DILM-9-01</t>
        </is>
      </c>
      <c r="F9527" t="inlineStr">
        <is>
          <t>DILA-XHI22</t>
        </is>
      </c>
      <c r="G9527" t="inlineStr">
        <is>
          <t>LASTSCHUETZ</t>
        </is>
      </c>
      <c r="H9527" t="inlineStr">
        <is>
          <t>4kW 1Oe Federzugkl.</t>
        </is>
      </c>
      <c r="I9527">
        <v>555</v>
      </c>
      <c r="J9527">
        <f>GS49/444.3</f>
        <v>0</v>
      </c>
      <c r="M9527" t="inlineStr">
        <is>
          <t>-444Q3</t>
        </is>
      </c>
    </row>
    <row r="9528">
      <c r="A9528">
        <v>9527</v>
      </c>
      <c r="B9528">
        <f>GS49</f>
        <v>0</v>
      </c>
      <c r="C9528" t="inlineStr">
        <is>
          <t>+LS07</t>
        </is>
      </c>
      <c r="D9528" t="inlineStr">
        <is>
          <t>-444Q3</t>
        </is>
      </c>
      <c r="E9528" t="inlineStr">
        <is>
          <t>DILA-XHI22</t>
        </is>
      </c>
      <c r="F9528" t="inlineStr">
        <is>
          <t>DILA-XHI22</t>
        </is>
      </c>
      <c r="G9528" t="inlineStr">
        <is>
          <t>HILFSKONTAKTBLOCK</t>
        </is>
      </c>
      <c r="H9528" t="inlineStr">
        <is>
          <t>2S 2OE Last+Hilfssch. Cage</t>
        </is>
      </c>
      <c r="I9528">
        <v>555</v>
      </c>
      <c r="J9528">
        <f>GS49/444.3</f>
        <v>0</v>
      </c>
      <c r="M9528" t="inlineStr">
        <is>
          <t>-444Q3</t>
        </is>
      </c>
    </row>
    <row r="9529">
      <c r="A9529">
        <v>9528</v>
      </c>
      <c r="B9529">
        <f>GS46</f>
        <v>0</v>
      </c>
      <c r="C9529" t="inlineStr">
        <is>
          <t>+LS07</t>
        </is>
      </c>
      <c r="D9529" t="inlineStr">
        <is>
          <t>-444Q4</t>
        </is>
      </c>
      <c r="E9529" t="inlineStr">
        <is>
          <t>DILA-XHI22</t>
        </is>
      </c>
      <c r="F9529" t="inlineStr">
        <is>
          <t>DILA-XHI22</t>
        </is>
      </c>
      <c r="G9529" t="inlineStr">
        <is>
          <t>HILFSKONTAKTBLOCK</t>
        </is>
      </c>
      <c r="H9529" t="inlineStr">
        <is>
          <t>2S 2OE Last+Hilfssch. Cage</t>
        </is>
      </c>
      <c r="I9529">
        <v>634</v>
      </c>
      <c r="J9529">
        <f>GS46/444.4</f>
        <v>0</v>
      </c>
      <c r="M9529" t="inlineStr">
        <is>
          <t>-444Q4</t>
        </is>
      </c>
    </row>
    <row r="9530">
      <c r="A9530">
        <v>9529</v>
      </c>
      <c r="B9530">
        <f>GS46</f>
        <v>0</v>
      </c>
      <c r="C9530" t="inlineStr">
        <is>
          <t>+LS07</t>
        </is>
      </c>
      <c r="D9530" t="inlineStr">
        <is>
          <t>-444Q4</t>
        </is>
      </c>
      <c r="E9530" t="inlineStr">
        <is>
          <t>DILM-9-01</t>
        </is>
      </c>
      <c r="F9530" t="inlineStr">
        <is>
          <t>DILA-XHI22</t>
        </is>
      </c>
      <c r="G9530" t="inlineStr">
        <is>
          <t>LASTSCHUETZ</t>
        </is>
      </c>
      <c r="H9530" t="inlineStr">
        <is>
          <t>4kW 1Oe Federzugkl.</t>
        </is>
      </c>
      <c r="I9530">
        <v>634</v>
      </c>
      <c r="J9530">
        <f>GS46/444.4</f>
        <v>0</v>
      </c>
      <c r="M9530" t="inlineStr">
        <is>
          <t>-444Q4</t>
        </is>
      </c>
    </row>
    <row r="9531">
      <c r="A9531">
        <v>9530</v>
      </c>
      <c r="B9531">
        <f>GS47</f>
        <v>0</v>
      </c>
      <c r="C9531" t="inlineStr">
        <is>
          <t>+LS07</t>
        </is>
      </c>
      <c r="D9531" t="inlineStr">
        <is>
          <t>-444Q4</t>
        </is>
      </c>
      <c r="E9531" t="inlineStr">
        <is>
          <t>DILA-XHI22</t>
        </is>
      </c>
      <c r="F9531" t="inlineStr">
        <is>
          <t>DILA-XHI22</t>
        </is>
      </c>
      <c r="G9531" t="inlineStr">
        <is>
          <t>HILFSKONTAKTBLOCK</t>
        </is>
      </c>
      <c r="H9531" t="inlineStr">
        <is>
          <t>2S 2OE Last+Hilfssch. Cage</t>
        </is>
      </c>
      <c r="I9531">
        <v>634</v>
      </c>
      <c r="J9531">
        <f>GS47/444.4</f>
        <v>0</v>
      </c>
      <c r="M9531" t="inlineStr">
        <is>
          <t>-444Q4</t>
        </is>
      </c>
    </row>
    <row r="9532">
      <c r="A9532">
        <v>9531</v>
      </c>
      <c r="B9532">
        <f>GS47</f>
        <v>0</v>
      </c>
      <c r="C9532" t="inlineStr">
        <is>
          <t>+LS07</t>
        </is>
      </c>
      <c r="D9532" t="inlineStr">
        <is>
          <t>-444Q4</t>
        </is>
      </c>
      <c r="E9532" t="inlineStr">
        <is>
          <t>DILM-9-01</t>
        </is>
      </c>
      <c r="F9532" t="inlineStr">
        <is>
          <t>DILA-XHI22</t>
        </is>
      </c>
      <c r="G9532" t="inlineStr">
        <is>
          <t>LASTSCHUETZ</t>
        </is>
      </c>
      <c r="H9532" t="inlineStr">
        <is>
          <t>4kW 1Oe Federzugkl.</t>
        </is>
      </c>
      <c r="I9532">
        <v>634</v>
      </c>
      <c r="J9532">
        <f>GS47/444.4</f>
        <v>0</v>
      </c>
      <c r="M9532" t="inlineStr">
        <is>
          <t>-444Q4</t>
        </is>
      </c>
    </row>
    <row r="9533">
      <c r="A9533">
        <v>9532</v>
      </c>
      <c r="B9533">
        <f>GS48</f>
        <v>0</v>
      </c>
      <c r="C9533" t="inlineStr">
        <is>
          <t>+LS07</t>
        </is>
      </c>
      <c r="D9533" t="inlineStr">
        <is>
          <t>-444Q4</t>
        </is>
      </c>
      <c r="E9533" t="inlineStr">
        <is>
          <t>DILA-XHI22</t>
        </is>
      </c>
      <c r="F9533" t="inlineStr">
        <is>
          <t>DILA-XHI22</t>
        </is>
      </c>
      <c r="G9533" t="inlineStr">
        <is>
          <t>HILFSKONTAKTBLOCK</t>
        </is>
      </c>
      <c r="H9533" t="inlineStr">
        <is>
          <t>2S 2OE Last+Hilfssch. Cage</t>
        </is>
      </c>
      <c r="I9533">
        <v>556</v>
      </c>
      <c r="J9533">
        <f>GS48/444.4</f>
        <v>0</v>
      </c>
      <c r="M9533" t="inlineStr">
        <is>
          <t>-444Q4</t>
        </is>
      </c>
    </row>
    <row r="9534">
      <c r="A9534">
        <v>9533</v>
      </c>
      <c r="B9534">
        <f>GS48</f>
        <v>0</v>
      </c>
      <c r="C9534" t="inlineStr">
        <is>
          <t>+LS07</t>
        </is>
      </c>
      <c r="D9534" t="inlineStr">
        <is>
          <t>-444Q4</t>
        </is>
      </c>
      <c r="E9534" t="inlineStr">
        <is>
          <t>DILM-9-01</t>
        </is>
      </c>
      <c r="F9534" t="inlineStr">
        <is>
          <t>DILA-XHI22</t>
        </is>
      </c>
      <c r="G9534" t="inlineStr">
        <is>
          <t>LASTSCHUETZ</t>
        </is>
      </c>
      <c r="H9534" t="inlineStr">
        <is>
          <t>4kW 1Oe Federzugkl.</t>
        </is>
      </c>
      <c r="I9534">
        <v>556</v>
      </c>
      <c r="J9534">
        <f>GS48/444.4</f>
        <v>0</v>
      </c>
      <c r="M9534" t="inlineStr">
        <is>
          <t>-444Q4</t>
        </is>
      </c>
    </row>
    <row r="9535">
      <c r="A9535">
        <v>9534</v>
      </c>
      <c r="B9535">
        <f>GS49</f>
        <v>0</v>
      </c>
      <c r="C9535" t="inlineStr">
        <is>
          <t>+LS07</t>
        </is>
      </c>
      <c r="D9535" t="inlineStr">
        <is>
          <t>-444Q4</t>
        </is>
      </c>
      <c r="E9535" t="inlineStr">
        <is>
          <t>DILM-9-01</t>
        </is>
      </c>
      <c r="F9535" t="inlineStr">
        <is>
          <t>DILA-XHI22</t>
        </is>
      </c>
      <c r="G9535" t="inlineStr">
        <is>
          <t>LASTSCHUETZ</t>
        </is>
      </c>
      <c r="H9535" t="inlineStr">
        <is>
          <t>4kW 1Oe Federzugkl.</t>
        </is>
      </c>
      <c r="I9535">
        <v>555</v>
      </c>
      <c r="J9535">
        <f>GS49/444.4</f>
        <v>0</v>
      </c>
      <c r="M9535" t="inlineStr">
        <is>
          <t>-444Q4</t>
        </is>
      </c>
    </row>
    <row r="9536">
      <c r="A9536">
        <v>9535</v>
      </c>
      <c r="B9536">
        <f>GS49</f>
        <v>0</v>
      </c>
      <c r="C9536" t="inlineStr">
        <is>
          <t>+LS07</t>
        </is>
      </c>
      <c r="D9536" t="inlineStr">
        <is>
          <t>-444Q4</t>
        </is>
      </c>
      <c r="E9536" t="inlineStr">
        <is>
          <t>DILA-XHI22</t>
        </is>
      </c>
      <c r="F9536" t="inlineStr">
        <is>
          <t>DILA-XHI22</t>
        </is>
      </c>
      <c r="G9536" t="inlineStr">
        <is>
          <t>HILFSKONTAKTBLOCK</t>
        </is>
      </c>
      <c r="H9536" t="inlineStr">
        <is>
          <t>2S 2OE Last+Hilfssch. Cage</t>
        </is>
      </c>
      <c r="I9536">
        <v>555</v>
      </c>
      <c r="J9536">
        <f>GS49/444.4</f>
        <v>0</v>
      </c>
      <c r="M9536" t="inlineStr">
        <is>
          <t>-444Q4</t>
        </is>
      </c>
    </row>
    <row r="9537">
      <c r="A9537">
        <v>9536</v>
      </c>
      <c r="B9537">
        <f>GS46</f>
        <v>0</v>
      </c>
      <c r="C9537" t="inlineStr">
        <is>
          <t>+LS07</t>
        </is>
      </c>
      <c r="D9537" t="inlineStr">
        <is>
          <t>-444Q5</t>
        </is>
      </c>
      <c r="E9537" t="inlineStr">
        <is>
          <t>DILM150-XHIC22</t>
        </is>
      </c>
      <c r="F9537" t="inlineStr">
        <is>
          <t>DILM150-XHIC22</t>
        </is>
      </c>
      <c r="G9537" t="inlineStr">
        <is>
          <t>HILFSKONTAKTBLOCK</t>
        </is>
      </c>
      <c r="H9537" t="inlineStr">
        <is>
          <t>2S 2OE ab DILMC40</t>
        </is>
      </c>
      <c r="I9537">
        <v>634</v>
      </c>
      <c r="J9537">
        <f>GS46/444.5</f>
        <v>0</v>
      </c>
      <c r="K9537" t="inlineStr">
        <is>
          <t>DIL MC40</t>
        </is>
      </c>
      <c r="M9537" t="inlineStr">
        <is>
          <t>-444Q5</t>
        </is>
      </c>
    </row>
    <row r="9538">
      <c r="A9538">
        <v>9537</v>
      </c>
      <c r="B9538">
        <f>GS46</f>
        <v>0</v>
      </c>
      <c r="C9538" t="inlineStr">
        <is>
          <t>+LS07</t>
        </is>
      </c>
      <c r="D9538" t="inlineStr">
        <is>
          <t>-444Q5</t>
        </is>
      </c>
      <c r="E9538" t="inlineStr">
        <is>
          <t>DILMC40(RDC24)</t>
        </is>
      </c>
      <c r="F9538" t="inlineStr">
        <is>
          <t>DILM150-XHIC22</t>
        </is>
      </c>
      <c r="G9538" t="inlineStr">
        <is>
          <t>LASTSCHUETZ</t>
        </is>
      </c>
      <c r="H9538" t="inlineStr">
        <is>
          <t>18,5kW Federzugkl.</t>
        </is>
      </c>
      <c r="I9538">
        <v>634</v>
      </c>
      <c r="J9538">
        <f>GS46/444.5</f>
        <v>0</v>
      </c>
      <c r="K9538" t="inlineStr">
        <is>
          <t>DIL MC40</t>
        </is>
      </c>
      <c r="M9538" t="inlineStr">
        <is>
          <t>-444Q5</t>
        </is>
      </c>
    </row>
    <row r="9539">
      <c r="A9539">
        <v>9538</v>
      </c>
      <c r="B9539">
        <f>GS47</f>
        <v>0</v>
      </c>
      <c r="C9539" t="inlineStr">
        <is>
          <t>+LS07</t>
        </is>
      </c>
      <c r="D9539" t="inlineStr">
        <is>
          <t>-444Q5</t>
        </is>
      </c>
      <c r="E9539" t="inlineStr">
        <is>
          <t>DILM150-XHIC22</t>
        </is>
      </c>
      <c r="F9539" t="inlineStr">
        <is>
          <t>DILM150-XHIC22</t>
        </is>
      </c>
      <c r="G9539" t="inlineStr">
        <is>
          <t>HILFSKONTAKTBLOCK</t>
        </is>
      </c>
      <c r="H9539" t="inlineStr">
        <is>
          <t>2S 2OE ab DILMC40</t>
        </is>
      </c>
      <c r="I9539">
        <v>634</v>
      </c>
      <c r="J9539">
        <f>GS47/444.5</f>
        <v>0</v>
      </c>
      <c r="K9539" t="inlineStr">
        <is>
          <t>DIL MC40</t>
        </is>
      </c>
      <c r="M9539" t="inlineStr">
        <is>
          <t>-444Q5</t>
        </is>
      </c>
    </row>
    <row r="9540">
      <c r="A9540">
        <v>9539</v>
      </c>
      <c r="B9540">
        <f>GS47</f>
        <v>0</v>
      </c>
      <c r="C9540" t="inlineStr">
        <is>
          <t>+LS07</t>
        </is>
      </c>
      <c r="D9540" t="inlineStr">
        <is>
          <t>-444Q5</t>
        </is>
      </c>
      <c r="E9540" t="inlineStr">
        <is>
          <t>DILMC40(RDC24)</t>
        </is>
      </c>
      <c r="F9540" t="inlineStr">
        <is>
          <t>DILM150-XHIC22</t>
        </is>
      </c>
      <c r="G9540" t="inlineStr">
        <is>
          <t>LASTSCHUETZ</t>
        </is>
      </c>
      <c r="H9540" t="inlineStr">
        <is>
          <t>18,5kW Federzugkl.</t>
        </is>
      </c>
      <c r="I9540">
        <v>634</v>
      </c>
      <c r="J9540">
        <f>GS47/444.5</f>
        <v>0</v>
      </c>
      <c r="K9540" t="inlineStr">
        <is>
          <t>DIL MC40</t>
        </is>
      </c>
      <c r="M9540" t="inlineStr">
        <is>
          <t>-444Q5</t>
        </is>
      </c>
    </row>
    <row r="9541">
      <c r="A9541">
        <v>9540</v>
      </c>
      <c r="B9541">
        <f>GS48</f>
        <v>0</v>
      </c>
      <c r="C9541" t="inlineStr">
        <is>
          <t>+LS07</t>
        </is>
      </c>
      <c r="D9541" t="inlineStr">
        <is>
          <t>-444Q5</t>
        </is>
      </c>
      <c r="E9541" t="inlineStr">
        <is>
          <t>DILMC40(RDC24)</t>
        </is>
      </c>
      <c r="F9541" t="inlineStr">
        <is>
          <t>DILM150-XHIC22</t>
        </is>
      </c>
      <c r="G9541" t="inlineStr">
        <is>
          <t>LASTSCHUETZ</t>
        </is>
      </c>
      <c r="H9541" t="inlineStr">
        <is>
          <t>18,5kW Federzugkl.</t>
        </is>
      </c>
      <c r="I9541">
        <v>556</v>
      </c>
      <c r="J9541">
        <f>GS48/444.5</f>
        <v>0</v>
      </c>
      <c r="K9541" t="inlineStr">
        <is>
          <t>DIL MC40</t>
        </is>
      </c>
      <c r="M9541" t="inlineStr">
        <is>
          <t>-444Q5</t>
        </is>
      </c>
    </row>
    <row r="9542">
      <c r="A9542">
        <v>9541</v>
      </c>
      <c r="B9542">
        <f>GS48</f>
        <v>0</v>
      </c>
      <c r="C9542" t="inlineStr">
        <is>
          <t>+LS07</t>
        </is>
      </c>
      <c r="D9542" t="inlineStr">
        <is>
          <t>-444Q5</t>
        </is>
      </c>
      <c r="E9542" t="inlineStr">
        <is>
          <t>DILM150-XHIC22</t>
        </is>
      </c>
      <c r="F9542" t="inlineStr">
        <is>
          <t>DILM150-XHIC22</t>
        </is>
      </c>
      <c r="G9542" t="inlineStr">
        <is>
          <t>HILFSKONTAKTBLOCK</t>
        </is>
      </c>
      <c r="H9542" t="inlineStr">
        <is>
          <t>2S 2OE ab DILMC40</t>
        </is>
      </c>
      <c r="I9542">
        <v>556</v>
      </c>
      <c r="J9542">
        <f>GS48/444.5</f>
        <v>0</v>
      </c>
      <c r="K9542" t="inlineStr">
        <is>
          <t>DIL MC40</t>
        </is>
      </c>
      <c r="M9542" t="inlineStr">
        <is>
          <t>-444Q5</t>
        </is>
      </c>
    </row>
    <row r="9543">
      <c r="A9543">
        <v>9542</v>
      </c>
      <c r="B9543">
        <f>GS49</f>
        <v>0</v>
      </c>
      <c r="C9543" t="inlineStr">
        <is>
          <t>+LS07</t>
        </is>
      </c>
      <c r="D9543" t="inlineStr">
        <is>
          <t>-444Q5</t>
        </is>
      </c>
      <c r="E9543" t="inlineStr">
        <is>
          <t>DILMC40(RDC24)</t>
        </is>
      </c>
      <c r="F9543" t="inlineStr">
        <is>
          <t>DILM150-XHIC22</t>
        </is>
      </c>
      <c r="G9543" t="inlineStr">
        <is>
          <t>LASTSCHUETZ</t>
        </is>
      </c>
      <c r="H9543" t="inlineStr">
        <is>
          <t>18,5kW Federzugkl.</t>
        </is>
      </c>
      <c r="I9543">
        <v>555</v>
      </c>
      <c r="J9543">
        <f>GS49/444.5</f>
        <v>0</v>
      </c>
      <c r="K9543" t="inlineStr">
        <is>
          <t>DIL MC40</t>
        </is>
      </c>
      <c r="M9543" t="inlineStr">
        <is>
          <t>-444Q5</t>
        </is>
      </c>
    </row>
    <row r="9544">
      <c r="A9544">
        <v>9543</v>
      </c>
      <c r="B9544">
        <f>GS49</f>
        <v>0</v>
      </c>
      <c r="C9544" t="inlineStr">
        <is>
          <t>+LS07</t>
        </is>
      </c>
      <c r="D9544" t="inlineStr">
        <is>
          <t>-444Q5</t>
        </is>
      </c>
      <c r="E9544" t="inlineStr">
        <is>
          <t>DILM150-XHIC22</t>
        </is>
      </c>
      <c r="F9544" t="inlineStr">
        <is>
          <t>DILM150-XHIC22</t>
        </is>
      </c>
      <c r="G9544" t="inlineStr">
        <is>
          <t>HILFSKONTAKTBLOCK</t>
        </is>
      </c>
      <c r="H9544" t="inlineStr">
        <is>
          <t>2S 2OE ab DILMC40</t>
        </is>
      </c>
      <c r="I9544">
        <v>555</v>
      </c>
      <c r="J9544">
        <f>GS49/444.5</f>
        <v>0</v>
      </c>
      <c r="K9544" t="inlineStr">
        <is>
          <t>DIL MC40</t>
        </is>
      </c>
      <c r="M9544" t="inlineStr">
        <is>
          <t>-444Q5</t>
        </is>
      </c>
    </row>
    <row r="9545">
      <c r="A9545">
        <v>9544</v>
      </c>
      <c r="B9545">
        <f>GS46</f>
        <v>0</v>
      </c>
      <c r="C9545" t="inlineStr">
        <is>
          <t>+LS07</t>
        </is>
      </c>
      <c r="D9545" t="inlineStr">
        <is>
          <t>-444Q6</t>
        </is>
      </c>
      <c r="E9545" t="inlineStr">
        <is>
          <t>DILM150-XHIC22</t>
        </is>
      </c>
      <c r="F9545" t="inlineStr">
        <is>
          <t>DILM150-XHIC22</t>
        </is>
      </c>
      <c r="G9545" t="inlineStr">
        <is>
          <t>HILFSKONTAKTBLOCK</t>
        </is>
      </c>
      <c r="H9545" t="inlineStr">
        <is>
          <t>2S 2OE ab DILMC40</t>
        </is>
      </c>
      <c r="I9545">
        <v>634</v>
      </c>
      <c r="J9545">
        <f>GS46/444.6</f>
        <v>0</v>
      </c>
      <c r="K9545" t="inlineStr">
        <is>
          <t>DIL MC40</t>
        </is>
      </c>
      <c r="M9545" t="inlineStr">
        <is>
          <t>-444Q6</t>
        </is>
      </c>
    </row>
    <row r="9546">
      <c r="A9546">
        <v>9545</v>
      </c>
      <c r="B9546">
        <f>GS46</f>
        <v>0</v>
      </c>
      <c r="C9546" t="inlineStr">
        <is>
          <t>+LS07</t>
        </is>
      </c>
      <c r="D9546" t="inlineStr">
        <is>
          <t>-444Q6</t>
        </is>
      </c>
      <c r="E9546" t="inlineStr">
        <is>
          <t>DILMC40(RDC24)</t>
        </is>
      </c>
      <c r="F9546" t="inlineStr">
        <is>
          <t>DILM150-XHIC22</t>
        </is>
      </c>
      <c r="G9546" t="inlineStr">
        <is>
          <t>LASTSCHUETZ</t>
        </is>
      </c>
      <c r="H9546" t="inlineStr">
        <is>
          <t>18,5kW Federzugkl.</t>
        </is>
      </c>
      <c r="I9546">
        <v>634</v>
      </c>
      <c r="J9546">
        <f>GS46/444.6</f>
        <v>0</v>
      </c>
      <c r="K9546" t="inlineStr">
        <is>
          <t>DIL MC40</t>
        </is>
      </c>
      <c r="M9546" t="inlineStr">
        <is>
          <t>-444Q6</t>
        </is>
      </c>
    </row>
    <row r="9547">
      <c r="A9547">
        <v>9546</v>
      </c>
      <c r="B9547">
        <f>GS47</f>
        <v>0</v>
      </c>
      <c r="C9547" t="inlineStr">
        <is>
          <t>+LS07</t>
        </is>
      </c>
      <c r="D9547" t="inlineStr">
        <is>
          <t>-444Q6</t>
        </is>
      </c>
      <c r="E9547" t="inlineStr">
        <is>
          <t>DILM150-XHIC22</t>
        </is>
      </c>
      <c r="F9547" t="inlineStr">
        <is>
          <t>DILM150-XHIC22</t>
        </is>
      </c>
      <c r="G9547" t="inlineStr">
        <is>
          <t>HILFSKONTAKTBLOCK</t>
        </is>
      </c>
      <c r="H9547" t="inlineStr">
        <is>
          <t>2S 2OE ab DILMC40</t>
        </is>
      </c>
      <c r="I9547">
        <v>634</v>
      </c>
      <c r="J9547">
        <f>GS47/444.6</f>
        <v>0</v>
      </c>
      <c r="K9547" t="inlineStr">
        <is>
          <t>DIL MC40</t>
        </is>
      </c>
      <c r="M9547" t="inlineStr">
        <is>
          <t>-444Q6</t>
        </is>
      </c>
    </row>
    <row r="9548">
      <c r="A9548">
        <v>9547</v>
      </c>
      <c r="B9548">
        <f>GS47</f>
        <v>0</v>
      </c>
      <c r="C9548" t="inlineStr">
        <is>
          <t>+LS07</t>
        </is>
      </c>
      <c r="D9548" t="inlineStr">
        <is>
          <t>-444Q6</t>
        </is>
      </c>
      <c r="E9548" t="inlineStr">
        <is>
          <t>DILMC40(RDC24)</t>
        </is>
      </c>
      <c r="F9548" t="inlineStr">
        <is>
          <t>DILM150-XHIC22</t>
        </is>
      </c>
      <c r="G9548" t="inlineStr">
        <is>
          <t>LASTSCHUETZ</t>
        </is>
      </c>
      <c r="H9548" t="inlineStr">
        <is>
          <t>18,5kW Federzugkl.</t>
        </is>
      </c>
      <c r="I9548">
        <v>634</v>
      </c>
      <c r="J9548">
        <f>GS47/444.6</f>
        <v>0</v>
      </c>
      <c r="K9548" t="inlineStr">
        <is>
          <t>DIL MC40</t>
        </is>
      </c>
      <c r="M9548" t="inlineStr">
        <is>
          <t>-444Q6</t>
        </is>
      </c>
    </row>
    <row r="9549">
      <c r="A9549">
        <v>9548</v>
      </c>
      <c r="B9549">
        <f>GS48</f>
        <v>0</v>
      </c>
      <c r="C9549" t="inlineStr">
        <is>
          <t>+LS07</t>
        </is>
      </c>
      <c r="D9549" t="inlineStr">
        <is>
          <t>-444Q6</t>
        </is>
      </c>
      <c r="E9549" t="inlineStr">
        <is>
          <t>DILMC40(RDC24)</t>
        </is>
      </c>
      <c r="F9549" t="inlineStr">
        <is>
          <t>DILM150-XHIC22</t>
        </is>
      </c>
      <c r="G9549" t="inlineStr">
        <is>
          <t>LASTSCHUETZ</t>
        </is>
      </c>
      <c r="H9549" t="inlineStr">
        <is>
          <t>18,5kW Federzugkl.</t>
        </is>
      </c>
      <c r="I9549">
        <v>556</v>
      </c>
      <c r="J9549">
        <f>GS48/444.6</f>
        <v>0</v>
      </c>
      <c r="K9549" t="inlineStr">
        <is>
          <t>DIL MC40</t>
        </is>
      </c>
      <c r="M9549" t="inlineStr">
        <is>
          <t>-444Q6</t>
        </is>
      </c>
    </row>
    <row r="9550">
      <c r="A9550">
        <v>9549</v>
      </c>
      <c r="B9550">
        <f>GS48</f>
        <v>0</v>
      </c>
      <c r="C9550" t="inlineStr">
        <is>
          <t>+LS07</t>
        </is>
      </c>
      <c r="D9550" t="inlineStr">
        <is>
          <t>-444Q6</t>
        </is>
      </c>
      <c r="E9550" t="inlineStr">
        <is>
          <t>DILM150-XHIC22</t>
        </is>
      </c>
      <c r="F9550" t="inlineStr">
        <is>
          <t>DILM150-XHIC22</t>
        </is>
      </c>
      <c r="G9550" t="inlineStr">
        <is>
          <t>HILFSKONTAKTBLOCK</t>
        </is>
      </c>
      <c r="H9550" t="inlineStr">
        <is>
          <t>2S 2OE ab DILMC40</t>
        </is>
      </c>
      <c r="I9550">
        <v>556</v>
      </c>
      <c r="J9550">
        <f>GS48/444.6</f>
        <v>0</v>
      </c>
      <c r="K9550" t="inlineStr">
        <is>
          <t>DIL MC40</t>
        </is>
      </c>
      <c r="M9550" t="inlineStr">
        <is>
          <t>-444Q6</t>
        </is>
      </c>
    </row>
    <row r="9551">
      <c r="A9551">
        <v>9550</v>
      </c>
      <c r="B9551">
        <f>GS49</f>
        <v>0</v>
      </c>
      <c r="C9551" t="inlineStr">
        <is>
          <t>+LS07</t>
        </is>
      </c>
      <c r="D9551" t="inlineStr">
        <is>
          <t>-444Q6</t>
        </is>
      </c>
      <c r="E9551" t="inlineStr">
        <is>
          <t>DILMC40(RDC24)</t>
        </is>
      </c>
      <c r="F9551" t="inlineStr">
        <is>
          <t>DILM150-XHIC22</t>
        </is>
      </c>
      <c r="G9551" t="inlineStr">
        <is>
          <t>LASTSCHUETZ</t>
        </is>
      </c>
      <c r="H9551" t="inlineStr">
        <is>
          <t>18,5kW Federzugkl.</t>
        </is>
      </c>
      <c r="I9551">
        <v>555</v>
      </c>
      <c r="J9551">
        <f>GS49/444.6</f>
        <v>0</v>
      </c>
      <c r="K9551" t="inlineStr">
        <is>
          <t>DIL MC40</t>
        </is>
      </c>
      <c r="M9551" t="inlineStr">
        <is>
          <t>-444Q6</t>
        </is>
      </c>
    </row>
    <row r="9552">
      <c r="A9552">
        <v>9551</v>
      </c>
      <c r="B9552">
        <f>GS49</f>
        <v>0</v>
      </c>
      <c r="C9552" t="inlineStr">
        <is>
          <t>+LS07</t>
        </is>
      </c>
      <c r="D9552" t="inlineStr">
        <is>
          <t>-444Q6</t>
        </is>
      </c>
      <c r="E9552" t="inlineStr">
        <is>
          <t>DILM150-XHIC22</t>
        </is>
      </c>
      <c r="F9552" t="inlineStr">
        <is>
          <t>DILM150-XHIC22</t>
        </is>
      </c>
      <c r="G9552" t="inlineStr">
        <is>
          <t>HILFSKONTAKTBLOCK</t>
        </is>
      </c>
      <c r="H9552" t="inlineStr">
        <is>
          <t>2S 2OE ab DILMC40</t>
        </is>
      </c>
      <c r="I9552">
        <v>555</v>
      </c>
      <c r="J9552">
        <f>GS49/444.6</f>
        <v>0</v>
      </c>
      <c r="K9552" t="inlineStr">
        <is>
          <t>DIL MC40</t>
        </is>
      </c>
      <c r="M9552" t="inlineStr">
        <is>
          <t>-444Q6</t>
        </is>
      </c>
    </row>
    <row r="9553">
      <c r="A9553">
        <v>9552</v>
      </c>
      <c r="B9553">
        <f>GS46</f>
        <v>0</v>
      </c>
      <c r="C9553" t="inlineStr">
        <is>
          <t>+LS07</t>
        </is>
      </c>
      <c r="D9553" t="inlineStr">
        <is>
          <t>-444Q7</t>
        </is>
      </c>
      <c r="E9553" t="inlineStr">
        <is>
          <t>DILM150-XHIC22</t>
        </is>
      </c>
      <c r="F9553" t="inlineStr">
        <is>
          <t>DILM150-XHIC22</t>
        </is>
      </c>
      <c r="G9553" t="inlineStr">
        <is>
          <t>HILFSKONTAKTBLOCK</t>
        </is>
      </c>
      <c r="H9553" t="inlineStr">
        <is>
          <t>2S 2OE ab DILMC40</t>
        </is>
      </c>
      <c r="I9553">
        <v>634</v>
      </c>
      <c r="J9553">
        <f>GS46/444.7</f>
        <v>0</v>
      </c>
      <c r="K9553" t="inlineStr">
        <is>
          <t>DIL MC40</t>
        </is>
      </c>
      <c r="M9553" t="inlineStr">
        <is>
          <t>-444Q7</t>
        </is>
      </c>
    </row>
    <row r="9554">
      <c r="A9554">
        <v>9553</v>
      </c>
      <c r="B9554">
        <f>GS46</f>
        <v>0</v>
      </c>
      <c r="C9554" t="inlineStr">
        <is>
          <t>+LS07</t>
        </is>
      </c>
      <c r="D9554" t="inlineStr">
        <is>
          <t>-444Q7</t>
        </is>
      </c>
      <c r="E9554" t="inlineStr">
        <is>
          <t>DILMC40(RDC24)</t>
        </is>
      </c>
      <c r="F9554" t="inlineStr">
        <is>
          <t>DILM150-XHIC22</t>
        </is>
      </c>
      <c r="G9554" t="inlineStr">
        <is>
          <t>LASTSCHUETZ</t>
        </is>
      </c>
      <c r="H9554" t="inlineStr">
        <is>
          <t>18,5kW Federzugkl.</t>
        </is>
      </c>
      <c r="I9554">
        <v>634</v>
      </c>
      <c r="J9554">
        <f>GS46/444.7</f>
        <v>0</v>
      </c>
      <c r="K9554" t="inlineStr">
        <is>
          <t>DIL MC40</t>
        </is>
      </c>
      <c r="M9554" t="inlineStr">
        <is>
          <t>-444Q7</t>
        </is>
      </c>
    </row>
    <row r="9555">
      <c r="A9555">
        <v>9554</v>
      </c>
      <c r="B9555">
        <f>GS47</f>
        <v>0</v>
      </c>
      <c r="C9555" t="inlineStr">
        <is>
          <t>+LS07</t>
        </is>
      </c>
      <c r="D9555" t="inlineStr">
        <is>
          <t>-444Q7</t>
        </is>
      </c>
      <c r="E9555" t="inlineStr">
        <is>
          <t>DILM150-XHIC22</t>
        </is>
      </c>
      <c r="F9555" t="inlineStr">
        <is>
          <t>DILM150-XHIC22</t>
        </is>
      </c>
      <c r="G9555" t="inlineStr">
        <is>
          <t>HILFSKONTAKTBLOCK</t>
        </is>
      </c>
      <c r="H9555" t="inlineStr">
        <is>
          <t>2S 2OE ab DILMC40</t>
        </is>
      </c>
      <c r="I9555">
        <v>634</v>
      </c>
      <c r="J9555">
        <f>GS47/444.7</f>
        <v>0</v>
      </c>
      <c r="K9555" t="inlineStr">
        <is>
          <t>DIL MC40</t>
        </is>
      </c>
      <c r="M9555" t="inlineStr">
        <is>
          <t>-444Q7</t>
        </is>
      </c>
    </row>
    <row r="9556">
      <c r="A9556">
        <v>9555</v>
      </c>
      <c r="B9556">
        <f>GS47</f>
        <v>0</v>
      </c>
      <c r="C9556" t="inlineStr">
        <is>
          <t>+LS07</t>
        </is>
      </c>
      <c r="D9556" t="inlineStr">
        <is>
          <t>-444Q7</t>
        </is>
      </c>
      <c r="E9556" t="inlineStr">
        <is>
          <t>DILMC40(RDC24)</t>
        </is>
      </c>
      <c r="F9556" t="inlineStr">
        <is>
          <t>DILM150-XHIC22</t>
        </is>
      </c>
      <c r="G9556" t="inlineStr">
        <is>
          <t>LASTSCHUETZ</t>
        </is>
      </c>
      <c r="H9556" t="inlineStr">
        <is>
          <t>18,5kW Federzugkl.</t>
        </is>
      </c>
      <c r="I9556">
        <v>634</v>
      </c>
      <c r="J9556">
        <f>GS47/444.7</f>
        <v>0</v>
      </c>
      <c r="K9556" t="inlineStr">
        <is>
          <t>DIL MC40</t>
        </is>
      </c>
      <c r="M9556" t="inlineStr">
        <is>
          <t>-444Q7</t>
        </is>
      </c>
    </row>
    <row r="9557">
      <c r="A9557">
        <v>9556</v>
      </c>
      <c r="B9557">
        <f>GS48</f>
        <v>0</v>
      </c>
      <c r="C9557" t="inlineStr">
        <is>
          <t>+LS07</t>
        </is>
      </c>
      <c r="D9557" t="inlineStr">
        <is>
          <t>-444Q7</t>
        </is>
      </c>
      <c r="E9557" t="inlineStr">
        <is>
          <t>DILMC40(RDC24)</t>
        </is>
      </c>
      <c r="F9557" t="inlineStr">
        <is>
          <t>DILM150-XHIC22</t>
        </is>
      </c>
      <c r="G9557" t="inlineStr">
        <is>
          <t>LASTSCHUETZ</t>
        </is>
      </c>
      <c r="H9557" t="inlineStr">
        <is>
          <t>18,5kW Federzugkl.</t>
        </is>
      </c>
      <c r="I9557">
        <v>556</v>
      </c>
      <c r="J9557">
        <f>GS48/444.7</f>
        <v>0</v>
      </c>
      <c r="K9557" t="inlineStr">
        <is>
          <t>DIL MC40</t>
        </is>
      </c>
      <c r="M9557" t="inlineStr">
        <is>
          <t>-444Q7</t>
        </is>
      </c>
    </row>
    <row r="9558">
      <c r="A9558">
        <v>9557</v>
      </c>
      <c r="B9558">
        <f>GS48</f>
        <v>0</v>
      </c>
      <c r="C9558" t="inlineStr">
        <is>
          <t>+LS07</t>
        </is>
      </c>
      <c r="D9558" t="inlineStr">
        <is>
          <t>-444Q7</t>
        </is>
      </c>
      <c r="E9558" t="inlineStr">
        <is>
          <t>DILM150-XHIC22</t>
        </is>
      </c>
      <c r="F9558" t="inlineStr">
        <is>
          <t>DILM150-XHIC22</t>
        </is>
      </c>
      <c r="G9558" t="inlineStr">
        <is>
          <t>HILFSKONTAKTBLOCK</t>
        </is>
      </c>
      <c r="H9558" t="inlineStr">
        <is>
          <t>2S 2OE ab DILMC40</t>
        </is>
      </c>
      <c r="I9558">
        <v>556</v>
      </c>
      <c r="J9558">
        <f>GS48/444.7</f>
        <v>0</v>
      </c>
      <c r="K9558" t="inlineStr">
        <is>
          <t>DIL MC40</t>
        </is>
      </c>
      <c r="M9558" t="inlineStr">
        <is>
          <t>-444Q7</t>
        </is>
      </c>
    </row>
    <row r="9559">
      <c r="A9559">
        <v>9558</v>
      </c>
      <c r="B9559">
        <f>GS49</f>
        <v>0</v>
      </c>
      <c r="C9559" t="inlineStr">
        <is>
          <t>+LS07</t>
        </is>
      </c>
      <c r="D9559" t="inlineStr">
        <is>
          <t>-444Q7</t>
        </is>
      </c>
      <c r="E9559" t="inlineStr">
        <is>
          <t>DILMC40(RDC24)</t>
        </is>
      </c>
      <c r="F9559" t="inlineStr">
        <is>
          <t>DILM150-XHIC22</t>
        </is>
      </c>
      <c r="G9559" t="inlineStr">
        <is>
          <t>LASTSCHUETZ</t>
        </is>
      </c>
      <c r="H9559" t="inlineStr">
        <is>
          <t>18,5kW Federzugkl.</t>
        </is>
      </c>
      <c r="I9559">
        <v>555</v>
      </c>
      <c r="J9559">
        <f>GS49/444.7</f>
        <v>0</v>
      </c>
      <c r="K9559" t="inlineStr">
        <is>
          <t>DIL MC40</t>
        </is>
      </c>
      <c r="M9559" t="inlineStr">
        <is>
          <t>-444Q7</t>
        </is>
      </c>
    </row>
    <row r="9560">
      <c r="A9560">
        <v>9559</v>
      </c>
      <c r="B9560">
        <f>GS49</f>
        <v>0</v>
      </c>
      <c r="C9560" t="inlineStr">
        <is>
          <t>+LS07</t>
        </is>
      </c>
      <c r="D9560" t="inlineStr">
        <is>
          <t>-444Q7</t>
        </is>
      </c>
      <c r="E9560" t="inlineStr">
        <is>
          <t>DILM150-XHIC22</t>
        </is>
      </c>
      <c r="F9560" t="inlineStr">
        <is>
          <t>DILM150-XHIC22</t>
        </is>
      </c>
      <c r="G9560" t="inlineStr">
        <is>
          <t>HILFSKONTAKTBLOCK</t>
        </is>
      </c>
      <c r="H9560" t="inlineStr">
        <is>
          <t>2S 2OE ab DILMC40</t>
        </is>
      </c>
      <c r="I9560">
        <v>555</v>
      </c>
      <c r="J9560">
        <f>GS49/444.7</f>
        <v>0</v>
      </c>
      <c r="K9560" t="inlineStr">
        <is>
          <t>DIL MC40</t>
        </is>
      </c>
      <c r="M9560" t="inlineStr">
        <is>
          <t>-444Q7</t>
        </is>
      </c>
    </row>
    <row r="9561">
      <c r="A9561">
        <v>9560</v>
      </c>
      <c r="B9561">
        <f>GS46</f>
        <v>0</v>
      </c>
      <c r="C9561" t="inlineStr">
        <is>
          <t>+LS07</t>
        </is>
      </c>
      <c r="D9561" t="inlineStr">
        <is>
          <t>-444Q8</t>
        </is>
      </c>
      <c r="E9561" t="inlineStr">
        <is>
          <t>DILMC17-10(RDC24)</t>
        </is>
      </c>
      <c r="F9561" t="inlineStr">
        <is>
          <t>#KALK!</t>
        </is>
      </c>
      <c r="G9561" t="inlineStr">
        <is>
          <t>LASTSCHUETZ</t>
        </is>
      </c>
      <c r="H9561" t="inlineStr">
        <is>
          <t>7,5kW 1S Federzugkl.</t>
        </is>
      </c>
      <c r="I9561">
        <v>634</v>
      </c>
      <c r="J9561">
        <f>GS46/444.7</f>
        <v>0</v>
      </c>
      <c r="K9561" t="inlineStr">
        <is>
          <t>DIL MC17-10</t>
        </is>
      </c>
      <c r="M9561" t="inlineStr">
        <is>
          <t>-444Q8</t>
        </is>
      </c>
    </row>
    <row r="9562">
      <c r="A9562">
        <v>9561</v>
      </c>
      <c r="B9562">
        <f>GS47</f>
        <v>0</v>
      </c>
      <c r="C9562" t="inlineStr">
        <is>
          <t>+LS07</t>
        </is>
      </c>
      <c r="D9562" t="inlineStr">
        <is>
          <t>-444Q8</t>
        </is>
      </c>
      <c r="E9562" t="inlineStr">
        <is>
          <t>DILMC17-10(RDC24)</t>
        </is>
      </c>
      <c r="F9562" t="inlineStr">
        <is>
          <t>#KALK!</t>
        </is>
      </c>
      <c r="G9562" t="inlineStr">
        <is>
          <t>LASTSCHUETZ</t>
        </is>
      </c>
      <c r="H9562" t="inlineStr">
        <is>
          <t>7,5kW 1S Federzugkl.</t>
        </is>
      </c>
      <c r="I9562">
        <v>634</v>
      </c>
      <c r="J9562">
        <f>GS47/444.7</f>
        <v>0</v>
      </c>
      <c r="K9562" t="inlineStr">
        <is>
          <t>DIL MC17-10</t>
        </is>
      </c>
      <c r="M9562" t="inlineStr">
        <is>
          <t>-444Q8</t>
        </is>
      </c>
    </row>
    <row r="9563">
      <c r="A9563">
        <v>9562</v>
      </c>
      <c r="B9563">
        <f>GS48</f>
        <v>0</v>
      </c>
      <c r="C9563" t="inlineStr">
        <is>
          <t>+LS07</t>
        </is>
      </c>
      <c r="D9563" t="inlineStr">
        <is>
          <t>-444Q8</t>
        </is>
      </c>
      <c r="E9563" t="inlineStr">
        <is>
          <t>DILMC17-10(RDC24)</t>
        </is>
      </c>
      <c r="F9563" t="inlineStr">
        <is>
          <t>#KALK!</t>
        </is>
      </c>
      <c r="G9563" t="inlineStr">
        <is>
          <t>LASTSCHUETZ</t>
        </is>
      </c>
      <c r="H9563" t="inlineStr">
        <is>
          <t>7,5kW 1S Federzugkl.</t>
        </is>
      </c>
      <c r="I9563">
        <v>556</v>
      </c>
      <c r="J9563">
        <f>GS48/444.8</f>
        <v>0</v>
      </c>
      <c r="K9563" t="inlineStr">
        <is>
          <t>DIL MC17-10</t>
        </is>
      </c>
      <c r="M9563" t="inlineStr">
        <is>
          <t>-444Q8</t>
        </is>
      </c>
    </row>
    <row r="9564">
      <c r="A9564">
        <v>9563</v>
      </c>
      <c r="B9564">
        <f>GS49</f>
        <v>0</v>
      </c>
      <c r="C9564" t="inlineStr">
        <is>
          <t>+LS07</t>
        </is>
      </c>
      <c r="D9564" t="inlineStr">
        <is>
          <t>-444Q8</t>
        </is>
      </c>
      <c r="E9564" t="inlineStr">
        <is>
          <t>DILMC17-10(RDC24)</t>
        </is>
      </c>
      <c r="F9564" t="inlineStr">
        <is>
          <t>#KALK!</t>
        </is>
      </c>
      <c r="G9564" t="inlineStr">
        <is>
          <t>LASTSCHUETZ</t>
        </is>
      </c>
      <c r="H9564" t="inlineStr">
        <is>
          <t>7,5kW 1S Federzugkl.</t>
        </is>
      </c>
      <c r="I9564">
        <v>555</v>
      </c>
      <c r="J9564">
        <f>GS49/444.8</f>
        <v>0</v>
      </c>
      <c r="K9564" t="inlineStr">
        <is>
          <t>DIL MC17-10</t>
        </is>
      </c>
      <c r="M9564" t="inlineStr">
        <is>
          <t>-444Q8</t>
        </is>
      </c>
    </row>
    <row r="9565">
      <c r="A9565">
        <v>9564</v>
      </c>
      <c r="B9565">
        <f>GS05</f>
        <v>0</v>
      </c>
      <c r="C9565" t="inlineStr">
        <is>
          <t>+LS06</t>
        </is>
      </c>
      <c r="D9565" t="inlineStr">
        <is>
          <t>-445K1</t>
        </is>
      </c>
      <c r="E9565" t="inlineStr">
        <is>
          <t>DILM-9-01</t>
        </is>
      </c>
      <c r="F9565" t="inlineStr">
        <is>
          <t>#KALK!</t>
        </is>
      </c>
      <c r="G9565" t="inlineStr">
        <is>
          <t>LASTSCHUETZ</t>
        </is>
      </c>
      <c r="H9565" t="inlineStr">
        <is>
          <t>4kW 1Oe Federzugkl.</t>
        </is>
      </c>
      <c r="I9565">
        <v>2116</v>
      </c>
      <c r="J9565">
        <f>GS05/445.5</f>
        <v>0</v>
      </c>
      <c r="M9565" t="inlineStr">
        <is>
          <t>-445K1</t>
        </is>
      </c>
    </row>
    <row r="9566">
      <c r="A9566">
        <v>9565</v>
      </c>
      <c r="B9566">
        <f>GS33</f>
        <v>0</v>
      </c>
      <c r="C9566" t="inlineStr">
        <is>
          <t>+LS10</t>
        </is>
      </c>
      <c r="D9566" t="inlineStr">
        <is>
          <t>-445K1</t>
        </is>
      </c>
      <c r="E9566" t="inlineStr">
        <is>
          <t>DIL_2AM</t>
        </is>
      </c>
      <c r="F9566" t="inlineStr">
        <is>
          <t>22_DIL-M</t>
        </is>
      </c>
      <c r="G9566" t="inlineStr">
        <is>
          <t>LASTSCHUETZ</t>
        </is>
      </c>
      <c r="H9566" t="inlineStr">
        <is>
          <t>30 kW</t>
        </is>
      </c>
      <c r="I9566">
        <v>899</v>
      </c>
      <c r="J9566">
        <f>GS33/445.2</f>
        <v>0</v>
      </c>
      <c r="K9566" t="inlineStr">
        <is>
          <t>DIL2AM</t>
        </is>
      </c>
      <c r="M9566" t="inlineStr">
        <is>
          <t>-445K1</t>
        </is>
      </c>
    </row>
    <row r="9567">
      <c r="A9567">
        <v>9566</v>
      </c>
      <c r="B9567">
        <f>GS33</f>
        <v>0</v>
      </c>
      <c r="C9567" t="inlineStr">
        <is>
          <t>+LS10</t>
        </is>
      </c>
      <c r="D9567" t="inlineStr">
        <is>
          <t>-445K1</t>
        </is>
      </c>
      <c r="E9567" t="inlineStr">
        <is>
          <t>22_DIL-M</t>
        </is>
      </c>
      <c r="F9567" t="inlineStr">
        <is>
          <t>22_DIL-M</t>
        </is>
      </c>
      <c r="G9567" t="inlineStr">
        <is>
          <t>HILFSKONTAKTBLOCK</t>
        </is>
      </c>
      <c r="H9567" t="inlineStr">
        <is>
          <t>2S 2OE Lastschuetz DIL M</t>
        </is>
      </c>
      <c r="I9567">
        <v>899</v>
      </c>
      <c r="J9567">
        <f>GS33/445.2</f>
        <v>0</v>
      </c>
      <c r="K9567" t="inlineStr">
        <is>
          <t>DIL2AM</t>
        </is>
      </c>
      <c r="M9567" t="inlineStr">
        <is>
          <t>-445K1</t>
        </is>
      </c>
    </row>
    <row r="9568">
      <c r="A9568">
        <v>9567</v>
      </c>
      <c r="B9568">
        <f>GS38</f>
        <v>0</v>
      </c>
      <c r="C9568" t="inlineStr">
        <is>
          <t>+LS10</t>
        </is>
      </c>
      <c r="D9568" t="inlineStr">
        <is>
          <t>-445K1</t>
        </is>
      </c>
      <c r="E9568" t="inlineStr">
        <is>
          <t>DILM-9-01</t>
        </is>
      </c>
      <c r="F9568" t="inlineStr">
        <is>
          <t>#KALK!</t>
        </is>
      </c>
      <c r="G9568" t="inlineStr">
        <is>
          <t>LASTSCHUETZ</t>
        </is>
      </c>
      <c r="H9568" t="inlineStr">
        <is>
          <t>4kW 1Oe Federzugkl.</t>
        </is>
      </c>
      <c r="I9568">
        <v>600</v>
      </c>
      <c r="J9568">
        <f>GS38/445.5</f>
        <v>0</v>
      </c>
      <c r="M9568" t="inlineStr">
        <is>
          <t>-445K1</t>
        </is>
      </c>
    </row>
    <row r="9569">
      <c r="A9569">
        <v>9568</v>
      </c>
      <c r="B9569">
        <f>GS39</f>
        <v>0</v>
      </c>
      <c r="C9569" t="inlineStr">
        <is>
          <t>+LS10</t>
        </is>
      </c>
      <c r="D9569" t="inlineStr">
        <is>
          <t>-445K1</t>
        </is>
      </c>
      <c r="E9569" t="inlineStr">
        <is>
          <t>DILM-9-01</t>
        </is>
      </c>
      <c r="F9569" t="inlineStr">
        <is>
          <t>#KALK!</t>
        </is>
      </c>
      <c r="G9569" t="inlineStr">
        <is>
          <t>LASTSCHUETZ</t>
        </is>
      </c>
      <c r="H9569" t="inlineStr">
        <is>
          <t>4kW 1Oe Federzugkl.</t>
        </is>
      </c>
      <c r="I9569">
        <v>619</v>
      </c>
      <c r="J9569">
        <f>GS39/445.5</f>
        <v>0</v>
      </c>
      <c r="M9569" t="inlineStr">
        <is>
          <t>-445K1</t>
        </is>
      </c>
    </row>
    <row r="9570">
      <c r="A9570">
        <v>9569</v>
      </c>
      <c r="B9570">
        <f>GS51</f>
        <v>0</v>
      </c>
      <c r="C9570" t="inlineStr">
        <is>
          <t>+LS06</t>
        </is>
      </c>
      <c r="D9570" t="inlineStr">
        <is>
          <t>-445K1</t>
        </is>
      </c>
      <c r="E9570" t="inlineStr">
        <is>
          <t>DILA-22</t>
        </is>
      </c>
      <c r="F9570" t="inlineStr">
        <is>
          <t>#KALK!</t>
        </is>
      </c>
      <c r="G9570" t="inlineStr">
        <is>
          <t>HILFSSCHUETZ</t>
        </is>
      </c>
      <c r="H9570" t="inlineStr">
        <is>
          <t>2S 2Oe Federzugkl.</t>
        </is>
      </c>
      <c r="I9570">
        <v>617</v>
      </c>
      <c r="J9570">
        <f>GS51/445.7</f>
        <v>0</v>
      </c>
      <c r="M9570" t="inlineStr">
        <is>
          <t>-445K1</t>
        </is>
      </c>
    </row>
    <row r="9571">
      <c r="A9571">
        <v>9570</v>
      </c>
      <c r="B9571">
        <f>GS30</f>
        <v>0</v>
      </c>
      <c r="C9571" t="inlineStr">
        <is>
          <t>+LS14</t>
        </is>
      </c>
      <c r="D9571" t="inlineStr">
        <is>
          <t>-445K1014.4</t>
        </is>
      </c>
      <c r="E9571" t="inlineStr">
        <is>
          <t>DILA-40</t>
        </is>
      </c>
      <c r="F9571" t="inlineStr">
        <is>
          <t>#KALK!</t>
        </is>
      </c>
      <c r="G9571" t="inlineStr">
        <is>
          <t>HILFSSCHUETZ</t>
        </is>
      </c>
      <c r="H9571" t="inlineStr">
        <is>
          <t>4S Federzugkl.</t>
        </is>
      </c>
      <c r="I9571">
        <v>2427</v>
      </c>
      <c r="J9571">
        <f>GS30/445.7</f>
        <v>0</v>
      </c>
      <c r="M9571" t="inlineStr">
        <is>
          <t>-445K1014.4</t>
        </is>
      </c>
    </row>
    <row r="9572">
      <c r="A9572">
        <v>9571</v>
      </c>
      <c r="B9572">
        <f>GS01</f>
        <v>0</v>
      </c>
      <c r="C9572" t="inlineStr">
        <is>
          <t>+LS9</t>
        </is>
      </c>
      <c r="D9572" t="inlineStr">
        <is>
          <t>-445K14.4</t>
        </is>
      </c>
      <c r="E9572" t="inlineStr">
        <is>
          <t>DIL_EM-10-G</t>
        </is>
      </c>
      <c r="F9572" t="inlineStr">
        <is>
          <t>#KALK!</t>
        </is>
      </c>
      <c r="G9572" t="inlineStr">
        <is>
          <t>LASTSCHUETZ</t>
        </is>
      </c>
      <c r="H9572" t="inlineStr">
        <is>
          <t>4kW 1S</t>
        </is>
      </c>
      <c r="I9572">
        <v>609</v>
      </c>
      <c r="J9572">
        <f>GS01/445.6</f>
        <v>0</v>
      </c>
      <c r="M9572" t="inlineStr">
        <is>
          <t>-445K14.4</t>
        </is>
      </c>
    </row>
    <row r="9573">
      <c r="A9573">
        <v>9572</v>
      </c>
      <c r="B9573">
        <f>GS35</f>
        <v>0</v>
      </c>
      <c r="C9573" t="inlineStr">
        <is>
          <t>+LS10</t>
        </is>
      </c>
      <c r="D9573" t="inlineStr">
        <is>
          <t>-445K165.4</t>
        </is>
      </c>
      <c r="E9573" t="inlineStr">
        <is>
          <t>DILA-40</t>
        </is>
      </c>
      <c r="F9573" t="inlineStr">
        <is>
          <t>#KALK!</t>
        </is>
      </c>
      <c r="G9573" t="inlineStr">
        <is>
          <t>HILFSSCHUETZ</t>
        </is>
      </c>
      <c r="H9573" t="inlineStr">
        <is>
          <t>4S Federzugkl.</t>
        </is>
      </c>
      <c r="I9573">
        <v>599</v>
      </c>
      <c r="J9573">
        <f>GS35/445.7</f>
        <v>0</v>
      </c>
      <c r="M9573" t="inlineStr">
        <is>
          <t>-445K165.4</t>
        </is>
      </c>
    </row>
    <row r="9574">
      <c r="A9574">
        <v>9573</v>
      </c>
      <c r="B9574">
        <f>GS05</f>
        <v>0</v>
      </c>
      <c r="C9574" t="inlineStr">
        <is>
          <t>+LS06</t>
        </is>
      </c>
      <c r="D9574" t="inlineStr">
        <is>
          <t>-445K2</t>
        </is>
      </c>
      <c r="E9574" t="inlineStr">
        <is>
          <t>DILM-9-01</t>
        </is>
      </c>
      <c r="F9574" t="inlineStr">
        <is>
          <t>#KALK!</t>
        </is>
      </c>
      <c r="G9574" t="inlineStr">
        <is>
          <t>LASTSCHUETZ</t>
        </is>
      </c>
      <c r="H9574" t="inlineStr">
        <is>
          <t>4kW 1Oe Federzugkl.</t>
        </is>
      </c>
      <c r="I9574">
        <v>2116</v>
      </c>
      <c r="J9574">
        <f>GS05/445.6</f>
        <v>0</v>
      </c>
      <c r="M9574" t="inlineStr">
        <is>
          <t>-445K2</t>
        </is>
      </c>
    </row>
    <row r="9575">
      <c r="A9575">
        <v>9574</v>
      </c>
      <c r="B9575">
        <f>GS33</f>
        <v>0</v>
      </c>
      <c r="C9575" t="inlineStr">
        <is>
          <t>+LS10</t>
        </is>
      </c>
      <c r="D9575" t="inlineStr">
        <is>
          <t>-445K2</t>
        </is>
      </c>
      <c r="E9575" t="inlineStr">
        <is>
          <t>DIL_0AM</t>
        </is>
      </c>
      <c r="F9575" t="inlineStr">
        <is>
          <t>22_DIL-M</t>
        </is>
      </c>
      <c r="G9575" t="inlineStr">
        <is>
          <t>LASTSCHUETZ</t>
        </is>
      </c>
      <c r="H9575" t="inlineStr">
        <is>
          <t>11 kW</t>
        </is>
      </c>
      <c r="I9575">
        <v>899</v>
      </c>
      <c r="J9575">
        <f>GS33/445.3</f>
        <v>0</v>
      </c>
      <c r="K9575" t="inlineStr">
        <is>
          <t>DIL0AM</t>
        </is>
      </c>
      <c r="M9575" t="inlineStr">
        <is>
          <t>-445K2</t>
        </is>
      </c>
    </row>
    <row r="9576">
      <c r="A9576">
        <v>9575</v>
      </c>
      <c r="B9576">
        <f>GS33</f>
        <v>0</v>
      </c>
      <c r="C9576" t="inlineStr">
        <is>
          <t>+LS10</t>
        </is>
      </c>
      <c r="D9576" t="inlineStr">
        <is>
          <t>-445K2</t>
        </is>
      </c>
      <c r="E9576" t="inlineStr">
        <is>
          <t>22_DIL-M</t>
        </is>
      </c>
      <c r="F9576" t="inlineStr">
        <is>
          <t>22_DIL-M</t>
        </is>
      </c>
      <c r="G9576" t="inlineStr">
        <is>
          <t>HILFSKONTAKTBLOCK</t>
        </is>
      </c>
      <c r="H9576" t="inlineStr">
        <is>
          <t>2S 2OE Lastschuetz DIL M</t>
        </is>
      </c>
      <c r="I9576">
        <v>899</v>
      </c>
      <c r="J9576">
        <f>GS33/445.3</f>
        <v>0</v>
      </c>
      <c r="K9576" t="inlineStr">
        <is>
          <t>DIL0AM</t>
        </is>
      </c>
      <c r="M9576" t="inlineStr">
        <is>
          <t>-445K2</t>
        </is>
      </c>
    </row>
    <row r="9577">
      <c r="A9577">
        <v>9576</v>
      </c>
      <c r="B9577">
        <f>GS38</f>
        <v>0</v>
      </c>
      <c r="C9577" t="inlineStr">
        <is>
          <t>+LS10</t>
        </is>
      </c>
      <c r="D9577" t="inlineStr">
        <is>
          <t>-445K2</t>
        </is>
      </c>
      <c r="E9577" t="inlineStr">
        <is>
          <t>DILM-9-01</t>
        </is>
      </c>
      <c r="F9577" t="inlineStr">
        <is>
          <t>#KALK!</t>
        </is>
      </c>
      <c r="G9577" t="inlineStr">
        <is>
          <t>LASTSCHUETZ</t>
        </is>
      </c>
      <c r="H9577" t="inlineStr">
        <is>
          <t>4kW 1Oe Federzugkl.</t>
        </is>
      </c>
      <c r="I9577">
        <v>600</v>
      </c>
      <c r="J9577">
        <f>GS38/445.6</f>
        <v>0</v>
      </c>
      <c r="M9577" t="inlineStr">
        <is>
          <t>-445K2</t>
        </is>
      </c>
    </row>
    <row r="9578">
      <c r="A9578">
        <v>9577</v>
      </c>
      <c r="B9578">
        <f>GS39</f>
        <v>0</v>
      </c>
      <c r="C9578" t="inlineStr">
        <is>
          <t>+LS10</t>
        </is>
      </c>
      <c r="D9578" t="inlineStr">
        <is>
          <t>-445K2</t>
        </is>
      </c>
      <c r="E9578" t="inlineStr">
        <is>
          <t>DILM-9-01</t>
        </is>
      </c>
      <c r="F9578" t="inlineStr">
        <is>
          <t>#KALK!</t>
        </is>
      </c>
      <c r="G9578" t="inlineStr">
        <is>
          <t>LASTSCHUETZ</t>
        </is>
      </c>
      <c r="H9578" t="inlineStr">
        <is>
          <t>4kW 1Oe Federzugkl.</t>
        </is>
      </c>
      <c r="I9578">
        <v>619</v>
      </c>
      <c r="J9578">
        <f>GS39/445.6</f>
        <v>0</v>
      </c>
      <c r="M9578" t="inlineStr">
        <is>
          <t>-445K2</t>
        </is>
      </c>
    </row>
    <row r="9579">
      <c r="A9579">
        <v>9578</v>
      </c>
      <c r="B9579">
        <f>GC03</f>
        <v>0</v>
      </c>
      <c r="C9579" t="inlineStr">
        <is>
          <t>+LS10</t>
        </is>
      </c>
      <c r="D9579" t="inlineStr">
        <is>
          <t>-445K25.5</t>
        </is>
      </c>
      <c r="E9579" t="inlineStr">
        <is>
          <t>DIL_EM-10-G</t>
        </is>
      </c>
      <c r="F9579" t="inlineStr">
        <is>
          <t>#KALK!</t>
        </is>
      </c>
      <c r="G9579" t="inlineStr">
        <is>
          <t>LASTSCHUETZ</t>
        </is>
      </c>
      <c r="H9579" t="inlineStr">
        <is>
          <t>4kW 1S</t>
        </is>
      </c>
      <c r="I9579">
        <v>2278</v>
      </c>
      <c r="J9579">
        <f>GC03/445.6</f>
        <v>0</v>
      </c>
      <c r="M9579" t="inlineStr">
        <is>
          <t>-445K25.5</t>
        </is>
      </c>
    </row>
    <row r="9580">
      <c r="A9580">
        <v>9579</v>
      </c>
      <c r="B9580">
        <f>GC03</f>
        <v>0</v>
      </c>
      <c r="C9580" t="inlineStr">
        <is>
          <t>+LS10</t>
        </is>
      </c>
      <c r="D9580" t="inlineStr">
        <is>
          <t>-445K25.6</t>
        </is>
      </c>
      <c r="E9580" t="inlineStr">
        <is>
          <t>DIL_EM-10-G</t>
        </is>
      </c>
      <c r="F9580" t="inlineStr">
        <is>
          <t>#KALK!</t>
        </is>
      </c>
      <c r="G9580" t="inlineStr">
        <is>
          <t>LASTSCHUETZ</t>
        </is>
      </c>
      <c r="H9580" t="inlineStr">
        <is>
          <t>4kW 1S</t>
        </is>
      </c>
      <c r="I9580">
        <v>2278</v>
      </c>
      <c r="J9580">
        <f>GC03/445.7</f>
        <v>0</v>
      </c>
      <c r="M9580" t="inlineStr">
        <is>
          <t>-445K25.6</t>
        </is>
      </c>
    </row>
    <row r="9581">
      <c r="A9581">
        <v>9580</v>
      </c>
      <c r="B9581">
        <f>GS14</f>
        <v>0</v>
      </c>
      <c r="C9581" t="inlineStr">
        <is>
          <t>+LS8</t>
        </is>
      </c>
      <c r="D9581" t="inlineStr">
        <is>
          <t>-445K3505.3</t>
        </is>
      </c>
      <c r="E9581" t="inlineStr">
        <is>
          <t>DIL_EM-10-G</t>
        </is>
      </c>
      <c r="F9581" t="inlineStr">
        <is>
          <t>#KALK!</t>
        </is>
      </c>
      <c r="G9581" t="inlineStr">
        <is>
          <t>LASTSCHUETZ</t>
        </is>
      </c>
      <c r="H9581" t="inlineStr">
        <is>
          <t>4kW 1S</t>
        </is>
      </c>
      <c r="I9581">
        <v>577</v>
      </c>
      <c r="J9581">
        <f>GS14/445.7</f>
        <v>0</v>
      </c>
      <c r="M9581" t="inlineStr">
        <is>
          <t>-445K3505.3</t>
        </is>
      </c>
    </row>
    <row r="9582">
      <c r="A9582">
        <v>9581</v>
      </c>
      <c r="B9582">
        <f>GS91</f>
        <v>0</v>
      </c>
      <c r="C9582" t="inlineStr">
        <is>
          <t>+LS08</t>
        </is>
      </c>
      <c r="D9582" t="inlineStr">
        <is>
          <t>-445K457.0</t>
        </is>
      </c>
      <c r="E9582" t="inlineStr">
        <is>
          <t>DILA-40</t>
        </is>
      </c>
      <c r="F9582" t="inlineStr">
        <is>
          <t>#KALK!</t>
        </is>
      </c>
      <c r="G9582" t="inlineStr">
        <is>
          <t>HILFSSCHUETZ</t>
        </is>
      </c>
      <c r="H9582" t="inlineStr">
        <is>
          <t>4S Federzugkl.</t>
        </is>
      </c>
      <c r="I9582">
        <v>593</v>
      </c>
      <c r="J9582">
        <f>GS91/445.7</f>
        <v>0</v>
      </c>
      <c r="M9582" t="inlineStr">
        <is>
          <t>-445K457.0</t>
        </is>
      </c>
    </row>
    <row r="9583">
      <c r="A9583">
        <v>9582</v>
      </c>
      <c r="B9583">
        <f>GS90</f>
        <v>0</v>
      </c>
      <c r="C9583" t="inlineStr">
        <is>
          <t>+LS09</t>
        </is>
      </c>
      <c r="D9583" t="inlineStr">
        <is>
          <t>-445K462.0</t>
        </is>
      </c>
      <c r="E9583" t="inlineStr">
        <is>
          <t>DILA-40</t>
        </is>
      </c>
      <c r="F9583" t="inlineStr">
        <is>
          <t>#KALK!</t>
        </is>
      </c>
      <c r="G9583" t="inlineStr">
        <is>
          <t>HILFSSCHUETZ</t>
        </is>
      </c>
      <c r="H9583" t="inlineStr">
        <is>
          <t>4S Federzugkl.</t>
        </is>
      </c>
      <c r="I9583">
        <v>795</v>
      </c>
      <c r="J9583">
        <f>GS90/445.7</f>
        <v>0</v>
      </c>
      <c r="M9583" t="inlineStr">
        <is>
          <t>-445K462.0</t>
        </is>
      </c>
    </row>
    <row r="9584">
      <c r="A9584">
        <v>9583</v>
      </c>
      <c r="B9584">
        <f>GS46</f>
        <v>0</v>
      </c>
      <c r="C9584" t="inlineStr">
        <is>
          <t>+LS07</t>
        </is>
      </c>
      <c r="D9584" t="inlineStr">
        <is>
          <t>-445K744.1</t>
        </is>
      </c>
      <c r="E9584" t="inlineStr">
        <is>
          <t>DILA-31</t>
        </is>
      </c>
      <c r="F9584" t="inlineStr">
        <is>
          <t>#KALK!</t>
        </is>
      </c>
      <c r="G9584" t="inlineStr">
        <is>
          <t>HILFSSCHUETZ</t>
        </is>
      </c>
      <c r="H9584" t="inlineStr">
        <is>
          <t>3S 1Oe Federzugkl.</t>
        </is>
      </c>
      <c r="I9584">
        <v>633</v>
      </c>
      <c r="J9584">
        <f>GS46/445.2</f>
        <v>0</v>
      </c>
      <c r="M9584" t="inlineStr">
        <is>
          <t>-445K744.1</t>
        </is>
      </c>
    </row>
    <row r="9585">
      <c r="A9585">
        <v>9584</v>
      </c>
      <c r="B9585">
        <f>GS47</f>
        <v>0</v>
      </c>
      <c r="C9585" t="inlineStr">
        <is>
          <t>+LS07</t>
        </is>
      </c>
      <c r="D9585" t="inlineStr">
        <is>
          <t>-445K744.1</t>
        </is>
      </c>
      <c r="E9585" t="inlineStr">
        <is>
          <t>DILA-31</t>
        </is>
      </c>
      <c r="F9585" t="inlineStr">
        <is>
          <t>#KALK!</t>
        </is>
      </c>
      <c r="G9585" t="inlineStr">
        <is>
          <t>HILFSSCHUETZ</t>
        </is>
      </c>
      <c r="H9585" t="inlineStr">
        <is>
          <t>3S 1Oe Federzugkl.</t>
        </is>
      </c>
      <c r="I9585">
        <v>633</v>
      </c>
      <c r="J9585">
        <f>GS47/445.2</f>
        <v>0</v>
      </c>
      <c r="M9585" t="inlineStr">
        <is>
          <t>-445K744.1</t>
        </is>
      </c>
    </row>
    <row r="9586">
      <c r="A9586">
        <v>9585</v>
      </c>
      <c r="B9586">
        <f>GS48</f>
        <v>0</v>
      </c>
      <c r="C9586" t="inlineStr">
        <is>
          <t>+LS07</t>
        </is>
      </c>
      <c r="D9586" t="inlineStr">
        <is>
          <t>-445K744.1</t>
        </is>
      </c>
      <c r="E9586" t="inlineStr">
        <is>
          <t>DILA-31</t>
        </is>
      </c>
      <c r="F9586" t="inlineStr">
        <is>
          <t>#KALK!</t>
        </is>
      </c>
      <c r="G9586" t="inlineStr">
        <is>
          <t>HILFSSCHUETZ</t>
        </is>
      </c>
      <c r="H9586" t="inlineStr">
        <is>
          <t>3S 1Oe Federzugkl.</t>
        </is>
      </c>
      <c r="I9586">
        <v>557</v>
      </c>
      <c r="J9586">
        <f>GS48/445.2</f>
        <v>0</v>
      </c>
      <c r="M9586" t="inlineStr">
        <is>
          <t>-445K744.1</t>
        </is>
      </c>
    </row>
    <row r="9587">
      <c r="A9587">
        <v>9586</v>
      </c>
      <c r="B9587">
        <f>GS49</f>
        <v>0</v>
      </c>
      <c r="C9587" t="inlineStr">
        <is>
          <t>+LS07</t>
        </is>
      </c>
      <c r="D9587" t="inlineStr">
        <is>
          <t>-445K744.1</t>
        </is>
      </c>
      <c r="E9587" t="inlineStr">
        <is>
          <t>DILA-31</t>
        </is>
      </c>
      <c r="F9587" t="inlineStr">
        <is>
          <t>#KALK!</t>
        </is>
      </c>
      <c r="G9587" t="inlineStr">
        <is>
          <t>HILFSSCHUETZ</t>
        </is>
      </c>
      <c r="H9587" t="inlineStr">
        <is>
          <t>3S 1Oe Federzugkl.</t>
        </is>
      </c>
      <c r="I9587">
        <v>556</v>
      </c>
      <c r="J9587">
        <f>GS49/445.2</f>
        <v>0</v>
      </c>
      <c r="M9587" t="inlineStr">
        <is>
          <t>-445K744.1</t>
        </is>
      </c>
    </row>
    <row r="9588">
      <c r="A9588">
        <v>9587</v>
      </c>
      <c r="B9588">
        <f>GS46</f>
        <v>0</v>
      </c>
      <c r="C9588" t="inlineStr">
        <is>
          <t>+LS07</t>
        </is>
      </c>
      <c r="D9588" t="inlineStr">
        <is>
          <t>-445K744.2</t>
        </is>
      </c>
      <c r="E9588" t="inlineStr">
        <is>
          <t>DILA-31</t>
        </is>
      </c>
      <c r="F9588" t="inlineStr">
        <is>
          <t>#KALK!</t>
        </is>
      </c>
      <c r="G9588" t="inlineStr">
        <is>
          <t>HILFSSCHUETZ</t>
        </is>
      </c>
      <c r="H9588" t="inlineStr">
        <is>
          <t>3S 1Oe Federzugkl.</t>
        </is>
      </c>
      <c r="I9588">
        <v>633</v>
      </c>
      <c r="J9588">
        <f>GS46/445.3</f>
        <v>0</v>
      </c>
      <c r="M9588" t="inlineStr">
        <is>
          <t>-445K744.2</t>
        </is>
      </c>
    </row>
    <row r="9589">
      <c r="A9589">
        <v>9588</v>
      </c>
      <c r="B9589">
        <f>GS47</f>
        <v>0</v>
      </c>
      <c r="C9589" t="inlineStr">
        <is>
          <t>+LS07</t>
        </is>
      </c>
      <c r="D9589" t="inlineStr">
        <is>
          <t>-445K744.2</t>
        </is>
      </c>
      <c r="E9589" t="inlineStr">
        <is>
          <t>DILA-31</t>
        </is>
      </c>
      <c r="F9589" t="inlineStr">
        <is>
          <t>#KALK!</t>
        </is>
      </c>
      <c r="G9589" t="inlineStr">
        <is>
          <t>HILFSSCHUETZ</t>
        </is>
      </c>
      <c r="H9589" t="inlineStr">
        <is>
          <t>3S 1Oe Federzugkl.</t>
        </is>
      </c>
      <c r="I9589">
        <v>633</v>
      </c>
      <c r="J9589">
        <f>GS47/445.3</f>
        <v>0</v>
      </c>
      <c r="M9589" t="inlineStr">
        <is>
          <t>-445K744.2</t>
        </is>
      </c>
    </row>
    <row r="9590">
      <c r="A9590">
        <v>9589</v>
      </c>
      <c r="B9590">
        <f>GS48</f>
        <v>0</v>
      </c>
      <c r="C9590" t="inlineStr">
        <is>
          <t>+LS07</t>
        </is>
      </c>
      <c r="D9590" t="inlineStr">
        <is>
          <t>-445K744.2</t>
        </is>
      </c>
      <c r="E9590" t="inlineStr">
        <is>
          <t>DILA-31</t>
        </is>
      </c>
      <c r="F9590" t="inlineStr">
        <is>
          <t>#KALK!</t>
        </is>
      </c>
      <c r="G9590" t="inlineStr">
        <is>
          <t>HILFSSCHUETZ</t>
        </is>
      </c>
      <c r="H9590" t="inlineStr">
        <is>
          <t>3S 1Oe Federzugkl.</t>
        </is>
      </c>
      <c r="I9590">
        <v>557</v>
      </c>
      <c r="J9590">
        <f>GS48/445.3</f>
        <v>0</v>
      </c>
      <c r="M9590" t="inlineStr">
        <is>
          <t>-445K744.2</t>
        </is>
      </c>
    </row>
    <row r="9591">
      <c r="A9591">
        <v>9590</v>
      </c>
      <c r="B9591">
        <f>GS49</f>
        <v>0</v>
      </c>
      <c r="C9591" t="inlineStr">
        <is>
          <t>+LS07</t>
        </is>
      </c>
      <c r="D9591" t="inlineStr">
        <is>
          <t>-445K744.2</t>
        </is>
      </c>
      <c r="E9591" t="inlineStr">
        <is>
          <t>DILA-31</t>
        </is>
      </c>
      <c r="F9591" t="inlineStr">
        <is>
          <t>#KALK!</t>
        </is>
      </c>
      <c r="G9591" t="inlineStr">
        <is>
          <t>HILFSSCHUETZ</t>
        </is>
      </c>
      <c r="H9591" t="inlineStr">
        <is>
          <t>3S 1Oe Federzugkl.</t>
        </is>
      </c>
      <c r="I9591">
        <v>556</v>
      </c>
      <c r="J9591">
        <f>GS49/445.3</f>
        <v>0</v>
      </c>
      <c r="M9591" t="inlineStr">
        <is>
          <t>-445K744.2</t>
        </is>
      </c>
    </row>
    <row r="9592">
      <c r="A9592">
        <v>9591</v>
      </c>
      <c r="B9592">
        <f>GS46</f>
        <v>0</v>
      </c>
      <c r="C9592" t="inlineStr">
        <is>
          <t>+LS07</t>
        </is>
      </c>
      <c r="D9592" t="inlineStr">
        <is>
          <t>-445K744.3</t>
        </is>
      </c>
      <c r="E9592" t="inlineStr">
        <is>
          <t>DILA-31</t>
        </is>
      </c>
      <c r="F9592" t="inlineStr">
        <is>
          <t>#KALK!</t>
        </is>
      </c>
      <c r="G9592" t="inlineStr">
        <is>
          <t>HILFSSCHUETZ</t>
        </is>
      </c>
      <c r="H9592" t="inlineStr">
        <is>
          <t>3S 1Oe Federzugkl.</t>
        </is>
      </c>
      <c r="I9592">
        <v>633</v>
      </c>
      <c r="J9592">
        <f>GS46/445.6</f>
        <v>0</v>
      </c>
      <c r="M9592" t="inlineStr">
        <is>
          <t>-445K744.3</t>
        </is>
      </c>
    </row>
    <row r="9593">
      <c r="A9593">
        <v>9592</v>
      </c>
      <c r="B9593">
        <f>GS47</f>
        <v>0</v>
      </c>
      <c r="C9593" t="inlineStr">
        <is>
          <t>+LS07</t>
        </is>
      </c>
      <c r="D9593" t="inlineStr">
        <is>
          <t>-445K744.3</t>
        </is>
      </c>
      <c r="E9593" t="inlineStr">
        <is>
          <t>DILA-31</t>
        </is>
      </c>
      <c r="F9593" t="inlineStr">
        <is>
          <t>#KALK!</t>
        </is>
      </c>
      <c r="G9593" t="inlineStr">
        <is>
          <t>HILFSSCHUETZ</t>
        </is>
      </c>
      <c r="H9593" t="inlineStr">
        <is>
          <t>3S 1Oe Federzugkl.</t>
        </is>
      </c>
      <c r="I9593">
        <v>633</v>
      </c>
      <c r="J9593">
        <f>GS47/445.6</f>
        <v>0</v>
      </c>
      <c r="M9593" t="inlineStr">
        <is>
          <t>-445K744.3</t>
        </is>
      </c>
    </row>
    <row r="9594">
      <c r="A9594">
        <v>9593</v>
      </c>
      <c r="B9594">
        <f>GS48</f>
        <v>0</v>
      </c>
      <c r="C9594" t="inlineStr">
        <is>
          <t>+LS07</t>
        </is>
      </c>
      <c r="D9594" t="inlineStr">
        <is>
          <t>-445K744.3</t>
        </is>
      </c>
      <c r="E9594" t="inlineStr">
        <is>
          <t>DILA-31</t>
        </is>
      </c>
      <c r="F9594" t="inlineStr">
        <is>
          <t>#KALK!</t>
        </is>
      </c>
      <c r="G9594" t="inlineStr">
        <is>
          <t>HILFSSCHUETZ</t>
        </is>
      </c>
      <c r="H9594" t="inlineStr">
        <is>
          <t>3S 1Oe Federzugkl.</t>
        </is>
      </c>
      <c r="I9594">
        <v>557</v>
      </c>
      <c r="J9594">
        <f>GS48/445.6</f>
        <v>0</v>
      </c>
      <c r="M9594" t="inlineStr">
        <is>
          <t>-445K744.3</t>
        </is>
      </c>
    </row>
    <row r="9595">
      <c r="A9595">
        <v>9594</v>
      </c>
      <c r="B9595">
        <f>GS49</f>
        <v>0</v>
      </c>
      <c r="C9595" t="inlineStr">
        <is>
          <t>+LS07</t>
        </is>
      </c>
      <c r="D9595" t="inlineStr">
        <is>
          <t>-445K744.3</t>
        </is>
      </c>
      <c r="E9595" t="inlineStr">
        <is>
          <t>DILA-31</t>
        </is>
      </c>
      <c r="F9595" t="inlineStr">
        <is>
          <t>#KALK!</t>
        </is>
      </c>
      <c r="G9595" t="inlineStr">
        <is>
          <t>HILFSSCHUETZ</t>
        </is>
      </c>
      <c r="H9595" t="inlineStr">
        <is>
          <t>3S 1Oe Federzugkl.</t>
        </is>
      </c>
      <c r="I9595">
        <v>556</v>
      </c>
      <c r="J9595">
        <f>GS49/445.6</f>
        <v>0</v>
      </c>
      <c r="M9595" t="inlineStr">
        <is>
          <t>-445K744.3</t>
        </is>
      </c>
    </row>
    <row r="9596">
      <c r="A9596">
        <v>9595</v>
      </c>
      <c r="B9596">
        <f>GS46</f>
        <v>0</v>
      </c>
      <c r="C9596" t="inlineStr">
        <is>
          <t>+LS07</t>
        </is>
      </c>
      <c r="D9596" t="inlineStr">
        <is>
          <t>-445K747.1</t>
        </is>
      </c>
      <c r="E9596" t="inlineStr">
        <is>
          <t>DILA-31</t>
        </is>
      </c>
      <c r="F9596" t="inlineStr">
        <is>
          <t>#KALK!</t>
        </is>
      </c>
      <c r="G9596" t="inlineStr">
        <is>
          <t>HILFSSCHUETZ</t>
        </is>
      </c>
      <c r="H9596" t="inlineStr">
        <is>
          <t>3S 1Oe Federzugkl.</t>
        </is>
      </c>
      <c r="I9596">
        <v>633</v>
      </c>
      <c r="J9596">
        <f>GS46/445.3</f>
        <v>0</v>
      </c>
      <c r="M9596" t="inlineStr">
        <is>
          <t>-445K747.1</t>
        </is>
      </c>
    </row>
    <row r="9597">
      <c r="A9597">
        <v>9596</v>
      </c>
      <c r="B9597">
        <f>GS47</f>
        <v>0</v>
      </c>
      <c r="C9597" t="inlineStr">
        <is>
          <t>+LS07</t>
        </is>
      </c>
      <c r="D9597" t="inlineStr">
        <is>
          <t>-445K747.1</t>
        </is>
      </c>
      <c r="E9597" t="inlineStr">
        <is>
          <t>DILA-31</t>
        </is>
      </c>
      <c r="F9597" t="inlineStr">
        <is>
          <t>#KALK!</t>
        </is>
      </c>
      <c r="G9597" t="inlineStr">
        <is>
          <t>HILFSSCHUETZ</t>
        </is>
      </c>
      <c r="H9597" t="inlineStr">
        <is>
          <t>3S 1Oe Federzugkl.</t>
        </is>
      </c>
      <c r="I9597">
        <v>633</v>
      </c>
      <c r="J9597">
        <f>GS47/445.3</f>
        <v>0</v>
      </c>
      <c r="M9597" t="inlineStr">
        <is>
          <t>-445K747.1</t>
        </is>
      </c>
    </row>
    <row r="9598">
      <c r="A9598">
        <v>9597</v>
      </c>
      <c r="B9598">
        <f>GS48</f>
        <v>0</v>
      </c>
      <c r="C9598" t="inlineStr">
        <is>
          <t>+LS07</t>
        </is>
      </c>
      <c r="D9598" t="inlineStr">
        <is>
          <t>-445K747.1</t>
        </is>
      </c>
      <c r="E9598" t="inlineStr">
        <is>
          <t>DILA-31</t>
        </is>
      </c>
      <c r="F9598" t="inlineStr">
        <is>
          <t>#KALK!</t>
        </is>
      </c>
      <c r="G9598" t="inlineStr">
        <is>
          <t>HILFSSCHUETZ</t>
        </is>
      </c>
      <c r="H9598" t="inlineStr">
        <is>
          <t>3S 1Oe Federzugkl.</t>
        </is>
      </c>
      <c r="I9598">
        <v>557</v>
      </c>
      <c r="J9598">
        <f>GS48/445.3</f>
        <v>0</v>
      </c>
      <c r="M9598" t="inlineStr">
        <is>
          <t>-445K747.1</t>
        </is>
      </c>
    </row>
    <row r="9599">
      <c r="A9599">
        <v>9598</v>
      </c>
      <c r="B9599">
        <f>GS49</f>
        <v>0</v>
      </c>
      <c r="C9599" t="inlineStr">
        <is>
          <t>+LS07</t>
        </is>
      </c>
      <c r="D9599" t="inlineStr">
        <is>
          <t>-445K747.1</t>
        </is>
      </c>
      <c r="E9599" t="inlineStr">
        <is>
          <t>DILA-31</t>
        </is>
      </c>
      <c r="F9599" t="inlineStr">
        <is>
          <t>#KALK!</t>
        </is>
      </c>
      <c r="G9599" t="inlineStr">
        <is>
          <t>HILFSSCHUETZ</t>
        </is>
      </c>
      <c r="H9599" t="inlineStr">
        <is>
          <t>3S 1Oe Federzugkl.</t>
        </is>
      </c>
      <c r="I9599">
        <v>556</v>
      </c>
      <c r="J9599">
        <f>GS49/445.3</f>
        <v>0</v>
      </c>
      <c r="M9599" t="inlineStr">
        <is>
          <t>-445K747.1</t>
        </is>
      </c>
    </row>
    <row r="9600">
      <c r="A9600">
        <v>9599</v>
      </c>
      <c r="B9600">
        <f>GS46</f>
        <v>0</v>
      </c>
      <c r="C9600" t="inlineStr">
        <is>
          <t>+LS07</t>
        </is>
      </c>
      <c r="D9600" t="inlineStr">
        <is>
          <t>-445K747.2</t>
        </is>
      </c>
      <c r="E9600" t="inlineStr">
        <is>
          <t>DILA-31</t>
        </is>
      </c>
      <c r="F9600" t="inlineStr">
        <is>
          <t>#KALK!</t>
        </is>
      </c>
      <c r="G9600" t="inlineStr">
        <is>
          <t>HILFSSCHUETZ</t>
        </is>
      </c>
      <c r="H9600" t="inlineStr">
        <is>
          <t>3S 1Oe Federzugkl.</t>
        </is>
      </c>
      <c r="I9600">
        <v>633</v>
      </c>
      <c r="J9600">
        <f>GS46/445.4</f>
        <v>0</v>
      </c>
      <c r="M9600" t="inlineStr">
        <is>
          <t>-445K747.2</t>
        </is>
      </c>
    </row>
    <row r="9601">
      <c r="A9601">
        <v>9600</v>
      </c>
      <c r="B9601">
        <f>GS47</f>
        <v>0</v>
      </c>
      <c r="C9601" t="inlineStr">
        <is>
          <t>+LS07</t>
        </is>
      </c>
      <c r="D9601" t="inlineStr">
        <is>
          <t>-445K747.2</t>
        </is>
      </c>
      <c r="E9601" t="inlineStr">
        <is>
          <t>DILA-31</t>
        </is>
      </c>
      <c r="F9601" t="inlineStr">
        <is>
          <t>#KALK!</t>
        </is>
      </c>
      <c r="G9601" t="inlineStr">
        <is>
          <t>HILFSSCHUETZ</t>
        </is>
      </c>
      <c r="H9601" t="inlineStr">
        <is>
          <t>3S 1Oe Federzugkl.</t>
        </is>
      </c>
      <c r="I9601">
        <v>633</v>
      </c>
      <c r="J9601">
        <f>GS47/445.4</f>
        <v>0</v>
      </c>
      <c r="M9601" t="inlineStr">
        <is>
          <t>-445K747.2</t>
        </is>
      </c>
    </row>
    <row r="9602">
      <c r="A9602">
        <v>9601</v>
      </c>
      <c r="B9602">
        <f>GS48</f>
        <v>0</v>
      </c>
      <c r="C9602" t="inlineStr">
        <is>
          <t>+LS07</t>
        </is>
      </c>
      <c r="D9602" t="inlineStr">
        <is>
          <t>-445K747.2</t>
        </is>
      </c>
      <c r="E9602" t="inlineStr">
        <is>
          <t>DILA-31</t>
        </is>
      </c>
      <c r="F9602" t="inlineStr">
        <is>
          <t>#KALK!</t>
        </is>
      </c>
      <c r="G9602" t="inlineStr">
        <is>
          <t>HILFSSCHUETZ</t>
        </is>
      </c>
      <c r="H9602" t="inlineStr">
        <is>
          <t>3S 1Oe Federzugkl.</t>
        </is>
      </c>
      <c r="I9602">
        <v>557</v>
      </c>
      <c r="J9602">
        <f>GS48/445.4</f>
        <v>0</v>
      </c>
      <c r="M9602" t="inlineStr">
        <is>
          <t>-445K747.2</t>
        </is>
      </c>
    </row>
    <row r="9603">
      <c r="A9603">
        <v>9602</v>
      </c>
      <c r="B9603">
        <f>GS49</f>
        <v>0</v>
      </c>
      <c r="C9603" t="inlineStr">
        <is>
          <t>+LS07</t>
        </is>
      </c>
      <c r="D9603" t="inlineStr">
        <is>
          <t>-445K747.2</t>
        </is>
      </c>
      <c r="E9603" t="inlineStr">
        <is>
          <t>DILA-31</t>
        </is>
      </c>
      <c r="F9603" t="inlineStr">
        <is>
          <t>#KALK!</t>
        </is>
      </c>
      <c r="G9603" t="inlineStr">
        <is>
          <t>HILFSSCHUETZ</t>
        </is>
      </c>
      <c r="H9603" t="inlineStr">
        <is>
          <t>3S 1Oe Federzugkl.</t>
        </is>
      </c>
      <c r="I9603">
        <v>556</v>
      </c>
      <c r="J9603">
        <f>GS49/445.4</f>
        <v>0</v>
      </c>
      <c r="M9603" t="inlineStr">
        <is>
          <t>-445K747.2</t>
        </is>
      </c>
    </row>
    <row r="9604">
      <c r="A9604">
        <v>9603</v>
      </c>
      <c r="B9604">
        <f>GS46</f>
        <v>0</v>
      </c>
      <c r="C9604" t="inlineStr">
        <is>
          <t>+LS07</t>
        </is>
      </c>
      <c r="D9604" t="inlineStr">
        <is>
          <t>-445K747.3</t>
        </is>
      </c>
      <c r="E9604" t="inlineStr">
        <is>
          <t>DILA-31</t>
        </is>
      </c>
      <c r="F9604" t="inlineStr">
        <is>
          <t>#KALK!</t>
        </is>
      </c>
      <c r="G9604" t="inlineStr">
        <is>
          <t>HILFSSCHUETZ</t>
        </is>
      </c>
      <c r="H9604" t="inlineStr">
        <is>
          <t>3S 1Oe Federzugkl.</t>
        </is>
      </c>
      <c r="I9604">
        <v>633</v>
      </c>
      <c r="J9604">
        <f>GS46/445.5</f>
        <v>0</v>
      </c>
      <c r="M9604" t="inlineStr">
        <is>
          <t>-445K747.3</t>
        </is>
      </c>
    </row>
    <row r="9605">
      <c r="A9605">
        <v>9604</v>
      </c>
      <c r="B9605">
        <f>GS47</f>
        <v>0</v>
      </c>
      <c r="C9605" t="inlineStr">
        <is>
          <t>+LS07</t>
        </is>
      </c>
      <c r="D9605" t="inlineStr">
        <is>
          <t>-445K747.3</t>
        </is>
      </c>
      <c r="E9605" t="inlineStr">
        <is>
          <t>DILA-31</t>
        </is>
      </c>
      <c r="F9605" t="inlineStr">
        <is>
          <t>#KALK!</t>
        </is>
      </c>
      <c r="G9605" t="inlineStr">
        <is>
          <t>HILFSSCHUETZ</t>
        </is>
      </c>
      <c r="H9605" t="inlineStr">
        <is>
          <t>3S 1Oe Federzugkl.</t>
        </is>
      </c>
      <c r="I9605">
        <v>633</v>
      </c>
      <c r="J9605">
        <f>GS47/445.5</f>
        <v>0</v>
      </c>
      <c r="M9605" t="inlineStr">
        <is>
          <t>-445K747.3</t>
        </is>
      </c>
    </row>
    <row r="9606">
      <c r="A9606">
        <v>9605</v>
      </c>
      <c r="B9606">
        <f>GS48</f>
        <v>0</v>
      </c>
      <c r="C9606" t="inlineStr">
        <is>
          <t>+LS07</t>
        </is>
      </c>
      <c r="D9606" t="inlineStr">
        <is>
          <t>-445K747.3</t>
        </is>
      </c>
      <c r="E9606" t="inlineStr">
        <is>
          <t>DILA-31</t>
        </is>
      </c>
      <c r="F9606" t="inlineStr">
        <is>
          <t>#KALK!</t>
        </is>
      </c>
      <c r="G9606" t="inlineStr">
        <is>
          <t>HILFSSCHUETZ</t>
        </is>
      </c>
      <c r="H9606" t="inlineStr">
        <is>
          <t>3S 1Oe Federzugkl.</t>
        </is>
      </c>
      <c r="I9606">
        <v>557</v>
      </c>
      <c r="J9606">
        <f>GS48/445.5</f>
        <v>0</v>
      </c>
      <c r="M9606" t="inlineStr">
        <is>
          <t>-445K747.3</t>
        </is>
      </c>
    </row>
    <row r="9607">
      <c r="A9607">
        <v>9606</v>
      </c>
      <c r="B9607">
        <f>GS49</f>
        <v>0</v>
      </c>
      <c r="C9607" t="inlineStr">
        <is>
          <t>+LS07</t>
        </is>
      </c>
      <c r="D9607" t="inlineStr">
        <is>
          <t>-445K747.3</t>
        </is>
      </c>
      <c r="E9607" t="inlineStr">
        <is>
          <t>DILA-31</t>
        </is>
      </c>
      <c r="F9607" t="inlineStr">
        <is>
          <t>#KALK!</t>
        </is>
      </c>
      <c r="G9607" t="inlineStr">
        <is>
          <t>HILFSSCHUETZ</t>
        </is>
      </c>
      <c r="H9607" t="inlineStr">
        <is>
          <t>3S 1Oe Federzugkl.</t>
        </is>
      </c>
      <c r="I9607">
        <v>556</v>
      </c>
      <c r="J9607">
        <f>GS49/445.5</f>
        <v>0</v>
      </c>
      <c r="M9607" t="inlineStr">
        <is>
          <t>-445K747.3</t>
        </is>
      </c>
    </row>
    <row r="9608">
      <c r="A9608">
        <v>9607</v>
      </c>
      <c r="B9608">
        <f>GS92</f>
        <v>0</v>
      </c>
      <c r="C9608" t="inlineStr">
        <is>
          <t>+LS08</t>
        </is>
      </c>
      <c r="D9608" t="inlineStr">
        <is>
          <t>-445K750.4</t>
        </is>
      </c>
      <c r="E9608" t="inlineStr">
        <is>
          <t>DILA-40</t>
        </is>
      </c>
      <c r="F9608" t="inlineStr">
        <is>
          <t>#KALK!</t>
        </is>
      </c>
      <c r="G9608" t="inlineStr">
        <is>
          <t>HILFSSCHUETZ</t>
        </is>
      </c>
      <c r="H9608" t="inlineStr">
        <is>
          <t>4S Federzugkl.</t>
        </is>
      </c>
      <c r="I9608">
        <v>591</v>
      </c>
      <c r="J9608">
        <f>GS92/445.7</f>
        <v>0</v>
      </c>
      <c r="M9608" t="inlineStr">
        <is>
          <t>-445K750.4</t>
        </is>
      </c>
    </row>
    <row r="9609">
      <c r="A9609">
        <v>9608</v>
      </c>
      <c r="B9609">
        <f>GS08</f>
        <v>0</v>
      </c>
      <c r="C9609" t="inlineStr">
        <is>
          <t>+LS07</t>
        </is>
      </c>
      <c r="D9609" t="inlineStr">
        <is>
          <t>-445Q1</t>
        </is>
      </c>
      <c r="E9609" t="inlineStr">
        <is>
          <t>DILA-XHI22</t>
        </is>
      </c>
      <c r="F9609" t="inlineStr">
        <is>
          <t>DILA-XHI22</t>
        </is>
      </c>
      <c r="G9609" t="inlineStr">
        <is>
          <t>HILFSKONTAKTBLOCK</t>
        </is>
      </c>
      <c r="H9609" t="inlineStr">
        <is>
          <t>2S 2OE Last+Hilfssch. Cage</t>
        </is>
      </c>
      <c r="I9609">
        <v>291</v>
      </c>
      <c r="J9609">
        <f>GS08/445.6</f>
        <v>0</v>
      </c>
      <c r="K9609" t="inlineStr">
        <is>
          <t>DIL MC25</t>
        </is>
      </c>
      <c r="M9609" t="inlineStr">
        <is>
          <t>-445Q1</t>
        </is>
      </c>
    </row>
    <row r="9610">
      <c r="A9610">
        <v>9609</v>
      </c>
      <c r="B9610">
        <f>GS08</f>
        <v>0</v>
      </c>
      <c r="C9610" t="inlineStr">
        <is>
          <t>+LS07</t>
        </is>
      </c>
      <c r="D9610" t="inlineStr">
        <is>
          <t>-445Q1</t>
        </is>
      </c>
      <c r="E9610" t="inlineStr">
        <is>
          <t>DILMC25-10(RDC24)</t>
        </is>
      </c>
      <c r="F9610" t="inlineStr">
        <is>
          <t>DILA-XHI22</t>
        </is>
      </c>
      <c r="G9610" t="inlineStr">
        <is>
          <t>LASTSCHUETZ</t>
        </is>
      </c>
      <c r="H9610" t="inlineStr">
        <is>
          <t>11kW 1S Federzugkl.</t>
        </is>
      </c>
      <c r="I9610">
        <v>291</v>
      </c>
      <c r="J9610">
        <f>GS08/445.6</f>
        <v>0</v>
      </c>
      <c r="K9610" t="inlineStr">
        <is>
          <t>DIL MC25</t>
        </is>
      </c>
      <c r="M9610" t="inlineStr">
        <is>
          <t>-445Q1</t>
        </is>
      </c>
    </row>
    <row r="9611">
      <c r="A9611">
        <v>9610</v>
      </c>
      <c r="B9611">
        <f>GS30</f>
        <v>0</v>
      </c>
      <c r="C9611" t="inlineStr">
        <is>
          <t>+LS14</t>
        </is>
      </c>
      <c r="D9611" t="inlineStr">
        <is>
          <t>-445Q1</t>
        </is>
      </c>
      <c r="E9611" t="inlineStr">
        <is>
          <t>DILA-XHI22</t>
        </is>
      </c>
      <c r="F9611" t="inlineStr">
        <is>
          <t>DILA-XHI22</t>
        </is>
      </c>
      <c r="G9611" t="inlineStr">
        <is>
          <t>HILFSKONTAKTBLOCK</t>
        </is>
      </c>
      <c r="H9611" t="inlineStr">
        <is>
          <t>2S 2OE Last+Hilfssch. Cage</t>
        </is>
      </c>
      <c r="I9611">
        <v>2427</v>
      </c>
      <c r="J9611">
        <f>GS30/445.4</f>
        <v>0</v>
      </c>
      <c r="K9611" t="inlineStr">
        <is>
          <t>DIL MC25</t>
        </is>
      </c>
      <c r="M9611" t="inlineStr">
        <is>
          <t>-445Q1</t>
        </is>
      </c>
    </row>
    <row r="9612">
      <c r="A9612">
        <v>9611</v>
      </c>
      <c r="B9612">
        <f>GS30</f>
        <v>0</v>
      </c>
      <c r="C9612" t="inlineStr">
        <is>
          <t>+LS14</t>
        </is>
      </c>
      <c r="D9612" t="inlineStr">
        <is>
          <t>-445Q1</t>
        </is>
      </c>
      <c r="E9612" t="inlineStr">
        <is>
          <t>DILMC25-10(RDC24)</t>
        </is>
      </c>
      <c r="F9612" t="inlineStr">
        <is>
          <t>DILA-XHI22</t>
        </is>
      </c>
      <c r="G9612" t="inlineStr">
        <is>
          <t>LASTSCHUETZ</t>
        </is>
      </c>
      <c r="H9612" t="inlineStr">
        <is>
          <t>11kW 1S Federzugkl.</t>
        </is>
      </c>
      <c r="I9612">
        <v>2427</v>
      </c>
      <c r="J9612">
        <f>GS30/445.4</f>
        <v>0</v>
      </c>
      <c r="K9612" t="inlineStr">
        <is>
          <t>DIL MC25</t>
        </is>
      </c>
      <c r="M9612" t="inlineStr">
        <is>
          <t>-445Q1</t>
        </is>
      </c>
    </row>
    <row r="9613">
      <c r="A9613">
        <v>9612</v>
      </c>
      <c r="B9613">
        <f>GS35</f>
        <v>0</v>
      </c>
      <c r="C9613" t="inlineStr">
        <is>
          <t>+LS10</t>
        </is>
      </c>
      <c r="D9613" t="inlineStr">
        <is>
          <t>-445Q1</t>
        </is>
      </c>
      <c r="E9613" t="inlineStr">
        <is>
          <t>DILA-XHI22</t>
        </is>
      </c>
      <c r="F9613" t="inlineStr">
        <is>
          <t>DILA-XHI22</t>
        </is>
      </c>
      <c r="G9613" t="inlineStr">
        <is>
          <t>HILFSKONTAKTBLOCK</t>
        </is>
      </c>
      <c r="H9613" t="inlineStr">
        <is>
          <t>2S 2OE Last+Hilfssch. Cage</t>
        </is>
      </c>
      <c r="I9613">
        <v>599</v>
      </c>
      <c r="J9613">
        <f>GS35/445.4</f>
        <v>0</v>
      </c>
      <c r="K9613" t="inlineStr">
        <is>
          <t>DIL MC25</t>
        </is>
      </c>
      <c r="M9613" t="inlineStr">
        <is>
          <t>-445Q1</t>
        </is>
      </c>
    </row>
    <row r="9614">
      <c r="A9614">
        <v>9613</v>
      </c>
      <c r="B9614">
        <f>GS35</f>
        <v>0</v>
      </c>
      <c r="C9614" t="inlineStr">
        <is>
          <t>+LS10</t>
        </is>
      </c>
      <c r="D9614" t="inlineStr">
        <is>
          <t>-445Q1</t>
        </is>
      </c>
      <c r="E9614" t="inlineStr">
        <is>
          <t>DILM-25-10</t>
        </is>
      </c>
      <c r="F9614" t="inlineStr">
        <is>
          <t>DILA-XHI22</t>
        </is>
      </c>
      <c r="G9614" t="inlineStr">
        <is>
          <t>LASTSCHUETZ</t>
        </is>
      </c>
      <c r="H9614" t="inlineStr">
        <is>
          <t>11kW 1S Federzugkl.</t>
        </is>
      </c>
      <c r="I9614">
        <v>599</v>
      </c>
      <c r="J9614">
        <f>GS35/445.4</f>
        <v>0</v>
      </c>
      <c r="K9614" t="inlineStr">
        <is>
          <t>DIL MC25</t>
        </is>
      </c>
      <c r="M9614" t="inlineStr">
        <is>
          <t>-445Q1</t>
        </is>
      </c>
    </row>
    <row r="9615">
      <c r="A9615">
        <v>9614</v>
      </c>
      <c r="B9615">
        <f>GS51</f>
        <v>0</v>
      </c>
      <c r="C9615" t="inlineStr">
        <is>
          <t>+LS06</t>
        </is>
      </c>
      <c r="D9615" t="inlineStr">
        <is>
          <t>-445Q1</t>
        </is>
      </c>
      <c r="E9615" t="inlineStr">
        <is>
          <t>DILMC40(RDC24)</t>
        </is>
      </c>
      <c r="F9615" t="inlineStr">
        <is>
          <t>#KALK!</t>
        </is>
      </c>
      <c r="G9615" t="inlineStr">
        <is>
          <t>LASTSCHUETZ</t>
        </is>
      </c>
      <c r="H9615" t="inlineStr">
        <is>
          <t>18,5kW Federzugkl.</t>
        </is>
      </c>
      <c r="I9615">
        <v>617</v>
      </c>
      <c r="J9615">
        <f>GS51/445.6</f>
        <v>0</v>
      </c>
      <c r="M9615" t="inlineStr">
        <is>
          <t>-445Q1</t>
        </is>
      </c>
    </row>
    <row r="9616">
      <c r="A9616">
        <v>9615</v>
      </c>
      <c r="B9616">
        <f>GS52</f>
        <v>0</v>
      </c>
      <c r="C9616" t="inlineStr">
        <is>
          <t>+LS06</t>
        </is>
      </c>
      <c r="D9616" t="inlineStr">
        <is>
          <t>-445Q1</t>
        </is>
      </c>
      <c r="E9616" t="inlineStr">
        <is>
          <t>DILMC25-10(RDC24)</t>
        </is>
      </c>
      <c r="F9616" t="inlineStr">
        <is>
          <t>DILA-XHI22</t>
        </is>
      </c>
      <c r="G9616" t="inlineStr">
        <is>
          <t>LASTSCHUETZ</t>
        </is>
      </c>
      <c r="H9616" t="inlineStr">
        <is>
          <t>11kW 1S Federzugkl.</t>
        </is>
      </c>
      <c r="I9616">
        <v>1181</v>
      </c>
      <c r="J9616">
        <f>GS52/445.6</f>
        <v>0</v>
      </c>
      <c r="K9616" t="inlineStr">
        <is>
          <t>DIL MC25</t>
        </is>
      </c>
      <c r="M9616" t="inlineStr">
        <is>
          <t>-445Q1</t>
        </is>
      </c>
    </row>
    <row r="9617">
      <c r="A9617">
        <v>9616</v>
      </c>
      <c r="B9617">
        <f>GS52</f>
        <v>0</v>
      </c>
      <c r="C9617" t="inlineStr">
        <is>
          <t>+LS06</t>
        </is>
      </c>
      <c r="D9617" t="inlineStr">
        <is>
          <t>-445Q1</t>
        </is>
      </c>
      <c r="E9617" t="inlineStr">
        <is>
          <t>DILA-XHI22</t>
        </is>
      </c>
      <c r="F9617" t="inlineStr">
        <is>
          <t>DILA-XHI22</t>
        </is>
      </c>
      <c r="G9617" t="inlineStr">
        <is>
          <t>HILFSKONTAKTBLOCK</t>
        </is>
      </c>
      <c r="H9617" t="inlineStr">
        <is>
          <t>2S 2OE Last+Hilfssch. Cage</t>
        </is>
      </c>
      <c r="I9617">
        <v>1181</v>
      </c>
      <c r="J9617">
        <f>GS52/445.6</f>
        <v>0</v>
      </c>
      <c r="K9617" t="inlineStr">
        <is>
          <t>DIL MC25</t>
        </is>
      </c>
      <c r="M9617" t="inlineStr">
        <is>
          <t>-445Q1</t>
        </is>
      </c>
    </row>
    <row r="9618">
      <c r="A9618">
        <v>9617</v>
      </c>
      <c r="B9618">
        <f>GS90</f>
        <v>0</v>
      </c>
      <c r="C9618" t="inlineStr">
        <is>
          <t>+LS09</t>
        </is>
      </c>
      <c r="D9618" t="inlineStr">
        <is>
          <t>-445Q1</t>
        </is>
      </c>
      <c r="E9618" t="inlineStr">
        <is>
          <t>DILMC25-10(RDC24)</t>
        </is>
      </c>
      <c r="F9618" t="inlineStr">
        <is>
          <t>DILA-XHI22</t>
        </is>
      </c>
      <c r="G9618" t="inlineStr">
        <is>
          <t>LASTSCHUETZ</t>
        </is>
      </c>
      <c r="H9618" t="inlineStr">
        <is>
          <t>11kW 1S Federzugkl.</t>
        </is>
      </c>
      <c r="I9618">
        <v>795</v>
      </c>
      <c r="J9618">
        <f>GS90/445.4</f>
        <v>0</v>
      </c>
      <c r="K9618" t="inlineStr">
        <is>
          <t>DIL MC25</t>
        </is>
      </c>
      <c r="M9618" t="inlineStr">
        <is>
          <t>-445Q1</t>
        </is>
      </c>
    </row>
    <row r="9619">
      <c r="A9619">
        <v>9618</v>
      </c>
      <c r="B9619">
        <f>GS90</f>
        <v>0</v>
      </c>
      <c r="C9619" t="inlineStr">
        <is>
          <t>+LS09</t>
        </is>
      </c>
      <c r="D9619" t="inlineStr">
        <is>
          <t>-445Q1</t>
        </is>
      </c>
      <c r="E9619" t="inlineStr">
        <is>
          <t>DILA-XHI22</t>
        </is>
      </c>
      <c r="F9619" t="inlineStr">
        <is>
          <t>DILA-XHI22</t>
        </is>
      </c>
      <c r="G9619" t="inlineStr">
        <is>
          <t>HILFSKONTAKTBLOCK</t>
        </is>
      </c>
      <c r="H9619" t="inlineStr">
        <is>
          <t>2S 2OE Last+Hilfssch. Cage</t>
        </is>
      </c>
      <c r="I9619">
        <v>795</v>
      </c>
      <c r="J9619">
        <f>GS90/445.4</f>
        <v>0</v>
      </c>
      <c r="K9619" t="inlineStr">
        <is>
          <t>DIL MC25</t>
        </is>
      </c>
      <c r="M9619" t="inlineStr">
        <is>
          <t>-445Q1</t>
        </is>
      </c>
    </row>
    <row r="9620">
      <c r="A9620">
        <v>9619</v>
      </c>
      <c r="B9620">
        <f>GS91</f>
        <v>0</v>
      </c>
      <c r="C9620" t="inlineStr">
        <is>
          <t>+LS08</t>
        </is>
      </c>
      <c r="D9620" t="inlineStr">
        <is>
          <t>-445Q1</t>
        </is>
      </c>
      <c r="E9620" t="inlineStr">
        <is>
          <t>DILA-XHI22</t>
        </is>
      </c>
      <c r="F9620" t="inlineStr">
        <is>
          <t>DILA-XHI22</t>
        </is>
      </c>
      <c r="G9620" t="inlineStr">
        <is>
          <t>HILFSKONTAKTBLOCK</t>
        </is>
      </c>
      <c r="H9620" t="inlineStr">
        <is>
          <t>2S 2OE Last+Hilfssch. Cage</t>
        </is>
      </c>
      <c r="I9620">
        <v>593</v>
      </c>
      <c r="J9620">
        <f>GS91/445.4</f>
        <v>0</v>
      </c>
      <c r="K9620" t="inlineStr">
        <is>
          <t>DIL MC25</t>
        </is>
      </c>
      <c r="M9620" t="inlineStr">
        <is>
          <t>-445Q1</t>
        </is>
      </c>
    </row>
    <row r="9621">
      <c r="A9621">
        <v>9620</v>
      </c>
      <c r="B9621">
        <f>GS91</f>
        <v>0</v>
      </c>
      <c r="C9621" t="inlineStr">
        <is>
          <t>+LS08</t>
        </is>
      </c>
      <c r="D9621" t="inlineStr">
        <is>
          <t>-445Q1</t>
        </is>
      </c>
      <c r="E9621" t="inlineStr">
        <is>
          <t>DILMC25-10(RDC24)</t>
        </is>
      </c>
      <c r="F9621" t="inlineStr">
        <is>
          <t>DILA-XHI22</t>
        </is>
      </c>
      <c r="G9621" t="inlineStr">
        <is>
          <t>LASTSCHUETZ</t>
        </is>
      </c>
      <c r="H9621" t="inlineStr">
        <is>
          <t>11kW 1S Federzugkl.</t>
        </is>
      </c>
      <c r="I9621">
        <v>593</v>
      </c>
      <c r="J9621">
        <f>GS91/445.4</f>
        <v>0</v>
      </c>
      <c r="K9621" t="inlineStr">
        <is>
          <t>DIL MC25</t>
        </is>
      </c>
      <c r="M9621" t="inlineStr">
        <is>
          <t>-445Q1</t>
        </is>
      </c>
    </row>
    <row r="9622">
      <c r="A9622">
        <v>9621</v>
      </c>
      <c r="B9622">
        <f>GS92</f>
        <v>0</v>
      </c>
      <c r="C9622" t="inlineStr">
        <is>
          <t>+LS08</t>
        </is>
      </c>
      <c r="D9622" t="inlineStr">
        <is>
          <t>-445Q1</t>
        </is>
      </c>
      <c r="E9622" t="inlineStr">
        <is>
          <t>DILMC25-10(RDC24)</t>
        </is>
      </c>
      <c r="F9622" t="inlineStr">
        <is>
          <t>DILA-XHI22</t>
        </is>
      </c>
      <c r="G9622" t="inlineStr">
        <is>
          <t>LASTSCHUETZ</t>
        </is>
      </c>
      <c r="H9622" t="inlineStr">
        <is>
          <t>11kW 1S Federzugkl.</t>
        </is>
      </c>
      <c r="I9622">
        <v>591</v>
      </c>
      <c r="J9622">
        <f>GS92/445.4</f>
        <v>0</v>
      </c>
      <c r="K9622" t="inlineStr">
        <is>
          <t>DIL MC25</t>
        </is>
      </c>
      <c r="M9622" t="inlineStr">
        <is>
          <t>-445Q1</t>
        </is>
      </c>
    </row>
    <row r="9623">
      <c r="A9623">
        <v>9622</v>
      </c>
      <c r="B9623">
        <f>GS92</f>
        <v>0</v>
      </c>
      <c r="C9623" t="inlineStr">
        <is>
          <t>+LS08</t>
        </is>
      </c>
      <c r="D9623" t="inlineStr">
        <is>
          <t>-445Q1</t>
        </is>
      </c>
      <c r="E9623" t="inlineStr">
        <is>
          <t>DILA-XHI22</t>
        </is>
      </c>
      <c r="F9623" t="inlineStr">
        <is>
          <t>DILA-XHI22</t>
        </is>
      </c>
      <c r="G9623" t="inlineStr">
        <is>
          <t>HILFSKONTAKTBLOCK</t>
        </is>
      </c>
      <c r="H9623" t="inlineStr">
        <is>
          <t>2S 2OE Last+Hilfssch. Cage</t>
        </is>
      </c>
      <c r="I9623">
        <v>591</v>
      </c>
      <c r="J9623">
        <f>GS92/445.4</f>
        <v>0</v>
      </c>
      <c r="K9623" t="inlineStr">
        <is>
          <t>DIL MC25</t>
        </is>
      </c>
      <c r="M9623" t="inlineStr">
        <is>
          <t>-445Q1</t>
        </is>
      </c>
    </row>
    <row r="9624">
      <c r="A9624">
        <v>9623</v>
      </c>
      <c r="B9624">
        <f>GS08</f>
        <v>0</v>
      </c>
      <c r="C9624" t="inlineStr">
        <is>
          <t>+LS07</t>
        </is>
      </c>
      <c r="D9624" t="inlineStr">
        <is>
          <t>-445Q3</t>
        </is>
      </c>
      <c r="E9624" t="inlineStr">
        <is>
          <t>DILA-XHI22</t>
        </is>
      </c>
      <c r="F9624" t="inlineStr">
        <is>
          <t>DILA-XHI22</t>
        </is>
      </c>
      <c r="G9624" t="inlineStr">
        <is>
          <t>HILFSKONTAKTBLOCK</t>
        </is>
      </c>
      <c r="H9624" t="inlineStr">
        <is>
          <t>2S 2OE Last+Hilfssch. Cage</t>
        </is>
      </c>
      <c r="I9624">
        <v>291</v>
      </c>
      <c r="J9624">
        <f>GS08/445.7</f>
        <v>0</v>
      </c>
      <c r="K9624" t="inlineStr">
        <is>
          <t>DIL MC25</t>
        </is>
      </c>
      <c r="M9624" t="inlineStr">
        <is>
          <t>-445Q3</t>
        </is>
      </c>
    </row>
    <row r="9625">
      <c r="A9625">
        <v>9624</v>
      </c>
      <c r="B9625">
        <f>GS08</f>
        <v>0</v>
      </c>
      <c r="C9625" t="inlineStr">
        <is>
          <t>+LS07</t>
        </is>
      </c>
      <c r="D9625" t="inlineStr">
        <is>
          <t>-445Q3</t>
        </is>
      </c>
      <c r="E9625" t="inlineStr">
        <is>
          <t>DILMC25-10(RDC24)</t>
        </is>
      </c>
      <c r="F9625" t="inlineStr">
        <is>
          <t>DILA-XHI22</t>
        </is>
      </c>
      <c r="G9625" t="inlineStr">
        <is>
          <t>LASTSCHUETZ</t>
        </is>
      </c>
      <c r="H9625" t="inlineStr">
        <is>
          <t>11kW 1S Federzugkl.</t>
        </is>
      </c>
      <c r="I9625">
        <v>291</v>
      </c>
      <c r="J9625">
        <f>GS08/445.7</f>
        <v>0</v>
      </c>
      <c r="K9625" t="inlineStr">
        <is>
          <t>DIL MC25</t>
        </is>
      </c>
      <c r="M9625" t="inlineStr">
        <is>
          <t>-445Q3</t>
        </is>
      </c>
    </row>
    <row r="9626">
      <c r="A9626">
        <v>9625</v>
      </c>
      <c r="B9626">
        <f>GS01</f>
        <v>0</v>
      </c>
      <c r="C9626" t="inlineStr">
        <is>
          <t>+LS9</t>
        </is>
      </c>
      <c r="D9626" t="inlineStr">
        <is>
          <t>-446K15.1</t>
        </is>
      </c>
      <c r="E9626" t="inlineStr">
        <is>
          <t>DIL_EM-10-G</t>
        </is>
      </c>
      <c r="F9626" t="inlineStr">
        <is>
          <t>#KALK!</t>
        </is>
      </c>
      <c r="G9626" t="inlineStr">
        <is>
          <t>LASTSCHUETZ</t>
        </is>
      </c>
      <c r="H9626" t="inlineStr">
        <is>
          <t>4kW 1S</t>
        </is>
      </c>
      <c r="I9626">
        <v>610</v>
      </c>
      <c r="J9626">
        <f>GS01/446.6</f>
        <v>0</v>
      </c>
      <c r="M9626" t="inlineStr">
        <is>
          <t>-446K15.1</t>
        </is>
      </c>
    </row>
    <row r="9627">
      <c r="A9627">
        <v>9626</v>
      </c>
      <c r="B9627">
        <f>GS01</f>
        <v>0</v>
      </c>
      <c r="C9627" t="inlineStr">
        <is>
          <t>+LS9</t>
        </is>
      </c>
      <c r="D9627" t="inlineStr">
        <is>
          <t>-446K15.2</t>
        </is>
      </c>
      <c r="E9627" t="inlineStr">
        <is>
          <t>DIL_EM-10-G</t>
        </is>
      </c>
      <c r="F9627" t="inlineStr">
        <is>
          <t>#KALK!</t>
        </is>
      </c>
      <c r="G9627" t="inlineStr">
        <is>
          <t>LASTSCHUETZ</t>
        </is>
      </c>
      <c r="H9627" t="inlineStr">
        <is>
          <t>4kW 1S</t>
        </is>
      </c>
      <c r="I9627">
        <v>610</v>
      </c>
      <c r="J9627">
        <f>GS01/446.6</f>
        <v>0</v>
      </c>
      <c r="M9627" t="inlineStr">
        <is>
          <t>-446K15.2</t>
        </is>
      </c>
    </row>
    <row r="9628">
      <c r="A9628">
        <v>9627</v>
      </c>
      <c r="B9628">
        <f>GC03</f>
        <v>0</v>
      </c>
      <c r="C9628" t="inlineStr">
        <is>
          <t>+LS10</t>
        </is>
      </c>
      <c r="D9628" t="inlineStr">
        <is>
          <t>-446K25.7</t>
        </is>
      </c>
      <c r="E9628" t="inlineStr">
        <is>
          <t>DIL_EM-10-G</t>
        </is>
      </c>
      <c r="F9628" t="inlineStr">
        <is>
          <t>#KALK!</t>
        </is>
      </c>
      <c r="G9628" t="inlineStr">
        <is>
          <t>LASTSCHUETZ</t>
        </is>
      </c>
      <c r="H9628" t="inlineStr">
        <is>
          <t>4kW 1S</t>
        </is>
      </c>
      <c r="I9628">
        <v>3612</v>
      </c>
      <c r="J9628">
        <f>GC03/446.6</f>
        <v>0</v>
      </c>
      <c r="M9628" t="inlineStr">
        <is>
          <t>-446K25.7</t>
        </is>
      </c>
    </row>
    <row r="9629">
      <c r="A9629">
        <v>9628</v>
      </c>
      <c r="B9629">
        <f>GC03</f>
        <v>0</v>
      </c>
      <c r="C9629" t="inlineStr">
        <is>
          <t>+LS10</t>
        </is>
      </c>
      <c r="D9629" t="inlineStr">
        <is>
          <t>-446K26.0</t>
        </is>
      </c>
      <c r="E9629" t="inlineStr">
        <is>
          <t>DIL_EM-10-G</t>
        </is>
      </c>
      <c r="F9629" t="inlineStr">
        <is>
          <t>#KALK!</t>
        </is>
      </c>
      <c r="G9629" t="inlineStr">
        <is>
          <t>LASTSCHUETZ</t>
        </is>
      </c>
      <c r="H9629" t="inlineStr">
        <is>
          <t>4kW 1S</t>
        </is>
      </c>
      <c r="I9629">
        <v>3612</v>
      </c>
      <c r="J9629">
        <f>GC03/446.7</f>
        <v>0</v>
      </c>
      <c r="M9629" t="inlineStr">
        <is>
          <t>-446K26.0</t>
        </is>
      </c>
    </row>
    <row r="9630">
      <c r="A9630">
        <v>9629</v>
      </c>
      <c r="B9630">
        <f>GS14</f>
        <v>0</v>
      </c>
      <c r="C9630" t="inlineStr">
        <is>
          <t>+LS8</t>
        </is>
      </c>
      <c r="D9630" t="inlineStr">
        <is>
          <t>-446K3505.4</t>
        </is>
      </c>
      <c r="E9630" t="inlineStr">
        <is>
          <t>DIL_EM-10-G</t>
        </is>
      </c>
      <c r="F9630" t="inlineStr">
        <is>
          <t>#KALK!</t>
        </is>
      </c>
      <c r="G9630" t="inlineStr">
        <is>
          <t>LASTSCHUETZ</t>
        </is>
      </c>
      <c r="H9630" t="inlineStr">
        <is>
          <t>4kW 1S</t>
        </is>
      </c>
      <c r="I9630">
        <v>578</v>
      </c>
      <c r="J9630">
        <f>GS14/446.6</f>
        <v>0</v>
      </c>
      <c r="M9630" t="inlineStr">
        <is>
          <t>-446K3505.4</t>
        </is>
      </c>
    </row>
    <row r="9631">
      <c r="A9631">
        <v>9630</v>
      </c>
      <c r="B9631">
        <f>GS14</f>
        <v>0</v>
      </c>
      <c r="C9631" t="inlineStr">
        <is>
          <t>+LS8</t>
        </is>
      </c>
      <c r="D9631" t="inlineStr">
        <is>
          <t>-446K3505.5</t>
        </is>
      </c>
      <c r="E9631" t="inlineStr">
        <is>
          <t>DIL_EM-10-G</t>
        </is>
      </c>
      <c r="F9631" t="inlineStr">
        <is>
          <t>#KALK!</t>
        </is>
      </c>
      <c r="G9631" t="inlineStr">
        <is>
          <t>LASTSCHUETZ</t>
        </is>
      </c>
      <c r="H9631" t="inlineStr">
        <is>
          <t>4kW 1S</t>
        </is>
      </c>
      <c r="I9631">
        <v>578</v>
      </c>
      <c r="J9631">
        <f>GS14/446.7</f>
        <v>0</v>
      </c>
      <c r="M9631" t="inlineStr">
        <is>
          <t>-446K3505.5</t>
        </is>
      </c>
    </row>
    <row r="9632">
      <c r="A9632">
        <v>9631</v>
      </c>
      <c r="B9632">
        <f>GS24</f>
        <v>0</v>
      </c>
      <c r="C9632" t="inlineStr">
        <is>
          <t>+ES3</t>
        </is>
      </c>
      <c r="D9632" t="inlineStr">
        <is>
          <t>-446K3548.0</t>
        </is>
      </c>
      <c r="E9632" t="inlineStr">
        <is>
          <t>DIL_ER-40-G</t>
        </is>
      </c>
      <c r="F9632" t="inlineStr">
        <is>
          <t>40_DIL-E</t>
        </is>
      </c>
      <c r="G9632" t="inlineStr">
        <is>
          <t>HILFSSCHUETZ</t>
        </is>
      </c>
      <c r="H9632" t="inlineStr">
        <is>
          <t>4S</t>
        </is>
      </c>
      <c r="I9632">
        <v>650</v>
      </c>
      <c r="J9632">
        <f>GS24/446.5</f>
        <v>0</v>
      </c>
      <c r="M9632" t="inlineStr">
        <is>
          <t>-446K3548.0</t>
        </is>
      </c>
    </row>
    <row r="9633">
      <c r="A9633">
        <v>9632</v>
      </c>
      <c r="B9633">
        <f>GS24</f>
        <v>0</v>
      </c>
      <c r="C9633" t="inlineStr">
        <is>
          <t>+ES3</t>
        </is>
      </c>
      <c r="D9633" t="inlineStr">
        <is>
          <t>-446K3548.0</t>
        </is>
      </c>
      <c r="E9633" t="inlineStr">
        <is>
          <t>40_DIL-E</t>
        </is>
      </c>
      <c r="F9633" t="inlineStr">
        <is>
          <t>40_DIL-E</t>
        </is>
      </c>
      <c r="G9633" t="inlineStr">
        <is>
          <t>HILFSKONTAKTBLOCK</t>
        </is>
      </c>
      <c r="H9633" t="inlineStr">
        <is>
          <t>4S Last+Hilfsschuetz</t>
        </is>
      </c>
      <c r="I9633">
        <v>650</v>
      </c>
      <c r="J9633">
        <f>GS24/446.5</f>
        <v>0</v>
      </c>
      <c r="M9633" t="inlineStr">
        <is>
          <t>-446K3548.0</t>
        </is>
      </c>
    </row>
    <row r="9634">
      <c r="A9634">
        <v>9633</v>
      </c>
      <c r="B9634">
        <f>GS24</f>
        <v>0</v>
      </c>
      <c r="C9634" t="inlineStr">
        <is>
          <t>+ES3</t>
        </is>
      </c>
      <c r="D9634" t="inlineStr">
        <is>
          <t>-446K3548.0.1</t>
        </is>
      </c>
      <c r="E9634" t="inlineStr">
        <is>
          <t>DIL_ER-40-G</t>
        </is>
      </c>
      <c r="F9634" t="inlineStr">
        <is>
          <t>40_DIL-E</t>
        </is>
      </c>
      <c r="G9634" t="inlineStr">
        <is>
          <t>HILFSSCHUETZ</t>
        </is>
      </c>
      <c r="H9634" t="inlineStr">
        <is>
          <t>4S</t>
        </is>
      </c>
      <c r="I9634">
        <v>650</v>
      </c>
      <c r="J9634">
        <f>GS24/446.6</f>
        <v>0</v>
      </c>
      <c r="M9634" t="inlineStr">
        <is>
          <t>-446K3548.0.1</t>
        </is>
      </c>
    </row>
    <row r="9635">
      <c r="A9635">
        <v>9634</v>
      </c>
      <c r="B9635">
        <f>GS24</f>
        <v>0</v>
      </c>
      <c r="C9635" t="inlineStr">
        <is>
          <t>+ES3</t>
        </is>
      </c>
      <c r="D9635" t="inlineStr">
        <is>
          <t>-446K3548.0.1</t>
        </is>
      </c>
      <c r="E9635" t="inlineStr">
        <is>
          <t>40_DIL-E</t>
        </is>
      </c>
      <c r="F9635" t="inlineStr">
        <is>
          <t>40_DIL-E</t>
        </is>
      </c>
      <c r="G9635" t="inlineStr">
        <is>
          <t>HILFSKONTAKTBLOCK</t>
        </is>
      </c>
      <c r="H9635" t="inlineStr">
        <is>
          <t>4S Last+Hilfsschuetz</t>
        </is>
      </c>
      <c r="I9635">
        <v>650</v>
      </c>
      <c r="J9635">
        <f>GS24/446.6</f>
        <v>0</v>
      </c>
      <c r="M9635" t="inlineStr">
        <is>
          <t>-446K3548.0.1</t>
        </is>
      </c>
    </row>
    <row r="9636">
      <c r="A9636">
        <v>9635</v>
      </c>
      <c r="B9636">
        <f>GS24</f>
        <v>0</v>
      </c>
      <c r="C9636" t="inlineStr">
        <is>
          <t>+ES3</t>
        </is>
      </c>
      <c r="D9636" t="inlineStr">
        <is>
          <t>-446K3548.1</t>
        </is>
      </c>
      <c r="E9636" t="inlineStr">
        <is>
          <t>DIL_ER-40-G</t>
        </is>
      </c>
      <c r="F9636" t="inlineStr">
        <is>
          <t>40_DIL-E</t>
        </is>
      </c>
      <c r="G9636" t="inlineStr">
        <is>
          <t>HILFSSCHUETZ</t>
        </is>
      </c>
      <c r="H9636" t="inlineStr">
        <is>
          <t>4S</t>
        </is>
      </c>
      <c r="I9636">
        <v>650</v>
      </c>
      <c r="J9636">
        <f>GS24/446.7</f>
        <v>0</v>
      </c>
      <c r="M9636" t="inlineStr">
        <is>
          <t>-446K3548.1</t>
        </is>
      </c>
    </row>
    <row r="9637">
      <c r="A9637">
        <v>9636</v>
      </c>
      <c r="B9637">
        <f>GS24</f>
        <v>0</v>
      </c>
      <c r="C9637" t="inlineStr">
        <is>
          <t>+ES3</t>
        </is>
      </c>
      <c r="D9637" t="inlineStr">
        <is>
          <t>-446K3548.1</t>
        </is>
      </c>
      <c r="E9637" t="inlineStr">
        <is>
          <t>40_DIL-E</t>
        </is>
      </c>
      <c r="F9637" t="inlineStr">
        <is>
          <t>40_DIL-E</t>
        </is>
      </c>
      <c r="G9637" t="inlineStr">
        <is>
          <t>HILFSKONTAKTBLOCK</t>
        </is>
      </c>
      <c r="H9637" t="inlineStr">
        <is>
          <t>4S Last+Hilfsschuetz</t>
        </is>
      </c>
      <c r="I9637">
        <v>650</v>
      </c>
      <c r="J9637">
        <f>GS24/446.7</f>
        <v>0</v>
      </c>
      <c r="M9637" t="inlineStr">
        <is>
          <t>-446K3548.1</t>
        </is>
      </c>
    </row>
    <row r="9638">
      <c r="A9638">
        <v>9637</v>
      </c>
      <c r="B9638">
        <f>GS52</f>
        <v>0</v>
      </c>
      <c r="C9638" t="inlineStr">
        <is>
          <t>+LS06</t>
        </is>
      </c>
      <c r="D9638" t="inlineStr">
        <is>
          <t>-446Q157.5</t>
        </is>
      </c>
      <c r="E9638" t="inlineStr">
        <is>
          <t>DILA-XHI22</t>
        </is>
      </c>
      <c r="F9638" t="inlineStr">
        <is>
          <t>DILA-XHI22</t>
        </is>
      </c>
      <c r="G9638" t="inlineStr">
        <is>
          <t>HILFSKONTAKTBLOCK</t>
        </is>
      </c>
      <c r="H9638" t="inlineStr">
        <is>
          <t>2S 2OE Last+Hilfssch. Cage</t>
        </is>
      </c>
      <c r="I9638">
        <v>1183</v>
      </c>
      <c r="J9638">
        <f>GS52/446.6</f>
        <v>0</v>
      </c>
      <c r="K9638" t="inlineStr">
        <is>
          <t>DIL MC9</t>
        </is>
      </c>
      <c r="M9638" t="inlineStr">
        <is>
          <t>-446Q157.5</t>
        </is>
      </c>
    </row>
    <row r="9639">
      <c r="A9639">
        <v>9638</v>
      </c>
      <c r="B9639">
        <f>GS52</f>
        <v>0</v>
      </c>
      <c r="C9639" t="inlineStr">
        <is>
          <t>+LS06</t>
        </is>
      </c>
      <c r="D9639" t="inlineStr">
        <is>
          <t>-446Q157.5</t>
        </is>
      </c>
      <c r="E9639" t="inlineStr">
        <is>
          <t>DILM-9-10</t>
        </is>
      </c>
      <c r="F9639" t="inlineStr">
        <is>
          <t>DILA-XHI22</t>
        </is>
      </c>
      <c r="G9639" t="inlineStr">
        <is>
          <t>LASTSCHUETZ</t>
        </is>
      </c>
      <c r="H9639" t="inlineStr">
        <is>
          <t>4kW 1S Federzugkl.</t>
        </is>
      </c>
      <c r="I9639">
        <v>1183</v>
      </c>
      <c r="J9639">
        <f>GS52/446.6</f>
        <v>0</v>
      </c>
      <c r="K9639" t="inlineStr">
        <is>
          <t>DIL MC9</t>
        </is>
      </c>
      <c r="M9639" t="inlineStr">
        <is>
          <t>-446Q157.5</t>
        </is>
      </c>
    </row>
    <row r="9640">
      <c r="A9640">
        <v>9639</v>
      </c>
      <c r="B9640">
        <f>GS52</f>
        <v>0</v>
      </c>
      <c r="C9640" t="inlineStr">
        <is>
          <t>+LS06</t>
        </is>
      </c>
      <c r="D9640" t="inlineStr">
        <is>
          <t>-446Q157.6</t>
        </is>
      </c>
      <c r="E9640" t="inlineStr">
        <is>
          <t>DILA-XHI22</t>
        </is>
      </c>
      <c r="F9640" t="inlineStr">
        <is>
          <t>DILA-XHI22</t>
        </is>
      </c>
      <c r="G9640" t="inlineStr">
        <is>
          <t>HILFSKONTAKTBLOCK</t>
        </is>
      </c>
      <c r="H9640" t="inlineStr">
        <is>
          <t>2S 2OE Last+Hilfssch. Cage</t>
        </is>
      </c>
      <c r="I9640">
        <v>1183</v>
      </c>
      <c r="J9640">
        <f>GS52/446.7</f>
        <v>0</v>
      </c>
      <c r="K9640" t="inlineStr">
        <is>
          <t>DIL MC9</t>
        </is>
      </c>
      <c r="M9640" t="inlineStr">
        <is>
          <t>-446Q157.6</t>
        </is>
      </c>
    </row>
    <row r="9641">
      <c r="A9641">
        <v>9640</v>
      </c>
      <c r="B9641">
        <f>GS52</f>
        <v>0</v>
      </c>
      <c r="C9641" t="inlineStr">
        <is>
          <t>+LS06</t>
        </is>
      </c>
      <c r="D9641" t="inlineStr">
        <is>
          <t>-446Q157.6</t>
        </is>
      </c>
      <c r="E9641" t="inlineStr">
        <is>
          <t>DILM-9-10</t>
        </is>
      </c>
      <c r="F9641" t="inlineStr">
        <is>
          <t>DILA-XHI22</t>
        </is>
      </c>
      <c r="G9641" t="inlineStr">
        <is>
          <t>LASTSCHUETZ</t>
        </is>
      </c>
      <c r="H9641" t="inlineStr">
        <is>
          <t>4kW 1S Federzugkl.</t>
        </is>
      </c>
      <c r="I9641">
        <v>1183</v>
      </c>
      <c r="J9641">
        <f>GS52/446.7</f>
        <v>0</v>
      </c>
      <c r="K9641" t="inlineStr">
        <is>
          <t>DIL MC9</t>
        </is>
      </c>
      <c r="M9641" t="inlineStr">
        <is>
          <t>-446Q157.6</t>
        </is>
      </c>
    </row>
    <row r="9642">
      <c r="A9642">
        <v>9641</v>
      </c>
      <c r="B9642">
        <f>GS90</f>
        <v>0</v>
      </c>
      <c r="C9642" t="inlineStr">
        <is>
          <t>+LS09</t>
        </is>
      </c>
      <c r="D9642" t="inlineStr">
        <is>
          <t>-446Q462.1</t>
        </is>
      </c>
      <c r="E9642" t="inlineStr">
        <is>
          <t>DILA-XHI22</t>
        </is>
      </c>
      <c r="F9642" t="inlineStr">
        <is>
          <t>DILA-XHI22</t>
        </is>
      </c>
      <c r="G9642" t="inlineStr">
        <is>
          <t>HILFSKONTAKTBLOCK</t>
        </is>
      </c>
      <c r="H9642" t="inlineStr">
        <is>
          <t>2S 2OE Last+Hilfssch. Cage</t>
        </is>
      </c>
      <c r="I9642">
        <v>794</v>
      </c>
      <c r="J9642">
        <f>GS90/446.5</f>
        <v>0</v>
      </c>
      <c r="M9642" t="inlineStr">
        <is>
          <t>-446Q462.1</t>
        </is>
      </c>
    </row>
    <row r="9643">
      <c r="A9643">
        <v>9642</v>
      </c>
      <c r="B9643">
        <f>GS90</f>
        <v>0</v>
      </c>
      <c r="C9643" t="inlineStr">
        <is>
          <t>+LS09</t>
        </is>
      </c>
      <c r="D9643" t="inlineStr">
        <is>
          <t>-446Q462.1</t>
        </is>
      </c>
      <c r="E9643" t="inlineStr">
        <is>
          <t>DILM-9-10</t>
        </is>
      </c>
      <c r="F9643" t="inlineStr">
        <is>
          <t>DILA-XHI22</t>
        </is>
      </c>
      <c r="G9643" t="inlineStr">
        <is>
          <t>LASTSCHUETZ</t>
        </is>
      </c>
      <c r="H9643" t="inlineStr">
        <is>
          <t>4kW 1S Federzugkl.</t>
        </is>
      </c>
      <c r="I9643">
        <v>794</v>
      </c>
      <c r="J9643">
        <f>GS90/446.5</f>
        <v>0</v>
      </c>
      <c r="M9643" t="inlineStr">
        <is>
          <t>-446Q462.1</t>
        </is>
      </c>
    </row>
    <row r="9644">
      <c r="A9644">
        <v>9643</v>
      </c>
      <c r="B9644">
        <f>GS90</f>
        <v>0</v>
      </c>
      <c r="C9644" t="inlineStr">
        <is>
          <t>+LS09</t>
        </is>
      </c>
      <c r="D9644" t="inlineStr">
        <is>
          <t>-446Q462.2</t>
        </is>
      </c>
      <c r="E9644" t="inlineStr">
        <is>
          <t>DILA-XHI22</t>
        </is>
      </c>
      <c r="F9644" t="inlineStr">
        <is>
          <t>DILA-XHI22</t>
        </is>
      </c>
      <c r="G9644" t="inlineStr">
        <is>
          <t>HILFSKONTAKTBLOCK</t>
        </is>
      </c>
      <c r="H9644" t="inlineStr">
        <is>
          <t>2S 2OE Last+Hilfssch. Cage</t>
        </is>
      </c>
      <c r="I9644">
        <v>794</v>
      </c>
      <c r="J9644">
        <f>GS90/446.6</f>
        <v>0</v>
      </c>
      <c r="M9644" t="inlineStr">
        <is>
          <t>-446Q462.2</t>
        </is>
      </c>
    </row>
    <row r="9645">
      <c r="A9645">
        <v>9644</v>
      </c>
      <c r="B9645">
        <f>GS90</f>
        <v>0</v>
      </c>
      <c r="C9645" t="inlineStr">
        <is>
          <t>+LS09</t>
        </is>
      </c>
      <c r="D9645" t="inlineStr">
        <is>
          <t>-446Q462.2</t>
        </is>
      </c>
      <c r="E9645" t="inlineStr">
        <is>
          <t>DILM-9-10</t>
        </is>
      </c>
      <c r="F9645" t="inlineStr">
        <is>
          <t>DILA-XHI22</t>
        </is>
      </c>
      <c r="G9645" t="inlineStr">
        <is>
          <t>LASTSCHUETZ</t>
        </is>
      </c>
      <c r="H9645" t="inlineStr">
        <is>
          <t>4kW 1S Federzugkl.</t>
        </is>
      </c>
      <c r="I9645">
        <v>794</v>
      </c>
      <c r="J9645">
        <f>GS90/446.6</f>
        <v>0</v>
      </c>
      <c r="M9645" t="inlineStr">
        <is>
          <t>-446Q462.2</t>
        </is>
      </c>
    </row>
    <row r="9646">
      <c r="A9646">
        <v>9645</v>
      </c>
      <c r="B9646">
        <f>GS01</f>
        <v>0</v>
      </c>
      <c r="C9646" t="inlineStr">
        <is>
          <t>+LS9</t>
        </is>
      </c>
      <c r="D9646" t="inlineStr">
        <is>
          <t>-447K15.3</t>
        </is>
      </c>
      <c r="E9646" t="inlineStr">
        <is>
          <t>DIL_EM-10-G</t>
        </is>
      </c>
      <c r="F9646" t="inlineStr">
        <is>
          <t>#KALK!</t>
        </is>
      </c>
      <c r="G9646" t="inlineStr">
        <is>
          <t>LASTSCHUETZ</t>
        </is>
      </c>
      <c r="H9646" t="inlineStr">
        <is>
          <t>4kW 1S</t>
        </is>
      </c>
      <c r="I9646">
        <v>611</v>
      </c>
      <c r="J9646">
        <f>GS01/447.6</f>
        <v>0</v>
      </c>
      <c r="M9646" t="inlineStr">
        <is>
          <t>-447K15.3</t>
        </is>
      </c>
    </row>
    <row r="9647">
      <c r="A9647">
        <v>9646</v>
      </c>
      <c r="B9647">
        <f>GS01</f>
        <v>0</v>
      </c>
      <c r="C9647" t="inlineStr">
        <is>
          <t>+LS9</t>
        </is>
      </c>
      <c r="D9647" t="inlineStr">
        <is>
          <t>-447K15.4</t>
        </is>
      </c>
      <c r="E9647" t="inlineStr">
        <is>
          <t>DIL_EM-10-G</t>
        </is>
      </c>
      <c r="F9647" t="inlineStr">
        <is>
          <t>#KALK!</t>
        </is>
      </c>
      <c r="G9647" t="inlineStr">
        <is>
          <t>LASTSCHUETZ</t>
        </is>
      </c>
      <c r="H9647" t="inlineStr">
        <is>
          <t>4kW 1S</t>
        </is>
      </c>
      <c r="I9647">
        <v>611</v>
      </c>
      <c r="J9647">
        <f>GS01/447.6</f>
        <v>0</v>
      </c>
      <c r="M9647" t="inlineStr">
        <is>
          <t>-447K15.4</t>
        </is>
      </c>
    </row>
    <row r="9648">
      <c r="A9648">
        <v>9647</v>
      </c>
      <c r="B9648">
        <f>GS14</f>
        <v>0</v>
      </c>
      <c r="C9648" t="inlineStr">
        <is>
          <t>+LS8</t>
        </is>
      </c>
      <c r="D9648" t="inlineStr">
        <is>
          <t>-447K3505.6</t>
        </is>
      </c>
      <c r="E9648" t="inlineStr">
        <is>
          <t>DIL_EM-10-G</t>
        </is>
      </c>
      <c r="F9648" t="inlineStr">
        <is>
          <t>#KALK!</t>
        </is>
      </c>
      <c r="G9648" t="inlineStr">
        <is>
          <t>LASTSCHUETZ</t>
        </is>
      </c>
      <c r="H9648" t="inlineStr">
        <is>
          <t>4kW 1S</t>
        </is>
      </c>
      <c r="I9648">
        <v>579</v>
      </c>
      <c r="J9648">
        <f>GS14/447.6</f>
        <v>0</v>
      </c>
      <c r="M9648" t="inlineStr">
        <is>
          <t>-447K3505.6</t>
        </is>
      </c>
    </row>
    <row r="9649">
      <c r="A9649">
        <v>9648</v>
      </c>
      <c r="B9649">
        <f>GS14</f>
        <v>0</v>
      </c>
      <c r="C9649" t="inlineStr">
        <is>
          <t>+LS8</t>
        </is>
      </c>
      <c r="D9649" t="inlineStr">
        <is>
          <t>-447K3505.7</t>
        </is>
      </c>
      <c r="E9649" t="inlineStr">
        <is>
          <t>DIL_EM-10-G</t>
        </is>
      </c>
      <c r="F9649" t="inlineStr">
        <is>
          <t>#KALK!</t>
        </is>
      </c>
      <c r="G9649" t="inlineStr">
        <is>
          <t>LASTSCHUETZ</t>
        </is>
      </c>
      <c r="H9649" t="inlineStr">
        <is>
          <t>4kW 1S</t>
        </is>
      </c>
      <c r="I9649">
        <v>579</v>
      </c>
      <c r="J9649">
        <f>GS14/447.7</f>
        <v>0</v>
      </c>
      <c r="M9649" t="inlineStr">
        <is>
          <t>-447K3505.7</t>
        </is>
      </c>
    </row>
    <row r="9650">
      <c r="A9650">
        <v>9649</v>
      </c>
      <c r="B9650">
        <f>GS24</f>
        <v>0</v>
      </c>
      <c r="C9650" t="inlineStr">
        <is>
          <t>+ES3</t>
        </is>
      </c>
      <c r="D9650" t="inlineStr">
        <is>
          <t>-447K3548.3</t>
        </is>
      </c>
      <c r="E9650" t="inlineStr">
        <is>
          <t>DIL_ER-22-G</t>
        </is>
      </c>
      <c r="F9650" t="inlineStr">
        <is>
          <t>#KALK!</t>
        </is>
      </c>
      <c r="G9650" t="inlineStr">
        <is>
          <t>HILFSSCHUETZ</t>
        </is>
      </c>
      <c r="H9650" t="inlineStr">
        <is>
          <t>2S 2OE</t>
        </is>
      </c>
      <c r="I9650">
        <v>649</v>
      </c>
      <c r="J9650">
        <f>GS24/447.6</f>
        <v>0</v>
      </c>
      <c r="M9650" t="inlineStr">
        <is>
          <t>-447K3548.3</t>
        </is>
      </c>
    </row>
    <row r="9651">
      <c r="A9651">
        <v>9650</v>
      </c>
      <c r="B9651">
        <f>GS51</f>
        <v>0</v>
      </c>
      <c r="C9651" t="inlineStr">
        <is>
          <t>+LS06</t>
        </is>
      </c>
      <c r="D9651" t="inlineStr">
        <is>
          <t>-447Q1</t>
        </is>
      </c>
      <c r="E9651" t="inlineStr">
        <is>
          <t>DILM-9-10</t>
        </is>
      </c>
      <c r="F9651" t="inlineStr">
        <is>
          <t>#KALK!</t>
        </is>
      </c>
      <c r="G9651" t="inlineStr">
        <is>
          <t>LASTSCHUETZ</t>
        </is>
      </c>
      <c r="H9651" t="inlineStr">
        <is>
          <t>4kW 1S Federzugkl.</t>
        </is>
      </c>
      <c r="I9651">
        <v>619</v>
      </c>
      <c r="J9651">
        <f>GS51/447.8</f>
        <v>0</v>
      </c>
      <c r="M9651" t="inlineStr">
        <is>
          <t>-447Q1</t>
        </is>
      </c>
    </row>
    <row r="9652">
      <c r="A9652">
        <v>9651</v>
      </c>
      <c r="B9652">
        <f>GS90</f>
        <v>0</v>
      </c>
      <c r="C9652" t="inlineStr">
        <is>
          <t>+LS09</t>
        </is>
      </c>
      <c r="D9652" t="inlineStr">
        <is>
          <t>-447Q462.3</t>
        </is>
      </c>
      <c r="E9652" t="inlineStr">
        <is>
          <t>DILM-9-10</t>
        </is>
      </c>
      <c r="F9652" t="inlineStr">
        <is>
          <t>#KALK!</t>
        </is>
      </c>
      <c r="G9652" t="inlineStr">
        <is>
          <t>LASTSCHUETZ</t>
        </is>
      </c>
      <c r="H9652" t="inlineStr">
        <is>
          <t>4kW 1S Federzugkl.</t>
        </is>
      </c>
      <c r="I9652">
        <v>793</v>
      </c>
      <c r="J9652">
        <f>GS90/447.5</f>
        <v>0</v>
      </c>
      <c r="M9652" t="inlineStr">
        <is>
          <t>-447Q462.3</t>
        </is>
      </c>
    </row>
    <row r="9653">
      <c r="A9653">
        <v>9652</v>
      </c>
      <c r="B9653">
        <f>GS01</f>
        <v>0</v>
      </c>
      <c r="C9653" t="inlineStr">
        <is>
          <t>+LS9</t>
        </is>
      </c>
      <c r="D9653" t="inlineStr">
        <is>
          <t>-448K15.5</t>
        </is>
      </c>
      <c r="E9653" t="inlineStr">
        <is>
          <t>DIL_EM-10-G</t>
        </is>
      </c>
      <c r="F9653" t="inlineStr">
        <is>
          <t>#KALK!</t>
        </is>
      </c>
      <c r="G9653" t="inlineStr">
        <is>
          <t>LASTSCHUETZ</t>
        </is>
      </c>
      <c r="H9653" t="inlineStr">
        <is>
          <t>4kW 1S</t>
        </is>
      </c>
      <c r="I9653">
        <v>612</v>
      </c>
      <c r="J9653">
        <f>GS01/448.6</f>
        <v>0</v>
      </c>
      <c r="M9653" t="inlineStr">
        <is>
          <t>-448K15.5</t>
        </is>
      </c>
    </row>
    <row r="9654">
      <c r="A9654">
        <v>9653</v>
      </c>
      <c r="B9654">
        <f>GS01</f>
        <v>0</v>
      </c>
      <c r="C9654" t="inlineStr">
        <is>
          <t>+LS9</t>
        </is>
      </c>
      <c r="D9654" t="inlineStr">
        <is>
          <t>-448K15.6</t>
        </is>
      </c>
      <c r="E9654" t="inlineStr">
        <is>
          <t>DIL_EM-10-G</t>
        </is>
      </c>
      <c r="F9654" t="inlineStr">
        <is>
          <t>#KALK!</t>
        </is>
      </c>
      <c r="G9654" t="inlineStr">
        <is>
          <t>LASTSCHUETZ</t>
        </is>
      </c>
      <c r="H9654" t="inlineStr">
        <is>
          <t>4kW 1S</t>
        </is>
      </c>
      <c r="I9654">
        <v>612</v>
      </c>
      <c r="J9654">
        <f>GS01/448.6</f>
        <v>0</v>
      </c>
      <c r="M9654" t="inlineStr">
        <is>
          <t>-448K15.6</t>
        </is>
      </c>
    </row>
    <row r="9655">
      <c r="A9655">
        <v>9654</v>
      </c>
      <c r="B9655">
        <f>GS35</f>
        <v>0</v>
      </c>
      <c r="C9655" t="inlineStr">
        <is>
          <t>+LS10</t>
        </is>
      </c>
      <c r="D9655" t="inlineStr">
        <is>
          <t>-448Q165.7</t>
        </is>
      </c>
      <c r="E9655" t="inlineStr">
        <is>
          <t>DILM-9-10</t>
        </is>
      </c>
      <c r="F9655" t="inlineStr">
        <is>
          <t>#KALK!</t>
        </is>
      </c>
      <c r="G9655" t="inlineStr">
        <is>
          <t>LASTSCHUETZ</t>
        </is>
      </c>
      <c r="H9655" t="inlineStr">
        <is>
          <t>4kW 1S Federzugkl.</t>
        </is>
      </c>
      <c r="I9655">
        <v>602</v>
      </c>
      <c r="J9655">
        <f>GS35/448.5</f>
        <v>0</v>
      </c>
      <c r="M9655" t="inlineStr">
        <is>
          <t>-448Q165.7</t>
        </is>
      </c>
    </row>
    <row r="9656">
      <c r="A9656">
        <v>9655</v>
      </c>
      <c r="B9656">
        <f>GS33</f>
        <v>0</v>
      </c>
      <c r="C9656" t="inlineStr">
        <is>
          <t>+LS10</t>
        </is>
      </c>
      <c r="D9656" t="inlineStr">
        <is>
          <t>-449K3902.0</t>
        </is>
      </c>
      <c r="E9656" t="inlineStr">
        <is>
          <t>DIL_ER-22-G</t>
        </is>
      </c>
      <c r="F9656" t="inlineStr">
        <is>
          <t>#KALK!</t>
        </is>
      </c>
      <c r="G9656" t="inlineStr">
        <is>
          <t>HILFSSCHUETZ</t>
        </is>
      </c>
      <c r="H9656" t="inlineStr">
        <is>
          <t>2S 2OE</t>
        </is>
      </c>
      <c r="I9656">
        <v>903</v>
      </c>
      <c r="J9656">
        <f>GS33/449.5</f>
        <v>0</v>
      </c>
      <c r="M9656" t="inlineStr">
        <is>
          <t>-449K3902.0</t>
        </is>
      </c>
    </row>
    <row r="9657">
      <c r="A9657">
        <v>9656</v>
      </c>
      <c r="B9657">
        <f>GS33</f>
        <v>0</v>
      </c>
      <c r="C9657" t="inlineStr">
        <is>
          <t>+LS10</t>
        </is>
      </c>
      <c r="D9657" t="inlineStr">
        <is>
          <t>-449K3902.1</t>
        </is>
      </c>
      <c r="E9657" t="inlineStr">
        <is>
          <t>DIL_ER-22-G</t>
        </is>
      </c>
      <c r="F9657" t="inlineStr">
        <is>
          <t>#KALK!</t>
        </is>
      </c>
      <c r="G9657" t="inlineStr">
        <is>
          <t>HILFSSCHUETZ</t>
        </is>
      </c>
      <c r="H9657" t="inlineStr">
        <is>
          <t>2S 2OE</t>
        </is>
      </c>
      <c r="I9657">
        <v>903</v>
      </c>
      <c r="J9657">
        <f>GS33/449.6</f>
        <v>0</v>
      </c>
      <c r="M9657" t="inlineStr">
        <is>
          <t>-449K3902.1</t>
        </is>
      </c>
    </row>
    <row r="9658">
      <c r="A9658">
        <v>9657</v>
      </c>
      <c r="B9658">
        <f>GS33</f>
        <v>0</v>
      </c>
      <c r="C9658" t="inlineStr">
        <is>
          <t>+LS10</t>
        </is>
      </c>
      <c r="D9658" t="inlineStr">
        <is>
          <t>-449K3902.2</t>
        </is>
      </c>
      <c r="E9658" t="inlineStr">
        <is>
          <t>DIL_ER-22-G</t>
        </is>
      </c>
      <c r="F9658" t="inlineStr">
        <is>
          <t>#KALK!</t>
        </is>
      </c>
      <c r="G9658" t="inlineStr">
        <is>
          <t>HILFSSCHUETZ</t>
        </is>
      </c>
      <c r="H9658" t="inlineStr">
        <is>
          <t>2S 2OE</t>
        </is>
      </c>
      <c r="I9658">
        <v>903</v>
      </c>
      <c r="J9658">
        <f>GS33/449.7</f>
        <v>0</v>
      </c>
      <c r="M9658" t="inlineStr">
        <is>
          <t>-449K3902.2</t>
        </is>
      </c>
    </row>
    <row r="9659">
      <c r="A9659">
        <v>9658</v>
      </c>
      <c r="B9659">
        <f>GS33</f>
        <v>0</v>
      </c>
      <c r="C9659" t="inlineStr">
        <is>
          <t>+LS10</t>
        </is>
      </c>
      <c r="D9659" t="inlineStr">
        <is>
          <t>-449K3902.4</t>
        </is>
      </c>
      <c r="E9659" t="inlineStr">
        <is>
          <t>DIL_EM-10-G</t>
        </is>
      </c>
      <c r="F9659" t="inlineStr">
        <is>
          <t>#KALK!</t>
        </is>
      </c>
      <c r="G9659" t="inlineStr">
        <is>
          <t>LASTSCHUETZ</t>
        </is>
      </c>
      <c r="H9659" t="inlineStr">
        <is>
          <t>4kW 1S</t>
        </is>
      </c>
      <c r="I9659">
        <v>903</v>
      </c>
      <c r="J9659">
        <f>GS33/449.7</f>
        <v>0</v>
      </c>
      <c r="M9659" t="inlineStr">
        <is>
          <t>-449K3902.4</t>
        </is>
      </c>
    </row>
    <row r="9660">
      <c r="A9660">
        <v>9659</v>
      </c>
      <c r="B9660">
        <f>GS35</f>
        <v>0</v>
      </c>
      <c r="C9660" t="inlineStr">
        <is>
          <t>+LS10</t>
        </is>
      </c>
      <c r="D9660" t="inlineStr">
        <is>
          <t>-449Q166.0</t>
        </is>
      </c>
      <c r="E9660" t="inlineStr">
        <is>
          <t>DILM-12-10</t>
        </is>
      </c>
      <c r="F9660" t="inlineStr">
        <is>
          <t>#KALK!</t>
        </is>
      </c>
      <c r="G9660" t="inlineStr">
        <is>
          <t>LASTSCHUETZ</t>
        </is>
      </c>
      <c r="H9660" t="inlineStr">
        <is>
          <t>5,5kW 1S Federzugkl.</t>
        </is>
      </c>
      <c r="I9660">
        <v>603</v>
      </c>
      <c r="J9660">
        <f>GS35/449.5</f>
        <v>0</v>
      </c>
      <c r="K9660" t="inlineStr">
        <is>
          <t>DIL MC12</t>
        </is>
      </c>
      <c r="M9660" t="inlineStr">
        <is>
          <t>-449Q166.0</t>
        </is>
      </c>
    </row>
    <row r="9661">
      <c r="A9661">
        <v>9660</v>
      </c>
      <c r="B9661">
        <f>GS67</f>
        <v>0</v>
      </c>
      <c r="C9661" t="inlineStr">
        <is>
          <t>+KK2HW[ll]</t>
        </is>
      </c>
      <c r="D9661" t="inlineStr">
        <is>
          <t>-44Q2</t>
        </is>
      </c>
      <c r="E9661" t="inlineStr">
        <is>
          <t>DILM-9-10</t>
        </is>
      </c>
      <c r="F9661" t="inlineStr">
        <is>
          <t>#KALK!</t>
        </is>
      </c>
      <c r="G9661" t="inlineStr">
        <is>
          <t>LASTSCHUETZ</t>
        </is>
      </c>
      <c r="H9661" t="inlineStr">
        <is>
          <t>4kW 1S Federzugkl.</t>
        </is>
      </c>
      <c r="I9661">
        <v>182</v>
      </c>
      <c r="J9661">
        <f>GS67/44.6</f>
        <v>0</v>
      </c>
      <c r="M9661" t="inlineStr">
        <is>
          <t>-44Q2</t>
        </is>
      </c>
    </row>
    <row r="9662">
      <c r="A9662">
        <v>9661</v>
      </c>
      <c r="B9662">
        <f>GS66</f>
        <v>0</v>
      </c>
      <c r="C9662" t="inlineStr">
        <is>
          <t>+KKFW[ll]A</t>
        </is>
      </c>
      <c r="D9662" t="inlineStr">
        <is>
          <t>-44Q3</t>
        </is>
      </c>
      <c r="E9662" t="inlineStr">
        <is>
          <t>DILM-9-10</t>
        </is>
      </c>
      <c r="F9662" t="inlineStr">
        <is>
          <t>#KALK!</t>
        </is>
      </c>
      <c r="G9662" t="inlineStr">
        <is>
          <t>LASTSCHUETZ</t>
        </is>
      </c>
      <c r="H9662" t="inlineStr">
        <is>
          <t>4kW 1S Federzugkl.</t>
        </is>
      </c>
      <c r="I9662">
        <v>183</v>
      </c>
      <c r="J9662">
        <f>GS66/44.6</f>
        <v>0</v>
      </c>
      <c r="M9662" t="inlineStr">
        <is>
          <t>-44Q3</t>
        </is>
      </c>
    </row>
    <row r="9663">
      <c r="A9663">
        <v>9662</v>
      </c>
      <c r="B9663">
        <f>GS8x</f>
        <v>0</v>
      </c>
      <c r="C9663" t="inlineStr">
        <is>
          <t>+KKFWA</t>
        </is>
      </c>
      <c r="D9663" t="inlineStr">
        <is>
          <t>-44Q3</t>
        </is>
      </c>
      <c r="E9663" t="inlineStr">
        <is>
          <t>DILM-9-10</t>
        </is>
      </c>
      <c r="F9663" t="inlineStr">
        <is>
          <t>#KALK!</t>
        </is>
      </c>
      <c r="G9663" t="inlineStr">
        <is>
          <t>LASTSCHUETZ</t>
        </is>
      </c>
      <c r="H9663" t="inlineStr">
        <is>
          <t>4kW 1S Federzugkl.</t>
        </is>
      </c>
      <c r="I9663">
        <v>205</v>
      </c>
      <c r="J9663">
        <f>GS8x/44.7</f>
        <v>0</v>
      </c>
      <c r="M9663" t="inlineStr">
        <is>
          <t>-44Q3</t>
        </is>
      </c>
    </row>
    <row r="9664">
      <c r="A9664">
        <v>9663</v>
      </c>
      <c r="B9664">
        <f>GS20</f>
        <v>0</v>
      </c>
      <c r="C9664" t="inlineStr">
        <is>
          <t>+LS11</t>
        </is>
      </c>
      <c r="D9664" t="inlineStr">
        <is>
          <t>-450K435.4</t>
        </is>
      </c>
      <c r="E9664" t="inlineStr">
        <is>
          <t>DILA-40</t>
        </is>
      </c>
      <c r="F9664" t="inlineStr">
        <is>
          <t>#KALK!</t>
        </is>
      </c>
      <c r="G9664" t="inlineStr">
        <is>
          <t>HILFSSCHUETZ</t>
        </is>
      </c>
      <c r="H9664" t="inlineStr">
        <is>
          <t>4S Federzugkl.</t>
        </is>
      </c>
      <c r="I9664">
        <v>1988</v>
      </c>
      <c r="J9664">
        <f>GS20/450.7</f>
        <v>0</v>
      </c>
      <c r="M9664" t="inlineStr">
        <is>
          <t>-450K435.4</t>
        </is>
      </c>
    </row>
    <row r="9665">
      <c r="A9665">
        <v>9664</v>
      </c>
      <c r="B9665">
        <f>GS93</f>
        <v>0</v>
      </c>
      <c r="C9665" t="inlineStr">
        <is>
          <t>+LS08</t>
        </is>
      </c>
      <c r="D9665" t="inlineStr">
        <is>
          <t>-450K476.0</t>
        </is>
      </c>
      <c r="E9665" t="inlineStr">
        <is>
          <t>DILA-40</t>
        </is>
      </c>
      <c r="F9665" t="inlineStr">
        <is>
          <t>#KALK!</t>
        </is>
      </c>
      <c r="G9665" t="inlineStr">
        <is>
          <t>HILFSSCHUETZ</t>
        </is>
      </c>
      <c r="H9665" t="inlineStr">
        <is>
          <t>4S Federzugkl.</t>
        </is>
      </c>
      <c r="I9665">
        <v>1004</v>
      </c>
      <c r="J9665">
        <f>GS93/450.7</f>
        <v>0</v>
      </c>
      <c r="M9665" t="inlineStr">
        <is>
          <t>-450K476.0</t>
        </is>
      </c>
    </row>
    <row r="9666">
      <c r="A9666">
        <v>9665</v>
      </c>
      <c r="B9666">
        <f>GS37</f>
        <v>0</v>
      </c>
      <c r="C9666" t="inlineStr">
        <is>
          <t>+LS09</t>
        </is>
      </c>
      <c r="D9666" t="inlineStr">
        <is>
          <t>-450K719.0</t>
        </is>
      </c>
      <c r="E9666" t="inlineStr">
        <is>
          <t>DILA-40</t>
        </is>
      </c>
      <c r="F9666" t="inlineStr">
        <is>
          <t>#KALK!</t>
        </is>
      </c>
      <c r="G9666" t="inlineStr">
        <is>
          <t>HILFSSCHUETZ</t>
        </is>
      </c>
      <c r="H9666" t="inlineStr">
        <is>
          <t>4S Federzugkl.</t>
        </is>
      </c>
      <c r="I9666">
        <v>503</v>
      </c>
      <c r="J9666">
        <f>GS37/450.7</f>
        <v>0</v>
      </c>
      <c r="M9666" t="inlineStr">
        <is>
          <t>-450K719.0</t>
        </is>
      </c>
    </row>
    <row r="9667">
      <c r="A9667">
        <v>9666</v>
      </c>
      <c r="B9667">
        <f>GS20</f>
        <v>0</v>
      </c>
      <c r="C9667" t="inlineStr">
        <is>
          <t>+LS11</t>
        </is>
      </c>
      <c r="D9667" t="inlineStr">
        <is>
          <t>-450Q1</t>
        </is>
      </c>
      <c r="E9667" t="inlineStr">
        <is>
          <t>DILA-XHI22</t>
        </is>
      </c>
      <c r="F9667" t="inlineStr">
        <is>
          <t>DILA-XHI22</t>
        </is>
      </c>
      <c r="G9667" t="inlineStr">
        <is>
          <t>HILFSKONTAKTBLOCK</t>
        </is>
      </c>
      <c r="H9667" t="inlineStr">
        <is>
          <t>2S 2OE Last+Hilfssch. Cage</t>
        </is>
      </c>
      <c r="I9667">
        <v>1988</v>
      </c>
      <c r="J9667">
        <f>GS20/450.4</f>
        <v>0</v>
      </c>
      <c r="K9667" t="inlineStr">
        <is>
          <t>DIL MC25</t>
        </is>
      </c>
      <c r="M9667" t="inlineStr">
        <is>
          <t>-450Q1</t>
        </is>
      </c>
    </row>
    <row r="9668">
      <c r="A9668">
        <v>9667</v>
      </c>
      <c r="B9668">
        <f>GS20</f>
        <v>0</v>
      </c>
      <c r="C9668" t="inlineStr">
        <is>
          <t>+LS11</t>
        </is>
      </c>
      <c r="D9668" t="inlineStr">
        <is>
          <t>-450Q1</t>
        </is>
      </c>
      <c r="E9668" t="inlineStr">
        <is>
          <t>DILMC25-10(RDC24)</t>
        </is>
      </c>
      <c r="F9668" t="inlineStr">
        <is>
          <t>DILA-XHI22</t>
        </is>
      </c>
      <c r="G9668" t="inlineStr">
        <is>
          <t>LASTSCHUETZ</t>
        </is>
      </c>
      <c r="H9668" t="inlineStr">
        <is>
          <t>11kW 1S Federzugkl.</t>
        </is>
      </c>
      <c r="I9668">
        <v>1988</v>
      </c>
      <c r="J9668">
        <f>GS20/450.4</f>
        <v>0</v>
      </c>
      <c r="K9668" t="inlineStr">
        <is>
          <t>DIL MC25</t>
        </is>
      </c>
      <c r="M9668" t="inlineStr">
        <is>
          <t>-450Q1</t>
        </is>
      </c>
    </row>
    <row r="9669">
      <c r="A9669">
        <v>9668</v>
      </c>
      <c r="B9669">
        <f>GS37</f>
        <v>0</v>
      </c>
      <c r="C9669" t="inlineStr">
        <is>
          <t>+LS09</t>
        </is>
      </c>
      <c r="D9669" t="inlineStr">
        <is>
          <t>-450Q1</t>
        </is>
      </c>
      <c r="E9669" t="inlineStr">
        <is>
          <t>DILMC25-10(RDC24)</t>
        </is>
      </c>
      <c r="F9669" t="inlineStr">
        <is>
          <t>DILA-XHI22</t>
        </is>
      </c>
      <c r="G9669" t="inlineStr">
        <is>
          <t>LASTSCHUETZ</t>
        </is>
      </c>
      <c r="H9669" t="inlineStr">
        <is>
          <t>11kW 1S Federzugkl.</t>
        </is>
      </c>
      <c r="I9669">
        <v>503</v>
      </c>
      <c r="J9669">
        <f>GS37/450.4</f>
        <v>0</v>
      </c>
      <c r="K9669" t="inlineStr">
        <is>
          <t>DIL MC25</t>
        </is>
      </c>
      <c r="M9669" t="inlineStr">
        <is>
          <t>-450Q1</t>
        </is>
      </c>
    </row>
    <row r="9670">
      <c r="A9670">
        <v>9669</v>
      </c>
      <c r="B9670">
        <f>GS37</f>
        <v>0</v>
      </c>
      <c r="C9670" t="inlineStr">
        <is>
          <t>+LS09</t>
        </is>
      </c>
      <c r="D9670" t="inlineStr">
        <is>
          <t>-450Q1</t>
        </is>
      </c>
      <c r="E9670" t="inlineStr">
        <is>
          <t>DILA-XHI22</t>
        </is>
      </c>
      <c r="F9670" t="inlineStr">
        <is>
          <t>DILA-XHI22</t>
        </is>
      </c>
      <c r="G9670" t="inlineStr">
        <is>
          <t>HILFSKONTAKTBLOCK</t>
        </is>
      </c>
      <c r="H9670" t="inlineStr">
        <is>
          <t>2S 2OE Last+Hilfssch. Cage</t>
        </is>
      </c>
      <c r="I9670">
        <v>503</v>
      </c>
      <c r="J9670">
        <f>GS37/450.4</f>
        <v>0</v>
      </c>
      <c r="K9670" t="inlineStr">
        <is>
          <t>DIL MC25</t>
        </is>
      </c>
      <c r="M9670" t="inlineStr">
        <is>
          <t>-450Q1</t>
        </is>
      </c>
    </row>
    <row r="9671">
      <c r="A9671">
        <v>9670</v>
      </c>
      <c r="B9671">
        <f>GS93</f>
        <v>0</v>
      </c>
      <c r="C9671" t="inlineStr">
        <is>
          <t>+LS08</t>
        </is>
      </c>
      <c r="D9671" t="inlineStr">
        <is>
          <t>-450Q1</t>
        </is>
      </c>
      <c r="E9671" t="inlineStr">
        <is>
          <t>DILMC25-10(RDC24)</t>
        </is>
      </c>
      <c r="F9671" t="inlineStr">
        <is>
          <t>DILA-XHI22</t>
        </is>
      </c>
      <c r="G9671" t="inlineStr">
        <is>
          <t>LASTSCHUETZ</t>
        </is>
      </c>
      <c r="H9671" t="inlineStr">
        <is>
          <t>11kW 1S Federzugkl.</t>
        </is>
      </c>
      <c r="I9671">
        <v>1004</v>
      </c>
      <c r="J9671">
        <f>GS93/450.4</f>
        <v>0</v>
      </c>
      <c r="K9671" t="inlineStr">
        <is>
          <t>DIL MC25</t>
        </is>
      </c>
      <c r="M9671" t="inlineStr">
        <is>
          <t>-450Q1</t>
        </is>
      </c>
    </row>
    <row r="9672">
      <c r="A9672">
        <v>9671</v>
      </c>
      <c r="B9672">
        <f>GS93</f>
        <v>0</v>
      </c>
      <c r="C9672" t="inlineStr">
        <is>
          <t>+LS08</t>
        </is>
      </c>
      <c r="D9672" t="inlineStr">
        <is>
          <t>-450Q1</t>
        </is>
      </c>
      <c r="E9672" t="inlineStr">
        <is>
          <t>DILA-XHI22</t>
        </is>
      </c>
      <c r="F9672" t="inlineStr">
        <is>
          <t>DILA-XHI22</t>
        </is>
      </c>
      <c r="G9672" t="inlineStr">
        <is>
          <t>HILFSKONTAKTBLOCK</t>
        </is>
      </c>
      <c r="H9672" t="inlineStr">
        <is>
          <t>2S 2OE Last+Hilfssch. Cage</t>
        </is>
      </c>
      <c r="I9672">
        <v>1004</v>
      </c>
      <c r="J9672">
        <f>GS93/450.4</f>
        <v>0</v>
      </c>
      <c r="K9672" t="inlineStr">
        <is>
          <t>DIL MC25</t>
        </is>
      </c>
      <c r="M9672" t="inlineStr">
        <is>
          <t>-450Q1</t>
        </is>
      </c>
    </row>
    <row r="9673">
      <c r="A9673">
        <v>9672</v>
      </c>
      <c r="B9673">
        <f>GS91</f>
        <v>0</v>
      </c>
      <c r="C9673" t="inlineStr">
        <is>
          <t>+LS08</t>
        </is>
      </c>
      <c r="D9673" t="inlineStr">
        <is>
          <t>-450Q457.4</t>
        </is>
      </c>
      <c r="E9673" t="inlineStr">
        <is>
          <t>DILM-9-10</t>
        </is>
      </c>
      <c r="F9673" t="inlineStr">
        <is>
          <t>#KALK!</t>
        </is>
      </c>
      <c r="G9673" t="inlineStr">
        <is>
          <t>LASTSCHUETZ</t>
        </is>
      </c>
      <c r="H9673" t="inlineStr">
        <is>
          <t>4kW 1S Federzugkl.</t>
        </is>
      </c>
      <c r="I9673">
        <v>598</v>
      </c>
      <c r="J9673">
        <f>GS91/450.5</f>
        <v>0</v>
      </c>
      <c r="M9673" t="inlineStr">
        <is>
          <t>-450Q457.4</t>
        </is>
      </c>
    </row>
    <row r="9674">
      <c r="A9674">
        <v>9673</v>
      </c>
      <c r="B9674">
        <f>GS16</f>
        <v>0</v>
      </c>
      <c r="C9674" t="inlineStr">
        <is>
          <t>+LS8</t>
        </is>
      </c>
      <c r="D9674" t="inlineStr">
        <is>
          <t>-451K1</t>
        </is>
      </c>
      <c r="E9674" t="inlineStr">
        <is>
          <t>22_DIL-M</t>
        </is>
      </c>
      <c r="F9674" t="inlineStr">
        <is>
          <t>22_DIL-M</t>
        </is>
      </c>
      <c r="G9674" t="inlineStr">
        <is>
          <t>HILFSKONTAKTBLOCK</t>
        </is>
      </c>
      <c r="H9674" t="inlineStr">
        <is>
          <t>2S 2OE Lastschuetz DIL M</t>
        </is>
      </c>
      <c r="I9674">
        <v>689</v>
      </c>
      <c r="J9674">
        <f>GS16/451.2</f>
        <v>0</v>
      </c>
      <c r="K9674" t="inlineStr">
        <is>
          <t>DIL0AM</t>
        </is>
      </c>
      <c r="M9674" t="inlineStr">
        <is>
          <t>-451K1</t>
        </is>
      </c>
    </row>
    <row r="9675">
      <c r="A9675">
        <v>9674</v>
      </c>
      <c r="B9675">
        <f>GS16</f>
        <v>0</v>
      </c>
      <c r="C9675" t="inlineStr">
        <is>
          <t>+LS8</t>
        </is>
      </c>
      <c r="D9675" t="inlineStr">
        <is>
          <t>-451K1</t>
        </is>
      </c>
      <c r="E9675" t="inlineStr">
        <is>
          <t>DIL_0AM</t>
        </is>
      </c>
      <c r="F9675" t="inlineStr">
        <is>
          <t>22_DIL-M</t>
        </is>
      </c>
      <c r="G9675" t="inlineStr">
        <is>
          <t>LASTSCHUETZ</t>
        </is>
      </c>
      <c r="H9675" t="inlineStr">
        <is>
          <t>11 kW</t>
        </is>
      </c>
      <c r="I9675">
        <v>689</v>
      </c>
      <c r="J9675">
        <f>GS16/451.2</f>
        <v>0</v>
      </c>
      <c r="K9675" t="inlineStr">
        <is>
          <t>DIL0AM</t>
        </is>
      </c>
      <c r="M9675" t="inlineStr">
        <is>
          <t>-451K1</t>
        </is>
      </c>
    </row>
    <row r="9676">
      <c r="A9676">
        <v>9675</v>
      </c>
      <c r="B9676">
        <f>GS06</f>
        <v>0</v>
      </c>
      <c r="C9676" t="inlineStr">
        <is>
          <t>+LS07</t>
        </is>
      </c>
      <c r="D9676" t="inlineStr">
        <is>
          <t>-451K144.2</t>
        </is>
      </c>
      <c r="E9676" t="inlineStr">
        <is>
          <t>DILA-31</t>
        </is>
      </c>
      <c r="F9676" t="inlineStr">
        <is>
          <t>#KALK!</t>
        </is>
      </c>
      <c r="G9676" t="inlineStr">
        <is>
          <t>HILFSSCHUETZ</t>
        </is>
      </c>
      <c r="H9676" t="inlineStr">
        <is>
          <t>3S 1Oe Federzugkl.</t>
        </is>
      </c>
      <c r="I9676">
        <v>1284</v>
      </c>
      <c r="J9676">
        <f>GS06/451.2</f>
        <v>0</v>
      </c>
      <c r="M9676" t="inlineStr">
        <is>
          <t>-451K144.2</t>
        </is>
      </c>
    </row>
    <row r="9677">
      <c r="A9677">
        <v>9676</v>
      </c>
      <c r="B9677">
        <f>GS06</f>
        <v>0</v>
      </c>
      <c r="C9677" t="inlineStr">
        <is>
          <t>+LS07</t>
        </is>
      </c>
      <c r="D9677" t="inlineStr">
        <is>
          <t>-451K144.3</t>
        </is>
      </c>
      <c r="E9677" t="inlineStr">
        <is>
          <t>DILM-9-10</t>
        </is>
      </c>
      <c r="F9677" t="inlineStr">
        <is>
          <t>#KALK!</t>
        </is>
      </c>
      <c r="G9677" t="inlineStr">
        <is>
          <t>LASTSCHUETZ</t>
        </is>
      </c>
      <c r="H9677" t="inlineStr">
        <is>
          <t>4kW 1S Federzugkl.</t>
        </is>
      </c>
      <c r="I9677">
        <v>1284</v>
      </c>
      <c r="J9677">
        <f>GS06/451.3</f>
        <v>0</v>
      </c>
      <c r="M9677" t="inlineStr">
        <is>
          <t>-451K144.3</t>
        </is>
      </c>
    </row>
    <row r="9678">
      <c r="A9678">
        <v>9677</v>
      </c>
      <c r="B9678">
        <f>GS91</f>
        <v>0</v>
      </c>
      <c r="C9678" t="inlineStr">
        <is>
          <t>+LS08</t>
        </is>
      </c>
      <c r="D9678" t="inlineStr">
        <is>
          <t>-451Q457.5</t>
        </is>
      </c>
      <c r="E9678" t="inlineStr">
        <is>
          <t>DILM-9-10</t>
        </is>
      </c>
      <c r="F9678" t="inlineStr">
        <is>
          <t>#KALK!</t>
        </is>
      </c>
      <c r="G9678" t="inlineStr">
        <is>
          <t>LASTSCHUETZ</t>
        </is>
      </c>
      <c r="H9678" t="inlineStr">
        <is>
          <t>4kW 1S Federzugkl.</t>
        </is>
      </c>
      <c r="I9678">
        <v>599</v>
      </c>
      <c r="J9678">
        <f>GS91/451.5</f>
        <v>0</v>
      </c>
      <c r="M9678" t="inlineStr">
        <is>
          <t>-451Q457.5</t>
        </is>
      </c>
    </row>
    <row r="9679">
      <c r="A9679">
        <v>9678</v>
      </c>
      <c r="B9679">
        <f>GS93</f>
        <v>0</v>
      </c>
      <c r="C9679" t="inlineStr">
        <is>
          <t>+LS08</t>
        </is>
      </c>
      <c r="D9679" t="inlineStr">
        <is>
          <t>-451Q476.1</t>
        </is>
      </c>
      <c r="E9679" t="inlineStr">
        <is>
          <t>DILM-9-10</t>
        </is>
      </c>
      <c r="F9679" t="inlineStr">
        <is>
          <t>#KALK!</t>
        </is>
      </c>
      <c r="G9679" t="inlineStr">
        <is>
          <t>LASTSCHUETZ</t>
        </is>
      </c>
      <c r="H9679" t="inlineStr">
        <is>
          <t>4kW 1S Federzugkl.</t>
        </is>
      </c>
      <c r="I9679">
        <v>1005</v>
      </c>
      <c r="J9679">
        <f>GS93/451.5</f>
        <v>0</v>
      </c>
      <c r="M9679" t="inlineStr">
        <is>
          <t>-451Q476.1</t>
        </is>
      </c>
    </row>
    <row r="9680">
      <c r="A9680">
        <v>9679</v>
      </c>
      <c r="B9680">
        <f>GS37</f>
        <v>0</v>
      </c>
      <c r="C9680" t="inlineStr">
        <is>
          <t>+LS09</t>
        </is>
      </c>
      <c r="D9680" t="inlineStr">
        <is>
          <t>-451Q719.2</t>
        </is>
      </c>
      <c r="E9680" t="inlineStr">
        <is>
          <t>DILM-9-10</t>
        </is>
      </c>
      <c r="F9680" t="inlineStr">
        <is>
          <t>#KALK!</t>
        </is>
      </c>
      <c r="G9680" t="inlineStr">
        <is>
          <t>LASTSCHUETZ</t>
        </is>
      </c>
      <c r="H9680" t="inlineStr">
        <is>
          <t>4kW 1S Federzugkl.</t>
        </is>
      </c>
      <c r="I9680">
        <v>502</v>
      </c>
      <c r="J9680">
        <f>GS37/451.6</f>
        <v>0</v>
      </c>
      <c r="M9680" t="inlineStr">
        <is>
          <t>-451Q719.2</t>
        </is>
      </c>
    </row>
    <row r="9681">
      <c r="A9681">
        <v>9680</v>
      </c>
      <c r="B9681">
        <f>GS16</f>
        <v>0</v>
      </c>
      <c r="C9681" t="inlineStr">
        <is>
          <t>+LS8</t>
        </is>
      </c>
      <c r="D9681" t="inlineStr">
        <is>
          <t>-452K64.3</t>
        </is>
      </c>
      <c r="E9681" t="inlineStr">
        <is>
          <t>DIL_EM-10-G</t>
        </is>
      </c>
      <c r="F9681" t="inlineStr">
        <is>
          <t>#KALK!</t>
        </is>
      </c>
      <c r="G9681" t="inlineStr">
        <is>
          <t>LASTSCHUETZ</t>
        </is>
      </c>
      <c r="H9681" t="inlineStr">
        <is>
          <t>4kW 1S</t>
        </is>
      </c>
      <c r="I9681">
        <v>690</v>
      </c>
      <c r="J9681">
        <f>GS16/452.7</f>
        <v>0</v>
      </c>
      <c r="M9681" t="inlineStr">
        <is>
          <t>-452K64.3</t>
        </is>
      </c>
    </row>
    <row r="9682">
      <c r="A9682">
        <v>9681</v>
      </c>
      <c r="B9682">
        <f>GC03</f>
        <v>0</v>
      </c>
      <c r="C9682" t="inlineStr">
        <is>
          <t>+LS10</t>
        </is>
      </c>
      <c r="D9682" t="inlineStr">
        <is>
          <t>-453K1</t>
        </is>
      </c>
      <c r="E9682" t="inlineStr">
        <is>
          <t>22_DIL-M</t>
        </is>
      </c>
      <c r="F9682" t="inlineStr">
        <is>
          <t>22_DIL-M</t>
        </is>
      </c>
      <c r="G9682" t="inlineStr">
        <is>
          <t>HILFSKONTAKTBLOCK</t>
        </is>
      </c>
      <c r="H9682" t="inlineStr">
        <is>
          <t>2S 2OE Lastschuetz DIL M</t>
        </is>
      </c>
      <c r="I9682">
        <v>2274</v>
      </c>
      <c r="J9682">
        <f>GC03/453.2</f>
        <v>0</v>
      </c>
      <c r="K9682" t="inlineStr">
        <is>
          <t>DIL0AM</t>
        </is>
      </c>
      <c r="M9682" t="inlineStr">
        <is>
          <t>-453K1</t>
        </is>
      </c>
    </row>
    <row r="9683">
      <c r="A9683">
        <v>9682</v>
      </c>
      <c r="B9683">
        <f>GC03</f>
        <v>0</v>
      </c>
      <c r="C9683" t="inlineStr">
        <is>
          <t>+LS10</t>
        </is>
      </c>
      <c r="D9683" t="inlineStr">
        <is>
          <t>-453K1</t>
        </is>
      </c>
      <c r="E9683" t="inlineStr">
        <is>
          <t>DIL_0AM</t>
        </is>
      </c>
      <c r="F9683" t="inlineStr">
        <is>
          <t>22_DIL-M</t>
        </is>
      </c>
      <c r="G9683" t="inlineStr">
        <is>
          <t>LASTSCHUETZ</t>
        </is>
      </c>
      <c r="H9683" t="inlineStr">
        <is>
          <t>11 kW</t>
        </is>
      </c>
      <c r="I9683">
        <v>2274</v>
      </c>
      <c r="J9683">
        <f>GC03/453.2</f>
        <v>0</v>
      </c>
      <c r="K9683" t="inlineStr">
        <is>
          <t>DIL0AM</t>
        </is>
      </c>
      <c r="M9683" t="inlineStr">
        <is>
          <t>-453K1</t>
        </is>
      </c>
    </row>
    <row r="9684">
      <c r="A9684">
        <v>9683</v>
      </c>
      <c r="B9684">
        <f>GS33</f>
        <v>0</v>
      </c>
      <c r="C9684" t="inlineStr">
        <is>
          <t>+LS10</t>
        </is>
      </c>
      <c r="D9684" t="inlineStr">
        <is>
          <t>-453K3903.7</t>
        </is>
      </c>
      <c r="E9684" t="inlineStr">
        <is>
          <t>DIL_EM-10-G</t>
        </is>
      </c>
      <c r="F9684" t="inlineStr">
        <is>
          <t>#KALK!</t>
        </is>
      </c>
      <c r="G9684" t="inlineStr">
        <is>
          <t>LASTSCHUETZ</t>
        </is>
      </c>
      <c r="H9684" t="inlineStr">
        <is>
          <t>4kW 1S</t>
        </is>
      </c>
      <c r="I9684">
        <v>907</v>
      </c>
      <c r="J9684">
        <f>GS33/453.7</f>
        <v>0</v>
      </c>
      <c r="M9684" t="inlineStr">
        <is>
          <t>-453K3903.7</t>
        </is>
      </c>
    </row>
    <row r="9685">
      <c r="A9685">
        <v>9684</v>
      </c>
      <c r="B9685">
        <f>GS33</f>
        <v>0</v>
      </c>
      <c r="C9685" t="inlineStr">
        <is>
          <t>+LS10</t>
        </is>
      </c>
      <c r="D9685" t="inlineStr">
        <is>
          <t>-453K3905.7</t>
        </is>
      </c>
      <c r="E9685" t="inlineStr">
        <is>
          <t>DIL_EM-10-G</t>
        </is>
      </c>
      <c r="F9685" t="inlineStr">
        <is>
          <t>#KALK!</t>
        </is>
      </c>
      <c r="G9685" t="inlineStr">
        <is>
          <t>LASTSCHUETZ</t>
        </is>
      </c>
      <c r="H9685" t="inlineStr">
        <is>
          <t>4kW 1S</t>
        </is>
      </c>
      <c r="I9685">
        <v>907</v>
      </c>
      <c r="J9685">
        <f>GS33/453.8</f>
        <v>0</v>
      </c>
      <c r="M9685" t="inlineStr">
        <is>
          <t>-453K3905.7</t>
        </is>
      </c>
    </row>
    <row r="9686">
      <c r="A9686">
        <v>9685</v>
      </c>
      <c r="B9686">
        <f>GS16</f>
        <v>0</v>
      </c>
      <c r="C9686" t="inlineStr">
        <is>
          <t>+LS8</t>
        </is>
      </c>
      <c r="D9686" t="inlineStr">
        <is>
          <t>-453K64.6</t>
        </is>
      </c>
      <c r="E9686" t="inlineStr">
        <is>
          <t>DIL_EM-10-G</t>
        </is>
      </c>
      <c r="F9686" t="inlineStr">
        <is>
          <t>#KALK!</t>
        </is>
      </c>
      <c r="G9686" t="inlineStr">
        <is>
          <t>LASTSCHUETZ</t>
        </is>
      </c>
      <c r="H9686" t="inlineStr">
        <is>
          <t>4kW 1S</t>
        </is>
      </c>
      <c r="I9686">
        <v>691</v>
      </c>
      <c r="J9686">
        <f>GS16/453.6</f>
        <v>0</v>
      </c>
      <c r="M9686" t="inlineStr">
        <is>
          <t>-453K64.6</t>
        </is>
      </c>
    </row>
    <row r="9687">
      <c r="A9687">
        <v>9686</v>
      </c>
      <c r="B9687">
        <f>GS14</f>
        <v>0</v>
      </c>
      <c r="C9687" t="inlineStr">
        <is>
          <t>+LS8</t>
        </is>
      </c>
      <c r="D9687" t="inlineStr">
        <is>
          <t>-454K1</t>
        </is>
      </c>
      <c r="E9687" t="inlineStr">
        <is>
          <t>DIL_0AM</t>
        </is>
      </c>
      <c r="F9687" t="inlineStr">
        <is>
          <t>22_DIL-M</t>
        </is>
      </c>
      <c r="G9687" t="inlineStr">
        <is>
          <t>LASTSCHUETZ</t>
        </is>
      </c>
      <c r="H9687" t="inlineStr">
        <is>
          <t>11 kW</t>
        </is>
      </c>
      <c r="I9687">
        <v>586</v>
      </c>
      <c r="J9687">
        <f>GS14/454.2</f>
        <v>0</v>
      </c>
      <c r="K9687" t="inlineStr">
        <is>
          <t>DIL0AM</t>
        </is>
      </c>
      <c r="M9687" t="inlineStr">
        <is>
          <t>-454K1</t>
        </is>
      </c>
    </row>
    <row r="9688">
      <c r="A9688">
        <v>9687</v>
      </c>
      <c r="B9688">
        <f>GS14</f>
        <v>0</v>
      </c>
      <c r="C9688" t="inlineStr">
        <is>
          <t>+LS8</t>
        </is>
      </c>
      <c r="D9688" t="inlineStr">
        <is>
          <t>-454K1</t>
        </is>
      </c>
      <c r="E9688" t="inlineStr">
        <is>
          <t>22_DIL-M</t>
        </is>
      </c>
      <c r="F9688" t="inlineStr">
        <is>
          <t>22_DIL-M</t>
        </is>
      </c>
      <c r="G9688" t="inlineStr">
        <is>
          <t>HILFSKONTAKTBLOCK</t>
        </is>
      </c>
      <c r="H9688" t="inlineStr">
        <is>
          <t>2S 2OE Lastschuetz DIL M</t>
        </is>
      </c>
      <c r="I9688">
        <v>586</v>
      </c>
      <c r="J9688">
        <f>GS14/454.2</f>
        <v>0</v>
      </c>
      <c r="K9688" t="inlineStr">
        <is>
          <t>DIL0AM</t>
        </is>
      </c>
      <c r="M9688" t="inlineStr">
        <is>
          <t>-454K1</t>
        </is>
      </c>
    </row>
    <row r="9689">
      <c r="A9689">
        <v>9688</v>
      </c>
      <c r="B9689">
        <f>GS24</f>
        <v>0</v>
      </c>
      <c r="C9689" t="inlineStr">
        <is>
          <t>+ES3</t>
        </is>
      </c>
      <c r="D9689" t="inlineStr">
        <is>
          <t>-454K1</t>
        </is>
      </c>
      <c r="E9689" t="inlineStr">
        <is>
          <t>DILA-XHI22</t>
        </is>
      </c>
      <c r="F9689" t="inlineStr">
        <is>
          <t>DILA-XHI22</t>
        </is>
      </c>
      <c r="G9689" t="inlineStr">
        <is>
          <t>HILFSKONTAKTBLOCK</t>
        </is>
      </c>
      <c r="H9689" t="inlineStr">
        <is>
          <t>2S 2OE Last+Hilfssch. Cage</t>
        </is>
      </c>
      <c r="I9689">
        <v>642</v>
      </c>
      <c r="J9689">
        <f>GS24/454.5</f>
        <v>0</v>
      </c>
      <c r="M9689" t="inlineStr">
        <is>
          <t>-454K1</t>
        </is>
      </c>
    </row>
    <row r="9690">
      <c r="A9690">
        <v>9689</v>
      </c>
      <c r="B9690">
        <f>GS24</f>
        <v>0</v>
      </c>
      <c r="C9690" t="inlineStr">
        <is>
          <t>+ES3</t>
        </is>
      </c>
      <c r="D9690" t="inlineStr">
        <is>
          <t>-454K1</t>
        </is>
      </c>
      <c r="E9690" t="inlineStr">
        <is>
          <t>DILA-22</t>
        </is>
      </c>
      <c r="F9690" t="inlineStr">
        <is>
          <t>DILA-XHI22</t>
        </is>
      </c>
      <c r="G9690" t="inlineStr">
        <is>
          <t>HILFSSCHUETZ</t>
        </is>
      </c>
      <c r="H9690" t="inlineStr">
        <is>
          <t>2S 2Oe Federzugkl.</t>
        </is>
      </c>
      <c r="I9690">
        <v>642</v>
      </c>
      <c r="J9690">
        <f>GS24/454.5</f>
        <v>0</v>
      </c>
      <c r="M9690" t="inlineStr">
        <is>
          <t>-454K1</t>
        </is>
      </c>
    </row>
    <row r="9691">
      <c r="A9691">
        <v>9690</v>
      </c>
      <c r="B9691">
        <f>GS24</f>
        <v>0</v>
      </c>
      <c r="C9691" t="inlineStr">
        <is>
          <t>+ES3</t>
        </is>
      </c>
      <c r="D9691" t="inlineStr">
        <is>
          <t>-454K2</t>
        </is>
      </c>
      <c r="E9691" t="inlineStr">
        <is>
          <t>DILA-XHI22</t>
        </is>
      </c>
      <c r="F9691" t="inlineStr">
        <is>
          <t>DILA-XHI22</t>
        </is>
      </c>
      <c r="G9691" t="inlineStr">
        <is>
          <t>HILFSKONTAKTBLOCK</t>
        </is>
      </c>
      <c r="H9691" t="inlineStr">
        <is>
          <t>2S 2OE Last+Hilfssch. Cage</t>
        </is>
      </c>
      <c r="I9691">
        <v>642</v>
      </c>
      <c r="J9691">
        <f>GS24/454.6</f>
        <v>0</v>
      </c>
      <c r="M9691" t="inlineStr">
        <is>
          <t>-454K2</t>
        </is>
      </c>
    </row>
    <row r="9692">
      <c r="A9692">
        <v>9691</v>
      </c>
      <c r="B9692">
        <f>GS24</f>
        <v>0</v>
      </c>
      <c r="C9692" t="inlineStr">
        <is>
          <t>+ES3</t>
        </is>
      </c>
      <c r="D9692" t="inlineStr">
        <is>
          <t>-454K2</t>
        </is>
      </c>
      <c r="E9692" t="inlineStr">
        <is>
          <t>DILA-22</t>
        </is>
      </c>
      <c r="F9692" t="inlineStr">
        <is>
          <t>DILA-XHI22</t>
        </is>
      </c>
      <c r="G9692" t="inlineStr">
        <is>
          <t>HILFSSCHUETZ</t>
        </is>
      </c>
      <c r="H9692" t="inlineStr">
        <is>
          <t>2S 2Oe Federzugkl.</t>
        </is>
      </c>
      <c r="I9692">
        <v>642</v>
      </c>
      <c r="J9692">
        <f>GS24/454.6</f>
        <v>0</v>
      </c>
      <c r="M9692" t="inlineStr">
        <is>
          <t>-454K2</t>
        </is>
      </c>
    </row>
    <row r="9693">
      <c r="A9693">
        <v>9692</v>
      </c>
      <c r="B9693">
        <f>GS33</f>
        <v>0</v>
      </c>
      <c r="C9693" t="inlineStr">
        <is>
          <t>+LS10</t>
        </is>
      </c>
      <c r="D9693" t="inlineStr">
        <is>
          <t>-454K3903.5</t>
        </is>
      </c>
      <c r="E9693" t="inlineStr">
        <is>
          <t>DIL_EM-10-G</t>
        </is>
      </c>
      <c r="F9693" t="inlineStr">
        <is>
          <t>#KALK!</t>
        </is>
      </c>
      <c r="G9693" t="inlineStr">
        <is>
          <t>LASTSCHUETZ</t>
        </is>
      </c>
      <c r="H9693" t="inlineStr">
        <is>
          <t>4kW 1S</t>
        </is>
      </c>
      <c r="I9693">
        <v>908</v>
      </c>
      <c r="J9693">
        <f>GS33/454.7</f>
        <v>0</v>
      </c>
      <c r="M9693" t="inlineStr">
        <is>
          <t>-454K3903.5</t>
        </is>
      </c>
    </row>
    <row r="9694">
      <c r="A9694">
        <v>9693</v>
      </c>
      <c r="B9694">
        <f>GS16</f>
        <v>0</v>
      </c>
      <c r="C9694" t="inlineStr">
        <is>
          <t>+LS8</t>
        </is>
      </c>
      <c r="D9694" t="inlineStr">
        <is>
          <t>-454K64.7</t>
        </is>
      </c>
      <c r="E9694" t="inlineStr">
        <is>
          <t>DIL_EM-10-G</t>
        </is>
      </c>
      <c r="F9694" t="inlineStr">
        <is>
          <t>#KALK!</t>
        </is>
      </c>
      <c r="G9694" t="inlineStr">
        <is>
          <t>LASTSCHUETZ</t>
        </is>
      </c>
      <c r="H9694" t="inlineStr">
        <is>
          <t>4kW 1S</t>
        </is>
      </c>
      <c r="I9694">
        <v>692</v>
      </c>
      <c r="J9694">
        <f>GS16/454.6</f>
        <v>0</v>
      </c>
      <c r="M9694" t="inlineStr">
        <is>
          <t>-454K64.7</t>
        </is>
      </c>
    </row>
    <row r="9695">
      <c r="A9695">
        <v>9694</v>
      </c>
      <c r="B9695">
        <f>GS16</f>
        <v>0</v>
      </c>
      <c r="C9695" t="inlineStr">
        <is>
          <t>+LS8</t>
        </is>
      </c>
      <c r="D9695" t="inlineStr">
        <is>
          <t>-454K65.0</t>
        </is>
      </c>
      <c r="E9695" t="inlineStr">
        <is>
          <t>DIL_EM-10-G</t>
        </is>
      </c>
      <c r="F9695" t="inlineStr">
        <is>
          <t>#KALK!</t>
        </is>
      </c>
      <c r="G9695" t="inlineStr">
        <is>
          <t>LASTSCHUETZ</t>
        </is>
      </c>
      <c r="H9695" t="inlineStr">
        <is>
          <t>4kW 1S</t>
        </is>
      </c>
      <c r="I9695">
        <v>692</v>
      </c>
      <c r="J9695">
        <f>GS16/454.6</f>
        <v>0</v>
      </c>
      <c r="M9695" t="inlineStr">
        <is>
          <t>-454K65.0</t>
        </is>
      </c>
    </row>
    <row r="9696">
      <c r="A9696">
        <v>9695</v>
      </c>
      <c r="B9696">
        <f>GS25</f>
        <v>0</v>
      </c>
      <c r="C9696" t="inlineStr">
        <is>
          <t>+LS10</t>
        </is>
      </c>
      <c r="D9696" t="inlineStr">
        <is>
          <t>-455K1</t>
        </is>
      </c>
      <c r="E9696" t="inlineStr">
        <is>
          <t>DIL_0AM</t>
        </is>
      </c>
      <c r="F9696" t="inlineStr">
        <is>
          <t>22_DIL-M</t>
        </is>
      </c>
      <c r="G9696" t="inlineStr">
        <is>
          <t>LASTSCHUETZ</t>
        </is>
      </c>
      <c r="H9696" t="inlineStr">
        <is>
          <t>11 kW</t>
        </is>
      </c>
      <c r="I9696">
        <v>102</v>
      </c>
      <c r="J9696">
        <f>GS25/455.2</f>
        <v>0</v>
      </c>
      <c r="K9696" t="inlineStr">
        <is>
          <t>DIL0AM</t>
        </is>
      </c>
      <c r="M9696" t="inlineStr">
        <is>
          <t>-455K1</t>
        </is>
      </c>
    </row>
    <row r="9697">
      <c r="A9697">
        <v>9696</v>
      </c>
      <c r="B9697">
        <f>GS25</f>
        <v>0</v>
      </c>
      <c r="C9697" t="inlineStr">
        <is>
          <t>+LS10</t>
        </is>
      </c>
      <c r="D9697" t="inlineStr">
        <is>
          <t>-455K1</t>
        </is>
      </c>
      <c r="E9697" t="inlineStr">
        <is>
          <t>22_DIL-M</t>
        </is>
      </c>
      <c r="F9697" t="inlineStr">
        <is>
          <t>22_DIL-M</t>
        </is>
      </c>
      <c r="G9697" t="inlineStr">
        <is>
          <t>HILFSKONTAKTBLOCK</t>
        </is>
      </c>
      <c r="H9697" t="inlineStr">
        <is>
          <t>2S 2OE Lastschuetz DIL M</t>
        </is>
      </c>
      <c r="I9697">
        <v>102</v>
      </c>
      <c r="J9697">
        <f>GS25/455.2</f>
        <v>0</v>
      </c>
      <c r="K9697" t="inlineStr">
        <is>
          <t>DIL0AM</t>
        </is>
      </c>
      <c r="M9697" t="inlineStr">
        <is>
          <t>-455K1</t>
        </is>
      </c>
    </row>
    <row r="9698">
      <c r="A9698">
        <v>9697</v>
      </c>
      <c r="B9698">
        <f>GC03</f>
        <v>0</v>
      </c>
      <c r="C9698" t="inlineStr">
        <is>
          <t>+LS10</t>
        </is>
      </c>
      <c r="D9698" t="inlineStr">
        <is>
          <t>-455K27.3</t>
        </is>
      </c>
      <c r="E9698" t="inlineStr">
        <is>
          <t>DIL_EM-10-G</t>
        </is>
      </c>
      <c r="F9698" t="inlineStr">
        <is>
          <t>#KALK!</t>
        </is>
      </c>
      <c r="G9698" t="inlineStr">
        <is>
          <t>LASTSCHUETZ</t>
        </is>
      </c>
      <c r="H9698" t="inlineStr">
        <is>
          <t>4kW 1S</t>
        </is>
      </c>
      <c r="I9698">
        <v>2272</v>
      </c>
      <c r="J9698">
        <f>GC03/455.7</f>
        <v>0</v>
      </c>
      <c r="M9698" t="inlineStr">
        <is>
          <t>-455K27.3</t>
        </is>
      </c>
    </row>
    <row r="9699">
      <c r="A9699">
        <v>9698</v>
      </c>
      <c r="B9699">
        <f>GS33</f>
        <v>0</v>
      </c>
      <c r="C9699" t="inlineStr">
        <is>
          <t>+LS10</t>
        </is>
      </c>
      <c r="D9699" t="inlineStr">
        <is>
          <t>-455K3904.3</t>
        </is>
      </c>
      <c r="E9699" t="inlineStr">
        <is>
          <t>DIL_EM-10-G</t>
        </is>
      </c>
      <c r="F9699" t="inlineStr">
        <is>
          <t>#KALK!</t>
        </is>
      </c>
      <c r="G9699" t="inlineStr">
        <is>
          <t>LASTSCHUETZ</t>
        </is>
      </c>
      <c r="H9699" t="inlineStr">
        <is>
          <t>4kW 1S</t>
        </is>
      </c>
      <c r="I9699">
        <v>909</v>
      </c>
      <c r="J9699">
        <f>GS33/455.7</f>
        <v>0</v>
      </c>
      <c r="M9699" t="inlineStr">
        <is>
          <t>-455K3904.3</t>
        </is>
      </c>
    </row>
    <row r="9700">
      <c r="A9700">
        <v>9699</v>
      </c>
      <c r="B9700">
        <f>GS16</f>
        <v>0</v>
      </c>
      <c r="C9700" t="inlineStr">
        <is>
          <t>+LS8</t>
        </is>
      </c>
      <c r="D9700" t="inlineStr">
        <is>
          <t>-455K65.1</t>
        </is>
      </c>
      <c r="E9700" t="inlineStr">
        <is>
          <t>DIL_EM-10-G</t>
        </is>
      </c>
      <c r="F9700" t="inlineStr">
        <is>
          <t>#KALK!</t>
        </is>
      </c>
      <c r="G9700" t="inlineStr">
        <is>
          <t>LASTSCHUETZ</t>
        </is>
      </c>
      <c r="H9700" t="inlineStr">
        <is>
          <t>4kW 1S</t>
        </is>
      </c>
      <c r="I9700">
        <v>693</v>
      </c>
      <c r="J9700">
        <f>GS16/455.6</f>
        <v>0</v>
      </c>
      <c r="M9700" t="inlineStr">
        <is>
          <t>-455K65.1</t>
        </is>
      </c>
    </row>
    <row r="9701">
      <c r="A9701">
        <v>9700</v>
      </c>
      <c r="B9701">
        <f>GS16</f>
        <v>0</v>
      </c>
      <c r="C9701" t="inlineStr">
        <is>
          <t>+LS8</t>
        </is>
      </c>
      <c r="D9701" t="inlineStr">
        <is>
          <t>-455K65.2</t>
        </is>
      </c>
      <c r="E9701" t="inlineStr">
        <is>
          <t>DIL_EM-10-G</t>
        </is>
      </c>
      <c r="F9701" t="inlineStr">
        <is>
          <t>#KALK!</t>
        </is>
      </c>
      <c r="G9701" t="inlineStr">
        <is>
          <t>LASTSCHUETZ</t>
        </is>
      </c>
      <c r="H9701" t="inlineStr">
        <is>
          <t>4kW 1S</t>
        </is>
      </c>
      <c r="I9701">
        <v>693</v>
      </c>
      <c r="J9701">
        <f>GS16/455.6</f>
        <v>0</v>
      </c>
      <c r="M9701" t="inlineStr">
        <is>
          <t>-455K65.2</t>
        </is>
      </c>
    </row>
    <row r="9702">
      <c r="A9702">
        <v>9701</v>
      </c>
      <c r="B9702">
        <f>GS51</f>
        <v>0</v>
      </c>
      <c r="C9702" t="inlineStr">
        <is>
          <t>+LS06</t>
        </is>
      </c>
      <c r="D9702" t="inlineStr">
        <is>
          <t>-455K701.3</t>
        </is>
      </c>
      <c r="E9702" t="inlineStr">
        <is>
          <t>DILA-22</t>
        </is>
      </c>
      <c r="F9702" t="inlineStr">
        <is>
          <t>#KALK!</t>
        </is>
      </c>
      <c r="G9702" t="inlineStr">
        <is>
          <t>HILFSSCHUETZ</t>
        </is>
      </c>
      <c r="H9702" t="inlineStr">
        <is>
          <t>2S 2Oe Federzugkl.</t>
        </is>
      </c>
      <c r="I9702">
        <v>631</v>
      </c>
      <c r="J9702">
        <f>GS51/455.2</f>
        <v>0</v>
      </c>
      <c r="M9702" t="inlineStr">
        <is>
          <t>-455K701.3</t>
        </is>
      </c>
    </row>
    <row r="9703">
      <c r="A9703">
        <v>9702</v>
      </c>
      <c r="B9703">
        <f>GS92</f>
        <v>0</v>
      </c>
      <c r="C9703" t="inlineStr">
        <is>
          <t>+LS08</t>
        </is>
      </c>
      <c r="D9703" t="inlineStr">
        <is>
          <t>-455K754.0</t>
        </is>
      </c>
      <c r="E9703" t="inlineStr">
        <is>
          <t>DILA-40</t>
        </is>
      </c>
      <c r="F9703" t="inlineStr">
        <is>
          <t>#KALK!</t>
        </is>
      </c>
      <c r="G9703" t="inlineStr">
        <is>
          <t>HILFSSCHUETZ</t>
        </is>
      </c>
      <c r="H9703" t="inlineStr">
        <is>
          <t>4S Federzugkl.</t>
        </is>
      </c>
      <c r="I9703">
        <v>600</v>
      </c>
      <c r="J9703">
        <f>GS92/455.7</f>
        <v>0</v>
      </c>
      <c r="M9703" t="inlineStr">
        <is>
          <t>-455K754.0</t>
        </is>
      </c>
    </row>
    <row r="9704">
      <c r="A9704">
        <v>9703</v>
      </c>
      <c r="B9704">
        <f>GS52</f>
        <v>0</v>
      </c>
      <c r="C9704" t="inlineStr">
        <is>
          <t>+LS07</t>
        </is>
      </c>
      <c r="D9704" t="inlineStr">
        <is>
          <t>-455Q1</t>
        </is>
      </c>
      <c r="E9704" t="inlineStr">
        <is>
          <t>DILMC25-10(RDC24)</t>
        </is>
      </c>
      <c r="F9704" t="inlineStr">
        <is>
          <t>DILA-XHI22</t>
        </is>
      </c>
      <c r="G9704" t="inlineStr">
        <is>
          <t>LASTSCHUETZ</t>
        </is>
      </c>
      <c r="H9704" t="inlineStr">
        <is>
          <t>11kW 1S Federzugkl.</t>
        </is>
      </c>
      <c r="I9704">
        <v>1550</v>
      </c>
      <c r="J9704">
        <f>GS52/455.6</f>
        <v>0</v>
      </c>
      <c r="K9704" t="inlineStr">
        <is>
          <t>DIL MC25</t>
        </is>
      </c>
      <c r="M9704" t="inlineStr">
        <is>
          <t>-455Q1</t>
        </is>
      </c>
    </row>
    <row r="9705">
      <c r="A9705">
        <v>9704</v>
      </c>
      <c r="B9705">
        <f>GS52</f>
        <v>0</v>
      </c>
      <c r="C9705" t="inlineStr">
        <is>
          <t>+LS07</t>
        </is>
      </c>
      <c r="D9705" t="inlineStr">
        <is>
          <t>-455Q1</t>
        </is>
      </c>
      <c r="E9705" t="inlineStr">
        <is>
          <t>DILA-XHI22</t>
        </is>
      </c>
      <c r="F9705" t="inlineStr">
        <is>
          <t>DILA-XHI22</t>
        </is>
      </c>
      <c r="G9705" t="inlineStr">
        <is>
          <t>HILFSKONTAKTBLOCK</t>
        </is>
      </c>
      <c r="H9705" t="inlineStr">
        <is>
          <t>2S 2OE Last+Hilfssch. Cage</t>
        </is>
      </c>
      <c r="I9705">
        <v>1550</v>
      </c>
      <c r="J9705">
        <f>GS52/455.6</f>
        <v>0</v>
      </c>
      <c r="K9705" t="inlineStr">
        <is>
          <t>DIL MC25</t>
        </is>
      </c>
      <c r="M9705" t="inlineStr">
        <is>
          <t>-455Q1</t>
        </is>
      </c>
    </row>
    <row r="9706">
      <c r="A9706">
        <v>9705</v>
      </c>
      <c r="B9706">
        <f>GS92</f>
        <v>0</v>
      </c>
      <c r="C9706" t="inlineStr">
        <is>
          <t>+LS08</t>
        </is>
      </c>
      <c r="D9706" t="inlineStr">
        <is>
          <t>-455Q1</t>
        </is>
      </c>
      <c r="E9706" t="inlineStr">
        <is>
          <t>DILMC25-10(RDC24)</t>
        </is>
      </c>
      <c r="F9706" t="inlineStr">
        <is>
          <t>DILA-XHI22</t>
        </is>
      </c>
      <c r="G9706" t="inlineStr">
        <is>
          <t>LASTSCHUETZ</t>
        </is>
      </c>
      <c r="H9706" t="inlineStr">
        <is>
          <t>11kW 1S Federzugkl.</t>
        </is>
      </c>
      <c r="I9706">
        <v>600</v>
      </c>
      <c r="J9706">
        <f>GS92/455.4</f>
        <v>0</v>
      </c>
      <c r="K9706" t="inlineStr">
        <is>
          <t>DIL MC25</t>
        </is>
      </c>
      <c r="M9706" t="inlineStr">
        <is>
          <t>-455Q1</t>
        </is>
      </c>
    </row>
    <row r="9707">
      <c r="A9707">
        <v>9706</v>
      </c>
      <c r="B9707">
        <f>GS92</f>
        <v>0</v>
      </c>
      <c r="C9707" t="inlineStr">
        <is>
          <t>+LS08</t>
        </is>
      </c>
      <c r="D9707" t="inlineStr">
        <is>
          <t>-455Q1</t>
        </is>
      </c>
      <c r="E9707" t="inlineStr">
        <is>
          <t>DILA-XHI22</t>
        </is>
      </c>
      <c r="F9707" t="inlineStr">
        <is>
          <t>DILA-XHI22</t>
        </is>
      </c>
      <c r="G9707" t="inlineStr">
        <is>
          <t>HILFSKONTAKTBLOCK</t>
        </is>
      </c>
      <c r="H9707" t="inlineStr">
        <is>
          <t>2S 2OE Last+Hilfssch. Cage</t>
        </is>
      </c>
      <c r="I9707">
        <v>600</v>
      </c>
      <c r="J9707">
        <f>GS92/455.4</f>
        <v>0</v>
      </c>
      <c r="K9707" t="inlineStr">
        <is>
          <t>DIL MC25</t>
        </is>
      </c>
      <c r="M9707" t="inlineStr">
        <is>
          <t>-455Q1</t>
        </is>
      </c>
    </row>
    <row r="9708">
      <c r="A9708">
        <v>9707</v>
      </c>
      <c r="B9708">
        <f>GS51</f>
        <v>0</v>
      </c>
      <c r="C9708" t="inlineStr">
        <is>
          <t>+LS06</t>
        </is>
      </c>
      <c r="D9708" t="inlineStr">
        <is>
          <t>-455Q701.4</t>
        </is>
      </c>
      <c r="E9708" t="inlineStr">
        <is>
          <t>DILM-9-10</t>
        </is>
      </c>
      <c r="F9708" t="inlineStr">
        <is>
          <t>#KALK!</t>
        </is>
      </c>
      <c r="G9708" t="inlineStr">
        <is>
          <t>LASTSCHUETZ</t>
        </is>
      </c>
      <c r="H9708" t="inlineStr">
        <is>
          <t>4kW 1S Federzugkl.</t>
        </is>
      </c>
      <c r="I9708">
        <v>631</v>
      </c>
      <c r="J9708">
        <f>GS51/455.3</f>
        <v>0</v>
      </c>
      <c r="K9708" t="inlineStr">
        <is>
          <t>DIL MC9</t>
        </is>
      </c>
      <c r="M9708" t="inlineStr">
        <is>
          <t>-455Q701.4</t>
        </is>
      </c>
    </row>
    <row r="9709">
      <c r="A9709">
        <v>9708</v>
      </c>
      <c r="B9709">
        <f>GC22</f>
        <v>0</v>
      </c>
      <c r="C9709" t="inlineStr">
        <is>
          <t>+QVW2101</t>
        </is>
      </c>
      <c r="D9709" t="inlineStr">
        <is>
          <t>-456K1</t>
        </is>
      </c>
      <c r="E9709" t="inlineStr">
        <is>
          <t>DIL_1AM-G</t>
        </is>
      </c>
      <c r="F9709" t="inlineStr">
        <is>
          <t>#KALK!</t>
        </is>
      </c>
      <c r="G9709" t="inlineStr">
        <is>
          <t>LASTSCHUETZ</t>
        </is>
      </c>
      <c r="H9709" t="inlineStr">
        <is>
          <t>18,5kW</t>
        </is>
      </c>
      <c r="I9709">
        <v>2293</v>
      </c>
      <c r="J9709">
        <f>GC22/456.2</f>
        <v>0</v>
      </c>
      <c r="M9709" t="inlineStr">
        <is>
          <t>-456K1</t>
        </is>
      </c>
    </row>
    <row r="9710">
      <c r="A9710">
        <v>9709</v>
      </c>
      <c r="B9710">
        <f>GS01</f>
        <v>0</v>
      </c>
      <c r="C9710" t="inlineStr">
        <is>
          <t>+LS9</t>
        </is>
      </c>
      <c r="D9710" t="inlineStr">
        <is>
          <t>-456K1</t>
        </is>
      </c>
      <c r="E9710" t="inlineStr">
        <is>
          <t>DIL_2AM</t>
        </is>
      </c>
      <c r="F9710" t="inlineStr">
        <is>
          <t>22_DIL-M</t>
        </is>
      </c>
      <c r="G9710" t="inlineStr">
        <is>
          <t>LASTSCHUETZ</t>
        </is>
      </c>
      <c r="H9710" t="inlineStr">
        <is>
          <t>30 kW</t>
        </is>
      </c>
      <c r="I9710">
        <v>620</v>
      </c>
      <c r="J9710">
        <f>GS01/456.2</f>
        <v>0</v>
      </c>
      <c r="K9710" t="inlineStr">
        <is>
          <t>DIL2AM</t>
        </is>
      </c>
      <c r="M9710" t="inlineStr">
        <is>
          <t>-456K1</t>
        </is>
      </c>
    </row>
    <row r="9711">
      <c r="A9711">
        <v>9710</v>
      </c>
      <c r="B9711">
        <f>GS01</f>
        <v>0</v>
      </c>
      <c r="C9711" t="inlineStr">
        <is>
          <t>+LS9</t>
        </is>
      </c>
      <c r="D9711" t="inlineStr">
        <is>
          <t>-456K1</t>
        </is>
      </c>
      <c r="E9711" t="inlineStr">
        <is>
          <t>22_DIL-M</t>
        </is>
      </c>
      <c r="F9711" t="inlineStr">
        <is>
          <t>22_DIL-M</t>
        </is>
      </c>
      <c r="G9711" t="inlineStr">
        <is>
          <t>HILFSKONTAKTBLOCK</t>
        </is>
      </c>
      <c r="H9711" t="inlineStr">
        <is>
          <t>2S 2OE Lastschuetz DIL M</t>
        </is>
      </c>
      <c r="I9711">
        <v>620</v>
      </c>
      <c r="J9711">
        <f>GS01/456.2</f>
        <v>0</v>
      </c>
      <c r="K9711" t="inlineStr">
        <is>
          <t>DIL2AM</t>
        </is>
      </c>
      <c r="M9711" t="inlineStr">
        <is>
          <t>-456K1</t>
        </is>
      </c>
    </row>
    <row r="9712">
      <c r="A9712">
        <v>9711</v>
      </c>
      <c r="B9712">
        <f>GS12</f>
        <v>0</v>
      </c>
      <c r="C9712" t="inlineStr">
        <is>
          <t>+QVW2101</t>
        </is>
      </c>
      <c r="D9712" t="inlineStr">
        <is>
          <t>-456K1</t>
        </is>
      </c>
      <c r="E9712" t="inlineStr">
        <is>
          <t>DIL_1AM-G</t>
        </is>
      </c>
      <c r="F9712" t="inlineStr">
        <is>
          <t>#KALK!</t>
        </is>
      </c>
      <c r="G9712" t="inlineStr">
        <is>
          <t>LASTSCHUETZ</t>
        </is>
      </c>
      <c r="H9712" t="inlineStr">
        <is>
          <t>18,5kW</t>
        </is>
      </c>
      <c r="I9712">
        <v>588</v>
      </c>
      <c r="J9712">
        <f>GS12/456.2</f>
        <v>0</v>
      </c>
      <c r="M9712" t="inlineStr">
        <is>
          <t>-456K1</t>
        </is>
      </c>
    </row>
    <row r="9713">
      <c r="A9713">
        <v>9712</v>
      </c>
      <c r="B9713">
        <f>GS34</f>
        <v>0</v>
      </c>
      <c r="C9713" t="inlineStr">
        <is>
          <t>+QVW2601</t>
        </is>
      </c>
      <c r="D9713" t="inlineStr">
        <is>
          <t>-456K1</t>
        </is>
      </c>
      <c r="E9713" t="inlineStr">
        <is>
          <t>DIL_1AM-G</t>
        </is>
      </c>
      <c r="F9713" t="inlineStr">
        <is>
          <t>#KALK!</t>
        </is>
      </c>
      <c r="G9713" t="inlineStr">
        <is>
          <t>LASTSCHUETZ</t>
        </is>
      </c>
      <c r="H9713" t="inlineStr">
        <is>
          <t>18,5kW</t>
        </is>
      </c>
      <c r="I9713">
        <v>581</v>
      </c>
      <c r="J9713">
        <f>GS34/456.2</f>
        <v>0</v>
      </c>
      <c r="M9713" t="inlineStr">
        <is>
          <t>-456K1</t>
        </is>
      </c>
    </row>
    <row r="9714">
      <c r="A9714">
        <v>9713</v>
      </c>
      <c r="B9714">
        <f>GC03</f>
        <v>0</v>
      </c>
      <c r="C9714" t="inlineStr">
        <is>
          <t>+LS10</t>
        </is>
      </c>
      <c r="D9714" t="inlineStr">
        <is>
          <t>-456K27.7</t>
        </is>
      </c>
      <c r="E9714" t="inlineStr">
        <is>
          <t>DIL_EM-10-G</t>
        </is>
      </c>
      <c r="F9714" t="inlineStr">
        <is>
          <t>#KALK!</t>
        </is>
      </c>
      <c r="G9714" t="inlineStr">
        <is>
          <t>LASTSCHUETZ</t>
        </is>
      </c>
      <c r="H9714" t="inlineStr">
        <is>
          <t>4kW 1S</t>
        </is>
      </c>
      <c r="I9714">
        <v>2271</v>
      </c>
      <c r="J9714">
        <f>GC03/456.7</f>
        <v>0</v>
      </c>
      <c r="M9714" t="inlineStr">
        <is>
          <t>-456K27.7</t>
        </is>
      </c>
    </row>
    <row r="9715">
      <c r="A9715">
        <v>9714</v>
      </c>
      <c r="B9715">
        <f>GS46</f>
        <v>0</v>
      </c>
      <c r="C9715" t="inlineStr">
        <is>
          <t>+LS07</t>
        </is>
      </c>
      <c r="D9715" t="inlineStr">
        <is>
          <t>-456K3</t>
        </is>
      </c>
      <c r="E9715" t="inlineStr">
        <is>
          <t>DILA-40</t>
        </is>
      </c>
      <c r="F9715" t="inlineStr">
        <is>
          <t>#KALK!</t>
        </is>
      </c>
      <c r="G9715" t="inlineStr">
        <is>
          <t>HILFSSCHUETZ</t>
        </is>
      </c>
      <c r="H9715" t="inlineStr">
        <is>
          <t>4S Federzugkl.</t>
        </is>
      </c>
      <c r="I9715">
        <v>622</v>
      </c>
      <c r="J9715">
        <f>GS46/456.6</f>
        <v>0</v>
      </c>
      <c r="M9715" t="inlineStr">
        <is>
          <t>-456K3</t>
        </is>
      </c>
    </row>
    <row r="9716">
      <c r="A9716">
        <v>9715</v>
      </c>
      <c r="B9716">
        <f>GS47</f>
        <v>0</v>
      </c>
      <c r="C9716" t="inlineStr">
        <is>
          <t>+LS07</t>
        </is>
      </c>
      <c r="D9716" t="inlineStr">
        <is>
          <t>-456K3</t>
        </is>
      </c>
      <c r="E9716" t="inlineStr">
        <is>
          <t>DILA-40</t>
        </is>
      </c>
      <c r="F9716" t="inlineStr">
        <is>
          <t>#KALK!</t>
        </is>
      </c>
      <c r="G9716" t="inlineStr">
        <is>
          <t>HILFSSCHUETZ</t>
        </is>
      </c>
      <c r="H9716" t="inlineStr">
        <is>
          <t>4S Federzugkl.</t>
        </is>
      </c>
      <c r="I9716">
        <v>622</v>
      </c>
      <c r="J9716">
        <f>GS47/456.6</f>
        <v>0</v>
      </c>
      <c r="M9716" t="inlineStr">
        <is>
          <t>-456K3</t>
        </is>
      </c>
    </row>
    <row r="9717">
      <c r="A9717">
        <v>9716</v>
      </c>
      <c r="B9717">
        <f>GS48</f>
        <v>0</v>
      </c>
      <c r="C9717" t="inlineStr">
        <is>
          <t>+LS07</t>
        </is>
      </c>
      <c r="D9717" t="inlineStr">
        <is>
          <t>-456K3</t>
        </is>
      </c>
      <c r="E9717" t="inlineStr">
        <is>
          <t>DILA-40</t>
        </is>
      </c>
      <c r="F9717" t="inlineStr">
        <is>
          <t>#KALK!</t>
        </is>
      </c>
      <c r="G9717" t="inlineStr">
        <is>
          <t>HILFSSCHUETZ</t>
        </is>
      </c>
      <c r="H9717" t="inlineStr">
        <is>
          <t>4S Federzugkl.</t>
        </is>
      </c>
      <c r="I9717">
        <v>568</v>
      </c>
      <c r="J9717">
        <f>GS48/456.6</f>
        <v>0</v>
      </c>
      <c r="M9717" t="inlineStr">
        <is>
          <t>-456K3</t>
        </is>
      </c>
    </row>
    <row r="9718">
      <c r="A9718">
        <v>9717</v>
      </c>
      <c r="B9718">
        <f>GS49</f>
        <v>0</v>
      </c>
      <c r="C9718" t="inlineStr">
        <is>
          <t>+LS07</t>
        </is>
      </c>
      <c r="D9718" t="inlineStr">
        <is>
          <t>-456K3</t>
        </is>
      </c>
      <c r="E9718" t="inlineStr">
        <is>
          <t>DILA-40</t>
        </is>
      </c>
      <c r="F9718" t="inlineStr">
        <is>
          <t>#KALK!</t>
        </is>
      </c>
      <c r="G9718" t="inlineStr">
        <is>
          <t>HILFSSCHUETZ</t>
        </is>
      </c>
      <c r="H9718" t="inlineStr">
        <is>
          <t>4S Federzugkl.</t>
        </is>
      </c>
      <c r="I9718">
        <v>567</v>
      </c>
      <c r="J9718">
        <f>GS49/456.6</f>
        <v>0</v>
      </c>
      <c r="M9718" t="inlineStr">
        <is>
          <t>-456K3</t>
        </is>
      </c>
    </row>
    <row r="9719">
      <c r="A9719">
        <v>9718</v>
      </c>
      <c r="B9719">
        <f>GS14</f>
        <v>0</v>
      </c>
      <c r="C9719" t="inlineStr">
        <is>
          <t>+LS8</t>
        </is>
      </c>
      <c r="D9719" t="inlineStr">
        <is>
          <t>-456K3506.0</t>
        </is>
      </c>
      <c r="E9719" t="inlineStr">
        <is>
          <t>DIL_EM-10-G</t>
        </is>
      </c>
      <c r="F9719" t="inlineStr">
        <is>
          <t>#KALK!</t>
        </is>
      </c>
      <c r="G9719" t="inlineStr">
        <is>
          <t>LASTSCHUETZ</t>
        </is>
      </c>
      <c r="H9719" t="inlineStr">
        <is>
          <t>4kW 1S</t>
        </is>
      </c>
      <c r="I9719">
        <v>588</v>
      </c>
      <c r="J9719">
        <f>GS14/456.6</f>
        <v>0</v>
      </c>
      <c r="M9719" t="inlineStr">
        <is>
          <t>-456K3506.0</t>
        </is>
      </c>
    </row>
    <row r="9720">
      <c r="A9720">
        <v>9719</v>
      </c>
      <c r="B9720">
        <f>GS14</f>
        <v>0</v>
      </c>
      <c r="C9720" t="inlineStr">
        <is>
          <t>+LS8</t>
        </is>
      </c>
      <c r="D9720" t="inlineStr">
        <is>
          <t>-456K3506.1</t>
        </is>
      </c>
      <c r="E9720" t="inlineStr">
        <is>
          <t>DIL_EM-10-G</t>
        </is>
      </c>
      <c r="F9720" t="inlineStr">
        <is>
          <t>#KALK!</t>
        </is>
      </c>
      <c r="G9720" t="inlineStr">
        <is>
          <t>LASTSCHUETZ</t>
        </is>
      </c>
      <c r="H9720" t="inlineStr">
        <is>
          <t>4kW 1S</t>
        </is>
      </c>
      <c r="I9720">
        <v>588</v>
      </c>
      <c r="J9720">
        <f>GS14/456.7</f>
        <v>0</v>
      </c>
      <c r="M9720" t="inlineStr">
        <is>
          <t>-456K3506.1</t>
        </is>
      </c>
    </row>
    <row r="9721">
      <c r="A9721">
        <v>9720</v>
      </c>
      <c r="B9721">
        <f>GS33</f>
        <v>0</v>
      </c>
      <c r="C9721" t="inlineStr">
        <is>
          <t>+LS10</t>
        </is>
      </c>
      <c r="D9721" t="inlineStr">
        <is>
          <t>-456K3904.7</t>
        </is>
      </c>
      <c r="E9721" t="inlineStr">
        <is>
          <t>DIL_EM-10-G</t>
        </is>
      </c>
      <c r="F9721" t="inlineStr">
        <is>
          <t>#KALK!</t>
        </is>
      </c>
      <c r="G9721" t="inlineStr">
        <is>
          <t>LASTSCHUETZ</t>
        </is>
      </c>
      <c r="H9721" t="inlineStr">
        <is>
          <t>4kW 1S</t>
        </is>
      </c>
      <c r="I9721">
        <v>910</v>
      </c>
      <c r="J9721">
        <f>GS33/456.7</f>
        <v>0</v>
      </c>
      <c r="M9721" t="inlineStr">
        <is>
          <t>-456K3904.7</t>
        </is>
      </c>
    </row>
    <row r="9722">
      <c r="A9722">
        <v>9721</v>
      </c>
      <c r="B9722">
        <f>GS16</f>
        <v>0</v>
      </c>
      <c r="C9722" t="inlineStr">
        <is>
          <t>+LS8</t>
        </is>
      </c>
      <c r="D9722" t="inlineStr">
        <is>
          <t>-456K65.3</t>
        </is>
      </c>
      <c r="E9722" t="inlineStr">
        <is>
          <t>DIL_EM-10-G</t>
        </is>
      </c>
      <c r="F9722" t="inlineStr">
        <is>
          <t>#KALK!</t>
        </is>
      </c>
      <c r="G9722" t="inlineStr">
        <is>
          <t>LASTSCHUETZ</t>
        </is>
      </c>
      <c r="H9722" t="inlineStr">
        <is>
          <t>4kW 1S</t>
        </is>
      </c>
      <c r="I9722">
        <v>694</v>
      </c>
      <c r="J9722">
        <f>GS16/456.6</f>
        <v>0</v>
      </c>
      <c r="M9722" t="inlineStr">
        <is>
          <t>-456K65.3</t>
        </is>
      </c>
    </row>
    <row r="9723">
      <c r="A9723">
        <v>9722</v>
      </c>
      <c r="B9723">
        <f>GS16</f>
        <v>0</v>
      </c>
      <c r="C9723" t="inlineStr">
        <is>
          <t>+LS8</t>
        </is>
      </c>
      <c r="D9723" t="inlineStr">
        <is>
          <t>-456K65.4</t>
        </is>
      </c>
      <c r="E9723" t="inlineStr">
        <is>
          <t>DIL_EM-10-G</t>
        </is>
      </c>
      <c r="F9723" t="inlineStr">
        <is>
          <t>#KALK!</t>
        </is>
      </c>
      <c r="G9723" t="inlineStr">
        <is>
          <t>LASTSCHUETZ</t>
        </is>
      </c>
      <c r="H9723" t="inlineStr">
        <is>
          <t>4kW 1S</t>
        </is>
      </c>
      <c r="I9723">
        <v>694</v>
      </c>
      <c r="J9723">
        <f>GS16/456.6</f>
        <v>0</v>
      </c>
      <c r="M9723" t="inlineStr">
        <is>
          <t>-456K65.4</t>
        </is>
      </c>
    </row>
    <row r="9724">
      <c r="A9724">
        <v>9723</v>
      </c>
      <c r="B9724">
        <f>GS90</f>
        <v>0</v>
      </c>
      <c r="C9724" t="inlineStr">
        <is>
          <t>+LS09</t>
        </is>
      </c>
      <c r="D9724" t="inlineStr">
        <is>
          <t>-456Q463.3</t>
        </is>
      </c>
      <c r="E9724" t="inlineStr">
        <is>
          <t>DILM-9-10</t>
        </is>
      </c>
      <c r="F9724" t="inlineStr">
        <is>
          <t>#KALK!</t>
        </is>
      </c>
      <c r="G9724" t="inlineStr">
        <is>
          <t>LASTSCHUETZ</t>
        </is>
      </c>
      <c r="H9724" t="inlineStr">
        <is>
          <t>4kW 1S Federzugkl.</t>
        </is>
      </c>
      <c r="I9724">
        <v>769</v>
      </c>
      <c r="J9724">
        <f>GS90/456.5</f>
        <v>0</v>
      </c>
      <c r="M9724" t="inlineStr">
        <is>
          <t>-456Q463.3</t>
        </is>
      </c>
    </row>
    <row r="9725">
      <c r="A9725">
        <v>9724</v>
      </c>
      <c r="B9725">
        <f>GC03</f>
        <v>0</v>
      </c>
      <c r="C9725" t="inlineStr">
        <is>
          <t>+LS10</t>
        </is>
      </c>
      <c r="D9725" t="inlineStr">
        <is>
          <t>-457K28.3</t>
        </is>
      </c>
      <c r="E9725" t="inlineStr">
        <is>
          <t>DIL_EM-10-G</t>
        </is>
      </c>
      <c r="F9725" t="inlineStr">
        <is>
          <t>#KALK!</t>
        </is>
      </c>
      <c r="G9725" t="inlineStr">
        <is>
          <t>LASTSCHUETZ</t>
        </is>
      </c>
      <c r="H9725" t="inlineStr">
        <is>
          <t>4kW 1S</t>
        </is>
      </c>
      <c r="I9725">
        <v>2270</v>
      </c>
      <c r="J9725">
        <f>GC03/457.7</f>
        <v>0</v>
      </c>
      <c r="M9725" t="inlineStr">
        <is>
          <t>-457K28.3</t>
        </is>
      </c>
    </row>
    <row r="9726">
      <c r="A9726">
        <v>9725</v>
      </c>
      <c r="B9726">
        <f>GS25</f>
        <v>0</v>
      </c>
      <c r="C9726" t="inlineStr">
        <is>
          <t>+LS10</t>
        </is>
      </c>
      <c r="D9726" t="inlineStr">
        <is>
          <t>-457K3502.0</t>
        </is>
      </c>
      <c r="E9726" t="inlineStr">
        <is>
          <t>DIL_EM-10-G</t>
        </is>
      </c>
      <c r="F9726" t="inlineStr">
        <is>
          <t>#KALK!</t>
        </is>
      </c>
      <c r="G9726" t="inlineStr">
        <is>
          <t>LASTSCHUETZ</t>
        </is>
      </c>
      <c r="H9726" t="inlineStr">
        <is>
          <t>4kW 1S</t>
        </is>
      </c>
      <c r="I9726">
        <v>583</v>
      </c>
      <c r="J9726">
        <f>GS25/457.6</f>
        <v>0</v>
      </c>
      <c r="M9726" t="inlineStr">
        <is>
          <t>-457K3502.0</t>
        </is>
      </c>
    </row>
    <row r="9727">
      <c r="A9727">
        <v>9726</v>
      </c>
      <c r="B9727">
        <f>GS25</f>
        <v>0</v>
      </c>
      <c r="C9727" t="inlineStr">
        <is>
          <t>+LS10</t>
        </is>
      </c>
      <c r="D9727" t="inlineStr">
        <is>
          <t>-457K3502.1</t>
        </is>
      </c>
      <c r="E9727" t="inlineStr">
        <is>
          <t>DIL_EM-10-G</t>
        </is>
      </c>
      <c r="F9727" t="inlineStr">
        <is>
          <t>#KALK!</t>
        </is>
      </c>
      <c r="G9727" t="inlineStr">
        <is>
          <t>LASTSCHUETZ</t>
        </is>
      </c>
      <c r="H9727" t="inlineStr">
        <is>
          <t>4kW 1S</t>
        </is>
      </c>
      <c r="I9727">
        <v>583</v>
      </c>
      <c r="J9727">
        <f>GS25/457.6</f>
        <v>0</v>
      </c>
      <c r="M9727" t="inlineStr">
        <is>
          <t>-457K3502.1</t>
        </is>
      </c>
    </row>
    <row r="9728">
      <c r="A9728">
        <v>9727</v>
      </c>
      <c r="B9728">
        <f>GS14</f>
        <v>0</v>
      </c>
      <c r="C9728" t="inlineStr">
        <is>
          <t>+LS8</t>
        </is>
      </c>
      <c r="D9728" t="inlineStr">
        <is>
          <t>-457K3506.2</t>
        </is>
      </c>
      <c r="E9728" t="inlineStr">
        <is>
          <t>DIL_EM-10-G</t>
        </is>
      </c>
      <c r="F9728" t="inlineStr">
        <is>
          <t>#KALK!</t>
        </is>
      </c>
      <c r="G9728" t="inlineStr">
        <is>
          <t>LASTSCHUETZ</t>
        </is>
      </c>
      <c r="H9728" t="inlineStr">
        <is>
          <t>4kW 1S</t>
        </is>
      </c>
      <c r="I9728">
        <v>589</v>
      </c>
      <c r="J9728">
        <f>GS14/457.6</f>
        <v>0</v>
      </c>
      <c r="M9728" t="inlineStr">
        <is>
          <t>-457K3506.2</t>
        </is>
      </c>
    </row>
    <row r="9729">
      <c r="A9729">
        <v>9728</v>
      </c>
      <c r="B9729">
        <f>GS14</f>
        <v>0</v>
      </c>
      <c r="C9729" t="inlineStr">
        <is>
          <t>+LS8</t>
        </is>
      </c>
      <c r="D9729" t="inlineStr">
        <is>
          <t>-457K3506.3</t>
        </is>
      </c>
      <c r="E9729" t="inlineStr">
        <is>
          <t>DIL_EM-10-G</t>
        </is>
      </c>
      <c r="F9729" t="inlineStr">
        <is>
          <t>#KALK!</t>
        </is>
      </c>
      <c r="G9729" t="inlineStr">
        <is>
          <t>LASTSCHUETZ</t>
        </is>
      </c>
      <c r="H9729" t="inlineStr">
        <is>
          <t>4kW 1S</t>
        </is>
      </c>
      <c r="I9729">
        <v>589</v>
      </c>
      <c r="J9729">
        <f>GS14/457.7</f>
        <v>0</v>
      </c>
      <c r="M9729" t="inlineStr">
        <is>
          <t>-457K3506.3</t>
        </is>
      </c>
    </row>
    <row r="9730">
      <c r="A9730">
        <v>9729</v>
      </c>
      <c r="B9730">
        <f>GS33</f>
        <v>0</v>
      </c>
      <c r="C9730" t="inlineStr">
        <is>
          <t>+LS10</t>
        </is>
      </c>
      <c r="D9730" t="inlineStr">
        <is>
          <t>-457K3905.0</t>
        </is>
      </c>
      <c r="E9730" t="inlineStr">
        <is>
          <t>DIL_EM-10-G</t>
        </is>
      </c>
      <c r="F9730" t="inlineStr">
        <is>
          <t>#KALK!</t>
        </is>
      </c>
      <c r="G9730" t="inlineStr">
        <is>
          <t>LASTSCHUETZ</t>
        </is>
      </c>
      <c r="H9730" t="inlineStr">
        <is>
          <t>4kW 1S</t>
        </is>
      </c>
      <c r="I9730">
        <v>911</v>
      </c>
      <c r="J9730">
        <f>GS33/457.6</f>
        <v>0</v>
      </c>
      <c r="M9730" t="inlineStr">
        <is>
          <t>-457K3905.0</t>
        </is>
      </c>
    </row>
    <row r="9731">
      <c r="A9731">
        <v>9730</v>
      </c>
      <c r="B9731">
        <f>GS33</f>
        <v>0</v>
      </c>
      <c r="C9731" t="inlineStr">
        <is>
          <t>+LS10</t>
        </is>
      </c>
      <c r="D9731" t="inlineStr">
        <is>
          <t>-457K3905.5</t>
        </is>
      </c>
      <c r="E9731" t="inlineStr">
        <is>
          <t>DIL_EM-10-G</t>
        </is>
      </c>
      <c r="F9731" t="inlineStr">
        <is>
          <t>#KALK!</t>
        </is>
      </c>
      <c r="G9731" t="inlineStr">
        <is>
          <t>LASTSCHUETZ</t>
        </is>
      </c>
      <c r="H9731" t="inlineStr">
        <is>
          <t>4kW 1S</t>
        </is>
      </c>
      <c r="I9731">
        <v>911</v>
      </c>
      <c r="J9731">
        <f>GS33/457.7</f>
        <v>0</v>
      </c>
      <c r="M9731" t="inlineStr">
        <is>
          <t>-457K3905.5</t>
        </is>
      </c>
    </row>
    <row r="9732">
      <c r="A9732">
        <v>9731</v>
      </c>
      <c r="B9732">
        <f>GS16</f>
        <v>0</v>
      </c>
      <c r="C9732" t="inlineStr">
        <is>
          <t>+LS8</t>
        </is>
      </c>
      <c r="D9732" t="inlineStr">
        <is>
          <t>-457K65.5</t>
        </is>
      </c>
      <c r="E9732" t="inlineStr">
        <is>
          <t>DIL_EM-10-G</t>
        </is>
      </c>
      <c r="F9732" t="inlineStr">
        <is>
          <t>#KALK!</t>
        </is>
      </c>
      <c r="G9732" t="inlineStr">
        <is>
          <t>LASTSCHUETZ</t>
        </is>
      </c>
      <c r="H9732" t="inlineStr">
        <is>
          <t>4kW 1S</t>
        </is>
      </c>
      <c r="I9732">
        <v>695</v>
      </c>
      <c r="J9732">
        <f>GS16/457.6</f>
        <v>0</v>
      </c>
      <c r="M9732" t="inlineStr">
        <is>
          <t>-457K65.5</t>
        </is>
      </c>
    </row>
    <row r="9733">
      <c r="A9733">
        <v>9732</v>
      </c>
      <c r="B9733">
        <f>GS16</f>
        <v>0</v>
      </c>
      <c r="C9733" t="inlineStr">
        <is>
          <t>+LS8</t>
        </is>
      </c>
      <c r="D9733" t="inlineStr">
        <is>
          <t>-457K65.6</t>
        </is>
      </c>
      <c r="E9733" t="inlineStr">
        <is>
          <t>DIL_EM-10-G</t>
        </is>
      </c>
      <c r="F9733" t="inlineStr">
        <is>
          <t>#KALK!</t>
        </is>
      </c>
      <c r="G9733" t="inlineStr">
        <is>
          <t>LASTSCHUETZ</t>
        </is>
      </c>
      <c r="H9733" t="inlineStr">
        <is>
          <t>4kW 1S</t>
        </is>
      </c>
      <c r="I9733">
        <v>695</v>
      </c>
      <c r="J9733">
        <f>GS16/457.6</f>
        <v>0</v>
      </c>
      <c r="M9733" t="inlineStr">
        <is>
          <t>-457K65.6</t>
        </is>
      </c>
    </row>
    <row r="9734">
      <c r="A9734">
        <v>9733</v>
      </c>
      <c r="B9734">
        <f>GS52</f>
        <v>0</v>
      </c>
      <c r="C9734" t="inlineStr">
        <is>
          <t>+LS07</t>
        </is>
      </c>
      <c r="D9734" t="inlineStr">
        <is>
          <t>-457Q166.2</t>
        </is>
      </c>
      <c r="E9734" t="inlineStr">
        <is>
          <t>DILM-9-10</t>
        </is>
      </c>
      <c r="F9734" t="inlineStr">
        <is>
          <t>#KALK!</t>
        </is>
      </c>
      <c r="G9734" t="inlineStr">
        <is>
          <t>LASTSCHUETZ</t>
        </is>
      </c>
      <c r="H9734" t="inlineStr">
        <is>
          <t>4kW 1S Federzugkl.</t>
        </is>
      </c>
      <c r="I9734">
        <v>1548</v>
      </c>
      <c r="J9734">
        <f>GS52/457.6</f>
        <v>0</v>
      </c>
      <c r="K9734" t="inlineStr">
        <is>
          <t>DIL MC9</t>
        </is>
      </c>
      <c r="M9734" t="inlineStr">
        <is>
          <t>-457Q166.2</t>
        </is>
      </c>
    </row>
    <row r="9735">
      <c r="A9735">
        <v>9734</v>
      </c>
      <c r="B9735">
        <f>GS90</f>
        <v>0</v>
      </c>
      <c r="C9735" t="inlineStr">
        <is>
          <t>+LS09</t>
        </is>
      </c>
      <c r="D9735" t="inlineStr">
        <is>
          <t>-457Q463.4</t>
        </is>
      </c>
      <c r="E9735" t="inlineStr">
        <is>
          <t>DILM-9-10</t>
        </is>
      </c>
      <c r="F9735" t="inlineStr">
        <is>
          <t>#KALK!</t>
        </is>
      </c>
      <c r="G9735" t="inlineStr">
        <is>
          <t>LASTSCHUETZ</t>
        </is>
      </c>
      <c r="H9735" t="inlineStr">
        <is>
          <t>4kW 1S Federzugkl.</t>
        </is>
      </c>
      <c r="I9735">
        <v>766</v>
      </c>
      <c r="J9735">
        <f>GS90/457.5</f>
        <v>0</v>
      </c>
      <c r="M9735" t="inlineStr">
        <is>
          <t>-457Q463.4</t>
        </is>
      </c>
    </row>
    <row r="9736">
      <c r="A9736">
        <v>9735</v>
      </c>
      <c r="B9736">
        <f>GS92</f>
        <v>0</v>
      </c>
      <c r="C9736" t="inlineStr">
        <is>
          <t>+LS08</t>
        </is>
      </c>
      <c r="D9736" t="inlineStr">
        <is>
          <t>-457Q754.1</t>
        </is>
      </c>
      <c r="E9736" t="inlineStr">
        <is>
          <t>DILM-9-10</t>
        </is>
      </c>
      <c r="F9736" t="inlineStr">
        <is>
          <t>#KALK!</t>
        </is>
      </c>
      <c r="G9736" t="inlineStr">
        <is>
          <t>LASTSCHUETZ</t>
        </is>
      </c>
      <c r="H9736" t="inlineStr">
        <is>
          <t>4kW 1S Federzugkl.</t>
        </is>
      </c>
      <c r="I9736">
        <v>602</v>
      </c>
      <c r="J9736">
        <f>GS92/457.5</f>
        <v>0</v>
      </c>
      <c r="M9736" t="inlineStr">
        <is>
          <t>-457Q754.1</t>
        </is>
      </c>
    </row>
    <row r="9737">
      <c r="A9737">
        <v>9736</v>
      </c>
      <c r="B9737">
        <f>GS46</f>
        <v>0</v>
      </c>
      <c r="C9737" t="inlineStr">
        <is>
          <t>+LS07</t>
        </is>
      </c>
      <c r="D9737" t="inlineStr">
        <is>
          <t>-458K1</t>
        </is>
      </c>
      <c r="E9737" t="inlineStr">
        <is>
          <t>DILM-9-01</t>
        </is>
      </c>
      <c r="F9737" t="inlineStr">
        <is>
          <t>#KALK!</t>
        </is>
      </c>
      <c r="G9737" t="inlineStr">
        <is>
          <t>LASTSCHUETZ</t>
        </is>
      </c>
      <c r="H9737" t="inlineStr">
        <is>
          <t>4kW 1Oe Federzugkl.</t>
        </is>
      </c>
      <c r="I9737">
        <v>620</v>
      </c>
      <c r="J9737">
        <f>GS46/458.6</f>
        <v>0</v>
      </c>
      <c r="M9737" t="inlineStr">
        <is>
          <t>-458K1</t>
        </is>
      </c>
    </row>
    <row r="9738">
      <c r="A9738">
        <v>9737</v>
      </c>
      <c r="B9738">
        <f>GS47</f>
        <v>0</v>
      </c>
      <c r="C9738" t="inlineStr">
        <is>
          <t>+LS07</t>
        </is>
      </c>
      <c r="D9738" t="inlineStr">
        <is>
          <t>-458K1</t>
        </is>
      </c>
      <c r="E9738" t="inlineStr">
        <is>
          <t>DILM-9-01</t>
        </is>
      </c>
      <c r="F9738" t="inlineStr">
        <is>
          <t>#KALK!</t>
        </is>
      </c>
      <c r="G9738" t="inlineStr">
        <is>
          <t>LASTSCHUETZ</t>
        </is>
      </c>
      <c r="H9738" t="inlineStr">
        <is>
          <t>4kW 1Oe Federzugkl.</t>
        </is>
      </c>
      <c r="I9738">
        <v>620</v>
      </c>
      <c r="J9738">
        <f>GS47/458.6</f>
        <v>0</v>
      </c>
      <c r="M9738" t="inlineStr">
        <is>
          <t>-458K1</t>
        </is>
      </c>
    </row>
    <row r="9739">
      <c r="A9739">
        <v>9738</v>
      </c>
      <c r="B9739">
        <f>GS48</f>
        <v>0</v>
      </c>
      <c r="C9739" t="inlineStr">
        <is>
          <t>+LS07</t>
        </is>
      </c>
      <c r="D9739" t="inlineStr">
        <is>
          <t>-458K1</t>
        </is>
      </c>
      <c r="E9739" t="inlineStr">
        <is>
          <t>DILM-9-01</t>
        </is>
      </c>
      <c r="F9739" t="inlineStr">
        <is>
          <t>#KALK!</t>
        </is>
      </c>
      <c r="G9739" t="inlineStr">
        <is>
          <t>LASTSCHUETZ</t>
        </is>
      </c>
      <c r="H9739" t="inlineStr">
        <is>
          <t>4kW 1Oe Federzugkl.</t>
        </is>
      </c>
      <c r="I9739">
        <v>570</v>
      </c>
      <c r="J9739">
        <f>GS48/458.6</f>
        <v>0</v>
      </c>
      <c r="M9739" t="inlineStr">
        <is>
          <t>-458K1</t>
        </is>
      </c>
    </row>
    <row r="9740">
      <c r="A9740">
        <v>9739</v>
      </c>
      <c r="B9740">
        <f>GS49</f>
        <v>0</v>
      </c>
      <c r="C9740" t="inlineStr">
        <is>
          <t>+LS07</t>
        </is>
      </c>
      <c r="D9740" t="inlineStr">
        <is>
          <t>-458K1</t>
        </is>
      </c>
      <c r="E9740" t="inlineStr">
        <is>
          <t>DILM-9-01</t>
        </is>
      </c>
      <c r="F9740" t="inlineStr">
        <is>
          <t>#KALK!</t>
        </is>
      </c>
      <c r="G9740" t="inlineStr">
        <is>
          <t>LASTSCHUETZ</t>
        </is>
      </c>
      <c r="H9740" t="inlineStr">
        <is>
          <t>4kW 1Oe Federzugkl.</t>
        </is>
      </c>
      <c r="I9740">
        <v>569</v>
      </c>
      <c r="J9740">
        <f>GS49/458.6</f>
        <v>0</v>
      </c>
      <c r="M9740" t="inlineStr">
        <is>
          <t>-458K1</t>
        </is>
      </c>
    </row>
    <row r="9741">
      <c r="A9741">
        <v>9740</v>
      </c>
      <c r="B9741">
        <f>GS46</f>
        <v>0</v>
      </c>
      <c r="C9741" t="inlineStr">
        <is>
          <t>+LS07</t>
        </is>
      </c>
      <c r="D9741" t="inlineStr">
        <is>
          <t>-458K2</t>
        </is>
      </c>
      <c r="E9741" t="inlineStr">
        <is>
          <t>DILM-9-01</t>
        </is>
      </c>
      <c r="F9741" t="inlineStr">
        <is>
          <t>#KALK!</t>
        </is>
      </c>
      <c r="G9741" t="inlineStr">
        <is>
          <t>LASTSCHUETZ</t>
        </is>
      </c>
      <c r="H9741" t="inlineStr">
        <is>
          <t>4kW 1Oe Federzugkl.</t>
        </is>
      </c>
      <c r="I9741">
        <v>620</v>
      </c>
      <c r="J9741">
        <f>GS46/458.7</f>
        <v>0</v>
      </c>
      <c r="M9741" t="inlineStr">
        <is>
          <t>-458K2</t>
        </is>
      </c>
    </row>
    <row r="9742">
      <c r="A9742">
        <v>9741</v>
      </c>
      <c r="B9742">
        <f>GS47</f>
        <v>0</v>
      </c>
      <c r="C9742" t="inlineStr">
        <is>
          <t>+LS07</t>
        </is>
      </c>
      <c r="D9742" t="inlineStr">
        <is>
          <t>-458K2</t>
        </is>
      </c>
      <c r="E9742" t="inlineStr">
        <is>
          <t>DILM-9-01</t>
        </is>
      </c>
      <c r="F9742" t="inlineStr">
        <is>
          <t>#KALK!</t>
        </is>
      </c>
      <c r="G9742" t="inlineStr">
        <is>
          <t>LASTSCHUETZ</t>
        </is>
      </c>
      <c r="H9742" t="inlineStr">
        <is>
          <t>4kW 1Oe Federzugkl.</t>
        </is>
      </c>
      <c r="I9742">
        <v>620</v>
      </c>
      <c r="J9742">
        <f>GS47/458.7</f>
        <v>0</v>
      </c>
      <c r="M9742" t="inlineStr">
        <is>
          <t>-458K2</t>
        </is>
      </c>
    </row>
    <row r="9743">
      <c r="A9743">
        <v>9742</v>
      </c>
      <c r="B9743">
        <f>GS48</f>
        <v>0</v>
      </c>
      <c r="C9743" t="inlineStr">
        <is>
          <t>+LS07</t>
        </is>
      </c>
      <c r="D9743" t="inlineStr">
        <is>
          <t>-458K2</t>
        </is>
      </c>
      <c r="E9743" t="inlineStr">
        <is>
          <t>DILM-9-01</t>
        </is>
      </c>
      <c r="F9743" t="inlineStr">
        <is>
          <t>#KALK!</t>
        </is>
      </c>
      <c r="G9743" t="inlineStr">
        <is>
          <t>LASTSCHUETZ</t>
        </is>
      </c>
      <c r="H9743" t="inlineStr">
        <is>
          <t>4kW 1Oe Federzugkl.</t>
        </is>
      </c>
      <c r="I9743">
        <v>570</v>
      </c>
      <c r="J9743">
        <f>GS48/458.7</f>
        <v>0</v>
      </c>
      <c r="M9743" t="inlineStr">
        <is>
          <t>-458K2</t>
        </is>
      </c>
    </row>
    <row r="9744">
      <c r="A9744">
        <v>9743</v>
      </c>
      <c r="B9744">
        <f>GS49</f>
        <v>0</v>
      </c>
      <c r="C9744" t="inlineStr">
        <is>
          <t>+LS07</t>
        </is>
      </c>
      <c r="D9744" t="inlineStr">
        <is>
          <t>-458K2</t>
        </is>
      </c>
      <c r="E9744" t="inlineStr">
        <is>
          <t>DILM-9-01</t>
        </is>
      </c>
      <c r="F9744" t="inlineStr">
        <is>
          <t>#KALK!</t>
        </is>
      </c>
      <c r="G9744" t="inlineStr">
        <is>
          <t>LASTSCHUETZ</t>
        </is>
      </c>
      <c r="H9744" t="inlineStr">
        <is>
          <t>4kW 1Oe Federzugkl.</t>
        </is>
      </c>
      <c r="I9744">
        <v>569</v>
      </c>
      <c r="J9744">
        <f>GS49/458.7</f>
        <v>0</v>
      </c>
      <c r="M9744" t="inlineStr">
        <is>
          <t>-458K2</t>
        </is>
      </c>
    </row>
    <row r="9745">
      <c r="A9745">
        <v>9744</v>
      </c>
      <c r="B9745">
        <f>GS25</f>
        <v>0</v>
      </c>
      <c r="C9745" t="inlineStr">
        <is>
          <t>+LS10</t>
        </is>
      </c>
      <c r="D9745" t="inlineStr">
        <is>
          <t>-458K3502.2</t>
        </is>
      </c>
      <c r="E9745" t="inlineStr">
        <is>
          <t>DIL_EM-10-G</t>
        </is>
      </c>
      <c r="F9745" t="inlineStr">
        <is>
          <t>#KALK!</t>
        </is>
      </c>
      <c r="G9745" t="inlineStr">
        <is>
          <t>LASTSCHUETZ</t>
        </is>
      </c>
      <c r="H9745" t="inlineStr">
        <is>
          <t>4kW 1S</t>
        </is>
      </c>
      <c r="I9745">
        <v>584</v>
      </c>
      <c r="J9745">
        <f>GS25/458.6</f>
        <v>0</v>
      </c>
      <c r="M9745" t="inlineStr">
        <is>
          <t>-458K3502.2</t>
        </is>
      </c>
    </row>
    <row r="9746">
      <c r="A9746">
        <v>9745</v>
      </c>
      <c r="B9746">
        <f>GS25</f>
        <v>0</v>
      </c>
      <c r="C9746" t="inlineStr">
        <is>
          <t>+LS10</t>
        </is>
      </c>
      <c r="D9746" t="inlineStr">
        <is>
          <t>-458K3502.3</t>
        </is>
      </c>
      <c r="E9746" t="inlineStr">
        <is>
          <t>DIL_EM-10-G</t>
        </is>
      </c>
      <c r="F9746" t="inlineStr">
        <is>
          <t>#KALK!</t>
        </is>
      </c>
      <c r="G9746" t="inlineStr">
        <is>
          <t>LASTSCHUETZ</t>
        </is>
      </c>
      <c r="H9746" t="inlineStr">
        <is>
          <t>4kW 1S</t>
        </is>
      </c>
      <c r="I9746">
        <v>584</v>
      </c>
      <c r="J9746">
        <f>GS25/458.6</f>
        <v>0</v>
      </c>
      <c r="M9746" t="inlineStr">
        <is>
          <t>-458K3502.3</t>
        </is>
      </c>
    </row>
    <row r="9747">
      <c r="A9747">
        <v>9746</v>
      </c>
      <c r="B9747">
        <f>GS14</f>
        <v>0</v>
      </c>
      <c r="C9747" t="inlineStr">
        <is>
          <t>+LS8</t>
        </is>
      </c>
      <c r="D9747" t="inlineStr">
        <is>
          <t>-458K3507.3</t>
        </is>
      </c>
      <c r="E9747" t="inlineStr">
        <is>
          <t>DIL_EM-10-G</t>
        </is>
      </c>
      <c r="F9747" t="inlineStr">
        <is>
          <t>#KALK!</t>
        </is>
      </c>
      <c r="G9747" t="inlineStr">
        <is>
          <t>LASTSCHUETZ</t>
        </is>
      </c>
      <c r="H9747" t="inlineStr">
        <is>
          <t>4kW 1S</t>
        </is>
      </c>
      <c r="I9747">
        <v>590</v>
      </c>
      <c r="J9747">
        <f>GS14/458.7</f>
        <v>0</v>
      </c>
      <c r="M9747" t="inlineStr">
        <is>
          <t>-458K3507.3</t>
        </is>
      </c>
    </row>
    <row r="9748">
      <c r="A9748">
        <v>9747</v>
      </c>
      <c r="B9748">
        <f>GS34</f>
        <v>0</v>
      </c>
      <c r="C9748" t="inlineStr">
        <is>
          <t>+QVW2601</t>
        </is>
      </c>
      <c r="D9748" t="inlineStr">
        <is>
          <t>-458K3608.2</t>
        </is>
      </c>
      <c r="E9748" t="inlineStr">
        <is>
          <t>DIL_ER-22-G</t>
        </is>
      </c>
      <c r="F9748" t="inlineStr">
        <is>
          <t>#KALK!</t>
        </is>
      </c>
      <c r="G9748" t="inlineStr">
        <is>
          <t>HILFSSCHUETZ</t>
        </is>
      </c>
      <c r="H9748" t="inlineStr">
        <is>
          <t>2S 2OE</t>
        </is>
      </c>
      <c r="I9748">
        <v>583</v>
      </c>
      <c r="J9748">
        <f>GS34/458.2</f>
        <v>0</v>
      </c>
      <c r="M9748" t="inlineStr">
        <is>
          <t>-458K3608.2</t>
        </is>
      </c>
    </row>
    <row r="9749">
      <c r="A9749">
        <v>9748</v>
      </c>
      <c r="B9749">
        <f>GS34</f>
        <v>0</v>
      </c>
      <c r="C9749" t="inlineStr">
        <is>
          <t>+QVW2601</t>
        </is>
      </c>
      <c r="D9749" t="inlineStr">
        <is>
          <t>-458K3608.3</t>
        </is>
      </c>
      <c r="E9749" t="inlineStr">
        <is>
          <t>DIL_EM-10-G</t>
        </is>
      </c>
      <c r="F9749" t="inlineStr">
        <is>
          <t>#KALK!</t>
        </is>
      </c>
      <c r="G9749" t="inlineStr">
        <is>
          <t>LASTSCHUETZ</t>
        </is>
      </c>
      <c r="H9749" t="inlineStr">
        <is>
          <t>4kW 1S</t>
        </is>
      </c>
      <c r="I9749">
        <v>583</v>
      </c>
      <c r="J9749">
        <f>GS34/458.5</f>
        <v>0</v>
      </c>
      <c r="M9749" t="inlineStr">
        <is>
          <t>-458K3608.3</t>
        </is>
      </c>
    </row>
    <row r="9750">
      <c r="A9750">
        <v>9749</v>
      </c>
      <c r="B9750">
        <f>GS34</f>
        <v>0</v>
      </c>
      <c r="C9750" t="inlineStr">
        <is>
          <t>+QVW2601</t>
        </is>
      </c>
      <c r="D9750" t="inlineStr">
        <is>
          <t>-458K3611.1</t>
        </is>
      </c>
      <c r="E9750" t="inlineStr">
        <is>
          <t>DIL_ER-22-G</t>
        </is>
      </c>
      <c r="F9750" t="inlineStr">
        <is>
          <t>#KALK!</t>
        </is>
      </c>
      <c r="G9750" t="inlineStr">
        <is>
          <t>HILFSSCHUETZ</t>
        </is>
      </c>
      <c r="H9750" t="inlineStr">
        <is>
          <t>2S 2OE</t>
        </is>
      </c>
      <c r="I9750">
        <v>583</v>
      </c>
      <c r="J9750">
        <f>GS34/458.3</f>
        <v>0</v>
      </c>
      <c r="M9750" t="inlineStr">
        <is>
          <t>-458K3611.1</t>
        </is>
      </c>
    </row>
    <row r="9751">
      <c r="A9751">
        <v>9750</v>
      </c>
      <c r="B9751">
        <f>GS34</f>
        <v>0</v>
      </c>
      <c r="C9751" t="inlineStr">
        <is>
          <t>+QVW2601</t>
        </is>
      </c>
      <c r="D9751" t="inlineStr">
        <is>
          <t>-458K3611.2</t>
        </is>
      </c>
      <c r="E9751" t="inlineStr">
        <is>
          <t>DIL_ER-22-G</t>
        </is>
      </c>
      <c r="F9751" t="inlineStr">
        <is>
          <t>#KALK!</t>
        </is>
      </c>
      <c r="G9751" t="inlineStr">
        <is>
          <t>HILFSSCHUETZ</t>
        </is>
      </c>
      <c r="H9751" t="inlineStr">
        <is>
          <t>2S 2OE</t>
        </is>
      </c>
      <c r="I9751">
        <v>583</v>
      </c>
      <c r="J9751">
        <f>GS34/458.4</f>
        <v>0</v>
      </c>
      <c r="M9751" t="inlineStr">
        <is>
          <t>-458K3611.2</t>
        </is>
      </c>
    </row>
    <row r="9752">
      <c r="A9752">
        <v>9751</v>
      </c>
      <c r="B9752">
        <f>GS33</f>
        <v>0</v>
      </c>
      <c r="C9752" t="inlineStr">
        <is>
          <t>+LS10</t>
        </is>
      </c>
      <c r="D9752" t="inlineStr">
        <is>
          <t>-458K3905.4</t>
        </is>
      </c>
      <c r="E9752" t="inlineStr">
        <is>
          <t>DIL_EM-10-G</t>
        </is>
      </c>
      <c r="F9752" t="inlineStr">
        <is>
          <t>#KALK!</t>
        </is>
      </c>
      <c r="G9752" t="inlineStr">
        <is>
          <t>LASTSCHUETZ</t>
        </is>
      </c>
      <c r="H9752" t="inlineStr">
        <is>
          <t>4kW 1S</t>
        </is>
      </c>
      <c r="I9752">
        <v>912</v>
      </c>
      <c r="J9752">
        <f>GS33/458.7</f>
        <v>0</v>
      </c>
      <c r="M9752" t="inlineStr">
        <is>
          <t>-458K3905.4</t>
        </is>
      </c>
    </row>
    <row r="9753">
      <c r="A9753">
        <v>9752</v>
      </c>
      <c r="B9753">
        <f>GC22</f>
        <v>0</v>
      </c>
      <c r="C9753" t="inlineStr">
        <is>
          <t>+QVW2101</t>
        </is>
      </c>
      <c r="D9753" t="inlineStr">
        <is>
          <t>-458K60.2</t>
        </is>
      </c>
      <c r="E9753" t="inlineStr">
        <is>
          <t>DIL_ER-22-G</t>
        </is>
      </c>
      <c r="F9753" t="inlineStr">
        <is>
          <t>#KALK!</t>
        </is>
      </c>
      <c r="G9753" t="inlineStr">
        <is>
          <t>HILFSSCHUETZ</t>
        </is>
      </c>
      <c r="H9753" t="inlineStr">
        <is>
          <t>2S 2OE</t>
        </is>
      </c>
      <c r="I9753">
        <v>2291</v>
      </c>
      <c r="J9753">
        <f>GC22/458.2</f>
        <v>0</v>
      </c>
      <c r="M9753" t="inlineStr">
        <is>
          <t>-458K60.2</t>
        </is>
      </c>
    </row>
    <row r="9754">
      <c r="A9754">
        <v>9753</v>
      </c>
      <c r="B9754">
        <f>GS12</f>
        <v>0</v>
      </c>
      <c r="C9754" t="inlineStr">
        <is>
          <t>+QVW2101</t>
        </is>
      </c>
      <c r="D9754" t="inlineStr">
        <is>
          <t>-458K60.2</t>
        </is>
      </c>
      <c r="E9754" t="inlineStr">
        <is>
          <t>DIL_ER-22-G</t>
        </is>
      </c>
      <c r="F9754" t="inlineStr">
        <is>
          <t>#KALK!</t>
        </is>
      </c>
      <c r="G9754" t="inlineStr">
        <is>
          <t>HILFSSCHUETZ</t>
        </is>
      </c>
      <c r="H9754" t="inlineStr">
        <is>
          <t>2S 2OE</t>
        </is>
      </c>
      <c r="I9754">
        <v>590</v>
      </c>
      <c r="J9754">
        <f>GS12/458.2</f>
        <v>0</v>
      </c>
      <c r="M9754" t="inlineStr">
        <is>
          <t>-458K60.2</t>
        </is>
      </c>
    </row>
    <row r="9755">
      <c r="A9755">
        <v>9754</v>
      </c>
      <c r="B9755">
        <f>GC22</f>
        <v>0</v>
      </c>
      <c r="C9755" t="inlineStr">
        <is>
          <t>+QVW2101</t>
        </is>
      </c>
      <c r="D9755" t="inlineStr">
        <is>
          <t>-458K60.5</t>
        </is>
      </c>
      <c r="E9755" t="inlineStr">
        <is>
          <t>DIL_EM-10-G</t>
        </is>
      </c>
      <c r="F9755" t="inlineStr">
        <is>
          <t>#KALK!</t>
        </is>
      </c>
      <c r="G9755" t="inlineStr">
        <is>
          <t>LASTSCHUETZ</t>
        </is>
      </c>
      <c r="H9755" t="inlineStr">
        <is>
          <t>4kW 1S</t>
        </is>
      </c>
      <c r="I9755">
        <v>2291</v>
      </c>
      <c r="J9755">
        <f>GC22/458.5</f>
        <v>0</v>
      </c>
      <c r="M9755" t="inlineStr">
        <is>
          <t>-458K60.5</t>
        </is>
      </c>
    </row>
    <row r="9756">
      <c r="A9756">
        <v>9755</v>
      </c>
      <c r="B9756">
        <f>GS12</f>
        <v>0</v>
      </c>
      <c r="C9756" t="inlineStr">
        <is>
          <t>+QVW2101</t>
        </is>
      </c>
      <c r="D9756" t="inlineStr">
        <is>
          <t>-458K60.5</t>
        </is>
      </c>
      <c r="E9756" t="inlineStr">
        <is>
          <t>DIL_EM-10-G</t>
        </is>
      </c>
      <c r="F9756" t="inlineStr">
        <is>
          <t>#KALK!</t>
        </is>
      </c>
      <c r="G9756" t="inlineStr">
        <is>
          <t>LASTSCHUETZ</t>
        </is>
      </c>
      <c r="H9756" t="inlineStr">
        <is>
          <t>4kW 1S</t>
        </is>
      </c>
      <c r="I9756">
        <v>590</v>
      </c>
      <c r="J9756">
        <f>GS12/458.5</f>
        <v>0</v>
      </c>
      <c r="M9756" t="inlineStr">
        <is>
          <t>-458K60.5</t>
        </is>
      </c>
    </row>
    <row r="9757">
      <c r="A9757">
        <v>9756</v>
      </c>
      <c r="B9757">
        <f>GC22</f>
        <v>0</v>
      </c>
      <c r="C9757" t="inlineStr">
        <is>
          <t>+QVW2101</t>
        </is>
      </c>
      <c r="D9757" t="inlineStr">
        <is>
          <t>-458K63.4</t>
        </is>
      </c>
      <c r="E9757" t="inlineStr">
        <is>
          <t>DIL_ER-22-G</t>
        </is>
      </c>
      <c r="F9757" t="inlineStr">
        <is>
          <t>#KALK!</t>
        </is>
      </c>
      <c r="G9757" t="inlineStr">
        <is>
          <t>HILFSSCHUETZ</t>
        </is>
      </c>
      <c r="H9757" t="inlineStr">
        <is>
          <t>2S 2OE</t>
        </is>
      </c>
      <c r="I9757">
        <v>2291</v>
      </c>
      <c r="J9757">
        <f>GC22/458.3</f>
        <v>0</v>
      </c>
      <c r="M9757" t="inlineStr">
        <is>
          <t>-458K63.4</t>
        </is>
      </c>
    </row>
    <row r="9758">
      <c r="A9758">
        <v>9757</v>
      </c>
      <c r="B9758">
        <f>GS12</f>
        <v>0</v>
      </c>
      <c r="C9758" t="inlineStr">
        <is>
          <t>+QVW2101</t>
        </is>
      </c>
      <c r="D9758" t="inlineStr">
        <is>
          <t>-458K63.4</t>
        </is>
      </c>
      <c r="E9758" t="inlineStr">
        <is>
          <t>DIL_ER-22-G</t>
        </is>
      </c>
      <c r="F9758" t="inlineStr">
        <is>
          <t>#KALK!</t>
        </is>
      </c>
      <c r="G9758" t="inlineStr">
        <is>
          <t>HILFSSCHUETZ</t>
        </is>
      </c>
      <c r="H9758" t="inlineStr">
        <is>
          <t>2S 2OE</t>
        </is>
      </c>
      <c r="I9758">
        <v>590</v>
      </c>
      <c r="J9758">
        <f>GS12/458.3</f>
        <v>0</v>
      </c>
      <c r="M9758" t="inlineStr">
        <is>
          <t>-458K63.4</t>
        </is>
      </c>
    </row>
    <row r="9759">
      <c r="A9759">
        <v>9758</v>
      </c>
      <c r="B9759">
        <f>GC22</f>
        <v>0</v>
      </c>
      <c r="C9759" t="inlineStr">
        <is>
          <t>+QVW2101</t>
        </is>
      </c>
      <c r="D9759" t="inlineStr">
        <is>
          <t>-458K63.5</t>
        </is>
      </c>
      <c r="E9759" t="inlineStr">
        <is>
          <t>DIL_ER-22-G</t>
        </is>
      </c>
      <c r="F9759" t="inlineStr">
        <is>
          <t>#KALK!</t>
        </is>
      </c>
      <c r="G9759" t="inlineStr">
        <is>
          <t>HILFSSCHUETZ</t>
        </is>
      </c>
      <c r="H9759" t="inlineStr">
        <is>
          <t>2S 2OE</t>
        </is>
      </c>
      <c r="I9759">
        <v>2291</v>
      </c>
      <c r="J9759">
        <f>GC22/458.4</f>
        <v>0</v>
      </c>
      <c r="M9759" t="inlineStr">
        <is>
          <t>-458K63.5</t>
        </is>
      </c>
    </row>
    <row r="9760">
      <c r="A9760">
        <v>9759</v>
      </c>
      <c r="B9760">
        <f>GS12</f>
        <v>0</v>
      </c>
      <c r="C9760" t="inlineStr">
        <is>
          <t>+QVW2101</t>
        </is>
      </c>
      <c r="D9760" t="inlineStr">
        <is>
          <t>-458K63.5</t>
        </is>
      </c>
      <c r="E9760" t="inlineStr">
        <is>
          <t>DIL_ER-22-G</t>
        </is>
      </c>
      <c r="F9760" t="inlineStr">
        <is>
          <t>#KALK!</t>
        </is>
      </c>
      <c r="G9760" t="inlineStr">
        <is>
          <t>HILFSSCHUETZ</t>
        </is>
      </c>
      <c r="H9760" t="inlineStr">
        <is>
          <t>2S 2OE</t>
        </is>
      </c>
      <c r="I9760">
        <v>590</v>
      </c>
      <c r="J9760">
        <f>GS12/458.4</f>
        <v>0</v>
      </c>
      <c r="M9760" t="inlineStr">
        <is>
          <t>-458K63.5</t>
        </is>
      </c>
    </row>
    <row r="9761">
      <c r="A9761">
        <v>9760</v>
      </c>
      <c r="B9761">
        <f>GS16</f>
        <v>0</v>
      </c>
      <c r="C9761" t="inlineStr">
        <is>
          <t>+LS8</t>
        </is>
      </c>
      <c r="D9761" t="inlineStr">
        <is>
          <t>-458K66.2</t>
        </is>
      </c>
      <c r="E9761" t="inlineStr">
        <is>
          <t>DIL_EM-10-G</t>
        </is>
      </c>
      <c r="F9761" t="inlineStr">
        <is>
          <t>#KALK!</t>
        </is>
      </c>
      <c r="G9761" t="inlineStr">
        <is>
          <t>LASTSCHUETZ</t>
        </is>
      </c>
      <c r="H9761" t="inlineStr">
        <is>
          <t>4kW 1S</t>
        </is>
      </c>
      <c r="I9761">
        <v>696</v>
      </c>
      <c r="J9761">
        <f>GS16/458.7</f>
        <v>0</v>
      </c>
      <c r="M9761" t="inlineStr">
        <is>
          <t>-458K66.2</t>
        </is>
      </c>
    </row>
    <row r="9762">
      <c r="A9762">
        <v>9761</v>
      </c>
      <c r="B9762">
        <f>GS08</f>
        <v>0</v>
      </c>
      <c r="C9762" t="inlineStr">
        <is>
          <t>+LS07</t>
        </is>
      </c>
      <c r="D9762" t="inlineStr">
        <is>
          <t>-459K1</t>
        </is>
      </c>
      <c r="E9762" t="inlineStr">
        <is>
          <t>DILA-XHIC31</t>
        </is>
      </c>
      <c r="F9762" t="inlineStr">
        <is>
          <t>DILA-XHIC31</t>
        </is>
      </c>
      <c r="G9762" t="inlineStr">
        <is>
          <t>HILFSKONTAKTBLOCK</t>
        </is>
      </c>
      <c r="H9762" t="inlineStr">
        <is>
          <t>3S 1OE Last+Hilfssch. Cage</t>
        </is>
      </c>
      <c r="I9762">
        <v>1320</v>
      </c>
      <c r="J9762">
        <f>GS08/459.6</f>
        <v>0</v>
      </c>
      <c r="M9762" t="inlineStr">
        <is>
          <t>-459K1</t>
        </is>
      </c>
    </row>
    <row r="9763">
      <c r="A9763">
        <v>9762</v>
      </c>
      <c r="B9763">
        <f>GS08</f>
        <v>0</v>
      </c>
      <c r="C9763" t="inlineStr">
        <is>
          <t>+LS07</t>
        </is>
      </c>
      <c r="D9763" t="inlineStr">
        <is>
          <t>-459K1</t>
        </is>
      </c>
      <c r="E9763" t="inlineStr">
        <is>
          <t>DILA-40</t>
        </is>
      </c>
      <c r="F9763" t="inlineStr">
        <is>
          <t>DILA-XHIC31</t>
        </is>
      </c>
      <c r="G9763" t="inlineStr">
        <is>
          <t>HILFSSCHUETZ</t>
        </is>
      </c>
      <c r="H9763" t="inlineStr">
        <is>
          <t>4S Federzugkl.</t>
        </is>
      </c>
      <c r="I9763">
        <v>1320</v>
      </c>
      <c r="J9763">
        <f>GS08/459.6</f>
        <v>0</v>
      </c>
      <c r="M9763" t="inlineStr">
        <is>
          <t>-459K1</t>
        </is>
      </c>
    </row>
    <row r="9764">
      <c r="A9764">
        <v>9763</v>
      </c>
      <c r="B9764">
        <f>GS48</f>
        <v>0</v>
      </c>
      <c r="C9764" t="inlineStr">
        <is>
          <t>+LS07</t>
        </is>
      </c>
      <c r="D9764" t="inlineStr">
        <is>
          <t>-459K1</t>
        </is>
      </c>
      <c r="E9764" t="inlineStr">
        <is>
          <t>DILM-9-01</t>
        </is>
      </c>
      <c r="F9764" t="inlineStr">
        <is>
          <t>#KALK!</t>
        </is>
      </c>
      <c r="G9764" t="inlineStr">
        <is>
          <t>LASTSCHUETZ</t>
        </is>
      </c>
      <c r="H9764" t="inlineStr">
        <is>
          <t>4kW 1Oe Federzugkl.</t>
        </is>
      </c>
      <c r="I9764">
        <v>571</v>
      </c>
      <c r="J9764">
        <f>GS48/459.6</f>
        <v>0</v>
      </c>
      <c r="M9764" t="inlineStr">
        <is>
          <t>-459K1</t>
        </is>
      </c>
    </row>
    <row r="9765">
      <c r="A9765">
        <v>9764</v>
      </c>
      <c r="B9765">
        <f>GS49</f>
        <v>0</v>
      </c>
      <c r="C9765" t="inlineStr">
        <is>
          <t>+LS07</t>
        </is>
      </c>
      <c r="D9765" t="inlineStr">
        <is>
          <t>-459K1</t>
        </is>
      </c>
      <c r="E9765" t="inlineStr">
        <is>
          <t>DILM-9-01</t>
        </is>
      </c>
      <c r="F9765" t="inlineStr">
        <is>
          <t>#KALK!</t>
        </is>
      </c>
      <c r="G9765" t="inlineStr">
        <is>
          <t>LASTSCHUETZ</t>
        </is>
      </c>
      <c r="H9765" t="inlineStr">
        <is>
          <t>4kW 1Oe Federzugkl.</t>
        </is>
      </c>
      <c r="I9765">
        <v>570</v>
      </c>
      <c r="J9765">
        <f>GS49/459.6</f>
        <v>0</v>
      </c>
      <c r="M9765" t="inlineStr">
        <is>
          <t>-459K1</t>
        </is>
      </c>
    </row>
    <row r="9766">
      <c r="A9766">
        <v>9765</v>
      </c>
      <c r="B9766">
        <f>GS01</f>
        <v>0</v>
      </c>
      <c r="C9766" t="inlineStr">
        <is>
          <t>+LS9</t>
        </is>
      </c>
      <c r="D9766" t="inlineStr">
        <is>
          <t>-459K18.0</t>
        </is>
      </c>
      <c r="E9766" t="inlineStr">
        <is>
          <t>DIL_EM-10-G</t>
        </is>
      </c>
      <c r="F9766" t="inlineStr">
        <is>
          <t>#KALK!</t>
        </is>
      </c>
      <c r="G9766" t="inlineStr">
        <is>
          <t>LASTSCHUETZ</t>
        </is>
      </c>
      <c r="H9766" t="inlineStr">
        <is>
          <t>4kW 1S</t>
        </is>
      </c>
      <c r="I9766">
        <v>623</v>
      </c>
      <c r="J9766">
        <f>GS01/459.6</f>
        <v>0</v>
      </c>
      <c r="M9766" t="inlineStr">
        <is>
          <t>-459K18.0</t>
        </is>
      </c>
    </row>
    <row r="9767">
      <c r="A9767">
        <v>9766</v>
      </c>
      <c r="B9767">
        <f>GS01</f>
        <v>0</v>
      </c>
      <c r="C9767" t="inlineStr">
        <is>
          <t>+LS9</t>
        </is>
      </c>
      <c r="D9767" t="inlineStr">
        <is>
          <t>-459K18.1</t>
        </is>
      </c>
      <c r="E9767" t="inlineStr">
        <is>
          <t>DIL_EM-10-G</t>
        </is>
      </c>
      <c r="F9767" t="inlineStr">
        <is>
          <t>#KALK!</t>
        </is>
      </c>
      <c r="G9767" t="inlineStr">
        <is>
          <t>LASTSCHUETZ</t>
        </is>
      </c>
      <c r="H9767" t="inlineStr">
        <is>
          <t>4kW 1S</t>
        </is>
      </c>
      <c r="I9767">
        <v>623</v>
      </c>
      <c r="J9767">
        <f>GS01/459.6</f>
        <v>0</v>
      </c>
      <c r="M9767" t="inlineStr">
        <is>
          <t>-459K18.1</t>
        </is>
      </c>
    </row>
    <row r="9768">
      <c r="A9768">
        <v>9767</v>
      </c>
      <c r="B9768">
        <f>GS08</f>
        <v>0</v>
      </c>
      <c r="C9768" t="inlineStr">
        <is>
          <t>+LS07</t>
        </is>
      </c>
      <c r="D9768" t="inlineStr">
        <is>
          <t>-459K2</t>
        </is>
      </c>
      <c r="E9768" t="inlineStr">
        <is>
          <t>DILA-XHIC31</t>
        </is>
      </c>
      <c r="F9768" t="inlineStr">
        <is>
          <t>DILA-XHIC31</t>
        </is>
      </c>
      <c r="G9768" t="inlineStr">
        <is>
          <t>HILFSKONTAKTBLOCK</t>
        </is>
      </c>
      <c r="H9768" t="inlineStr">
        <is>
          <t>3S 1OE Last+Hilfssch. Cage</t>
        </is>
      </c>
      <c r="I9768">
        <v>1320</v>
      </c>
      <c r="J9768">
        <f>GS08/459.7</f>
        <v>0</v>
      </c>
      <c r="M9768" t="inlineStr">
        <is>
          <t>-459K2</t>
        </is>
      </c>
    </row>
    <row r="9769">
      <c r="A9769">
        <v>9768</v>
      </c>
      <c r="B9769">
        <f>GS08</f>
        <v>0</v>
      </c>
      <c r="C9769" t="inlineStr">
        <is>
          <t>+LS07</t>
        </is>
      </c>
      <c r="D9769" t="inlineStr">
        <is>
          <t>-459K2</t>
        </is>
      </c>
      <c r="E9769" t="inlineStr">
        <is>
          <t>DILA-40</t>
        </is>
      </c>
      <c r="F9769" t="inlineStr">
        <is>
          <t>DILA-XHIC31</t>
        </is>
      </c>
      <c r="G9769" t="inlineStr">
        <is>
          <t>HILFSSCHUETZ</t>
        </is>
      </c>
      <c r="H9769" t="inlineStr">
        <is>
          <t>4S Federzugkl.</t>
        </is>
      </c>
      <c r="I9769">
        <v>1320</v>
      </c>
      <c r="J9769">
        <f>GS08/459.7</f>
        <v>0</v>
      </c>
      <c r="M9769" t="inlineStr">
        <is>
          <t>-459K2</t>
        </is>
      </c>
    </row>
    <row r="9770">
      <c r="A9770">
        <v>9769</v>
      </c>
      <c r="B9770">
        <f>GS48</f>
        <v>0</v>
      </c>
      <c r="C9770" t="inlineStr">
        <is>
          <t>+LS07</t>
        </is>
      </c>
      <c r="D9770" t="inlineStr">
        <is>
          <t>-459K2</t>
        </is>
      </c>
      <c r="E9770" t="inlineStr">
        <is>
          <t>DILM-9-01</t>
        </is>
      </c>
      <c r="F9770" t="inlineStr">
        <is>
          <t>#KALK!</t>
        </is>
      </c>
      <c r="G9770" t="inlineStr">
        <is>
          <t>LASTSCHUETZ</t>
        </is>
      </c>
      <c r="H9770" t="inlineStr">
        <is>
          <t>4kW 1Oe Federzugkl.</t>
        </is>
      </c>
      <c r="I9770">
        <v>571</v>
      </c>
      <c r="J9770">
        <f>GS48/459.7</f>
        <v>0</v>
      </c>
      <c r="M9770" t="inlineStr">
        <is>
          <t>-459K2</t>
        </is>
      </c>
    </row>
    <row r="9771">
      <c r="A9771">
        <v>9770</v>
      </c>
      <c r="B9771">
        <f>GS49</f>
        <v>0</v>
      </c>
      <c r="C9771" t="inlineStr">
        <is>
          <t>+LS07</t>
        </is>
      </c>
      <c r="D9771" t="inlineStr">
        <is>
          <t>-459K2</t>
        </is>
      </c>
      <c r="E9771" t="inlineStr">
        <is>
          <t>DILM-9-01</t>
        </is>
      </c>
      <c r="F9771" t="inlineStr">
        <is>
          <t>#KALK!</t>
        </is>
      </c>
      <c r="G9771" t="inlineStr">
        <is>
          <t>LASTSCHUETZ</t>
        </is>
      </c>
      <c r="H9771" t="inlineStr">
        <is>
          <t>4kW 1Oe Federzugkl.</t>
        </is>
      </c>
      <c r="I9771">
        <v>570</v>
      </c>
      <c r="J9771">
        <f>GS49/459.7</f>
        <v>0</v>
      </c>
      <c r="M9771" t="inlineStr">
        <is>
          <t>-459K2</t>
        </is>
      </c>
    </row>
    <row r="9772">
      <c r="A9772">
        <v>9771</v>
      </c>
      <c r="B9772">
        <f>GC03</f>
        <v>0</v>
      </c>
      <c r="C9772" t="inlineStr">
        <is>
          <t>+LS10</t>
        </is>
      </c>
      <c r="D9772" t="inlineStr">
        <is>
          <t>-459K28.5</t>
        </is>
      </c>
      <c r="E9772" t="inlineStr">
        <is>
          <t>DIL_EM-10-G</t>
        </is>
      </c>
      <c r="F9772" t="inlineStr">
        <is>
          <t>#KALK!</t>
        </is>
      </c>
      <c r="G9772" t="inlineStr">
        <is>
          <t>LASTSCHUETZ</t>
        </is>
      </c>
      <c r="H9772" t="inlineStr">
        <is>
          <t>4kW 1S</t>
        </is>
      </c>
      <c r="I9772">
        <v>2268</v>
      </c>
      <c r="J9772">
        <f>GC03/459.6</f>
        <v>0</v>
      </c>
      <c r="M9772" t="inlineStr">
        <is>
          <t>-459K28.5</t>
        </is>
      </c>
    </row>
    <row r="9773">
      <c r="A9773">
        <v>9772</v>
      </c>
      <c r="B9773">
        <f>GC03</f>
        <v>0</v>
      </c>
      <c r="C9773" t="inlineStr">
        <is>
          <t>+LS10</t>
        </is>
      </c>
      <c r="D9773" t="inlineStr">
        <is>
          <t>-459K28.6</t>
        </is>
      </c>
      <c r="E9773" t="inlineStr">
        <is>
          <t>DIL_EM-10-G</t>
        </is>
      </c>
      <c r="F9773" t="inlineStr">
        <is>
          <t>#KALK!</t>
        </is>
      </c>
      <c r="G9773" t="inlineStr">
        <is>
          <t>LASTSCHUETZ</t>
        </is>
      </c>
      <c r="H9773" t="inlineStr">
        <is>
          <t>4kW 1S</t>
        </is>
      </c>
      <c r="I9773">
        <v>2268</v>
      </c>
      <c r="J9773">
        <f>GC03/459.7</f>
        <v>0</v>
      </c>
      <c r="M9773" t="inlineStr">
        <is>
          <t>-459K28.6</t>
        </is>
      </c>
    </row>
    <row r="9774">
      <c r="A9774">
        <v>9773</v>
      </c>
      <c r="B9774">
        <f>GS25</f>
        <v>0</v>
      </c>
      <c r="C9774" t="inlineStr">
        <is>
          <t>+LS10</t>
        </is>
      </c>
      <c r="D9774" t="inlineStr">
        <is>
          <t>-459K3503.3</t>
        </is>
      </c>
      <c r="E9774" t="inlineStr">
        <is>
          <t>DIL_EM-10-G</t>
        </is>
      </c>
      <c r="F9774" t="inlineStr">
        <is>
          <t>#KALK!</t>
        </is>
      </c>
      <c r="G9774" t="inlineStr">
        <is>
          <t>LASTSCHUETZ</t>
        </is>
      </c>
      <c r="H9774" t="inlineStr">
        <is>
          <t>4kW 1S</t>
        </is>
      </c>
      <c r="I9774">
        <v>585</v>
      </c>
      <c r="J9774">
        <f>GS25/459.7</f>
        <v>0</v>
      </c>
      <c r="M9774" t="inlineStr">
        <is>
          <t>-459K3503.3</t>
        </is>
      </c>
    </row>
    <row r="9775">
      <c r="A9775">
        <v>9774</v>
      </c>
      <c r="B9775">
        <f>GS14</f>
        <v>0</v>
      </c>
      <c r="C9775" t="inlineStr">
        <is>
          <t>+LS8</t>
        </is>
      </c>
      <c r="D9775" t="inlineStr">
        <is>
          <t>-459K3507.4</t>
        </is>
      </c>
      <c r="E9775" t="inlineStr">
        <is>
          <t>DIL_EM-10-G</t>
        </is>
      </c>
      <c r="F9775" t="inlineStr">
        <is>
          <t>#KALK!</t>
        </is>
      </c>
      <c r="G9775" t="inlineStr">
        <is>
          <t>LASTSCHUETZ</t>
        </is>
      </c>
      <c r="H9775" t="inlineStr">
        <is>
          <t>4kW 1S</t>
        </is>
      </c>
      <c r="I9775">
        <v>591</v>
      </c>
      <c r="J9775">
        <f>GS14/459.6</f>
        <v>0</v>
      </c>
      <c r="M9775" t="inlineStr">
        <is>
          <t>-459K3507.4</t>
        </is>
      </c>
    </row>
    <row r="9776">
      <c r="A9776">
        <v>9775</v>
      </c>
      <c r="B9776">
        <f>GS34</f>
        <v>0</v>
      </c>
      <c r="C9776" t="inlineStr">
        <is>
          <t>+QVW2601</t>
        </is>
      </c>
      <c r="D9776" t="inlineStr">
        <is>
          <t>-459K3608.4</t>
        </is>
      </c>
      <c r="E9776" t="inlineStr">
        <is>
          <t>DIL_EM-10-G</t>
        </is>
      </c>
      <c r="F9776" t="inlineStr">
        <is>
          <t>#KALK!</t>
        </is>
      </c>
      <c r="G9776" t="inlineStr">
        <is>
          <t>LASTSCHUETZ</t>
        </is>
      </c>
      <c r="H9776" t="inlineStr">
        <is>
          <t>4kW 1S</t>
        </is>
      </c>
      <c r="I9776">
        <v>584</v>
      </c>
      <c r="J9776">
        <f>GS34/459.7</f>
        <v>0</v>
      </c>
      <c r="M9776" t="inlineStr">
        <is>
          <t>-459K3608.4</t>
        </is>
      </c>
    </row>
    <row r="9777">
      <c r="A9777">
        <v>9776</v>
      </c>
      <c r="B9777">
        <f>GC22</f>
        <v>0</v>
      </c>
      <c r="C9777" t="inlineStr">
        <is>
          <t>+QVW2101</t>
        </is>
      </c>
      <c r="D9777" t="inlineStr">
        <is>
          <t>-459K60.1</t>
        </is>
      </c>
      <c r="E9777" t="inlineStr">
        <is>
          <t>DIL_EM-10-G</t>
        </is>
      </c>
      <c r="F9777" t="inlineStr">
        <is>
          <t>#KALK!</t>
        </is>
      </c>
      <c r="G9777" t="inlineStr">
        <is>
          <t>LASTSCHUETZ</t>
        </is>
      </c>
      <c r="H9777" t="inlineStr">
        <is>
          <t>4kW 1S</t>
        </is>
      </c>
      <c r="I9777">
        <v>2290</v>
      </c>
      <c r="J9777">
        <f>GC22/459.7</f>
        <v>0</v>
      </c>
      <c r="M9777" t="inlineStr">
        <is>
          <t>-459K60.1</t>
        </is>
      </c>
    </row>
    <row r="9778">
      <c r="A9778">
        <v>9777</v>
      </c>
      <c r="B9778">
        <f>GS12</f>
        <v>0</v>
      </c>
      <c r="C9778" t="inlineStr">
        <is>
          <t>+QVW2101</t>
        </is>
      </c>
      <c r="D9778" t="inlineStr">
        <is>
          <t>-459K60.1</t>
        </is>
      </c>
      <c r="E9778" t="inlineStr">
        <is>
          <t>DIL_EM-10-G</t>
        </is>
      </c>
      <c r="F9778" t="inlineStr">
        <is>
          <t>#KALK!</t>
        </is>
      </c>
      <c r="G9778" t="inlineStr">
        <is>
          <t>LASTSCHUETZ</t>
        </is>
      </c>
      <c r="H9778" t="inlineStr">
        <is>
          <t>4kW 1S</t>
        </is>
      </c>
      <c r="I9778">
        <v>591</v>
      </c>
      <c r="J9778">
        <f>GS12/459.7</f>
        <v>0</v>
      </c>
      <c r="M9778" t="inlineStr">
        <is>
          <t>-459K60.1</t>
        </is>
      </c>
    </row>
    <row r="9779">
      <c r="A9779">
        <v>9778</v>
      </c>
      <c r="B9779">
        <f>GS16</f>
        <v>0</v>
      </c>
      <c r="C9779" t="inlineStr">
        <is>
          <t>+LS8</t>
        </is>
      </c>
      <c r="D9779" t="inlineStr">
        <is>
          <t>-459K67.0</t>
        </is>
      </c>
      <c r="E9779" t="inlineStr">
        <is>
          <t>DIL_EM-10-G</t>
        </is>
      </c>
      <c r="F9779" t="inlineStr">
        <is>
          <t>#KALK!</t>
        </is>
      </c>
      <c r="G9779" t="inlineStr">
        <is>
          <t>LASTSCHUETZ</t>
        </is>
      </c>
      <c r="H9779" t="inlineStr">
        <is>
          <t>4kW 1S</t>
        </is>
      </c>
      <c r="I9779">
        <v>697</v>
      </c>
      <c r="J9779">
        <f>GS16/459.7</f>
        <v>0</v>
      </c>
      <c r="M9779" t="inlineStr">
        <is>
          <t>-459K67.0</t>
        </is>
      </c>
    </row>
    <row r="9780">
      <c r="A9780">
        <v>9779</v>
      </c>
      <c r="B9780">
        <f>GS25</f>
        <v>0</v>
      </c>
      <c r="C9780" t="inlineStr">
        <is>
          <t>+LS10</t>
        </is>
      </c>
      <c r="D9780" t="inlineStr">
        <is>
          <t>-4603503.4</t>
        </is>
      </c>
      <c r="E9780" t="inlineStr">
        <is>
          <t>DIL_EM-10-G</t>
        </is>
      </c>
      <c r="F9780" t="inlineStr">
        <is>
          <t>#KALK!</t>
        </is>
      </c>
      <c r="G9780" t="inlineStr">
        <is>
          <t>LASTSCHUETZ</t>
        </is>
      </c>
      <c r="H9780" t="inlineStr">
        <is>
          <t>4kW 1S</t>
        </is>
      </c>
      <c r="I9780">
        <v>586</v>
      </c>
      <c r="J9780">
        <f>GS25/460.6</f>
        <v>0</v>
      </c>
      <c r="M9780" t="inlineStr">
        <is>
          <t>-4603503.4</t>
        </is>
      </c>
    </row>
    <row r="9781">
      <c r="A9781">
        <v>9780</v>
      </c>
      <c r="B9781">
        <f>GS33</f>
        <v>0</v>
      </c>
      <c r="C9781" t="inlineStr">
        <is>
          <t>+LS10</t>
        </is>
      </c>
      <c r="D9781" t="inlineStr">
        <is>
          <t>-460K1</t>
        </is>
      </c>
      <c r="E9781" t="inlineStr">
        <is>
          <t>DIL_EM-10-G</t>
        </is>
      </c>
      <c r="F9781" t="inlineStr">
        <is>
          <t>#KALK!</t>
        </is>
      </c>
      <c r="G9781" t="inlineStr">
        <is>
          <t>LASTSCHUETZ</t>
        </is>
      </c>
      <c r="H9781" t="inlineStr">
        <is>
          <t>4kW 1S</t>
        </is>
      </c>
      <c r="I9781">
        <v>914</v>
      </c>
      <c r="J9781">
        <f>GS33/460.5</f>
        <v>0</v>
      </c>
      <c r="M9781" t="inlineStr">
        <is>
          <t>-460K1</t>
        </is>
      </c>
    </row>
    <row r="9782">
      <c r="A9782">
        <v>9781</v>
      </c>
      <c r="B9782">
        <f>GS01</f>
        <v>0</v>
      </c>
      <c r="C9782" t="inlineStr">
        <is>
          <t>+LS9</t>
        </is>
      </c>
      <c r="D9782" t="inlineStr">
        <is>
          <t>-460K18.2</t>
        </is>
      </c>
      <c r="E9782" t="inlineStr">
        <is>
          <t>DIL_EM-10-G</t>
        </is>
      </c>
      <c r="F9782" t="inlineStr">
        <is>
          <t>#KALK!</t>
        </is>
      </c>
      <c r="G9782" t="inlineStr">
        <is>
          <t>LASTSCHUETZ</t>
        </is>
      </c>
      <c r="H9782" t="inlineStr">
        <is>
          <t>4kW 1S</t>
        </is>
      </c>
      <c r="I9782">
        <v>624</v>
      </c>
      <c r="J9782">
        <f>GS01/460.6</f>
        <v>0</v>
      </c>
      <c r="M9782" t="inlineStr">
        <is>
          <t>-460K18.2</t>
        </is>
      </c>
    </row>
    <row r="9783">
      <c r="A9783">
        <v>9782</v>
      </c>
      <c r="B9783">
        <f>GS01</f>
        <v>0</v>
      </c>
      <c r="C9783" t="inlineStr">
        <is>
          <t>+LS9</t>
        </is>
      </c>
      <c r="D9783" t="inlineStr">
        <is>
          <t>-460K18.3</t>
        </is>
      </c>
      <c r="E9783" t="inlineStr">
        <is>
          <t>DIL_EM-10-G</t>
        </is>
      </c>
      <c r="F9783" t="inlineStr">
        <is>
          <t>#KALK!</t>
        </is>
      </c>
      <c r="G9783" t="inlineStr">
        <is>
          <t>LASTSCHUETZ</t>
        </is>
      </c>
      <c r="H9783" t="inlineStr">
        <is>
          <t>4kW 1S</t>
        </is>
      </c>
      <c r="I9783">
        <v>624</v>
      </c>
      <c r="J9783">
        <f>GS01/460.6</f>
        <v>0</v>
      </c>
      <c r="M9783" t="inlineStr">
        <is>
          <t>-460K18.3</t>
        </is>
      </c>
    </row>
    <row r="9784">
      <c r="A9784">
        <v>9783</v>
      </c>
      <c r="B9784">
        <f>GC03</f>
        <v>0</v>
      </c>
      <c r="C9784" t="inlineStr">
        <is>
          <t>+LS10</t>
        </is>
      </c>
      <c r="D9784" t="inlineStr">
        <is>
          <t>-460K28.7</t>
        </is>
      </c>
      <c r="E9784" t="inlineStr">
        <is>
          <t>DIL_EM-10-G</t>
        </is>
      </c>
      <c r="F9784" t="inlineStr">
        <is>
          <t>#KALK!</t>
        </is>
      </c>
      <c r="G9784" t="inlineStr">
        <is>
          <t>LASTSCHUETZ</t>
        </is>
      </c>
      <c r="H9784" t="inlineStr">
        <is>
          <t>4kW 1S</t>
        </is>
      </c>
      <c r="I9784">
        <v>2267</v>
      </c>
      <c r="J9784">
        <f>GC03/460.6</f>
        <v>0</v>
      </c>
      <c r="M9784" t="inlineStr">
        <is>
          <t>-460K28.7</t>
        </is>
      </c>
    </row>
    <row r="9785">
      <c r="A9785">
        <v>9784</v>
      </c>
      <c r="B9785">
        <f>GC03</f>
        <v>0</v>
      </c>
      <c r="C9785" t="inlineStr">
        <is>
          <t>+LS10</t>
        </is>
      </c>
      <c r="D9785" t="inlineStr">
        <is>
          <t>-460K29.0</t>
        </is>
      </c>
      <c r="E9785" t="inlineStr">
        <is>
          <t>DIL_EM-10-G</t>
        </is>
      </c>
      <c r="F9785" t="inlineStr">
        <is>
          <t>#KALK!</t>
        </is>
      </c>
      <c r="G9785" t="inlineStr">
        <is>
          <t>LASTSCHUETZ</t>
        </is>
      </c>
      <c r="H9785" t="inlineStr">
        <is>
          <t>4kW 1S</t>
        </is>
      </c>
      <c r="I9785">
        <v>2267</v>
      </c>
      <c r="J9785">
        <f>GC03/460.7</f>
        <v>0</v>
      </c>
      <c r="M9785" t="inlineStr">
        <is>
          <t>-460K29.0</t>
        </is>
      </c>
    </row>
    <row r="9786">
      <c r="A9786">
        <v>9785</v>
      </c>
      <c r="B9786">
        <f>GS14</f>
        <v>0</v>
      </c>
      <c r="C9786" t="inlineStr">
        <is>
          <t>+LS8</t>
        </is>
      </c>
      <c r="D9786" t="inlineStr">
        <is>
          <t>-460K3507.5</t>
        </is>
      </c>
      <c r="E9786" t="inlineStr">
        <is>
          <t>DIL_EM-10-G</t>
        </is>
      </c>
      <c r="F9786" t="inlineStr">
        <is>
          <t>#KALK!</t>
        </is>
      </c>
      <c r="G9786" t="inlineStr">
        <is>
          <t>LASTSCHUETZ</t>
        </is>
      </c>
      <c r="H9786" t="inlineStr">
        <is>
          <t>4kW 1S</t>
        </is>
      </c>
      <c r="I9786">
        <v>592</v>
      </c>
      <c r="J9786">
        <f>GS14/460.6</f>
        <v>0</v>
      </c>
      <c r="M9786" t="inlineStr">
        <is>
          <t>-460K3507.5</t>
        </is>
      </c>
    </row>
    <row r="9787">
      <c r="A9787">
        <v>9786</v>
      </c>
      <c r="B9787">
        <f>GS14</f>
        <v>0</v>
      </c>
      <c r="C9787" t="inlineStr">
        <is>
          <t>+LS8</t>
        </is>
      </c>
      <c r="D9787" t="inlineStr">
        <is>
          <t>-460K3508.0</t>
        </is>
      </c>
      <c r="E9787" t="inlineStr">
        <is>
          <t>DIL_EM-10-G</t>
        </is>
      </c>
      <c r="F9787" t="inlineStr">
        <is>
          <t>#KALK!</t>
        </is>
      </c>
      <c r="G9787" t="inlineStr">
        <is>
          <t>LASTSCHUETZ</t>
        </is>
      </c>
      <c r="H9787" t="inlineStr">
        <is>
          <t>4kW 1S</t>
        </is>
      </c>
      <c r="I9787">
        <v>592</v>
      </c>
      <c r="J9787">
        <f>GS14/460.7</f>
        <v>0</v>
      </c>
      <c r="M9787" t="inlineStr">
        <is>
          <t>-460K3508.0</t>
        </is>
      </c>
    </row>
    <row r="9788">
      <c r="A9788">
        <v>9787</v>
      </c>
      <c r="B9788">
        <f>GS93</f>
        <v>0</v>
      </c>
      <c r="C9788" t="inlineStr">
        <is>
          <t>+LS08</t>
        </is>
      </c>
      <c r="D9788" t="inlineStr">
        <is>
          <t>-460K479.4</t>
        </is>
      </c>
      <c r="E9788" t="inlineStr">
        <is>
          <t>DILA-40</t>
        </is>
      </c>
      <c r="F9788" t="inlineStr">
        <is>
          <t>#KALK!</t>
        </is>
      </c>
      <c r="G9788" t="inlineStr">
        <is>
          <t>HILFSSCHUETZ</t>
        </is>
      </c>
      <c r="H9788" t="inlineStr">
        <is>
          <t>4S Federzugkl.</t>
        </is>
      </c>
      <c r="I9788">
        <v>1014</v>
      </c>
      <c r="J9788">
        <f>GS93/460.7</f>
        <v>0</v>
      </c>
      <c r="M9788" t="inlineStr">
        <is>
          <t>-460K479.4</t>
        </is>
      </c>
    </row>
    <row r="9789">
      <c r="A9789">
        <v>9788</v>
      </c>
      <c r="B9789">
        <f>GS16</f>
        <v>0</v>
      </c>
      <c r="C9789" t="inlineStr">
        <is>
          <t>+LS8</t>
        </is>
      </c>
      <c r="D9789" t="inlineStr">
        <is>
          <t>-460K67.3</t>
        </is>
      </c>
      <c r="E9789" t="inlineStr">
        <is>
          <t>DIL_EM-01-G</t>
        </is>
      </c>
      <c r="F9789" t="inlineStr">
        <is>
          <t>22_DIL-E</t>
        </is>
      </c>
      <c r="G9789" t="inlineStr">
        <is>
          <t>LASTSCHUETZ</t>
        </is>
      </c>
      <c r="H9789" t="inlineStr">
        <is>
          <t>4kW 1OE</t>
        </is>
      </c>
      <c r="I9789">
        <v>698</v>
      </c>
      <c r="J9789">
        <f>GS16/460.6</f>
        <v>0</v>
      </c>
      <c r="M9789" t="inlineStr">
        <is>
          <t>-460K67.3</t>
        </is>
      </c>
    </row>
    <row r="9790">
      <c r="A9790">
        <v>9789</v>
      </c>
      <c r="B9790">
        <f>GS16</f>
        <v>0</v>
      </c>
      <c r="C9790" t="inlineStr">
        <is>
          <t>+LS8</t>
        </is>
      </c>
      <c r="D9790" t="inlineStr">
        <is>
          <t>-460K67.3</t>
        </is>
      </c>
      <c r="E9790" t="inlineStr">
        <is>
          <t>22_DIL-E</t>
        </is>
      </c>
      <c r="F9790" t="inlineStr">
        <is>
          <t>22_DIL-E</t>
        </is>
      </c>
      <c r="G9790" t="inlineStr">
        <is>
          <t>HILFSKONTAKTBLOCK</t>
        </is>
      </c>
      <c r="H9790" t="inlineStr">
        <is>
          <t>2S 2OE Last+Hilfsschuetz</t>
        </is>
      </c>
      <c r="I9790">
        <v>698</v>
      </c>
      <c r="J9790">
        <f>GS16/460.6</f>
        <v>0</v>
      </c>
      <c r="M9790" t="inlineStr">
        <is>
          <t>-460K67.3</t>
        </is>
      </c>
    </row>
    <row r="9791">
      <c r="A9791">
        <v>9790</v>
      </c>
      <c r="B9791">
        <f>GS16</f>
        <v>0</v>
      </c>
      <c r="C9791" t="inlineStr">
        <is>
          <t>+LS8</t>
        </is>
      </c>
      <c r="D9791" t="inlineStr">
        <is>
          <t>-460K67.4</t>
        </is>
      </c>
      <c r="E9791" t="inlineStr">
        <is>
          <t>DIL_EM-01-G</t>
        </is>
      </c>
      <c r="F9791" t="inlineStr">
        <is>
          <t>#KALK!</t>
        </is>
      </c>
      <c r="G9791" t="inlineStr">
        <is>
          <t>LASTSCHUETZ</t>
        </is>
      </c>
      <c r="H9791" t="inlineStr">
        <is>
          <t>4kW 1OE</t>
        </is>
      </c>
      <c r="I9791">
        <v>698</v>
      </c>
      <c r="J9791">
        <f>GS16/460.6</f>
        <v>0</v>
      </c>
      <c r="M9791" t="inlineStr">
        <is>
          <t>-460K67.4</t>
        </is>
      </c>
    </row>
    <row r="9792">
      <c r="A9792">
        <v>9791</v>
      </c>
      <c r="B9792">
        <f>GS93</f>
        <v>0</v>
      </c>
      <c r="C9792" t="inlineStr">
        <is>
          <t>+LS08</t>
        </is>
      </c>
      <c r="D9792" t="inlineStr">
        <is>
          <t>-460Q1</t>
        </is>
      </c>
      <c r="E9792" t="inlineStr">
        <is>
          <t>DILMC25-10(RDC24)</t>
        </is>
      </c>
      <c r="F9792" t="inlineStr">
        <is>
          <t>DILA-XHI22</t>
        </is>
      </c>
      <c r="G9792" t="inlineStr">
        <is>
          <t>LASTSCHUETZ</t>
        </is>
      </c>
      <c r="H9792" t="inlineStr">
        <is>
          <t>11kW 1S Federzugkl.</t>
        </is>
      </c>
      <c r="I9792">
        <v>1014</v>
      </c>
      <c r="J9792">
        <f>GS93/460.4</f>
        <v>0</v>
      </c>
      <c r="K9792" t="inlineStr">
        <is>
          <t>DIL MC25</t>
        </is>
      </c>
      <c r="M9792" t="inlineStr">
        <is>
          <t>-460Q1</t>
        </is>
      </c>
    </row>
    <row r="9793">
      <c r="A9793">
        <v>9792</v>
      </c>
      <c r="B9793">
        <f>GS93</f>
        <v>0</v>
      </c>
      <c r="C9793" t="inlineStr">
        <is>
          <t>+LS08</t>
        </is>
      </c>
      <c r="D9793" t="inlineStr">
        <is>
          <t>-460Q1</t>
        </is>
      </c>
      <c r="E9793" t="inlineStr">
        <is>
          <t>DILA-XHI22</t>
        </is>
      </c>
      <c r="F9793" t="inlineStr">
        <is>
          <t>DILA-XHI22</t>
        </is>
      </c>
      <c r="G9793" t="inlineStr">
        <is>
          <t>HILFSKONTAKTBLOCK</t>
        </is>
      </c>
      <c r="H9793" t="inlineStr">
        <is>
          <t>2S 2OE Last+Hilfssch. Cage</t>
        </is>
      </c>
      <c r="I9793">
        <v>1014</v>
      </c>
      <c r="J9793">
        <f>GS93/460.4</f>
        <v>0</v>
      </c>
      <c r="K9793" t="inlineStr">
        <is>
          <t>DIL MC25</t>
        </is>
      </c>
      <c r="M9793" t="inlineStr">
        <is>
          <t>-460Q1</t>
        </is>
      </c>
    </row>
    <row r="9794">
      <c r="A9794">
        <v>9793</v>
      </c>
      <c r="B9794">
        <f>GS52</f>
        <v>0</v>
      </c>
      <c r="C9794" t="inlineStr">
        <is>
          <t>+LS07</t>
        </is>
      </c>
      <c r="D9794" t="inlineStr">
        <is>
          <t>-460Q166.5</t>
        </is>
      </c>
      <c r="E9794" t="inlineStr">
        <is>
          <t>DILM-9-10</t>
        </is>
      </c>
      <c r="F9794" t="inlineStr">
        <is>
          <t>#KALK!</t>
        </is>
      </c>
      <c r="G9794" t="inlineStr">
        <is>
          <t>LASTSCHUETZ</t>
        </is>
      </c>
      <c r="H9794" t="inlineStr">
        <is>
          <t>4kW 1S Federzugkl.</t>
        </is>
      </c>
      <c r="I9794">
        <v>1546</v>
      </c>
      <c r="J9794">
        <f>GS52/460.6</f>
        <v>0</v>
      </c>
      <c r="K9794" t="inlineStr">
        <is>
          <t>DIL MC9</t>
        </is>
      </c>
      <c r="M9794" t="inlineStr">
        <is>
          <t>-460Q166.5</t>
        </is>
      </c>
    </row>
    <row r="9795">
      <c r="A9795">
        <v>9794</v>
      </c>
      <c r="B9795">
        <f>GS25</f>
        <v>0</v>
      </c>
      <c r="C9795" t="inlineStr">
        <is>
          <t>+LS10</t>
        </is>
      </c>
      <c r="D9795" t="inlineStr">
        <is>
          <t>-4613503.5</t>
        </is>
      </c>
      <c r="E9795" t="inlineStr">
        <is>
          <t>DIL_EM-10-G</t>
        </is>
      </c>
      <c r="F9795" t="inlineStr">
        <is>
          <t>#KALK!</t>
        </is>
      </c>
      <c r="G9795" t="inlineStr">
        <is>
          <t>LASTSCHUETZ</t>
        </is>
      </c>
      <c r="H9795" t="inlineStr">
        <is>
          <t>4kW 1S</t>
        </is>
      </c>
      <c r="I9795">
        <v>587</v>
      </c>
      <c r="J9795">
        <f>GS25/461.6</f>
        <v>0</v>
      </c>
      <c r="M9795" t="inlineStr">
        <is>
          <t>-4613503.5</t>
        </is>
      </c>
    </row>
    <row r="9796">
      <c r="A9796">
        <v>9795</v>
      </c>
      <c r="B9796">
        <f>GS25</f>
        <v>0</v>
      </c>
      <c r="C9796" t="inlineStr">
        <is>
          <t>+LS10</t>
        </is>
      </c>
      <c r="D9796" t="inlineStr">
        <is>
          <t>-4613504.0</t>
        </is>
      </c>
      <c r="E9796" t="inlineStr">
        <is>
          <t>DIL_EM-10-G</t>
        </is>
      </c>
      <c r="F9796" t="inlineStr">
        <is>
          <t>#KALK!</t>
        </is>
      </c>
      <c r="G9796" t="inlineStr">
        <is>
          <t>LASTSCHUETZ</t>
        </is>
      </c>
      <c r="H9796" t="inlineStr">
        <is>
          <t>4kW 1S</t>
        </is>
      </c>
      <c r="I9796">
        <v>587</v>
      </c>
      <c r="J9796">
        <f>GS25/461.7</f>
        <v>0</v>
      </c>
      <c r="M9796" t="inlineStr">
        <is>
          <t>-4613504.0</t>
        </is>
      </c>
    </row>
    <row r="9797">
      <c r="A9797">
        <v>9796</v>
      </c>
      <c r="B9797">
        <f>GS01</f>
        <v>0</v>
      </c>
      <c r="C9797" t="inlineStr">
        <is>
          <t>+LS9</t>
        </is>
      </c>
      <c r="D9797" t="inlineStr">
        <is>
          <t>-461K19.0</t>
        </is>
      </c>
      <c r="E9797" t="inlineStr">
        <is>
          <t>DIL_EM-10-G</t>
        </is>
      </c>
      <c r="F9797" t="inlineStr">
        <is>
          <t>#KALK!</t>
        </is>
      </c>
      <c r="G9797" t="inlineStr">
        <is>
          <t>LASTSCHUETZ</t>
        </is>
      </c>
      <c r="H9797" t="inlineStr">
        <is>
          <t>4kW 1S</t>
        </is>
      </c>
      <c r="I9797">
        <v>625</v>
      </c>
      <c r="J9797">
        <f>GS01/461.6</f>
        <v>0</v>
      </c>
      <c r="M9797" t="inlineStr">
        <is>
          <t>-461K19.0</t>
        </is>
      </c>
    </row>
    <row r="9798">
      <c r="A9798">
        <v>9797</v>
      </c>
      <c r="B9798">
        <f>GC03</f>
        <v>0</v>
      </c>
      <c r="C9798" t="inlineStr">
        <is>
          <t>+LS10</t>
        </is>
      </c>
      <c r="D9798" t="inlineStr">
        <is>
          <t>-461K29.1</t>
        </is>
      </c>
      <c r="E9798" t="inlineStr">
        <is>
          <t>DIL_EM-10-G</t>
        </is>
      </c>
      <c r="F9798" t="inlineStr">
        <is>
          <t>#KALK!</t>
        </is>
      </c>
      <c r="G9798" t="inlineStr">
        <is>
          <t>LASTSCHUETZ</t>
        </is>
      </c>
      <c r="H9798" t="inlineStr">
        <is>
          <t>4kW 1S</t>
        </is>
      </c>
      <c r="I9798">
        <v>2266</v>
      </c>
      <c r="J9798">
        <f>GC03/461.6</f>
        <v>0</v>
      </c>
      <c r="M9798" t="inlineStr">
        <is>
          <t>-461K29.1</t>
        </is>
      </c>
    </row>
    <row r="9799">
      <c r="A9799">
        <v>9798</v>
      </c>
      <c r="B9799">
        <f>GC03</f>
        <v>0</v>
      </c>
      <c r="C9799" t="inlineStr">
        <is>
          <t>+LS10</t>
        </is>
      </c>
      <c r="D9799" t="inlineStr">
        <is>
          <t>-461K29.2</t>
        </is>
      </c>
      <c r="E9799" t="inlineStr">
        <is>
          <t>DIL_EM-10-G</t>
        </is>
      </c>
      <c r="F9799" t="inlineStr">
        <is>
          <t>#KALK!</t>
        </is>
      </c>
      <c r="G9799" t="inlineStr">
        <is>
          <t>LASTSCHUETZ</t>
        </is>
      </c>
      <c r="H9799" t="inlineStr">
        <is>
          <t>4kW 1S</t>
        </is>
      </c>
      <c r="I9799">
        <v>2266</v>
      </c>
      <c r="J9799">
        <f>GC03/461.7</f>
        <v>0</v>
      </c>
      <c r="M9799" t="inlineStr">
        <is>
          <t>-461K29.2</t>
        </is>
      </c>
    </row>
    <row r="9800">
      <c r="A9800">
        <v>9799</v>
      </c>
      <c r="B9800">
        <f>GS14</f>
        <v>0</v>
      </c>
      <c r="C9800" t="inlineStr">
        <is>
          <t>+LS8</t>
        </is>
      </c>
      <c r="D9800" t="inlineStr">
        <is>
          <t>-461K3508.1</t>
        </is>
      </c>
      <c r="E9800" t="inlineStr">
        <is>
          <t>DIL_EM-10-G</t>
        </is>
      </c>
      <c r="F9800" t="inlineStr">
        <is>
          <t>#KALK!</t>
        </is>
      </c>
      <c r="G9800" t="inlineStr">
        <is>
          <t>LASTSCHUETZ</t>
        </is>
      </c>
      <c r="H9800" t="inlineStr">
        <is>
          <t>4kW 1S</t>
        </is>
      </c>
      <c r="I9800">
        <v>593</v>
      </c>
      <c r="J9800">
        <f>GS14/461.6</f>
        <v>0</v>
      </c>
      <c r="M9800" t="inlineStr">
        <is>
          <t>-461K3508.1</t>
        </is>
      </c>
    </row>
    <row r="9801">
      <c r="A9801">
        <v>9800</v>
      </c>
      <c r="B9801">
        <f>GS14</f>
        <v>0</v>
      </c>
      <c r="C9801" t="inlineStr">
        <is>
          <t>+LS8</t>
        </is>
      </c>
      <c r="D9801" t="inlineStr">
        <is>
          <t>-461K3508.2</t>
        </is>
      </c>
      <c r="E9801" t="inlineStr">
        <is>
          <t>DIL_EM-10-G</t>
        </is>
      </c>
      <c r="F9801" t="inlineStr">
        <is>
          <t>#KALK!</t>
        </is>
      </c>
      <c r="G9801" t="inlineStr">
        <is>
          <t>LASTSCHUETZ</t>
        </is>
      </c>
      <c r="H9801" t="inlineStr">
        <is>
          <t>4kW 1S</t>
        </is>
      </c>
      <c r="I9801">
        <v>593</v>
      </c>
      <c r="J9801">
        <f>GS14/461.7</f>
        <v>0</v>
      </c>
      <c r="M9801" t="inlineStr">
        <is>
          <t>-461K3508.2</t>
        </is>
      </c>
    </row>
    <row r="9802">
      <c r="A9802">
        <v>9801</v>
      </c>
      <c r="B9802">
        <f>GS34</f>
        <v>0</v>
      </c>
      <c r="C9802" t="inlineStr">
        <is>
          <t>+QVW2601</t>
        </is>
      </c>
      <c r="D9802" t="inlineStr">
        <is>
          <t>-461K3609.7</t>
        </is>
      </c>
      <c r="E9802" t="inlineStr">
        <is>
          <t>DIL_EM-10-G</t>
        </is>
      </c>
      <c r="F9802" t="inlineStr">
        <is>
          <t>#KALK!</t>
        </is>
      </c>
      <c r="G9802" t="inlineStr">
        <is>
          <t>LASTSCHUETZ</t>
        </is>
      </c>
      <c r="H9802" t="inlineStr">
        <is>
          <t>4kW 1S</t>
        </is>
      </c>
      <c r="I9802">
        <v>586</v>
      </c>
      <c r="J9802">
        <f>GS34/461.3</f>
        <v>0</v>
      </c>
      <c r="M9802" t="inlineStr">
        <is>
          <t>-461K3609.7</t>
        </is>
      </c>
    </row>
    <row r="9803">
      <c r="A9803">
        <v>9802</v>
      </c>
      <c r="B9803">
        <f>GS34</f>
        <v>0</v>
      </c>
      <c r="C9803" t="inlineStr">
        <is>
          <t>+QVW2601</t>
        </is>
      </c>
      <c r="D9803" t="inlineStr">
        <is>
          <t>-461K3809.1</t>
        </is>
      </c>
      <c r="E9803" t="inlineStr">
        <is>
          <t>3RT1016-1BB41</t>
        </is>
      </c>
      <c r="F9803" t="inlineStr">
        <is>
          <t>#KALK!</t>
        </is>
      </c>
      <c r="G9803" t="inlineStr">
        <is>
          <t>LASTSCHUETZ</t>
        </is>
      </c>
      <c r="H9803" t="inlineStr">
        <is>
          <t>3H/1S/0OE</t>
        </is>
      </c>
      <c r="I9803">
        <v>586</v>
      </c>
      <c r="J9803">
        <f>GS34/461.2</f>
        <v>0</v>
      </c>
      <c r="M9803" t="inlineStr">
        <is>
          <t>-461K3809.1</t>
        </is>
      </c>
    </row>
    <row r="9804">
      <c r="A9804">
        <v>9803</v>
      </c>
      <c r="B9804">
        <f>GS90</f>
        <v>0</v>
      </c>
      <c r="C9804" t="inlineStr">
        <is>
          <t>+LS09</t>
        </is>
      </c>
      <c r="D9804" t="inlineStr">
        <is>
          <t>-461K466.4</t>
        </is>
      </c>
      <c r="E9804" t="inlineStr">
        <is>
          <t>DILA-40</t>
        </is>
      </c>
      <c r="F9804" t="inlineStr">
        <is>
          <t>#KALK!</t>
        </is>
      </c>
      <c r="G9804" t="inlineStr">
        <is>
          <t>HILFSSCHUETZ</t>
        </is>
      </c>
      <c r="H9804" t="inlineStr">
        <is>
          <t>4S Federzugkl.</t>
        </is>
      </c>
      <c r="I9804">
        <v>521</v>
      </c>
      <c r="J9804">
        <f>GS90/461.7</f>
        <v>0</v>
      </c>
      <c r="M9804" t="inlineStr">
        <is>
          <t>-461K466.4</t>
        </is>
      </c>
    </row>
    <row r="9805">
      <c r="A9805">
        <v>9804</v>
      </c>
      <c r="B9805">
        <f>GC22</f>
        <v>0</v>
      </c>
      <c r="C9805" t="inlineStr">
        <is>
          <t>+QVW2101</t>
        </is>
      </c>
      <c r="D9805" t="inlineStr">
        <is>
          <t>-461K61.1</t>
        </is>
      </c>
      <c r="E9805" t="inlineStr">
        <is>
          <t>3RT1016-1BB41</t>
        </is>
      </c>
      <c r="F9805" t="inlineStr">
        <is>
          <t>#KALK!</t>
        </is>
      </c>
      <c r="G9805" t="inlineStr">
        <is>
          <t>LASTSCHUETZ</t>
        </is>
      </c>
      <c r="H9805" t="inlineStr">
        <is>
          <t>3H/1S/0OE</t>
        </is>
      </c>
      <c r="I9805">
        <v>3305</v>
      </c>
      <c r="J9805">
        <f>GC22/461.2</f>
        <v>0</v>
      </c>
      <c r="M9805" t="inlineStr">
        <is>
          <t>-461K61.1</t>
        </is>
      </c>
    </row>
    <row r="9806">
      <c r="A9806">
        <v>9805</v>
      </c>
      <c r="B9806">
        <f>GS12</f>
        <v>0</v>
      </c>
      <c r="C9806" t="inlineStr">
        <is>
          <t>+QVW2101</t>
        </is>
      </c>
      <c r="D9806" t="inlineStr">
        <is>
          <t>-461K61.1</t>
        </is>
      </c>
      <c r="E9806" t="inlineStr">
        <is>
          <t>3RT1016-1BB41</t>
        </is>
      </c>
      <c r="F9806" t="inlineStr">
        <is>
          <t>#KALK!</t>
        </is>
      </c>
      <c r="G9806" t="inlineStr">
        <is>
          <t>LASTSCHUETZ</t>
        </is>
      </c>
      <c r="H9806" t="inlineStr">
        <is>
          <t>3H/1S/0OE</t>
        </is>
      </c>
      <c r="I9806">
        <v>593</v>
      </c>
      <c r="J9806">
        <f>GS12/461.2</f>
        <v>0</v>
      </c>
      <c r="M9806" t="inlineStr">
        <is>
          <t>-461K61.1</t>
        </is>
      </c>
    </row>
    <row r="9807">
      <c r="A9807">
        <v>9806</v>
      </c>
      <c r="B9807">
        <f>GC22</f>
        <v>0</v>
      </c>
      <c r="C9807" t="inlineStr">
        <is>
          <t>+QVW2101</t>
        </is>
      </c>
      <c r="D9807" t="inlineStr">
        <is>
          <t>-461K61.7</t>
        </is>
      </c>
      <c r="E9807" t="inlineStr">
        <is>
          <t>DIL_EM-10-G</t>
        </is>
      </c>
      <c r="F9807" t="inlineStr">
        <is>
          <t>#KALK!</t>
        </is>
      </c>
      <c r="G9807" t="inlineStr">
        <is>
          <t>LASTSCHUETZ</t>
        </is>
      </c>
      <c r="H9807" t="inlineStr">
        <is>
          <t>4kW 1S</t>
        </is>
      </c>
      <c r="I9807">
        <v>3305</v>
      </c>
      <c r="J9807">
        <f>GC22/461.3</f>
        <v>0</v>
      </c>
      <c r="M9807" t="inlineStr">
        <is>
          <t>-461K61.7</t>
        </is>
      </c>
    </row>
    <row r="9808">
      <c r="A9808">
        <v>9807</v>
      </c>
      <c r="B9808">
        <f>GS12</f>
        <v>0</v>
      </c>
      <c r="C9808" t="inlineStr">
        <is>
          <t>+QVW2101</t>
        </is>
      </c>
      <c r="D9808" t="inlineStr">
        <is>
          <t>-461K61.7</t>
        </is>
      </c>
      <c r="E9808" t="inlineStr">
        <is>
          <t>DIL_EM-10-G</t>
        </is>
      </c>
      <c r="F9808" t="inlineStr">
        <is>
          <t>#KALK!</t>
        </is>
      </c>
      <c r="G9808" t="inlineStr">
        <is>
          <t>LASTSCHUETZ</t>
        </is>
      </c>
      <c r="H9808" t="inlineStr">
        <is>
          <t>4kW 1S</t>
        </is>
      </c>
      <c r="I9808">
        <v>593</v>
      </c>
      <c r="J9808">
        <f>GS12/461.3</f>
        <v>0</v>
      </c>
      <c r="M9808" t="inlineStr">
        <is>
          <t>-461K61.7</t>
        </is>
      </c>
    </row>
    <row r="9809">
      <c r="A9809">
        <v>9808</v>
      </c>
      <c r="B9809">
        <f>GS16</f>
        <v>0</v>
      </c>
      <c r="C9809" t="inlineStr">
        <is>
          <t>+LS8</t>
        </is>
      </c>
      <c r="D9809" t="inlineStr">
        <is>
          <t>-461K67.5</t>
        </is>
      </c>
      <c r="E9809" t="inlineStr">
        <is>
          <t>DIL_ER-22-G</t>
        </is>
      </c>
      <c r="F9809" t="inlineStr">
        <is>
          <t>#KALK!</t>
        </is>
      </c>
      <c r="G9809" t="inlineStr">
        <is>
          <t>HILFSSCHUETZ</t>
        </is>
      </c>
      <c r="H9809" t="inlineStr">
        <is>
          <t>2S 2OE</t>
        </is>
      </c>
      <c r="I9809">
        <v>699</v>
      </c>
      <c r="J9809">
        <f>GS16/461.5</f>
        <v>0</v>
      </c>
      <c r="M9809" t="inlineStr">
        <is>
          <t>-461K67.5</t>
        </is>
      </c>
    </row>
    <row r="9810">
      <c r="A9810">
        <v>9809</v>
      </c>
      <c r="B9810">
        <f>GS90</f>
        <v>0</v>
      </c>
      <c r="C9810" t="inlineStr">
        <is>
          <t>+LS09</t>
        </is>
      </c>
      <c r="D9810" t="inlineStr">
        <is>
          <t>-461Q1</t>
        </is>
      </c>
      <c r="E9810" t="inlineStr">
        <is>
          <t>DILMC25-10(RDC24)</t>
        </is>
      </c>
      <c r="F9810" t="inlineStr">
        <is>
          <t>DILA-XHI22</t>
        </is>
      </c>
      <c r="G9810" t="inlineStr">
        <is>
          <t>LASTSCHUETZ</t>
        </is>
      </c>
      <c r="H9810" t="inlineStr">
        <is>
          <t>11kW 1S Federzugkl.</t>
        </is>
      </c>
      <c r="I9810">
        <v>521</v>
      </c>
      <c r="J9810">
        <f>GS90/461.4</f>
        <v>0</v>
      </c>
      <c r="K9810" t="inlineStr">
        <is>
          <t>DIL MC25</t>
        </is>
      </c>
      <c r="M9810" t="inlineStr">
        <is>
          <t>-461Q1</t>
        </is>
      </c>
    </row>
    <row r="9811">
      <c r="A9811">
        <v>9810</v>
      </c>
      <c r="B9811">
        <f>GS90</f>
        <v>0</v>
      </c>
      <c r="C9811" t="inlineStr">
        <is>
          <t>+LS09</t>
        </is>
      </c>
      <c r="D9811" t="inlineStr">
        <is>
          <t>-461Q1</t>
        </is>
      </c>
      <c r="E9811" t="inlineStr">
        <is>
          <t>DILA-XHI22</t>
        </is>
      </c>
      <c r="F9811" t="inlineStr">
        <is>
          <t>DILA-XHI22</t>
        </is>
      </c>
      <c r="G9811" t="inlineStr">
        <is>
          <t>HILFSKONTAKTBLOCK</t>
        </is>
      </c>
      <c r="H9811" t="inlineStr">
        <is>
          <t>2S 2OE Last+Hilfssch. Cage</t>
        </is>
      </c>
      <c r="I9811">
        <v>521</v>
      </c>
      <c r="J9811">
        <f>GS90/461.4</f>
        <v>0</v>
      </c>
      <c r="K9811" t="inlineStr">
        <is>
          <t>DIL MC25</t>
        </is>
      </c>
      <c r="M9811" t="inlineStr">
        <is>
          <t>-461Q1</t>
        </is>
      </c>
    </row>
    <row r="9812">
      <c r="A9812">
        <v>9811</v>
      </c>
      <c r="B9812">
        <f>GS93</f>
        <v>0</v>
      </c>
      <c r="C9812" t="inlineStr">
        <is>
          <t>+LS08</t>
        </is>
      </c>
      <c r="D9812" t="inlineStr">
        <is>
          <t>-461Q479.5</t>
        </is>
      </c>
      <c r="E9812" t="inlineStr">
        <is>
          <t>DILM-9-10</t>
        </is>
      </c>
      <c r="F9812" t="inlineStr">
        <is>
          <t>#KALK!</t>
        </is>
      </c>
      <c r="G9812" t="inlineStr">
        <is>
          <t>LASTSCHUETZ</t>
        </is>
      </c>
      <c r="H9812" t="inlineStr">
        <is>
          <t>4kW 1S Federzugkl.</t>
        </is>
      </c>
      <c r="I9812">
        <v>1015</v>
      </c>
      <c r="J9812">
        <f>GS93/461.5</f>
        <v>0</v>
      </c>
      <c r="M9812" t="inlineStr">
        <is>
          <t>-461Q479.5</t>
        </is>
      </c>
    </row>
    <row r="9813">
      <c r="A9813">
        <v>9812</v>
      </c>
      <c r="B9813">
        <f>GS25</f>
        <v>0</v>
      </c>
      <c r="C9813" t="inlineStr">
        <is>
          <t>+LS10</t>
        </is>
      </c>
      <c r="D9813" t="inlineStr">
        <is>
          <t>-4623504.1</t>
        </is>
      </c>
      <c r="E9813" t="inlineStr">
        <is>
          <t>DIL_EM-10-G</t>
        </is>
      </c>
      <c r="F9813" t="inlineStr">
        <is>
          <t>#KALK!</t>
        </is>
      </c>
      <c r="G9813" t="inlineStr">
        <is>
          <t>LASTSCHUETZ</t>
        </is>
      </c>
      <c r="H9813" t="inlineStr">
        <is>
          <t>4kW 1S</t>
        </is>
      </c>
      <c r="I9813">
        <v>588</v>
      </c>
      <c r="J9813">
        <f>GS25/462.6</f>
        <v>0</v>
      </c>
      <c r="M9813" t="inlineStr">
        <is>
          <t>-4623504.1</t>
        </is>
      </c>
    </row>
    <row r="9814">
      <c r="A9814">
        <v>9813</v>
      </c>
      <c r="B9814">
        <f>GS25</f>
        <v>0</v>
      </c>
      <c r="C9814" t="inlineStr">
        <is>
          <t>+LS10</t>
        </is>
      </c>
      <c r="D9814" t="inlineStr">
        <is>
          <t>-4623504.2</t>
        </is>
      </c>
      <c r="E9814" t="inlineStr">
        <is>
          <t>DIL_EM-10-G</t>
        </is>
      </c>
      <c r="F9814" t="inlineStr">
        <is>
          <t>#KALK!</t>
        </is>
      </c>
      <c r="G9814" t="inlineStr">
        <is>
          <t>LASTSCHUETZ</t>
        </is>
      </c>
      <c r="H9814" t="inlineStr">
        <is>
          <t>4kW 1S</t>
        </is>
      </c>
      <c r="I9814">
        <v>588</v>
      </c>
      <c r="J9814">
        <f>GS25/462.7</f>
        <v>0</v>
      </c>
      <c r="M9814" t="inlineStr">
        <is>
          <t>-4623504.2</t>
        </is>
      </c>
    </row>
    <row r="9815">
      <c r="A9815">
        <v>9814</v>
      </c>
      <c r="B9815">
        <f>GS01</f>
        <v>0</v>
      </c>
      <c r="C9815" t="inlineStr">
        <is>
          <t>+LS9</t>
        </is>
      </c>
      <c r="D9815" t="inlineStr">
        <is>
          <t>-462K19.1</t>
        </is>
      </c>
      <c r="E9815" t="inlineStr">
        <is>
          <t>DIL_EM-10-G</t>
        </is>
      </c>
      <c r="F9815" t="inlineStr">
        <is>
          <t>#KALK!</t>
        </is>
      </c>
      <c r="G9815" t="inlineStr">
        <is>
          <t>LASTSCHUETZ</t>
        </is>
      </c>
      <c r="H9815" t="inlineStr">
        <is>
          <t>4kW 1S</t>
        </is>
      </c>
      <c r="I9815">
        <v>626</v>
      </c>
      <c r="J9815">
        <f>GS01/462.6</f>
        <v>0</v>
      </c>
      <c r="M9815" t="inlineStr">
        <is>
          <t>-462K19.1</t>
        </is>
      </c>
    </row>
    <row r="9816">
      <c r="A9816">
        <v>9815</v>
      </c>
      <c r="B9816">
        <f>GS01</f>
        <v>0</v>
      </c>
      <c r="C9816" t="inlineStr">
        <is>
          <t>+LS9</t>
        </is>
      </c>
      <c r="D9816" t="inlineStr">
        <is>
          <t>-462K19.2</t>
        </is>
      </c>
      <c r="E9816" t="inlineStr">
        <is>
          <t>DIL_EM-10-G</t>
        </is>
      </c>
      <c r="F9816" t="inlineStr">
        <is>
          <t>#KALK!</t>
        </is>
      </c>
      <c r="G9816" t="inlineStr">
        <is>
          <t>LASTSCHUETZ</t>
        </is>
      </c>
      <c r="H9816" t="inlineStr">
        <is>
          <t>4kW 1S</t>
        </is>
      </c>
      <c r="I9816">
        <v>626</v>
      </c>
      <c r="J9816">
        <f>GS01/462.6</f>
        <v>0</v>
      </c>
      <c r="M9816" t="inlineStr">
        <is>
          <t>-462K19.2</t>
        </is>
      </c>
    </row>
    <row r="9817">
      <c r="A9817">
        <v>9816</v>
      </c>
      <c r="B9817">
        <f>GS14</f>
        <v>0</v>
      </c>
      <c r="C9817" t="inlineStr">
        <is>
          <t>+LS8</t>
        </is>
      </c>
      <c r="D9817" t="inlineStr">
        <is>
          <t>-462K3508.3</t>
        </is>
      </c>
      <c r="E9817" t="inlineStr">
        <is>
          <t>DIL_EM-10-G</t>
        </is>
      </c>
      <c r="F9817" t="inlineStr">
        <is>
          <t>#KALK!</t>
        </is>
      </c>
      <c r="G9817" t="inlineStr">
        <is>
          <t>LASTSCHUETZ</t>
        </is>
      </c>
      <c r="H9817" t="inlineStr">
        <is>
          <t>4kW 1S</t>
        </is>
      </c>
      <c r="I9817">
        <v>594</v>
      </c>
      <c r="J9817">
        <f>GS14/462.6</f>
        <v>0</v>
      </c>
      <c r="M9817" t="inlineStr">
        <is>
          <t>-462K3508.3</t>
        </is>
      </c>
    </row>
    <row r="9818">
      <c r="A9818">
        <v>9817</v>
      </c>
      <c r="B9818">
        <f>GS14</f>
        <v>0</v>
      </c>
      <c r="C9818" t="inlineStr">
        <is>
          <t>+LS8</t>
        </is>
      </c>
      <c r="D9818" t="inlineStr">
        <is>
          <t>-462K3508.6</t>
        </is>
      </c>
      <c r="E9818" t="inlineStr">
        <is>
          <t>DIL_EM-10-G</t>
        </is>
      </c>
      <c r="F9818" t="inlineStr">
        <is>
          <t>#KALK!</t>
        </is>
      </c>
      <c r="G9818" t="inlineStr">
        <is>
          <t>LASTSCHUETZ</t>
        </is>
      </c>
      <c r="H9818" t="inlineStr">
        <is>
          <t>4kW 1S</t>
        </is>
      </c>
      <c r="I9818">
        <v>594</v>
      </c>
      <c r="J9818">
        <f>GS14/462.7</f>
        <v>0</v>
      </c>
      <c r="M9818" t="inlineStr">
        <is>
          <t>-462K3508.6</t>
        </is>
      </c>
    </row>
    <row r="9819">
      <c r="A9819">
        <v>9818</v>
      </c>
      <c r="B9819">
        <f>GS34</f>
        <v>0</v>
      </c>
      <c r="C9819" t="inlineStr">
        <is>
          <t>+QVW2601</t>
        </is>
      </c>
      <c r="D9819" t="inlineStr">
        <is>
          <t>-462K3609.0</t>
        </is>
      </c>
      <c r="E9819" t="inlineStr">
        <is>
          <t>DIL_EM-10-G</t>
        </is>
      </c>
      <c r="F9819" t="inlineStr">
        <is>
          <t>#KALK!</t>
        </is>
      </c>
      <c r="G9819" t="inlineStr">
        <is>
          <t>LASTSCHUETZ</t>
        </is>
      </c>
      <c r="H9819" t="inlineStr">
        <is>
          <t>4kW 1S</t>
        </is>
      </c>
      <c r="I9819">
        <v>587</v>
      </c>
      <c r="J9819">
        <f>GS34/462.6</f>
        <v>0</v>
      </c>
      <c r="M9819" t="inlineStr">
        <is>
          <t>-462K3609.0</t>
        </is>
      </c>
    </row>
    <row r="9820">
      <c r="A9820">
        <v>9819</v>
      </c>
      <c r="B9820">
        <f>GS01</f>
        <v>0</v>
      </c>
      <c r="C9820" t="inlineStr">
        <is>
          <t>+LS9</t>
        </is>
      </c>
      <c r="D9820" t="inlineStr">
        <is>
          <t>-463K19.3</t>
        </is>
      </c>
      <c r="E9820" t="inlineStr">
        <is>
          <t>DIL_EM-10-G</t>
        </is>
      </c>
      <c r="F9820" t="inlineStr">
        <is>
          <t>#KALK!</t>
        </is>
      </c>
      <c r="G9820" t="inlineStr">
        <is>
          <t>LASTSCHUETZ</t>
        </is>
      </c>
      <c r="H9820" t="inlineStr">
        <is>
          <t>4kW 1S</t>
        </is>
      </c>
      <c r="I9820">
        <v>627</v>
      </c>
      <c r="J9820">
        <f>GS01/463.6</f>
        <v>0</v>
      </c>
      <c r="M9820" t="inlineStr">
        <is>
          <t>-463K19.3</t>
        </is>
      </c>
    </row>
    <row r="9821">
      <c r="A9821">
        <v>9820</v>
      </c>
      <c r="B9821">
        <f>GS01</f>
        <v>0</v>
      </c>
      <c r="C9821" t="inlineStr">
        <is>
          <t>+LS9</t>
        </is>
      </c>
      <c r="D9821" t="inlineStr">
        <is>
          <t>-463K19.4</t>
        </is>
      </c>
      <c r="E9821" t="inlineStr">
        <is>
          <t>DIL_EM-10-G</t>
        </is>
      </c>
      <c r="F9821" t="inlineStr">
        <is>
          <t>#KALK!</t>
        </is>
      </c>
      <c r="G9821" t="inlineStr">
        <is>
          <t>LASTSCHUETZ</t>
        </is>
      </c>
      <c r="H9821" t="inlineStr">
        <is>
          <t>4kW 1S</t>
        </is>
      </c>
      <c r="I9821">
        <v>627</v>
      </c>
      <c r="J9821">
        <f>GS01/463.6</f>
        <v>0</v>
      </c>
      <c r="M9821" t="inlineStr">
        <is>
          <t>-463K19.4</t>
        </is>
      </c>
    </row>
    <row r="9822">
      <c r="A9822">
        <v>9821</v>
      </c>
      <c r="B9822">
        <f>GS25</f>
        <v>0</v>
      </c>
      <c r="C9822" t="inlineStr">
        <is>
          <t>+LS10</t>
        </is>
      </c>
      <c r="D9822" t="inlineStr">
        <is>
          <t>-463K3504.3</t>
        </is>
      </c>
      <c r="E9822" t="inlineStr">
        <is>
          <t>DIL_EM-10-G</t>
        </is>
      </c>
      <c r="F9822" t="inlineStr">
        <is>
          <t>#KALK!</t>
        </is>
      </c>
      <c r="G9822" t="inlineStr">
        <is>
          <t>LASTSCHUETZ</t>
        </is>
      </c>
      <c r="H9822" t="inlineStr">
        <is>
          <t>4kW 1S</t>
        </is>
      </c>
      <c r="I9822">
        <v>589</v>
      </c>
      <c r="J9822">
        <f>GS25/463.6</f>
        <v>0</v>
      </c>
      <c r="M9822" t="inlineStr">
        <is>
          <t>-463K3504.3</t>
        </is>
      </c>
    </row>
    <row r="9823">
      <c r="A9823">
        <v>9822</v>
      </c>
      <c r="B9823">
        <f>GS25</f>
        <v>0</v>
      </c>
      <c r="C9823" t="inlineStr">
        <is>
          <t>+LS10</t>
        </is>
      </c>
      <c r="D9823" t="inlineStr">
        <is>
          <t>-463K3504.6</t>
        </is>
      </c>
      <c r="E9823" t="inlineStr">
        <is>
          <t>DIL_EM-10-G</t>
        </is>
      </c>
      <c r="F9823" t="inlineStr">
        <is>
          <t>#KALK!</t>
        </is>
      </c>
      <c r="G9823" t="inlineStr">
        <is>
          <t>LASTSCHUETZ</t>
        </is>
      </c>
      <c r="H9823" t="inlineStr">
        <is>
          <t>4kW 1S</t>
        </is>
      </c>
      <c r="I9823">
        <v>589</v>
      </c>
      <c r="J9823">
        <f>GS25/463.7</f>
        <v>0</v>
      </c>
      <c r="M9823" t="inlineStr">
        <is>
          <t>-463K3504.6</t>
        </is>
      </c>
    </row>
    <row r="9824">
      <c r="A9824">
        <v>9823</v>
      </c>
      <c r="B9824">
        <f>GS14</f>
        <v>0</v>
      </c>
      <c r="C9824" t="inlineStr">
        <is>
          <t>+LS8</t>
        </is>
      </c>
      <c r="D9824" t="inlineStr">
        <is>
          <t>-463K3508.7</t>
        </is>
      </c>
      <c r="E9824" t="inlineStr">
        <is>
          <t>DIL_EM-10-G</t>
        </is>
      </c>
      <c r="F9824" t="inlineStr">
        <is>
          <t>#KALK!</t>
        </is>
      </c>
      <c r="G9824" t="inlineStr">
        <is>
          <t>LASTSCHUETZ</t>
        </is>
      </c>
      <c r="H9824" t="inlineStr">
        <is>
          <t>4kW 1S</t>
        </is>
      </c>
      <c r="I9824">
        <v>595</v>
      </c>
      <c r="J9824">
        <f>GS14/463.6</f>
        <v>0</v>
      </c>
      <c r="M9824" t="inlineStr">
        <is>
          <t>-463K3508.7</t>
        </is>
      </c>
    </row>
    <row r="9825">
      <c r="A9825">
        <v>9824</v>
      </c>
      <c r="B9825">
        <f>GC22</f>
        <v>0</v>
      </c>
      <c r="C9825" t="inlineStr">
        <is>
          <t>+QVW2101</t>
        </is>
      </c>
      <c r="D9825" t="inlineStr">
        <is>
          <t>-463K62.1</t>
        </is>
      </c>
      <c r="E9825" t="inlineStr">
        <is>
          <t>3RT1016-1BB41</t>
        </is>
      </c>
      <c r="F9825" t="inlineStr">
        <is>
          <t>#KALK!</t>
        </is>
      </c>
      <c r="G9825" t="inlineStr">
        <is>
          <t>LASTSCHUETZ</t>
        </is>
      </c>
      <c r="H9825" t="inlineStr">
        <is>
          <t>3H/1S/0OE</t>
        </is>
      </c>
      <c r="I9825">
        <v>2938</v>
      </c>
      <c r="J9825">
        <f>GC22/463.2</f>
        <v>0</v>
      </c>
      <c r="M9825" t="inlineStr">
        <is>
          <t>-463K62.1</t>
        </is>
      </c>
    </row>
    <row r="9826">
      <c r="A9826">
        <v>9825</v>
      </c>
      <c r="B9826">
        <f>GS12</f>
        <v>0</v>
      </c>
      <c r="C9826" t="inlineStr">
        <is>
          <t>+QVW2101</t>
        </is>
      </c>
      <c r="D9826" t="inlineStr">
        <is>
          <t>-463K62.1</t>
        </is>
      </c>
      <c r="E9826" t="inlineStr">
        <is>
          <t>3RT1016-1BB41</t>
        </is>
      </c>
      <c r="F9826" t="inlineStr">
        <is>
          <t>#KALK!</t>
        </is>
      </c>
      <c r="G9826" t="inlineStr">
        <is>
          <t>LASTSCHUETZ</t>
        </is>
      </c>
      <c r="H9826" t="inlineStr">
        <is>
          <t>3H/1S/0OE</t>
        </is>
      </c>
      <c r="I9826">
        <v>595</v>
      </c>
      <c r="J9826">
        <f>GS12/463.2</f>
        <v>0</v>
      </c>
      <c r="M9826" t="inlineStr">
        <is>
          <t>-463K62.1</t>
        </is>
      </c>
    </row>
    <row r="9827">
      <c r="A9827">
        <v>9826</v>
      </c>
      <c r="B9827">
        <f>GC22</f>
        <v>0</v>
      </c>
      <c r="C9827" t="inlineStr">
        <is>
          <t>+QVW2101</t>
        </is>
      </c>
      <c r="D9827" t="inlineStr">
        <is>
          <t>-463K62.7</t>
        </is>
      </c>
      <c r="E9827" t="inlineStr">
        <is>
          <t>DIL_EM-10-G</t>
        </is>
      </c>
      <c r="F9827" t="inlineStr">
        <is>
          <t>#KALK!</t>
        </is>
      </c>
      <c r="G9827" t="inlineStr">
        <is>
          <t>LASTSCHUETZ</t>
        </is>
      </c>
      <c r="H9827" t="inlineStr">
        <is>
          <t>4kW 1S</t>
        </is>
      </c>
      <c r="I9827">
        <v>2938</v>
      </c>
      <c r="J9827">
        <f>GC22/463.3</f>
        <v>0</v>
      </c>
      <c r="M9827" t="inlineStr">
        <is>
          <t>-463K62.7</t>
        </is>
      </c>
    </row>
    <row r="9828">
      <c r="A9828">
        <v>9827</v>
      </c>
      <c r="B9828">
        <f>GS12</f>
        <v>0</v>
      </c>
      <c r="C9828" t="inlineStr">
        <is>
          <t>+QVW2101</t>
        </is>
      </c>
      <c r="D9828" t="inlineStr">
        <is>
          <t>-463K62.7</t>
        </is>
      </c>
      <c r="E9828" t="inlineStr">
        <is>
          <t>DIL_EM-10-G</t>
        </is>
      </c>
      <c r="F9828" t="inlineStr">
        <is>
          <t>#KALK!</t>
        </is>
      </c>
      <c r="G9828" t="inlineStr">
        <is>
          <t>LASTSCHUETZ</t>
        </is>
      </c>
      <c r="H9828" t="inlineStr">
        <is>
          <t>4kW 1S</t>
        </is>
      </c>
      <c r="I9828">
        <v>595</v>
      </c>
      <c r="J9828">
        <f>GS12/463.3</f>
        <v>0</v>
      </c>
      <c r="M9828" t="inlineStr">
        <is>
          <t>-463K62.7</t>
        </is>
      </c>
    </row>
    <row r="9829">
      <c r="A9829">
        <v>9828</v>
      </c>
      <c r="B9829">
        <f>GS90</f>
        <v>0</v>
      </c>
      <c r="C9829" t="inlineStr">
        <is>
          <t>+LS09</t>
        </is>
      </c>
      <c r="D9829" t="inlineStr">
        <is>
          <t>-463Q466.5</t>
        </is>
      </c>
      <c r="E9829" t="inlineStr">
        <is>
          <t>DILM-9-10</t>
        </is>
      </c>
      <c r="F9829" t="inlineStr">
        <is>
          <t>#KALK!</t>
        </is>
      </c>
      <c r="G9829" t="inlineStr">
        <is>
          <t>LASTSCHUETZ</t>
        </is>
      </c>
      <c r="H9829" t="inlineStr">
        <is>
          <t>4kW 1S Federzugkl.</t>
        </is>
      </c>
      <c r="I9829">
        <v>523</v>
      </c>
      <c r="J9829">
        <f>GS90/463.5</f>
        <v>0</v>
      </c>
      <c r="M9829" t="inlineStr">
        <is>
          <t>-463Q466.5</t>
        </is>
      </c>
    </row>
    <row r="9830">
      <c r="A9830">
        <v>9829</v>
      </c>
      <c r="B9830">
        <f>GS90</f>
        <v>0</v>
      </c>
      <c r="C9830" t="inlineStr">
        <is>
          <t>+LS09</t>
        </is>
      </c>
      <c r="D9830" t="inlineStr">
        <is>
          <t>-464.1Q466.7</t>
        </is>
      </c>
      <c r="E9830" t="inlineStr">
        <is>
          <t>DILM-9-10</t>
        </is>
      </c>
      <c r="F9830" t="inlineStr">
        <is>
          <t>#KALK!</t>
        </is>
      </c>
      <c r="G9830" t="inlineStr">
        <is>
          <t>LASTSCHUETZ</t>
        </is>
      </c>
      <c r="H9830" t="inlineStr">
        <is>
          <t>4kW 1S Federzugkl.</t>
        </is>
      </c>
      <c r="I9830">
        <v>1723</v>
      </c>
      <c r="J9830">
        <f>GS90/464.1.5</f>
        <v>0</v>
      </c>
      <c r="M9830" t="inlineStr">
        <is>
          <t>-464.1Q466.7</t>
        </is>
      </c>
    </row>
    <row r="9831">
      <c r="A9831">
        <v>9830</v>
      </c>
      <c r="B9831">
        <f>GS01</f>
        <v>0</v>
      </c>
      <c r="C9831" t="inlineStr">
        <is>
          <t>+LS9</t>
        </is>
      </c>
      <c r="D9831" t="inlineStr">
        <is>
          <t>-464K19.5</t>
        </is>
      </c>
      <c r="E9831" t="inlineStr">
        <is>
          <t>DIL_EM-10-G</t>
        </is>
      </c>
      <c r="F9831" t="inlineStr">
        <is>
          <t>#KALK!</t>
        </is>
      </c>
      <c r="G9831" t="inlineStr">
        <is>
          <t>LASTSCHUETZ</t>
        </is>
      </c>
      <c r="H9831" t="inlineStr">
        <is>
          <t>4kW 1S</t>
        </is>
      </c>
      <c r="I9831">
        <v>628</v>
      </c>
      <c r="J9831">
        <f>GS01/464.6</f>
        <v>0</v>
      </c>
      <c r="M9831" t="inlineStr">
        <is>
          <t>-464K19.5</t>
        </is>
      </c>
    </row>
    <row r="9832">
      <c r="A9832">
        <v>9831</v>
      </c>
      <c r="B9832">
        <f>GS25</f>
        <v>0</v>
      </c>
      <c r="C9832" t="inlineStr">
        <is>
          <t>+LS10</t>
        </is>
      </c>
      <c r="D9832" t="inlineStr">
        <is>
          <t>-464K3504.7</t>
        </is>
      </c>
      <c r="E9832" t="inlineStr">
        <is>
          <t>DIL_EM-10-G</t>
        </is>
      </c>
      <c r="F9832" t="inlineStr">
        <is>
          <t>#KALK!</t>
        </is>
      </c>
      <c r="G9832" t="inlineStr">
        <is>
          <t>LASTSCHUETZ</t>
        </is>
      </c>
      <c r="H9832" t="inlineStr">
        <is>
          <t>4kW 1S</t>
        </is>
      </c>
      <c r="I9832">
        <v>590</v>
      </c>
      <c r="J9832">
        <f>GS25/464.6</f>
        <v>0</v>
      </c>
      <c r="M9832" t="inlineStr">
        <is>
          <t>-464K3504.7</t>
        </is>
      </c>
    </row>
    <row r="9833">
      <c r="A9833">
        <v>9832</v>
      </c>
      <c r="B9833">
        <f>GS14</f>
        <v>0</v>
      </c>
      <c r="C9833" t="inlineStr">
        <is>
          <t>+LS8</t>
        </is>
      </c>
      <c r="D9833" t="inlineStr">
        <is>
          <t>-464K3509.3</t>
        </is>
      </c>
      <c r="E9833" t="inlineStr">
        <is>
          <t>DIL_EM-10-G</t>
        </is>
      </c>
      <c r="F9833" t="inlineStr">
        <is>
          <t>#KALK!</t>
        </is>
      </c>
      <c r="G9833" t="inlineStr">
        <is>
          <t>LASTSCHUETZ</t>
        </is>
      </c>
      <c r="H9833" t="inlineStr">
        <is>
          <t>4kW 1S</t>
        </is>
      </c>
      <c r="I9833">
        <v>596</v>
      </c>
      <c r="J9833">
        <f>GS14/464.7</f>
        <v>0</v>
      </c>
      <c r="M9833" t="inlineStr">
        <is>
          <t>-464K3509.3</t>
        </is>
      </c>
    </row>
    <row r="9834">
      <c r="A9834">
        <v>9833</v>
      </c>
      <c r="B9834">
        <f>GS90</f>
        <v>0</v>
      </c>
      <c r="C9834" t="inlineStr">
        <is>
          <t>+LS09</t>
        </is>
      </c>
      <c r="D9834" t="inlineStr">
        <is>
          <t>-464Q466.6</t>
        </is>
      </c>
      <c r="E9834" t="inlineStr">
        <is>
          <t>DILM-9-10</t>
        </is>
      </c>
      <c r="F9834" t="inlineStr">
        <is>
          <t>#KALK!</t>
        </is>
      </c>
      <c r="G9834" t="inlineStr">
        <is>
          <t>LASTSCHUETZ</t>
        </is>
      </c>
      <c r="H9834" t="inlineStr">
        <is>
          <t>4kW 1S Federzugkl.</t>
        </is>
      </c>
      <c r="I9834">
        <v>786</v>
      </c>
      <c r="J9834">
        <f>GS90/464.5</f>
        <v>0</v>
      </c>
      <c r="M9834" t="inlineStr">
        <is>
          <t>-464Q466.6</t>
        </is>
      </c>
    </row>
    <row r="9835">
      <c r="A9835">
        <v>9834</v>
      </c>
      <c r="B9835">
        <f>GS31</f>
        <v>0</v>
      </c>
      <c r="C9835" t="inlineStr">
        <is>
          <t>+LS9</t>
        </is>
      </c>
      <c r="D9835" t="inlineStr">
        <is>
          <t>-465K1</t>
        </is>
      </c>
      <c r="E9835" t="inlineStr">
        <is>
          <t>DILA-XHI22</t>
        </is>
      </c>
      <c r="F9835" t="inlineStr">
        <is>
          <t>DILA-XHI22</t>
        </is>
      </c>
      <c r="G9835" t="inlineStr">
        <is>
          <t>HILFSKONTAKTBLOCK</t>
        </is>
      </c>
      <c r="H9835" t="inlineStr">
        <is>
          <t>2S 2OE Last+Hilfssch. Cage</t>
        </is>
      </c>
      <c r="I9835">
        <v>759</v>
      </c>
      <c r="J9835">
        <f>GS31/465.2</f>
        <v>0</v>
      </c>
      <c r="K9835" t="inlineStr">
        <is>
          <t>DILMC25</t>
        </is>
      </c>
      <c r="M9835" t="inlineStr">
        <is>
          <t>-465K1</t>
        </is>
      </c>
    </row>
    <row r="9836">
      <c r="A9836">
        <v>9835</v>
      </c>
      <c r="B9836">
        <f>GS31</f>
        <v>0</v>
      </c>
      <c r="C9836" t="inlineStr">
        <is>
          <t>+LS9</t>
        </is>
      </c>
      <c r="D9836" t="inlineStr">
        <is>
          <t>-465K1</t>
        </is>
      </c>
      <c r="E9836" t="inlineStr">
        <is>
          <t>DILMC25-10230V50HZ</t>
        </is>
      </c>
      <c r="F9836" t="inlineStr">
        <is>
          <t>DILA-XHI22</t>
        </is>
      </c>
      <c r="G9836" t="inlineStr">
        <is>
          <t>LASTSCHUETZ</t>
        </is>
      </c>
      <c r="H9836" t="inlineStr">
        <is>
          <t>11kW 1S Federzugkl.</t>
        </is>
      </c>
      <c r="I9836">
        <v>759</v>
      </c>
      <c r="J9836">
        <f>GS31/465.2</f>
        <v>0</v>
      </c>
      <c r="K9836" t="inlineStr">
        <is>
          <t>DILMC25</t>
        </is>
      </c>
      <c r="M9836" t="inlineStr">
        <is>
          <t>-465K1</t>
        </is>
      </c>
    </row>
    <row r="9837">
      <c r="A9837">
        <v>9836</v>
      </c>
      <c r="B9837">
        <f>GS30</f>
        <v>0</v>
      </c>
      <c r="C9837" t="inlineStr">
        <is>
          <t>+LS15</t>
        </is>
      </c>
      <c r="D9837" t="inlineStr">
        <is>
          <t>-465K1018.4</t>
        </is>
      </c>
      <c r="E9837" t="inlineStr">
        <is>
          <t>DILA-40</t>
        </is>
      </c>
      <c r="F9837" t="inlineStr">
        <is>
          <t>#KALK!</t>
        </is>
      </c>
      <c r="G9837" t="inlineStr">
        <is>
          <t>HILFSSCHUETZ</t>
        </is>
      </c>
      <c r="H9837" t="inlineStr">
        <is>
          <t>4S Federzugkl.</t>
        </is>
      </c>
      <c r="I9837">
        <v>3050</v>
      </c>
      <c r="J9837">
        <f>GS30/465.7</f>
        <v>0</v>
      </c>
      <c r="M9837" t="inlineStr">
        <is>
          <t>-465K1018.4</t>
        </is>
      </c>
    </row>
    <row r="9838">
      <c r="A9838">
        <v>9837</v>
      </c>
      <c r="B9838">
        <f>GS01</f>
        <v>0</v>
      </c>
      <c r="C9838" t="inlineStr">
        <is>
          <t>+LS9</t>
        </is>
      </c>
      <c r="D9838" t="inlineStr">
        <is>
          <t>-465K20.0</t>
        </is>
      </c>
      <c r="E9838" t="inlineStr">
        <is>
          <t>DIL_EM-10-G</t>
        </is>
      </c>
      <c r="F9838" t="inlineStr">
        <is>
          <t>#KALK!</t>
        </is>
      </c>
      <c r="G9838" t="inlineStr">
        <is>
          <t>LASTSCHUETZ</t>
        </is>
      </c>
      <c r="H9838" t="inlineStr">
        <is>
          <t>4kW 1S</t>
        </is>
      </c>
      <c r="I9838">
        <v>629</v>
      </c>
      <c r="J9838">
        <f>GS01/465.6</f>
        <v>0</v>
      </c>
      <c r="M9838" t="inlineStr">
        <is>
          <t>-465K20.0</t>
        </is>
      </c>
    </row>
    <row r="9839">
      <c r="A9839">
        <v>9838</v>
      </c>
      <c r="B9839">
        <f>GS01</f>
        <v>0</v>
      </c>
      <c r="C9839" t="inlineStr">
        <is>
          <t>+LS9</t>
        </is>
      </c>
      <c r="D9839" t="inlineStr">
        <is>
          <t>-465K20.1</t>
        </is>
      </c>
      <c r="E9839" t="inlineStr">
        <is>
          <t>DIL_EM-10-G</t>
        </is>
      </c>
      <c r="F9839" t="inlineStr">
        <is>
          <t>#KALK!</t>
        </is>
      </c>
      <c r="G9839" t="inlineStr">
        <is>
          <t>LASTSCHUETZ</t>
        </is>
      </c>
      <c r="H9839" t="inlineStr">
        <is>
          <t>4kW 1S</t>
        </is>
      </c>
      <c r="I9839">
        <v>629</v>
      </c>
      <c r="J9839">
        <f>GS01/465.6</f>
        <v>0</v>
      </c>
      <c r="M9839" t="inlineStr">
        <is>
          <t>-465K20.1</t>
        </is>
      </c>
    </row>
    <row r="9840">
      <c r="A9840">
        <v>9839</v>
      </c>
      <c r="B9840">
        <f>GS25</f>
        <v>0</v>
      </c>
      <c r="C9840" t="inlineStr">
        <is>
          <t>+LS10</t>
        </is>
      </c>
      <c r="D9840" t="inlineStr">
        <is>
          <t>-465K3505.3</t>
        </is>
      </c>
      <c r="E9840" t="inlineStr">
        <is>
          <t>DIL_EM-10-G</t>
        </is>
      </c>
      <c r="F9840" t="inlineStr">
        <is>
          <t>#KALK!</t>
        </is>
      </c>
      <c r="G9840" t="inlineStr">
        <is>
          <t>LASTSCHUETZ</t>
        </is>
      </c>
      <c r="H9840" t="inlineStr">
        <is>
          <t>4kW 1S</t>
        </is>
      </c>
      <c r="I9840">
        <v>591</v>
      </c>
      <c r="J9840">
        <f>GS25/465.7</f>
        <v>0</v>
      </c>
      <c r="M9840" t="inlineStr">
        <is>
          <t>-465K3505.3</t>
        </is>
      </c>
    </row>
    <row r="9841">
      <c r="A9841">
        <v>9840</v>
      </c>
      <c r="B9841">
        <f>GS14</f>
        <v>0</v>
      </c>
      <c r="C9841" t="inlineStr">
        <is>
          <t>+LS8</t>
        </is>
      </c>
      <c r="D9841" t="inlineStr">
        <is>
          <t>-465K3509.4</t>
        </is>
      </c>
      <c r="E9841" t="inlineStr">
        <is>
          <t>DIL_EM-10-G</t>
        </is>
      </c>
      <c r="F9841" t="inlineStr">
        <is>
          <t>#KALK!</t>
        </is>
      </c>
      <c r="G9841" t="inlineStr">
        <is>
          <t>LASTSCHUETZ</t>
        </is>
      </c>
      <c r="H9841" t="inlineStr">
        <is>
          <t>4kW 1S</t>
        </is>
      </c>
      <c r="I9841">
        <v>597</v>
      </c>
      <c r="J9841">
        <f>GS14/465.6</f>
        <v>0</v>
      </c>
      <c r="M9841" t="inlineStr">
        <is>
          <t>-465K3509.4</t>
        </is>
      </c>
    </row>
    <row r="9842">
      <c r="A9842">
        <v>9841</v>
      </c>
      <c r="B9842">
        <f>GS14</f>
        <v>0</v>
      </c>
      <c r="C9842" t="inlineStr">
        <is>
          <t>+LS8</t>
        </is>
      </c>
      <c r="D9842" t="inlineStr">
        <is>
          <t>-465K3509.5</t>
        </is>
      </c>
      <c r="E9842" t="inlineStr">
        <is>
          <t>DIL_EM-10-G</t>
        </is>
      </c>
      <c r="F9842" t="inlineStr">
        <is>
          <t>#KALK!</t>
        </is>
      </c>
      <c r="G9842" t="inlineStr">
        <is>
          <t>LASTSCHUETZ</t>
        </is>
      </c>
      <c r="H9842" t="inlineStr">
        <is>
          <t>4kW 1S</t>
        </is>
      </c>
      <c r="I9842">
        <v>597</v>
      </c>
      <c r="J9842">
        <f>GS14/465.7</f>
        <v>0</v>
      </c>
      <c r="M9842" t="inlineStr">
        <is>
          <t>-465K3509.5</t>
        </is>
      </c>
    </row>
    <row r="9843">
      <c r="A9843">
        <v>9842</v>
      </c>
      <c r="B9843">
        <f>GS35</f>
        <v>0</v>
      </c>
      <c r="C9843" t="inlineStr">
        <is>
          <t>+LS11</t>
        </is>
      </c>
      <c r="D9843" t="inlineStr">
        <is>
          <t>-465K452.4</t>
        </is>
      </c>
      <c r="E9843" t="inlineStr">
        <is>
          <t>DILA-40</t>
        </is>
      </c>
      <c r="F9843" t="inlineStr">
        <is>
          <t>#KALK!</t>
        </is>
      </c>
      <c r="G9843" t="inlineStr">
        <is>
          <t>HILFSSCHUETZ</t>
        </is>
      </c>
      <c r="H9843" t="inlineStr">
        <is>
          <t>4S Federzugkl.</t>
        </is>
      </c>
      <c r="I9843">
        <v>624</v>
      </c>
      <c r="J9843">
        <f>GS35/465.7</f>
        <v>0</v>
      </c>
      <c r="M9843" t="inlineStr">
        <is>
          <t>-465K452.4</t>
        </is>
      </c>
    </row>
    <row r="9844">
      <c r="A9844">
        <v>9843</v>
      </c>
      <c r="B9844">
        <f>GS91</f>
        <v>0</v>
      </c>
      <c r="C9844" t="inlineStr">
        <is>
          <t>+LS09</t>
        </is>
      </c>
      <c r="D9844" t="inlineStr">
        <is>
          <t>-465K461.0</t>
        </is>
      </c>
      <c r="E9844" t="inlineStr">
        <is>
          <t>DILA-40</t>
        </is>
      </c>
      <c r="F9844" t="inlineStr">
        <is>
          <t>#KALK!</t>
        </is>
      </c>
      <c r="G9844" t="inlineStr">
        <is>
          <t>HILFSSCHUETZ</t>
        </is>
      </c>
      <c r="H9844" t="inlineStr">
        <is>
          <t>4S Federzugkl.</t>
        </is>
      </c>
      <c r="I9844">
        <v>613</v>
      </c>
      <c r="J9844">
        <f>GS91/465.7</f>
        <v>0</v>
      </c>
      <c r="M9844" t="inlineStr">
        <is>
          <t>-465K461.0</t>
        </is>
      </c>
    </row>
    <row r="9845">
      <c r="A9845">
        <v>9844</v>
      </c>
      <c r="B9845">
        <f>GS90</f>
        <v>0</v>
      </c>
      <c r="C9845" t="inlineStr">
        <is>
          <t>+LS09</t>
        </is>
      </c>
      <c r="D9845" t="inlineStr">
        <is>
          <t>-465K464.4</t>
        </is>
      </c>
      <c r="E9845" t="inlineStr">
        <is>
          <t>DILA-40</t>
        </is>
      </c>
      <c r="F9845" t="inlineStr">
        <is>
          <t>#KALK!</t>
        </is>
      </c>
      <c r="G9845" t="inlineStr">
        <is>
          <t>HILFSSCHUETZ</t>
        </is>
      </c>
      <c r="H9845" t="inlineStr">
        <is>
          <t>4S Federzugkl.</t>
        </is>
      </c>
      <c r="I9845">
        <v>785</v>
      </c>
      <c r="J9845">
        <f>GS90/465.7</f>
        <v>0</v>
      </c>
      <c r="M9845" t="inlineStr">
        <is>
          <t>-465K464.4</t>
        </is>
      </c>
    </row>
    <row r="9846">
      <c r="A9846">
        <v>9845</v>
      </c>
      <c r="B9846">
        <f>GS37</f>
        <v>0</v>
      </c>
      <c r="C9846" t="inlineStr">
        <is>
          <t>+LS10</t>
        </is>
      </c>
      <c r="D9846" t="inlineStr">
        <is>
          <t>-465K723.4</t>
        </is>
      </c>
      <c r="E9846" t="inlineStr">
        <is>
          <t>DILA-40</t>
        </is>
      </c>
      <c r="F9846" t="inlineStr">
        <is>
          <t>#KALK!</t>
        </is>
      </c>
      <c r="G9846" t="inlineStr">
        <is>
          <t>HILFSSCHUETZ</t>
        </is>
      </c>
      <c r="H9846" t="inlineStr">
        <is>
          <t>4S Federzugkl.</t>
        </is>
      </c>
      <c r="I9846">
        <v>620</v>
      </c>
      <c r="J9846">
        <f>GS37/465.7</f>
        <v>0</v>
      </c>
      <c r="M9846" t="inlineStr">
        <is>
          <t>-465K723.4</t>
        </is>
      </c>
    </row>
    <row r="9847">
      <c r="A9847">
        <v>9846</v>
      </c>
      <c r="B9847">
        <f>GS92</f>
        <v>0</v>
      </c>
      <c r="C9847" t="inlineStr">
        <is>
          <t>+LS08</t>
        </is>
      </c>
      <c r="D9847" t="inlineStr">
        <is>
          <t>-465K757.4</t>
        </is>
      </c>
      <c r="E9847" t="inlineStr">
        <is>
          <t>DILA-40</t>
        </is>
      </c>
      <c r="F9847" t="inlineStr">
        <is>
          <t>#KALK!</t>
        </is>
      </c>
      <c r="G9847" t="inlineStr">
        <is>
          <t>HILFSSCHUETZ</t>
        </is>
      </c>
      <c r="H9847" t="inlineStr">
        <is>
          <t>4S Federzugkl.</t>
        </is>
      </c>
      <c r="I9847">
        <v>611</v>
      </c>
      <c r="J9847">
        <f>GS92/465.7</f>
        <v>0</v>
      </c>
      <c r="M9847" t="inlineStr">
        <is>
          <t>-465K757.4</t>
        </is>
      </c>
    </row>
    <row r="9848">
      <c r="A9848">
        <v>9847</v>
      </c>
      <c r="B9848">
        <f>GS05</f>
        <v>0</v>
      </c>
      <c r="C9848" t="inlineStr">
        <is>
          <t>+LS07</t>
        </is>
      </c>
      <c r="D9848" t="inlineStr">
        <is>
          <t>-465Q1</t>
        </is>
      </c>
      <c r="E9848" t="inlineStr">
        <is>
          <t>DILA-XHI22</t>
        </is>
      </c>
      <c r="F9848" t="inlineStr">
        <is>
          <t>DILA-XHI22</t>
        </is>
      </c>
      <c r="G9848" t="inlineStr">
        <is>
          <t>HILFSKONTAKTBLOCK</t>
        </is>
      </c>
      <c r="H9848" t="inlineStr">
        <is>
          <t>2S 2OE Last+Hilfssch. Cage</t>
        </is>
      </c>
      <c r="I9848">
        <v>2413</v>
      </c>
      <c r="J9848">
        <f>GS05/465.6</f>
        <v>0</v>
      </c>
      <c r="K9848" t="inlineStr">
        <is>
          <t>DIL MC25</t>
        </is>
      </c>
      <c r="M9848" t="inlineStr">
        <is>
          <t>-465Q1</t>
        </is>
      </c>
    </row>
    <row r="9849">
      <c r="A9849">
        <v>9848</v>
      </c>
      <c r="B9849">
        <f>GS05</f>
        <v>0</v>
      </c>
      <c r="C9849" t="inlineStr">
        <is>
          <t>+LS07</t>
        </is>
      </c>
      <c r="D9849" t="inlineStr">
        <is>
          <t>-465Q1</t>
        </is>
      </c>
      <c r="E9849" t="inlineStr">
        <is>
          <t>DILMC25-10(RDC24)</t>
        </is>
      </c>
      <c r="F9849" t="inlineStr">
        <is>
          <t>DILA-XHI22</t>
        </is>
      </c>
      <c r="G9849" t="inlineStr">
        <is>
          <t>LASTSCHUETZ</t>
        </is>
      </c>
      <c r="H9849" t="inlineStr">
        <is>
          <t>11kW 1S Federzugkl.</t>
        </is>
      </c>
      <c r="I9849">
        <v>2413</v>
      </c>
      <c r="J9849">
        <f>GS05/465.6</f>
        <v>0</v>
      </c>
      <c r="K9849" t="inlineStr">
        <is>
          <t>DIL MC25</t>
        </is>
      </c>
      <c r="M9849" t="inlineStr">
        <is>
          <t>-465Q1</t>
        </is>
      </c>
    </row>
    <row r="9850">
      <c r="A9850">
        <v>9849</v>
      </c>
      <c r="B9850">
        <f>GS07</f>
        <v>0</v>
      </c>
      <c r="C9850" t="inlineStr">
        <is>
          <t>+LS07</t>
        </is>
      </c>
      <c r="D9850" t="inlineStr">
        <is>
          <t>-465Q1</t>
        </is>
      </c>
      <c r="E9850" t="inlineStr">
        <is>
          <t>DILMC25-10(RDC24)</t>
        </is>
      </c>
      <c r="F9850" t="inlineStr">
        <is>
          <t>DILA-XHI22</t>
        </is>
      </c>
      <c r="G9850" t="inlineStr">
        <is>
          <t>LASTSCHUETZ</t>
        </is>
      </c>
      <c r="H9850" t="inlineStr">
        <is>
          <t>11kW 1S Federzugkl.</t>
        </is>
      </c>
      <c r="I9850">
        <v>559</v>
      </c>
      <c r="J9850">
        <f>GS07/465.6</f>
        <v>0</v>
      </c>
      <c r="K9850" t="inlineStr">
        <is>
          <t>DIL MC25</t>
        </is>
      </c>
      <c r="M9850" t="inlineStr">
        <is>
          <t>-465Q1</t>
        </is>
      </c>
    </row>
    <row r="9851">
      <c r="A9851">
        <v>9850</v>
      </c>
      <c r="B9851">
        <f>GS07</f>
        <v>0</v>
      </c>
      <c r="C9851" t="inlineStr">
        <is>
          <t>+LS07</t>
        </is>
      </c>
      <c r="D9851" t="inlineStr">
        <is>
          <t>-465Q1</t>
        </is>
      </c>
      <c r="E9851" t="inlineStr">
        <is>
          <t>DILA-XHI22</t>
        </is>
      </c>
      <c r="F9851" t="inlineStr">
        <is>
          <t>DILA-XHI22</t>
        </is>
      </c>
      <c r="G9851" t="inlineStr">
        <is>
          <t>HILFSKONTAKTBLOCK</t>
        </is>
      </c>
      <c r="H9851" t="inlineStr">
        <is>
          <t>2S 2OE Last+Hilfssch. Cage</t>
        </is>
      </c>
      <c r="I9851">
        <v>559</v>
      </c>
      <c r="J9851">
        <f>GS07/465.6</f>
        <v>0</v>
      </c>
      <c r="K9851" t="inlineStr">
        <is>
          <t>DIL MC25</t>
        </is>
      </c>
      <c r="M9851" t="inlineStr">
        <is>
          <t>-465Q1</t>
        </is>
      </c>
    </row>
    <row r="9852">
      <c r="A9852">
        <v>9851</v>
      </c>
      <c r="B9852">
        <f>GS30</f>
        <v>0</v>
      </c>
      <c r="C9852" t="inlineStr">
        <is>
          <t>+LS15</t>
        </is>
      </c>
      <c r="D9852" t="inlineStr">
        <is>
          <t>-465Q1</t>
        </is>
      </c>
      <c r="E9852" t="inlineStr">
        <is>
          <t>DILMC25-10(RDC24)</t>
        </is>
      </c>
      <c r="F9852" t="inlineStr">
        <is>
          <t>DILA-XHI22</t>
        </is>
      </c>
      <c r="G9852" t="inlineStr">
        <is>
          <t>LASTSCHUETZ</t>
        </is>
      </c>
      <c r="H9852" t="inlineStr">
        <is>
          <t>11kW 1S Federzugkl.</t>
        </is>
      </c>
      <c r="I9852">
        <v>3050</v>
      </c>
      <c r="J9852">
        <f>GS30/465.4</f>
        <v>0</v>
      </c>
      <c r="K9852" t="inlineStr">
        <is>
          <t>DIL MC25</t>
        </is>
      </c>
      <c r="M9852" t="inlineStr">
        <is>
          <t>-465Q1</t>
        </is>
      </c>
    </row>
    <row r="9853">
      <c r="A9853">
        <v>9852</v>
      </c>
      <c r="B9853">
        <f>GS30</f>
        <v>0</v>
      </c>
      <c r="C9853" t="inlineStr">
        <is>
          <t>+LS15</t>
        </is>
      </c>
      <c r="D9853" t="inlineStr">
        <is>
          <t>-465Q1</t>
        </is>
      </c>
      <c r="E9853" t="inlineStr">
        <is>
          <t>DILA-XHI22</t>
        </is>
      </c>
      <c r="F9853" t="inlineStr">
        <is>
          <t>DILA-XHI22</t>
        </is>
      </c>
      <c r="G9853" t="inlineStr">
        <is>
          <t>HILFSKONTAKTBLOCK</t>
        </is>
      </c>
      <c r="H9853" t="inlineStr">
        <is>
          <t>2S 2OE Last+Hilfssch. Cage</t>
        </is>
      </c>
      <c r="I9853">
        <v>3050</v>
      </c>
      <c r="J9853">
        <f>GS30/465.4</f>
        <v>0</v>
      </c>
      <c r="K9853" t="inlineStr">
        <is>
          <t>DIL MC25</t>
        </is>
      </c>
      <c r="M9853" t="inlineStr">
        <is>
          <t>-465Q1</t>
        </is>
      </c>
    </row>
    <row r="9854">
      <c r="A9854">
        <v>9853</v>
      </c>
      <c r="B9854">
        <f>GS35</f>
        <v>0</v>
      </c>
      <c r="C9854" t="inlineStr">
        <is>
          <t>+LS11</t>
        </is>
      </c>
      <c r="D9854" t="inlineStr">
        <is>
          <t>-465Q1</t>
        </is>
      </c>
      <c r="E9854" t="inlineStr">
        <is>
          <t>DILA-XHI22</t>
        </is>
      </c>
      <c r="F9854" t="inlineStr">
        <is>
          <t>DILA-XHI22</t>
        </is>
      </c>
      <c r="G9854" t="inlineStr">
        <is>
          <t>HILFSKONTAKTBLOCK</t>
        </is>
      </c>
      <c r="H9854" t="inlineStr">
        <is>
          <t>2S 2OE Last+Hilfssch. Cage</t>
        </is>
      </c>
      <c r="I9854">
        <v>624</v>
      </c>
      <c r="J9854">
        <f>GS35/465.4</f>
        <v>0</v>
      </c>
      <c r="K9854" t="inlineStr">
        <is>
          <t>DIL MC25</t>
        </is>
      </c>
      <c r="M9854" t="inlineStr">
        <is>
          <t>-465Q1</t>
        </is>
      </c>
    </row>
    <row r="9855">
      <c r="A9855">
        <v>9854</v>
      </c>
      <c r="B9855">
        <f>GS35</f>
        <v>0</v>
      </c>
      <c r="C9855" t="inlineStr">
        <is>
          <t>+LS11</t>
        </is>
      </c>
      <c r="D9855" t="inlineStr">
        <is>
          <t>-465Q1</t>
        </is>
      </c>
      <c r="E9855" t="inlineStr">
        <is>
          <t>DILM-25-10</t>
        </is>
      </c>
      <c r="F9855" t="inlineStr">
        <is>
          <t>DILA-XHI22</t>
        </is>
      </c>
      <c r="G9855" t="inlineStr">
        <is>
          <t>LASTSCHUETZ</t>
        </is>
      </c>
      <c r="H9855" t="inlineStr">
        <is>
          <t>11kW 1S Federzugkl.</t>
        </is>
      </c>
      <c r="I9855">
        <v>624</v>
      </c>
      <c r="J9855">
        <f>GS35/465.4</f>
        <v>0</v>
      </c>
      <c r="K9855" t="inlineStr">
        <is>
          <t>DIL MC25</t>
        </is>
      </c>
      <c r="M9855" t="inlineStr">
        <is>
          <t>-465Q1</t>
        </is>
      </c>
    </row>
    <row r="9856">
      <c r="A9856">
        <v>9855</v>
      </c>
      <c r="B9856">
        <f>GS37</f>
        <v>0</v>
      </c>
      <c r="C9856" t="inlineStr">
        <is>
          <t>+LS10</t>
        </is>
      </c>
      <c r="D9856" t="inlineStr">
        <is>
          <t>-465Q1</t>
        </is>
      </c>
      <c r="E9856" t="inlineStr">
        <is>
          <t>DILMC25-10(RDC24)</t>
        </is>
      </c>
      <c r="F9856" t="inlineStr">
        <is>
          <t>DILA-XHI22</t>
        </is>
      </c>
      <c r="G9856" t="inlineStr">
        <is>
          <t>LASTSCHUETZ</t>
        </is>
      </c>
      <c r="H9856" t="inlineStr">
        <is>
          <t>11kW 1S Federzugkl.</t>
        </is>
      </c>
      <c r="I9856">
        <v>620</v>
      </c>
      <c r="J9856">
        <f>GS37/465.3</f>
        <v>0</v>
      </c>
      <c r="K9856" t="inlineStr">
        <is>
          <t>DIL MC25</t>
        </is>
      </c>
      <c r="M9856" t="inlineStr">
        <is>
          <t>-465Q1</t>
        </is>
      </c>
    </row>
    <row r="9857">
      <c r="A9857">
        <v>9856</v>
      </c>
      <c r="B9857">
        <f>GS37</f>
        <v>0</v>
      </c>
      <c r="C9857" t="inlineStr">
        <is>
          <t>+LS10</t>
        </is>
      </c>
      <c r="D9857" t="inlineStr">
        <is>
          <t>-465Q1</t>
        </is>
      </c>
      <c r="E9857" t="inlineStr">
        <is>
          <t>DILA-XHI22</t>
        </is>
      </c>
      <c r="F9857" t="inlineStr">
        <is>
          <t>DILA-XHI22</t>
        </is>
      </c>
      <c r="G9857" t="inlineStr">
        <is>
          <t>HILFSKONTAKTBLOCK</t>
        </is>
      </c>
      <c r="H9857" t="inlineStr">
        <is>
          <t>2S 2OE Last+Hilfssch. Cage</t>
        </is>
      </c>
      <c r="I9857">
        <v>620</v>
      </c>
      <c r="J9857">
        <f>GS37/465.3</f>
        <v>0</v>
      </c>
      <c r="K9857" t="inlineStr">
        <is>
          <t>DIL MC25</t>
        </is>
      </c>
      <c r="M9857" t="inlineStr">
        <is>
          <t>-465Q1</t>
        </is>
      </c>
    </row>
    <row r="9858">
      <c r="A9858">
        <v>9857</v>
      </c>
      <c r="B9858">
        <f>GS90</f>
        <v>0</v>
      </c>
      <c r="C9858" t="inlineStr">
        <is>
          <t>+LS09</t>
        </is>
      </c>
      <c r="D9858" t="inlineStr">
        <is>
          <t>-465Q1</t>
        </is>
      </c>
      <c r="E9858" t="inlineStr">
        <is>
          <t>DILMC25-10(RDC24)</t>
        </is>
      </c>
      <c r="F9858" t="inlineStr">
        <is>
          <t>DILA-XHI22</t>
        </is>
      </c>
      <c r="G9858" t="inlineStr">
        <is>
          <t>LASTSCHUETZ</t>
        </is>
      </c>
      <c r="H9858" t="inlineStr">
        <is>
          <t>11kW 1S Federzugkl.</t>
        </is>
      </c>
      <c r="I9858">
        <v>785</v>
      </c>
      <c r="J9858">
        <f>GS90/465.4</f>
        <v>0</v>
      </c>
      <c r="K9858" t="inlineStr">
        <is>
          <t>DIL MC25</t>
        </is>
      </c>
      <c r="M9858" t="inlineStr">
        <is>
          <t>-465Q1</t>
        </is>
      </c>
    </row>
    <row r="9859">
      <c r="A9859">
        <v>9858</v>
      </c>
      <c r="B9859">
        <f>GS90</f>
        <v>0</v>
      </c>
      <c r="C9859" t="inlineStr">
        <is>
          <t>+LS09</t>
        </is>
      </c>
      <c r="D9859" t="inlineStr">
        <is>
          <t>-465Q1</t>
        </is>
      </c>
      <c r="E9859" t="inlineStr">
        <is>
          <t>DILA-XHI22</t>
        </is>
      </c>
      <c r="F9859" t="inlineStr">
        <is>
          <t>DILA-XHI22</t>
        </is>
      </c>
      <c r="G9859" t="inlineStr">
        <is>
          <t>HILFSKONTAKTBLOCK</t>
        </is>
      </c>
      <c r="H9859" t="inlineStr">
        <is>
          <t>2S 2OE Last+Hilfssch. Cage</t>
        </is>
      </c>
      <c r="I9859">
        <v>785</v>
      </c>
      <c r="J9859">
        <f>GS90/465.4</f>
        <v>0</v>
      </c>
      <c r="K9859" t="inlineStr">
        <is>
          <t>DIL MC25</t>
        </is>
      </c>
      <c r="M9859" t="inlineStr">
        <is>
          <t>-465Q1</t>
        </is>
      </c>
    </row>
    <row r="9860">
      <c r="A9860">
        <v>9859</v>
      </c>
      <c r="B9860">
        <f>GS91</f>
        <v>0</v>
      </c>
      <c r="C9860" t="inlineStr">
        <is>
          <t>+LS09</t>
        </is>
      </c>
      <c r="D9860" t="inlineStr">
        <is>
          <t>-465Q1</t>
        </is>
      </c>
      <c r="E9860" t="inlineStr">
        <is>
          <t>DILA-XHI22</t>
        </is>
      </c>
      <c r="F9860" t="inlineStr">
        <is>
          <t>DILA-XHI22</t>
        </is>
      </c>
      <c r="G9860" t="inlineStr">
        <is>
          <t>HILFSKONTAKTBLOCK</t>
        </is>
      </c>
      <c r="H9860" t="inlineStr">
        <is>
          <t>2S 2OE Last+Hilfssch. Cage</t>
        </is>
      </c>
      <c r="I9860">
        <v>613</v>
      </c>
      <c r="J9860">
        <f>GS91/465.4</f>
        <v>0</v>
      </c>
      <c r="K9860" t="inlineStr">
        <is>
          <t>DIL MC25</t>
        </is>
      </c>
      <c r="M9860" t="inlineStr">
        <is>
          <t>-465Q1</t>
        </is>
      </c>
    </row>
    <row r="9861">
      <c r="A9861">
        <v>9860</v>
      </c>
      <c r="B9861">
        <f>GS91</f>
        <v>0</v>
      </c>
      <c r="C9861" t="inlineStr">
        <is>
          <t>+LS09</t>
        </is>
      </c>
      <c r="D9861" t="inlineStr">
        <is>
          <t>-465Q1</t>
        </is>
      </c>
      <c r="E9861" t="inlineStr">
        <is>
          <t>DILMC25-10(RDC24)</t>
        </is>
      </c>
      <c r="F9861" t="inlineStr">
        <is>
          <t>DILA-XHI22</t>
        </is>
      </c>
      <c r="G9861" t="inlineStr">
        <is>
          <t>LASTSCHUETZ</t>
        </is>
      </c>
      <c r="H9861" t="inlineStr">
        <is>
          <t>11kW 1S Federzugkl.</t>
        </is>
      </c>
      <c r="I9861">
        <v>613</v>
      </c>
      <c r="J9861">
        <f>GS91/465.4</f>
        <v>0</v>
      </c>
      <c r="K9861" t="inlineStr">
        <is>
          <t>DIL MC25</t>
        </is>
      </c>
      <c r="M9861" t="inlineStr">
        <is>
          <t>-465Q1</t>
        </is>
      </c>
    </row>
    <row r="9862">
      <c r="A9862">
        <v>9861</v>
      </c>
      <c r="B9862">
        <f>GS92</f>
        <v>0</v>
      </c>
      <c r="C9862" t="inlineStr">
        <is>
          <t>+LS08</t>
        </is>
      </c>
      <c r="D9862" t="inlineStr">
        <is>
          <t>-465Q1</t>
        </is>
      </c>
      <c r="E9862" t="inlineStr">
        <is>
          <t>DILMC25-10(RDC24)</t>
        </is>
      </c>
      <c r="F9862" t="inlineStr">
        <is>
          <t>DILA-XHI22</t>
        </is>
      </c>
      <c r="G9862" t="inlineStr">
        <is>
          <t>LASTSCHUETZ</t>
        </is>
      </c>
      <c r="H9862" t="inlineStr">
        <is>
          <t>11kW 1S Federzugkl.</t>
        </is>
      </c>
      <c r="I9862">
        <v>611</v>
      </c>
      <c r="J9862">
        <f>GS92/465.4</f>
        <v>0</v>
      </c>
      <c r="K9862" t="inlineStr">
        <is>
          <t>DIL MC25</t>
        </is>
      </c>
      <c r="M9862" t="inlineStr">
        <is>
          <t>-465Q1</t>
        </is>
      </c>
    </row>
    <row r="9863">
      <c r="A9863">
        <v>9862</v>
      </c>
      <c r="B9863">
        <f>GS92</f>
        <v>0</v>
      </c>
      <c r="C9863" t="inlineStr">
        <is>
          <t>+LS08</t>
        </is>
      </c>
      <c r="D9863" t="inlineStr">
        <is>
          <t>-465Q1</t>
        </is>
      </c>
      <c r="E9863" t="inlineStr">
        <is>
          <t>DILA-XHI22</t>
        </is>
      </c>
      <c r="F9863" t="inlineStr">
        <is>
          <t>DILA-XHI22</t>
        </is>
      </c>
      <c r="G9863" t="inlineStr">
        <is>
          <t>HILFSKONTAKTBLOCK</t>
        </is>
      </c>
      <c r="H9863" t="inlineStr">
        <is>
          <t>2S 2OE Last+Hilfssch. Cage</t>
        </is>
      </c>
      <c r="I9863">
        <v>611</v>
      </c>
      <c r="J9863">
        <f>GS92/465.4</f>
        <v>0</v>
      </c>
      <c r="K9863" t="inlineStr">
        <is>
          <t>DIL MC25</t>
        </is>
      </c>
      <c r="M9863" t="inlineStr">
        <is>
          <t>-465Q1</t>
        </is>
      </c>
    </row>
    <row r="9864">
      <c r="A9864">
        <v>9863</v>
      </c>
      <c r="B9864">
        <f>GS93</f>
        <v>0</v>
      </c>
      <c r="C9864" t="inlineStr">
        <is>
          <t>+LS08</t>
        </is>
      </c>
      <c r="D9864" t="inlineStr">
        <is>
          <t>-465Q479.7</t>
        </is>
      </c>
      <c r="E9864" t="inlineStr">
        <is>
          <t>DILM-9-10</t>
        </is>
      </c>
      <c r="F9864" t="inlineStr">
        <is>
          <t>#KALK!</t>
        </is>
      </c>
      <c r="G9864" t="inlineStr">
        <is>
          <t>LASTSCHUETZ</t>
        </is>
      </c>
      <c r="H9864" t="inlineStr">
        <is>
          <t>4kW 1S Federzugkl.</t>
        </is>
      </c>
      <c r="I9864">
        <v>1019</v>
      </c>
      <c r="J9864">
        <f>GS93/465.5</f>
        <v>0</v>
      </c>
      <c r="M9864" t="inlineStr">
        <is>
          <t>-465Q479.7</t>
        </is>
      </c>
    </row>
    <row r="9865">
      <c r="A9865">
        <v>9864</v>
      </c>
      <c r="B9865">
        <f>GS25</f>
        <v>0</v>
      </c>
      <c r="C9865" t="inlineStr">
        <is>
          <t>+LS10</t>
        </is>
      </c>
      <c r="D9865" t="inlineStr">
        <is>
          <t>-466K3505.4</t>
        </is>
      </c>
      <c r="E9865" t="inlineStr">
        <is>
          <t>DIL_EM-10-G</t>
        </is>
      </c>
      <c r="F9865" t="inlineStr">
        <is>
          <t>#KALK!</t>
        </is>
      </c>
      <c r="G9865" t="inlineStr">
        <is>
          <t>LASTSCHUETZ</t>
        </is>
      </c>
      <c r="H9865" t="inlineStr">
        <is>
          <t>4kW 1S</t>
        </is>
      </c>
      <c r="I9865">
        <v>592</v>
      </c>
      <c r="J9865">
        <f>GS25/466.6</f>
        <v>0</v>
      </c>
      <c r="M9865" t="inlineStr">
        <is>
          <t>-466K3505.4</t>
        </is>
      </c>
    </row>
    <row r="9866">
      <c r="A9866">
        <v>9865</v>
      </c>
      <c r="B9866">
        <f>GS25</f>
        <v>0</v>
      </c>
      <c r="C9866" t="inlineStr">
        <is>
          <t>+LS10</t>
        </is>
      </c>
      <c r="D9866" t="inlineStr">
        <is>
          <t>-466K3505.5</t>
        </is>
      </c>
      <c r="E9866" t="inlineStr">
        <is>
          <t>DIL_EM-10-G</t>
        </is>
      </c>
      <c r="F9866" t="inlineStr">
        <is>
          <t>#KALK!</t>
        </is>
      </c>
      <c r="G9866" t="inlineStr">
        <is>
          <t>LASTSCHUETZ</t>
        </is>
      </c>
      <c r="H9866" t="inlineStr">
        <is>
          <t>4kW 1S</t>
        </is>
      </c>
      <c r="I9866">
        <v>592</v>
      </c>
      <c r="J9866">
        <f>GS25/466.7</f>
        <v>0</v>
      </c>
      <c r="M9866" t="inlineStr">
        <is>
          <t>-466K3505.5</t>
        </is>
      </c>
    </row>
    <row r="9867">
      <c r="A9867">
        <v>9866</v>
      </c>
      <c r="B9867">
        <f>GS14</f>
        <v>0</v>
      </c>
      <c r="C9867" t="inlineStr">
        <is>
          <t>+LS8</t>
        </is>
      </c>
      <c r="D9867" t="inlineStr">
        <is>
          <t>-466K3509.6</t>
        </is>
      </c>
      <c r="E9867" t="inlineStr">
        <is>
          <t>DIL_EM-10-G</t>
        </is>
      </c>
      <c r="F9867" t="inlineStr">
        <is>
          <t>#KALK!</t>
        </is>
      </c>
      <c r="G9867" t="inlineStr">
        <is>
          <t>LASTSCHUETZ</t>
        </is>
      </c>
      <c r="H9867" t="inlineStr">
        <is>
          <t>4kW 1S</t>
        </is>
      </c>
      <c r="I9867">
        <v>598</v>
      </c>
      <c r="J9867">
        <f>GS14/466.6</f>
        <v>0</v>
      </c>
      <c r="M9867" t="inlineStr">
        <is>
          <t>-466K3509.6</t>
        </is>
      </c>
    </row>
    <row r="9868">
      <c r="A9868">
        <v>9867</v>
      </c>
      <c r="B9868">
        <f>GS14</f>
        <v>0</v>
      </c>
      <c r="C9868" t="inlineStr">
        <is>
          <t>+LS8</t>
        </is>
      </c>
      <c r="D9868" t="inlineStr">
        <is>
          <t>-466K3509.7</t>
        </is>
      </c>
      <c r="E9868" t="inlineStr">
        <is>
          <t>DIL_EM-10-G</t>
        </is>
      </c>
      <c r="F9868" t="inlineStr">
        <is>
          <t>#KALK!</t>
        </is>
      </c>
      <c r="G9868" t="inlineStr">
        <is>
          <t>LASTSCHUETZ</t>
        </is>
      </c>
      <c r="H9868" t="inlineStr">
        <is>
          <t>4kW 1S</t>
        </is>
      </c>
      <c r="I9868">
        <v>598</v>
      </c>
      <c r="J9868">
        <f>GS14/466.7</f>
        <v>0</v>
      </c>
      <c r="M9868" t="inlineStr">
        <is>
          <t>-466K3509.7</t>
        </is>
      </c>
    </row>
    <row r="9869">
      <c r="A9869">
        <v>9868</v>
      </c>
      <c r="B9869">
        <f>GS16</f>
        <v>0</v>
      </c>
      <c r="C9869" t="inlineStr">
        <is>
          <t>+LS8</t>
        </is>
      </c>
      <c r="D9869" t="inlineStr">
        <is>
          <t>-466K70.0</t>
        </is>
      </c>
      <c r="E9869" t="inlineStr">
        <is>
          <t>DIL_EM-10-G</t>
        </is>
      </c>
      <c r="F9869" t="inlineStr">
        <is>
          <t>#KALK!</t>
        </is>
      </c>
      <c r="G9869" t="inlineStr">
        <is>
          <t>LASTSCHUETZ</t>
        </is>
      </c>
      <c r="H9869" t="inlineStr">
        <is>
          <t>4kW 1S</t>
        </is>
      </c>
      <c r="I9869">
        <v>704</v>
      </c>
      <c r="J9869">
        <f>GS16/466.7</f>
        <v>0</v>
      </c>
      <c r="M9869" t="inlineStr">
        <is>
          <t>-466K70.0</t>
        </is>
      </c>
    </row>
    <row r="9870">
      <c r="A9870">
        <v>9869</v>
      </c>
      <c r="B9870">
        <f>GS52</f>
        <v>0</v>
      </c>
      <c r="C9870" t="inlineStr">
        <is>
          <t>+LS07</t>
        </is>
      </c>
      <c r="D9870" t="inlineStr">
        <is>
          <t>-466Q167.3</t>
        </is>
      </c>
      <c r="E9870" t="inlineStr">
        <is>
          <t>DILM-9-10</t>
        </is>
      </c>
      <c r="F9870" t="inlineStr">
        <is>
          <t>#KALK!</t>
        </is>
      </c>
      <c r="G9870" t="inlineStr">
        <is>
          <t>LASTSCHUETZ</t>
        </is>
      </c>
      <c r="H9870" t="inlineStr">
        <is>
          <t>4kW 1S Federzugkl.</t>
        </is>
      </c>
      <c r="I9870">
        <v>1539</v>
      </c>
      <c r="J9870">
        <f>GS52/466.6</f>
        <v>0</v>
      </c>
      <c r="K9870" t="inlineStr">
        <is>
          <t>DIL MC9</t>
        </is>
      </c>
      <c r="M9870" t="inlineStr">
        <is>
          <t>-466Q167.3</t>
        </is>
      </c>
    </row>
    <row r="9871">
      <c r="A9871">
        <v>9870</v>
      </c>
      <c r="B9871">
        <f>GS25</f>
        <v>0</v>
      </c>
      <c r="C9871" t="inlineStr">
        <is>
          <t>+LS10</t>
        </is>
      </c>
      <c r="D9871" t="inlineStr">
        <is>
          <t>-467K3505.6</t>
        </is>
      </c>
      <c r="E9871" t="inlineStr">
        <is>
          <t>DIL_EM-10-G</t>
        </is>
      </c>
      <c r="F9871" t="inlineStr">
        <is>
          <t>#KALK!</t>
        </is>
      </c>
      <c r="G9871" t="inlineStr">
        <is>
          <t>LASTSCHUETZ</t>
        </is>
      </c>
      <c r="H9871" t="inlineStr">
        <is>
          <t>4kW 1S</t>
        </is>
      </c>
      <c r="I9871">
        <v>593</v>
      </c>
      <c r="J9871">
        <f>GS25/467.6</f>
        <v>0</v>
      </c>
      <c r="M9871" t="inlineStr">
        <is>
          <t>-467K3505.6</t>
        </is>
      </c>
    </row>
    <row r="9872">
      <c r="A9872">
        <v>9871</v>
      </c>
      <c r="B9872">
        <f>GS25</f>
        <v>0</v>
      </c>
      <c r="C9872" t="inlineStr">
        <is>
          <t>+LS10</t>
        </is>
      </c>
      <c r="D9872" t="inlineStr">
        <is>
          <t>-467K3505.7</t>
        </is>
      </c>
      <c r="E9872" t="inlineStr">
        <is>
          <t>DIL_EM-10-G</t>
        </is>
      </c>
      <c r="F9872" t="inlineStr">
        <is>
          <t>#KALK!</t>
        </is>
      </c>
      <c r="G9872" t="inlineStr">
        <is>
          <t>LASTSCHUETZ</t>
        </is>
      </c>
      <c r="H9872" t="inlineStr">
        <is>
          <t>4kW 1S</t>
        </is>
      </c>
      <c r="I9872">
        <v>593</v>
      </c>
      <c r="J9872">
        <f>GS25/467.7</f>
        <v>0</v>
      </c>
      <c r="M9872" t="inlineStr">
        <is>
          <t>-467K3505.7</t>
        </is>
      </c>
    </row>
    <row r="9873">
      <c r="A9873">
        <v>9872</v>
      </c>
      <c r="B9873">
        <f>GS93</f>
        <v>0</v>
      </c>
      <c r="C9873" t="inlineStr">
        <is>
          <t>+LS08</t>
        </is>
      </c>
      <c r="D9873" t="inlineStr">
        <is>
          <t>-467K477.7</t>
        </is>
      </c>
      <c r="E9873" t="inlineStr">
        <is>
          <t>DILA-22</t>
        </is>
      </c>
      <c r="F9873" t="inlineStr">
        <is>
          <t>#KALK!</t>
        </is>
      </c>
      <c r="G9873" t="inlineStr">
        <is>
          <t>HILFSSCHUETZ</t>
        </is>
      </c>
      <c r="H9873" t="inlineStr">
        <is>
          <t>2S 2Oe Federzugkl.</t>
        </is>
      </c>
      <c r="I9873">
        <v>1021</v>
      </c>
      <c r="J9873">
        <f>GS93/467.6</f>
        <v>0</v>
      </c>
      <c r="M9873" t="inlineStr">
        <is>
          <t>-467K477.7</t>
        </is>
      </c>
    </row>
    <row r="9874">
      <c r="A9874">
        <v>9873</v>
      </c>
      <c r="B9874">
        <f>GS31</f>
        <v>0</v>
      </c>
      <c r="C9874" t="inlineStr">
        <is>
          <t>+LS9</t>
        </is>
      </c>
      <c r="D9874" t="inlineStr">
        <is>
          <t>-467K58.0</t>
        </is>
      </c>
      <c r="E9874" t="inlineStr">
        <is>
          <t>DIL_EM-10-G</t>
        </is>
      </c>
      <c r="F9874" t="inlineStr">
        <is>
          <t>#KALK!</t>
        </is>
      </c>
      <c r="G9874" t="inlineStr">
        <is>
          <t>LASTSCHUETZ</t>
        </is>
      </c>
      <c r="H9874" t="inlineStr">
        <is>
          <t>4kW 1S</t>
        </is>
      </c>
      <c r="I9874">
        <v>761</v>
      </c>
      <c r="J9874">
        <f>GS31/467.6</f>
        <v>0</v>
      </c>
      <c r="M9874" t="inlineStr">
        <is>
          <t>-467K58.0</t>
        </is>
      </c>
    </row>
    <row r="9875">
      <c r="A9875">
        <v>9874</v>
      </c>
      <c r="B9875">
        <f>GS31</f>
        <v>0</v>
      </c>
      <c r="C9875" t="inlineStr">
        <is>
          <t>+LS9</t>
        </is>
      </c>
      <c r="D9875" t="inlineStr">
        <is>
          <t>-467K58.1</t>
        </is>
      </c>
      <c r="E9875" t="inlineStr">
        <is>
          <t>DIL_EM-10-G</t>
        </is>
      </c>
      <c r="F9875" t="inlineStr">
        <is>
          <t>#KALK!</t>
        </is>
      </c>
      <c r="G9875" t="inlineStr">
        <is>
          <t>LASTSCHUETZ</t>
        </is>
      </c>
      <c r="H9875" t="inlineStr">
        <is>
          <t>4kW 1S</t>
        </is>
      </c>
      <c r="I9875">
        <v>761</v>
      </c>
      <c r="J9875">
        <f>GS31/467.6</f>
        <v>0</v>
      </c>
      <c r="M9875" t="inlineStr">
        <is>
          <t>-467K58.1</t>
        </is>
      </c>
    </row>
    <row r="9876">
      <c r="A9876">
        <v>9875</v>
      </c>
      <c r="B9876">
        <f>GS93</f>
        <v>0</v>
      </c>
      <c r="C9876" t="inlineStr">
        <is>
          <t>+LS08</t>
        </is>
      </c>
      <c r="D9876" t="inlineStr">
        <is>
          <t>-467Q1</t>
        </is>
      </c>
      <c r="E9876" t="inlineStr">
        <is>
          <t>DILMC25-10(RDC24)</t>
        </is>
      </c>
      <c r="F9876" t="inlineStr">
        <is>
          <t>DILA-XHIC31</t>
        </is>
      </c>
      <c r="G9876" t="inlineStr">
        <is>
          <t>LASTSCHUETZ</t>
        </is>
      </c>
      <c r="H9876" t="inlineStr">
        <is>
          <t>11kW 1S Federzugkl.</t>
        </is>
      </c>
      <c r="I9876">
        <v>1021</v>
      </c>
      <c r="J9876">
        <f>GS93/467.2</f>
        <v>0</v>
      </c>
      <c r="M9876" t="inlineStr">
        <is>
          <t>-467Q1</t>
        </is>
      </c>
    </row>
    <row r="9877">
      <c r="A9877">
        <v>9876</v>
      </c>
      <c r="B9877">
        <f>GS93</f>
        <v>0</v>
      </c>
      <c r="C9877" t="inlineStr">
        <is>
          <t>+LS08</t>
        </is>
      </c>
      <c r="D9877" t="inlineStr">
        <is>
          <t>-467Q1</t>
        </is>
      </c>
      <c r="E9877" t="inlineStr">
        <is>
          <t>DILA-XHIC31</t>
        </is>
      </c>
      <c r="F9877" t="inlineStr">
        <is>
          <t>DILA-XHIC31</t>
        </is>
      </c>
      <c r="G9877" t="inlineStr">
        <is>
          <t>HILFSKONTAKTBLOCK</t>
        </is>
      </c>
      <c r="H9877" t="inlineStr">
        <is>
          <t>3S 1OE Last+Hilfssch. Cage</t>
        </is>
      </c>
      <c r="I9877">
        <v>1021</v>
      </c>
      <c r="J9877">
        <f>GS93/467.2</f>
        <v>0</v>
      </c>
      <c r="M9877" t="inlineStr">
        <is>
          <t>-467Q1</t>
        </is>
      </c>
    </row>
    <row r="9878">
      <c r="A9878">
        <v>9877</v>
      </c>
      <c r="B9878">
        <f>GS31</f>
        <v>0</v>
      </c>
      <c r="C9878" t="inlineStr">
        <is>
          <t>+LS9</t>
        </is>
      </c>
      <c r="D9878" t="inlineStr">
        <is>
          <t>-468K58.2</t>
        </is>
      </c>
      <c r="E9878" t="inlineStr">
        <is>
          <t>DIL_EM-10-G</t>
        </is>
      </c>
      <c r="F9878" t="inlineStr">
        <is>
          <t>#KALK!</t>
        </is>
      </c>
      <c r="G9878" t="inlineStr">
        <is>
          <t>LASTSCHUETZ</t>
        </is>
      </c>
      <c r="H9878" t="inlineStr">
        <is>
          <t>4kW 1S</t>
        </is>
      </c>
      <c r="I9878">
        <v>762</v>
      </c>
      <c r="J9878">
        <f>GS31/468.6</f>
        <v>0</v>
      </c>
      <c r="M9878" t="inlineStr">
        <is>
          <t>-468K58.2</t>
        </is>
      </c>
    </row>
    <row r="9879">
      <c r="A9879">
        <v>9878</v>
      </c>
      <c r="B9879">
        <f>GS31</f>
        <v>0</v>
      </c>
      <c r="C9879" t="inlineStr">
        <is>
          <t>+LS9</t>
        </is>
      </c>
      <c r="D9879" t="inlineStr">
        <is>
          <t>-468K58.3</t>
        </is>
      </c>
      <c r="E9879" t="inlineStr">
        <is>
          <t>DIL_EM-10-G</t>
        </is>
      </c>
      <c r="F9879" t="inlineStr">
        <is>
          <t>#KALK!</t>
        </is>
      </c>
      <c r="G9879" t="inlineStr">
        <is>
          <t>LASTSCHUETZ</t>
        </is>
      </c>
      <c r="H9879" t="inlineStr">
        <is>
          <t>4kW 1S</t>
        </is>
      </c>
      <c r="I9879">
        <v>762</v>
      </c>
      <c r="J9879">
        <f>GS31/468.6</f>
        <v>0</v>
      </c>
      <c r="M9879" t="inlineStr">
        <is>
          <t>-468K58.3</t>
        </is>
      </c>
    </row>
    <row r="9880">
      <c r="A9880">
        <v>9879</v>
      </c>
      <c r="B9880">
        <f>GS37</f>
        <v>0</v>
      </c>
      <c r="C9880" t="inlineStr">
        <is>
          <t>+LS10</t>
        </is>
      </c>
      <c r="D9880" t="inlineStr">
        <is>
          <t>-468Q723.7</t>
        </is>
      </c>
      <c r="E9880" t="inlineStr">
        <is>
          <t>DILMC12-10(24VDC)</t>
        </is>
      </c>
      <c r="F9880" t="inlineStr">
        <is>
          <t>#KALK!</t>
        </is>
      </c>
      <c r="G9880" t="inlineStr">
        <is>
          <t>LASTSCHUETZ</t>
        </is>
      </c>
      <c r="H9880" t="inlineStr">
        <is>
          <t>5,5kW 1S Federzugkl.</t>
        </is>
      </c>
      <c r="I9880">
        <v>623</v>
      </c>
      <c r="J9880">
        <f>GS37/468.5</f>
        <v>0</v>
      </c>
      <c r="M9880" t="inlineStr">
        <is>
          <t>-468Q723.7</t>
        </is>
      </c>
    </row>
    <row r="9881">
      <c r="A9881">
        <v>9880</v>
      </c>
      <c r="B9881">
        <f>GS55</f>
        <v>0</v>
      </c>
      <c r="C9881" t="inlineStr">
        <is>
          <t>+LS06</t>
        </is>
      </c>
      <c r="D9881" t="inlineStr">
        <is>
          <t>-469.1K1</t>
        </is>
      </c>
      <c r="E9881" t="inlineStr">
        <is>
          <t>DILA-XHI04</t>
        </is>
      </c>
      <c r="F9881" t="inlineStr">
        <is>
          <t>DILA-XHI04</t>
        </is>
      </c>
      <c r="G9881" t="inlineStr">
        <is>
          <t>HILFSKONTAKTBLOCK</t>
        </is>
      </c>
      <c r="H9881" t="inlineStr">
        <is>
          <t>4OE Last+Hilfssch. Cage</t>
        </is>
      </c>
      <c r="I9881">
        <v>2253</v>
      </c>
      <c r="J9881">
        <f>GS55/469.1.2</f>
        <v>0</v>
      </c>
      <c r="M9881" t="inlineStr">
        <is>
          <t>-469.1K1</t>
        </is>
      </c>
    </row>
    <row r="9882">
      <c r="A9882">
        <v>9881</v>
      </c>
      <c r="B9882">
        <f>GS55</f>
        <v>0</v>
      </c>
      <c r="C9882" t="inlineStr">
        <is>
          <t>+LS06</t>
        </is>
      </c>
      <c r="D9882" t="inlineStr">
        <is>
          <t>-469.1K1</t>
        </is>
      </c>
      <c r="E9882" t="inlineStr">
        <is>
          <t>DILM-9-01</t>
        </is>
      </c>
      <c r="F9882" t="inlineStr">
        <is>
          <t>DILA-XHI04</t>
        </is>
      </c>
      <c r="G9882" t="inlineStr">
        <is>
          <t>LASTSCHUETZ</t>
        </is>
      </c>
      <c r="H9882" t="inlineStr">
        <is>
          <t>4kW 1Oe Federzugkl.</t>
        </is>
      </c>
      <c r="I9882">
        <v>2253</v>
      </c>
      <c r="J9882">
        <f>GS55/469.1.2</f>
        <v>0</v>
      </c>
      <c r="M9882" t="inlineStr">
        <is>
          <t>-469.1K1</t>
        </is>
      </c>
    </row>
    <row r="9883">
      <c r="A9883">
        <v>9882</v>
      </c>
      <c r="B9883">
        <f>GS55</f>
        <v>0</v>
      </c>
      <c r="C9883" t="inlineStr">
        <is>
          <t>+LS06</t>
        </is>
      </c>
      <c r="D9883" t="inlineStr">
        <is>
          <t>-469.1K2</t>
        </is>
      </c>
      <c r="E9883" t="inlineStr">
        <is>
          <t>DILA-XHI04</t>
        </is>
      </c>
      <c r="F9883" t="inlineStr">
        <is>
          <t>DILA-XHI04</t>
        </is>
      </c>
      <c r="G9883" t="inlineStr">
        <is>
          <t>HILFSKONTAKTBLOCK</t>
        </is>
      </c>
      <c r="H9883" t="inlineStr">
        <is>
          <t>4OE Last+Hilfssch. Cage</t>
        </is>
      </c>
      <c r="I9883">
        <v>2253</v>
      </c>
      <c r="J9883">
        <f>GS55/469.1.3</f>
        <v>0</v>
      </c>
      <c r="M9883" t="inlineStr">
        <is>
          <t>-469.1K2</t>
        </is>
      </c>
    </row>
    <row r="9884">
      <c r="A9884">
        <v>9883</v>
      </c>
      <c r="B9884">
        <f>GS55</f>
        <v>0</v>
      </c>
      <c r="C9884" t="inlineStr">
        <is>
          <t>+LS06</t>
        </is>
      </c>
      <c r="D9884" t="inlineStr">
        <is>
          <t>-469.1K2</t>
        </is>
      </c>
      <c r="E9884" t="inlineStr">
        <is>
          <t>DILM-9-01</t>
        </is>
      </c>
      <c r="F9884" t="inlineStr">
        <is>
          <t>DILA-XHI04</t>
        </is>
      </c>
      <c r="G9884" t="inlineStr">
        <is>
          <t>LASTSCHUETZ</t>
        </is>
      </c>
      <c r="H9884" t="inlineStr">
        <is>
          <t>4kW 1Oe Federzugkl.</t>
        </is>
      </c>
      <c r="I9884">
        <v>2253</v>
      </c>
      <c r="J9884">
        <f>GS55/469.1.3</f>
        <v>0</v>
      </c>
      <c r="M9884" t="inlineStr">
        <is>
          <t>-469.1K2</t>
        </is>
      </c>
    </row>
    <row r="9885">
      <c r="A9885">
        <v>9884</v>
      </c>
      <c r="B9885">
        <f>GS31</f>
        <v>0</v>
      </c>
      <c r="C9885" t="inlineStr">
        <is>
          <t>+LS9</t>
        </is>
      </c>
      <c r="D9885" t="inlineStr">
        <is>
          <t>-469K58.4</t>
        </is>
      </c>
      <c r="E9885" t="inlineStr">
        <is>
          <t>DIL_EM-10-G</t>
        </is>
      </c>
      <c r="F9885" t="inlineStr">
        <is>
          <t>#KALK!</t>
        </is>
      </c>
      <c r="G9885" t="inlineStr">
        <is>
          <t>LASTSCHUETZ</t>
        </is>
      </c>
      <c r="H9885" t="inlineStr">
        <is>
          <t>4kW 1S</t>
        </is>
      </c>
      <c r="I9885">
        <v>763</v>
      </c>
      <c r="J9885">
        <f>GS31/469.6</f>
        <v>0</v>
      </c>
      <c r="M9885" t="inlineStr">
        <is>
          <t>-469K58.4</t>
        </is>
      </c>
    </row>
    <row r="9886">
      <c r="A9886">
        <v>9885</v>
      </c>
      <c r="B9886">
        <f>GS31</f>
        <v>0</v>
      </c>
      <c r="C9886" t="inlineStr">
        <is>
          <t>+LS9</t>
        </is>
      </c>
      <c r="D9886" t="inlineStr">
        <is>
          <t>-469K58.5</t>
        </is>
      </c>
      <c r="E9886" t="inlineStr">
        <is>
          <t>DIL_EM-10-G</t>
        </is>
      </c>
      <c r="F9886" t="inlineStr">
        <is>
          <t>#KALK!</t>
        </is>
      </c>
      <c r="G9886" t="inlineStr">
        <is>
          <t>LASTSCHUETZ</t>
        </is>
      </c>
      <c r="H9886" t="inlineStr">
        <is>
          <t>4kW 1S</t>
        </is>
      </c>
      <c r="I9886">
        <v>763</v>
      </c>
      <c r="J9886">
        <f>GS31/469.6</f>
        <v>0</v>
      </c>
      <c r="M9886" t="inlineStr">
        <is>
          <t>-469K58.5</t>
        </is>
      </c>
    </row>
    <row r="9887">
      <c r="A9887">
        <v>9886</v>
      </c>
      <c r="B9887">
        <f>GS05</f>
        <v>0</v>
      </c>
      <c r="C9887" t="inlineStr">
        <is>
          <t>+LS07</t>
        </is>
      </c>
      <c r="D9887" t="inlineStr">
        <is>
          <t>-469Q404.1</t>
        </is>
      </c>
      <c r="E9887" t="inlineStr">
        <is>
          <t>DILM-9-10</t>
        </is>
      </c>
      <c r="F9887" t="inlineStr">
        <is>
          <t>#KALK!</t>
        </is>
      </c>
      <c r="G9887" t="inlineStr">
        <is>
          <t>LASTSCHUETZ</t>
        </is>
      </c>
      <c r="H9887" t="inlineStr">
        <is>
          <t>4kW 1S Federzugkl.</t>
        </is>
      </c>
      <c r="I9887">
        <v>2568</v>
      </c>
      <c r="J9887">
        <f>GS05/469.6</f>
        <v>0</v>
      </c>
      <c r="K9887" t="inlineStr">
        <is>
          <t>DIL MC9</t>
        </is>
      </c>
      <c r="M9887" t="inlineStr">
        <is>
          <t>-469Q404.1</t>
        </is>
      </c>
    </row>
    <row r="9888">
      <c r="A9888">
        <v>9887</v>
      </c>
      <c r="B9888">
        <f>GS07</f>
        <v>0</v>
      </c>
      <c r="C9888" t="inlineStr">
        <is>
          <t>+LS07</t>
        </is>
      </c>
      <c r="D9888" t="inlineStr">
        <is>
          <t>-469Q420.5</t>
        </is>
      </c>
      <c r="E9888" t="inlineStr">
        <is>
          <t>DILM-9-10</t>
        </is>
      </c>
      <c r="F9888" t="inlineStr">
        <is>
          <t>#KALK!</t>
        </is>
      </c>
      <c r="G9888" t="inlineStr">
        <is>
          <t>LASTSCHUETZ</t>
        </is>
      </c>
      <c r="H9888" t="inlineStr">
        <is>
          <t>4kW 1S Federzugkl.</t>
        </is>
      </c>
      <c r="I9888">
        <v>563</v>
      </c>
      <c r="J9888">
        <f>GS07/469.6</f>
        <v>0</v>
      </c>
      <c r="K9888" t="inlineStr">
        <is>
          <t>DIL MC9</t>
        </is>
      </c>
      <c r="M9888" t="inlineStr">
        <is>
          <t>-469Q420.5</t>
        </is>
      </c>
    </row>
    <row r="9889">
      <c r="A9889">
        <v>9888</v>
      </c>
      <c r="B9889">
        <f>GS90</f>
        <v>0</v>
      </c>
      <c r="C9889" t="inlineStr">
        <is>
          <t>+LS09</t>
        </is>
      </c>
      <c r="D9889" t="inlineStr">
        <is>
          <t>-469Q464.5</t>
        </is>
      </c>
      <c r="E9889" t="inlineStr">
        <is>
          <t>DILM-9-10</t>
        </is>
      </c>
      <c r="F9889" t="inlineStr">
        <is>
          <t>#KALK!</t>
        </is>
      </c>
      <c r="G9889" t="inlineStr">
        <is>
          <t>LASTSCHUETZ</t>
        </is>
      </c>
      <c r="H9889" t="inlineStr">
        <is>
          <t>4kW 1S Federzugkl.</t>
        </is>
      </c>
      <c r="I9889">
        <v>781</v>
      </c>
      <c r="J9889">
        <f>GS90/469.5</f>
        <v>0</v>
      </c>
      <c r="M9889" t="inlineStr">
        <is>
          <t>-469Q464.5</t>
        </is>
      </c>
    </row>
    <row r="9890">
      <c r="A9890">
        <v>9889</v>
      </c>
      <c r="B9890">
        <f>GS92</f>
        <v>0</v>
      </c>
      <c r="C9890" t="inlineStr">
        <is>
          <t>+LS08</t>
        </is>
      </c>
      <c r="D9890" t="inlineStr">
        <is>
          <t>-469Q757.6</t>
        </is>
      </c>
      <c r="E9890" t="inlineStr">
        <is>
          <t>DILM-9-10</t>
        </is>
      </c>
      <c r="F9890" t="inlineStr">
        <is>
          <t>#KALK!</t>
        </is>
      </c>
      <c r="G9890" t="inlineStr">
        <is>
          <t>LASTSCHUETZ</t>
        </is>
      </c>
      <c r="H9890" t="inlineStr">
        <is>
          <t>4kW 1S Federzugkl.</t>
        </is>
      </c>
      <c r="I9890">
        <v>615</v>
      </c>
      <c r="J9890">
        <f>GS92/469.5</f>
        <v>0</v>
      </c>
      <c r="M9890" t="inlineStr">
        <is>
          <t>-469Q757.6</t>
        </is>
      </c>
    </row>
    <row r="9891">
      <c r="A9891">
        <v>9890</v>
      </c>
      <c r="B9891">
        <f>GS13</f>
        <v>0</v>
      </c>
      <c r="C9891" t="inlineStr">
        <is>
          <t>+LS11</t>
        </is>
      </c>
      <c r="D9891" t="inlineStr">
        <is>
          <t>-470K1</t>
        </is>
      </c>
      <c r="E9891" t="inlineStr">
        <is>
          <t>DIL_0AM</t>
        </is>
      </c>
      <c r="F9891" t="inlineStr">
        <is>
          <t>22_DIL-M</t>
        </is>
      </c>
      <c r="G9891" t="inlineStr">
        <is>
          <t>LASTSCHUETZ</t>
        </is>
      </c>
      <c r="H9891" t="inlineStr">
        <is>
          <t>11 kW</t>
        </is>
      </c>
      <c r="I9891">
        <v>726</v>
      </c>
      <c r="J9891">
        <f>GS13/470.2</f>
        <v>0</v>
      </c>
      <c r="K9891" t="inlineStr">
        <is>
          <t>DIL0AM</t>
        </is>
      </c>
      <c r="M9891" t="inlineStr">
        <is>
          <t>-470K1</t>
        </is>
      </c>
    </row>
    <row r="9892">
      <c r="A9892">
        <v>9891</v>
      </c>
      <c r="B9892">
        <f>GS13</f>
        <v>0</v>
      </c>
      <c r="C9892" t="inlineStr">
        <is>
          <t>+LS11</t>
        </is>
      </c>
      <c r="D9892" t="inlineStr">
        <is>
          <t>-470K1</t>
        </is>
      </c>
      <c r="E9892" t="inlineStr">
        <is>
          <t>22_DIL-M</t>
        </is>
      </c>
      <c r="F9892" t="inlineStr">
        <is>
          <t>22_DIL-M</t>
        </is>
      </c>
      <c r="G9892" t="inlineStr">
        <is>
          <t>HILFSKONTAKTBLOCK</t>
        </is>
      </c>
      <c r="H9892" t="inlineStr">
        <is>
          <t>2S 2OE Lastschuetz DIL M</t>
        </is>
      </c>
      <c r="I9892">
        <v>726</v>
      </c>
      <c r="J9892">
        <f>GS13/470.2</f>
        <v>0</v>
      </c>
      <c r="K9892" t="inlineStr">
        <is>
          <t>DIL0AM</t>
        </is>
      </c>
      <c r="M9892" t="inlineStr">
        <is>
          <t>-470K1</t>
        </is>
      </c>
    </row>
    <row r="9893">
      <c r="A9893">
        <v>9892</v>
      </c>
      <c r="B9893">
        <f>GS23</f>
        <v>0</v>
      </c>
      <c r="C9893" t="inlineStr">
        <is>
          <t>+LS11</t>
        </is>
      </c>
      <c r="D9893" t="inlineStr">
        <is>
          <t>-470K1</t>
        </is>
      </c>
      <c r="E9893" t="inlineStr">
        <is>
          <t>22_DIL-M</t>
        </is>
      </c>
      <c r="F9893" t="inlineStr">
        <is>
          <t>22_DIL-M</t>
        </is>
      </c>
      <c r="G9893" t="inlineStr">
        <is>
          <t>HILFSKONTAKTBLOCK</t>
        </is>
      </c>
      <c r="H9893" t="inlineStr">
        <is>
          <t>2S 2OE Lastschuetz DIL M</t>
        </is>
      </c>
      <c r="I9893">
        <v>780</v>
      </c>
      <c r="J9893">
        <f>GS23/470.2</f>
        <v>0</v>
      </c>
      <c r="K9893" t="inlineStr">
        <is>
          <t>DIL0AM</t>
        </is>
      </c>
      <c r="M9893" t="inlineStr">
        <is>
          <t>-470K1</t>
        </is>
      </c>
    </row>
    <row r="9894">
      <c r="A9894">
        <v>9893</v>
      </c>
      <c r="B9894">
        <f>GS23</f>
        <v>0</v>
      </c>
      <c r="C9894" t="inlineStr">
        <is>
          <t>+LS11</t>
        </is>
      </c>
      <c r="D9894" t="inlineStr">
        <is>
          <t>-470K1</t>
        </is>
      </c>
      <c r="E9894" t="inlineStr">
        <is>
          <t>DIL_0AM</t>
        </is>
      </c>
      <c r="F9894" t="inlineStr">
        <is>
          <t>22_DIL-M</t>
        </is>
      </c>
      <c r="G9894" t="inlineStr">
        <is>
          <t>LASTSCHUETZ</t>
        </is>
      </c>
      <c r="H9894" t="inlineStr">
        <is>
          <t>11 kW</t>
        </is>
      </c>
      <c r="I9894">
        <v>780</v>
      </c>
      <c r="J9894">
        <f>GS23/470.2</f>
        <v>0</v>
      </c>
      <c r="K9894" t="inlineStr">
        <is>
          <t>DIL0AM</t>
        </is>
      </c>
      <c r="M9894" t="inlineStr">
        <is>
          <t>-470K1</t>
        </is>
      </c>
    </row>
    <row r="9895">
      <c r="A9895">
        <v>9894</v>
      </c>
      <c r="B9895">
        <f>GS55</f>
        <v>0</v>
      </c>
      <c r="C9895" t="inlineStr">
        <is>
          <t>+LS06</t>
        </is>
      </c>
      <c r="D9895" t="inlineStr">
        <is>
          <t>-470K1</t>
        </is>
      </c>
      <c r="E9895" t="inlineStr">
        <is>
          <t>DILM-9-01</t>
        </is>
      </c>
      <c r="F9895" t="inlineStr">
        <is>
          <t>#KALK!</t>
        </is>
      </c>
      <c r="G9895" t="inlineStr">
        <is>
          <t>LASTSCHUETZ</t>
        </is>
      </c>
      <c r="H9895" t="inlineStr">
        <is>
          <t>4kW 1Oe Federzugkl.</t>
        </is>
      </c>
      <c r="I9895">
        <v>747</v>
      </c>
      <c r="J9895">
        <f>GS55/470.6</f>
        <v>0</v>
      </c>
      <c r="M9895" t="inlineStr">
        <is>
          <t>-470K1</t>
        </is>
      </c>
    </row>
    <row r="9896">
      <c r="A9896">
        <v>9895</v>
      </c>
      <c r="B9896">
        <f>GS13</f>
        <v>0</v>
      </c>
      <c r="C9896" t="inlineStr">
        <is>
          <t>+LS11</t>
        </is>
      </c>
      <c r="D9896" t="inlineStr">
        <is>
          <t>-470K2</t>
        </is>
      </c>
      <c r="E9896" t="inlineStr">
        <is>
          <t>DIL_0AM</t>
        </is>
      </c>
      <c r="F9896" t="inlineStr">
        <is>
          <t>22_DIL-M</t>
        </is>
      </c>
      <c r="G9896" t="inlineStr">
        <is>
          <t>LASTSCHUETZ</t>
        </is>
      </c>
      <c r="H9896" t="inlineStr">
        <is>
          <t>11 kW</t>
        </is>
      </c>
      <c r="I9896">
        <v>726</v>
      </c>
      <c r="J9896">
        <f>GS13/470.3</f>
        <v>0</v>
      </c>
      <c r="K9896" t="inlineStr">
        <is>
          <t>DIL0AM</t>
        </is>
      </c>
      <c r="M9896" t="inlineStr">
        <is>
          <t>-470K2</t>
        </is>
      </c>
    </row>
    <row r="9897">
      <c r="A9897">
        <v>9896</v>
      </c>
      <c r="B9897">
        <f>GS13</f>
        <v>0</v>
      </c>
      <c r="C9897" t="inlineStr">
        <is>
          <t>+LS11</t>
        </is>
      </c>
      <c r="D9897" t="inlineStr">
        <is>
          <t>-470K2</t>
        </is>
      </c>
      <c r="E9897" t="inlineStr">
        <is>
          <t>22_DIL-M</t>
        </is>
      </c>
      <c r="F9897" t="inlineStr">
        <is>
          <t>22_DIL-M</t>
        </is>
      </c>
      <c r="G9897" t="inlineStr">
        <is>
          <t>HILFSKONTAKTBLOCK</t>
        </is>
      </c>
      <c r="H9897" t="inlineStr">
        <is>
          <t>2S 2OE Lastschuetz DIL M</t>
        </is>
      </c>
      <c r="I9897">
        <v>726</v>
      </c>
      <c r="J9897">
        <f>GS13/470.3</f>
        <v>0</v>
      </c>
      <c r="K9897" t="inlineStr">
        <is>
          <t>DIL0AM</t>
        </is>
      </c>
      <c r="M9897" t="inlineStr">
        <is>
          <t>-470K2</t>
        </is>
      </c>
    </row>
    <row r="9898">
      <c r="A9898">
        <v>9897</v>
      </c>
      <c r="B9898">
        <f>GS23</f>
        <v>0</v>
      </c>
      <c r="C9898" t="inlineStr">
        <is>
          <t>+LS11</t>
        </is>
      </c>
      <c r="D9898" t="inlineStr">
        <is>
          <t>-470K2</t>
        </is>
      </c>
      <c r="E9898" t="inlineStr">
        <is>
          <t>22_DIL-M</t>
        </is>
      </c>
      <c r="F9898" t="inlineStr">
        <is>
          <t>22_DIL-M</t>
        </is>
      </c>
      <c r="G9898" t="inlineStr">
        <is>
          <t>HILFSKONTAKTBLOCK</t>
        </is>
      </c>
      <c r="H9898" t="inlineStr">
        <is>
          <t>2S 2OE Lastschuetz DIL M</t>
        </is>
      </c>
      <c r="I9898">
        <v>780</v>
      </c>
      <c r="J9898">
        <f>GS23/470.3</f>
        <v>0</v>
      </c>
      <c r="K9898" t="inlineStr">
        <is>
          <t>DIL0AM</t>
        </is>
      </c>
      <c r="M9898" t="inlineStr">
        <is>
          <t>-470K2</t>
        </is>
      </c>
    </row>
    <row r="9899">
      <c r="A9899">
        <v>9898</v>
      </c>
      <c r="B9899">
        <f>GS23</f>
        <v>0</v>
      </c>
      <c r="C9899" t="inlineStr">
        <is>
          <t>+LS11</t>
        </is>
      </c>
      <c r="D9899" t="inlineStr">
        <is>
          <t>-470K2</t>
        </is>
      </c>
      <c r="E9899" t="inlineStr">
        <is>
          <t>DIL_0AM</t>
        </is>
      </c>
      <c r="F9899" t="inlineStr">
        <is>
          <t>22_DIL-M</t>
        </is>
      </c>
      <c r="G9899" t="inlineStr">
        <is>
          <t>LASTSCHUETZ</t>
        </is>
      </c>
      <c r="H9899" t="inlineStr">
        <is>
          <t>11 kW</t>
        </is>
      </c>
      <c r="I9899">
        <v>780</v>
      </c>
      <c r="J9899">
        <f>GS23/470.3</f>
        <v>0</v>
      </c>
      <c r="K9899" t="inlineStr">
        <is>
          <t>DIL0AM</t>
        </is>
      </c>
      <c r="M9899" t="inlineStr">
        <is>
          <t>-470K2</t>
        </is>
      </c>
    </row>
    <row r="9900">
      <c r="A9900">
        <v>9899</v>
      </c>
      <c r="B9900">
        <f>GS55</f>
        <v>0</v>
      </c>
      <c r="C9900" t="inlineStr">
        <is>
          <t>+LS06</t>
        </is>
      </c>
      <c r="D9900" t="inlineStr">
        <is>
          <t>-470K2</t>
        </is>
      </c>
      <c r="E9900" t="inlineStr">
        <is>
          <t>DILM-9-01</t>
        </is>
      </c>
      <c r="F9900" t="inlineStr">
        <is>
          <t>#KALK!</t>
        </is>
      </c>
      <c r="G9900" t="inlineStr">
        <is>
          <t>LASTSCHUETZ</t>
        </is>
      </c>
      <c r="H9900" t="inlineStr">
        <is>
          <t>4kW 1Oe Federzugkl.</t>
        </is>
      </c>
      <c r="I9900">
        <v>747</v>
      </c>
      <c r="J9900">
        <f>GS55/470.7</f>
        <v>0</v>
      </c>
      <c r="M9900" t="inlineStr">
        <is>
          <t>-470K2</t>
        </is>
      </c>
    </row>
    <row r="9901">
      <c r="A9901">
        <v>9900</v>
      </c>
      <c r="B9901">
        <f>GS31</f>
        <v>0</v>
      </c>
      <c r="C9901" t="inlineStr">
        <is>
          <t>+LS9</t>
        </is>
      </c>
      <c r="D9901" t="inlineStr">
        <is>
          <t>-470K59.1</t>
        </is>
      </c>
      <c r="E9901" t="inlineStr">
        <is>
          <t>DIL_EM-10-G</t>
        </is>
      </c>
      <c r="F9901" t="inlineStr">
        <is>
          <t>#KALK!</t>
        </is>
      </c>
      <c r="G9901" t="inlineStr">
        <is>
          <t>LASTSCHUETZ</t>
        </is>
      </c>
      <c r="H9901" t="inlineStr">
        <is>
          <t>4kW 1S</t>
        </is>
      </c>
      <c r="I9901">
        <v>764</v>
      </c>
      <c r="J9901">
        <f>GS31/470.7</f>
        <v>0</v>
      </c>
      <c r="M9901" t="inlineStr">
        <is>
          <t>-470K59.1</t>
        </is>
      </c>
    </row>
    <row r="9902">
      <c r="A9902">
        <v>9901</v>
      </c>
      <c r="B9902">
        <f>GS52</f>
        <v>0</v>
      </c>
      <c r="C9902" t="inlineStr">
        <is>
          <t>+LS07</t>
        </is>
      </c>
      <c r="D9902" t="inlineStr">
        <is>
          <t>-470Q167.7</t>
        </is>
      </c>
      <c r="E9902" t="inlineStr">
        <is>
          <t>DILM-9-10</t>
        </is>
      </c>
      <c r="F9902" t="inlineStr">
        <is>
          <t>#KALK!</t>
        </is>
      </c>
      <c r="G9902" t="inlineStr">
        <is>
          <t>LASTSCHUETZ</t>
        </is>
      </c>
      <c r="H9902" t="inlineStr">
        <is>
          <t>4kW 1S Federzugkl.</t>
        </is>
      </c>
      <c r="I9902">
        <v>1534</v>
      </c>
      <c r="J9902">
        <f>GS52/470.6</f>
        <v>0</v>
      </c>
      <c r="K9902" t="inlineStr">
        <is>
          <t>DIL MC9</t>
        </is>
      </c>
      <c r="M9902" t="inlineStr">
        <is>
          <t>-470Q167.7</t>
        </is>
      </c>
    </row>
    <row r="9903">
      <c r="A9903">
        <v>9902</v>
      </c>
      <c r="B9903">
        <f>GS91</f>
        <v>0</v>
      </c>
      <c r="C9903" t="inlineStr">
        <is>
          <t>+LS09</t>
        </is>
      </c>
      <c r="D9903" t="inlineStr">
        <is>
          <t>-470Q461.4</t>
        </is>
      </c>
      <c r="E9903" t="inlineStr">
        <is>
          <t>DILM-9-10</t>
        </is>
      </c>
      <c r="F9903" t="inlineStr">
        <is>
          <t>#KALK!</t>
        </is>
      </c>
      <c r="G9903" t="inlineStr">
        <is>
          <t>LASTSCHUETZ</t>
        </is>
      </c>
      <c r="H9903" t="inlineStr">
        <is>
          <t>4kW 1S Federzugkl.</t>
        </is>
      </c>
      <c r="I9903">
        <v>618</v>
      </c>
      <c r="J9903">
        <f>GS91/470.5</f>
        <v>0</v>
      </c>
      <c r="M9903" t="inlineStr">
        <is>
          <t>-470Q461.4</t>
        </is>
      </c>
    </row>
    <row r="9904">
      <c r="A9904">
        <v>9903</v>
      </c>
      <c r="B9904">
        <f>GS90</f>
        <v>0</v>
      </c>
      <c r="C9904" t="inlineStr">
        <is>
          <t>+LS09</t>
        </is>
      </c>
      <c r="D9904" t="inlineStr">
        <is>
          <t>-470Q464.6</t>
        </is>
      </c>
      <c r="E9904" t="inlineStr">
        <is>
          <t>DILM-9-10</t>
        </is>
      </c>
      <c r="F9904" t="inlineStr">
        <is>
          <t>#KALK!</t>
        </is>
      </c>
      <c r="G9904" t="inlineStr">
        <is>
          <t>LASTSCHUETZ</t>
        </is>
      </c>
      <c r="H9904" t="inlineStr">
        <is>
          <t>4kW 1S Federzugkl.</t>
        </is>
      </c>
      <c r="I9904">
        <v>780</v>
      </c>
      <c r="J9904">
        <f>GS90/470.5</f>
        <v>0</v>
      </c>
      <c r="M9904" t="inlineStr">
        <is>
          <t>-470Q464.6</t>
        </is>
      </c>
    </row>
    <row r="9905">
      <c r="A9905">
        <v>9904</v>
      </c>
      <c r="B9905">
        <f>GS37</f>
        <v>0</v>
      </c>
      <c r="C9905" t="inlineStr">
        <is>
          <t>+LS10</t>
        </is>
      </c>
      <c r="D9905" t="inlineStr">
        <is>
          <t>-470Q724.1</t>
        </is>
      </c>
      <c r="E9905" t="inlineStr">
        <is>
          <t>DILM-9-10</t>
        </is>
      </c>
      <c r="F9905" t="inlineStr">
        <is>
          <t>#KALK!</t>
        </is>
      </c>
      <c r="G9905" t="inlineStr">
        <is>
          <t>LASTSCHUETZ</t>
        </is>
      </c>
      <c r="H9905" t="inlineStr">
        <is>
          <t>4kW 1S Federzugkl.</t>
        </is>
      </c>
      <c r="I9905">
        <v>625</v>
      </c>
      <c r="J9905">
        <f>GS37/470.5</f>
        <v>0</v>
      </c>
      <c r="M9905" t="inlineStr">
        <is>
          <t>-470Q724.1</t>
        </is>
      </c>
    </row>
    <row r="9906">
      <c r="A9906">
        <v>9905</v>
      </c>
      <c r="B9906">
        <f>GS92</f>
        <v>0</v>
      </c>
      <c r="C9906" t="inlineStr">
        <is>
          <t>+LS08</t>
        </is>
      </c>
      <c r="D9906" t="inlineStr">
        <is>
          <t>-470Q757.7</t>
        </is>
      </c>
      <c r="E9906" t="inlineStr">
        <is>
          <t>DILM-9-10</t>
        </is>
      </c>
      <c r="F9906" t="inlineStr">
        <is>
          <t>#KALK!</t>
        </is>
      </c>
      <c r="G9906" t="inlineStr">
        <is>
          <t>LASTSCHUETZ</t>
        </is>
      </c>
      <c r="H9906" t="inlineStr">
        <is>
          <t>4kW 1S Federzugkl.</t>
        </is>
      </c>
      <c r="I9906">
        <v>616</v>
      </c>
      <c r="J9906">
        <f>GS92/470.5</f>
        <v>0</v>
      </c>
      <c r="M9906" t="inlineStr">
        <is>
          <t>-470Q757.7</t>
        </is>
      </c>
    </row>
    <row r="9907">
      <c r="A9907">
        <v>9906</v>
      </c>
      <c r="B9907">
        <f>GS55</f>
        <v>0</v>
      </c>
      <c r="C9907" t="inlineStr">
        <is>
          <t>+LS06</t>
        </is>
      </c>
      <c r="D9907" t="inlineStr">
        <is>
          <t>-471K1</t>
        </is>
      </c>
      <c r="E9907" t="inlineStr">
        <is>
          <t>DILM-9-01</t>
        </is>
      </c>
      <c r="F9907" t="inlineStr">
        <is>
          <t>#KALK!</t>
        </is>
      </c>
      <c r="G9907" t="inlineStr">
        <is>
          <t>LASTSCHUETZ</t>
        </is>
      </c>
      <c r="H9907" t="inlineStr">
        <is>
          <t>4kW 1Oe Federzugkl.</t>
        </is>
      </c>
      <c r="I9907">
        <v>746</v>
      </c>
      <c r="J9907">
        <f>GS55/471.6</f>
        <v>0</v>
      </c>
      <c r="M9907" t="inlineStr">
        <is>
          <t>-471K1</t>
        </is>
      </c>
    </row>
    <row r="9908">
      <c r="A9908">
        <v>9907</v>
      </c>
      <c r="B9908">
        <f>GS55</f>
        <v>0</v>
      </c>
      <c r="C9908" t="inlineStr">
        <is>
          <t>+LS06</t>
        </is>
      </c>
      <c r="D9908" t="inlineStr">
        <is>
          <t>-471K2</t>
        </is>
      </c>
      <c r="E9908" t="inlineStr">
        <is>
          <t>DILM-9-01</t>
        </is>
      </c>
      <c r="F9908" t="inlineStr">
        <is>
          <t>#KALK!</t>
        </is>
      </c>
      <c r="G9908" t="inlineStr">
        <is>
          <t>LASTSCHUETZ</t>
        </is>
      </c>
      <c r="H9908" t="inlineStr">
        <is>
          <t>4kW 1Oe Federzugkl.</t>
        </is>
      </c>
      <c r="I9908">
        <v>746</v>
      </c>
      <c r="J9908">
        <f>GS55/471.7</f>
        <v>0</v>
      </c>
      <c r="M9908" t="inlineStr">
        <is>
          <t>-471K2</t>
        </is>
      </c>
    </row>
    <row r="9909">
      <c r="A9909">
        <v>9908</v>
      </c>
      <c r="B9909">
        <f>GS31</f>
        <v>0</v>
      </c>
      <c r="C9909" t="inlineStr">
        <is>
          <t>+LS9</t>
        </is>
      </c>
      <c r="D9909" t="inlineStr">
        <is>
          <t>-471K59.5</t>
        </is>
      </c>
      <c r="E9909" t="inlineStr">
        <is>
          <t>DIL_EM-10-G</t>
        </is>
      </c>
      <c r="F9909" t="inlineStr">
        <is>
          <t>#KALK!</t>
        </is>
      </c>
      <c r="G9909" t="inlineStr">
        <is>
          <t>LASTSCHUETZ</t>
        </is>
      </c>
      <c r="H9909" t="inlineStr">
        <is>
          <t>4kW 1S</t>
        </is>
      </c>
      <c r="I9909">
        <v>765</v>
      </c>
      <c r="J9909">
        <f>GS31/471.7</f>
        <v>0</v>
      </c>
      <c r="M9909" t="inlineStr">
        <is>
          <t>-471K59.5</t>
        </is>
      </c>
    </row>
    <row r="9910">
      <c r="A9910">
        <v>9909</v>
      </c>
      <c r="B9910">
        <f>GS52</f>
        <v>0</v>
      </c>
      <c r="C9910" t="inlineStr">
        <is>
          <t>+LS07</t>
        </is>
      </c>
      <c r="D9910" t="inlineStr">
        <is>
          <t>-471Q168.0</t>
        </is>
      </c>
      <c r="E9910" t="inlineStr">
        <is>
          <t>DILM-9-10</t>
        </is>
      </c>
      <c r="F9910" t="inlineStr">
        <is>
          <t>#KALK!</t>
        </is>
      </c>
      <c r="G9910" t="inlineStr">
        <is>
          <t>LASTSCHUETZ</t>
        </is>
      </c>
      <c r="H9910" t="inlineStr">
        <is>
          <t>4kW 1S Federzugkl.</t>
        </is>
      </c>
      <c r="I9910">
        <v>1533</v>
      </c>
      <c r="J9910">
        <f>GS52/471.6</f>
        <v>0</v>
      </c>
      <c r="K9910" t="inlineStr">
        <is>
          <t>DIL MC9</t>
        </is>
      </c>
      <c r="M9910" t="inlineStr">
        <is>
          <t>-471Q168.0</t>
        </is>
      </c>
    </row>
    <row r="9911">
      <c r="A9911">
        <v>9910</v>
      </c>
      <c r="B9911">
        <f>GS91</f>
        <v>0</v>
      </c>
      <c r="C9911" t="inlineStr">
        <is>
          <t>+LS09</t>
        </is>
      </c>
      <c r="D9911" t="inlineStr">
        <is>
          <t>-471Q461.5</t>
        </is>
      </c>
      <c r="E9911" t="inlineStr">
        <is>
          <t>DILM-9-10</t>
        </is>
      </c>
      <c r="F9911" t="inlineStr">
        <is>
          <t>#KALK!</t>
        </is>
      </c>
      <c r="G9911" t="inlineStr">
        <is>
          <t>LASTSCHUETZ</t>
        </is>
      </c>
      <c r="H9911" t="inlineStr">
        <is>
          <t>4kW 1S Federzugkl.</t>
        </is>
      </c>
      <c r="I9911">
        <v>619</v>
      </c>
      <c r="J9911">
        <f>GS91/471.5</f>
        <v>0</v>
      </c>
      <c r="M9911" t="inlineStr">
        <is>
          <t>-471Q461.5</t>
        </is>
      </c>
    </row>
    <row r="9912">
      <c r="A9912">
        <v>9911</v>
      </c>
      <c r="B9912">
        <f>GS37</f>
        <v>0</v>
      </c>
      <c r="C9912" t="inlineStr">
        <is>
          <t>+LS10</t>
        </is>
      </c>
      <c r="D9912" t="inlineStr">
        <is>
          <t>-471Q724.2</t>
        </is>
      </c>
      <c r="E9912" t="inlineStr">
        <is>
          <t>DILMC12-10(24VDC)</t>
        </is>
      </c>
      <c r="F9912" t="inlineStr">
        <is>
          <t>#KALK!</t>
        </is>
      </c>
      <c r="G9912" t="inlineStr">
        <is>
          <t>LASTSCHUETZ</t>
        </is>
      </c>
      <c r="H9912" t="inlineStr">
        <is>
          <t>5,5kW 1S Federzugkl.</t>
        </is>
      </c>
      <c r="I9912">
        <v>626</v>
      </c>
      <c r="J9912">
        <f>GS37/471.5</f>
        <v>0</v>
      </c>
      <c r="M9912" t="inlineStr">
        <is>
          <t>-471Q724.2</t>
        </is>
      </c>
    </row>
    <row r="9913">
      <c r="A9913">
        <v>9912</v>
      </c>
      <c r="B9913">
        <f>GS13</f>
        <v>0</v>
      </c>
      <c r="C9913" t="inlineStr">
        <is>
          <t>+LS11</t>
        </is>
      </c>
      <c r="D9913" t="inlineStr">
        <is>
          <t>-47212.0</t>
        </is>
      </c>
      <c r="E9913" t="inlineStr">
        <is>
          <t>DIL_EM-10-G</t>
        </is>
      </c>
      <c r="F9913" t="inlineStr">
        <is>
          <t>#KALK!</t>
        </is>
      </c>
      <c r="G9913" t="inlineStr">
        <is>
          <t>LASTSCHUETZ</t>
        </is>
      </c>
      <c r="H9913" t="inlineStr">
        <is>
          <t>4kW 1S</t>
        </is>
      </c>
      <c r="I9913">
        <v>728</v>
      </c>
      <c r="J9913">
        <f>GS13/472.6</f>
        <v>0</v>
      </c>
      <c r="M9913" t="inlineStr">
        <is>
          <t>-47212.0</t>
        </is>
      </c>
    </row>
    <row r="9914">
      <c r="A9914">
        <v>9913</v>
      </c>
      <c r="B9914">
        <f>GS13</f>
        <v>0</v>
      </c>
      <c r="C9914" t="inlineStr">
        <is>
          <t>+LS11</t>
        </is>
      </c>
      <c r="D9914" t="inlineStr">
        <is>
          <t>-47212.1</t>
        </is>
      </c>
      <c r="E9914" t="inlineStr">
        <is>
          <t>DIL_EM-10-G</t>
        </is>
      </c>
      <c r="F9914" t="inlineStr">
        <is>
          <t>#KALK!</t>
        </is>
      </c>
      <c r="G9914" t="inlineStr">
        <is>
          <t>LASTSCHUETZ</t>
        </is>
      </c>
      <c r="H9914" t="inlineStr">
        <is>
          <t>4kW 1S</t>
        </is>
      </c>
      <c r="I9914">
        <v>728</v>
      </c>
      <c r="J9914">
        <f>GS13/472.6</f>
        <v>0</v>
      </c>
      <c r="M9914" t="inlineStr">
        <is>
          <t>-47212.1</t>
        </is>
      </c>
    </row>
    <row r="9915">
      <c r="A9915">
        <v>9914</v>
      </c>
      <c r="B9915">
        <f>GS23</f>
        <v>0</v>
      </c>
      <c r="C9915" t="inlineStr">
        <is>
          <t>+LS11</t>
        </is>
      </c>
      <c r="D9915" t="inlineStr">
        <is>
          <t>-472K12.0</t>
        </is>
      </c>
      <c r="E9915" t="inlineStr">
        <is>
          <t>DIL_EM-10-G</t>
        </is>
      </c>
      <c r="F9915" t="inlineStr">
        <is>
          <t>#KALK!</t>
        </is>
      </c>
      <c r="G9915" t="inlineStr">
        <is>
          <t>LASTSCHUETZ</t>
        </is>
      </c>
      <c r="H9915" t="inlineStr">
        <is>
          <t>4kW 1S</t>
        </is>
      </c>
      <c r="I9915">
        <v>782</v>
      </c>
      <c r="J9915">
        <f>GS23/472.6</f>
        <v>0</v>
      </c>
      <c r="M9915" t="inlineStr">
        <is>
          <t>-472K12.0</t>
        </is>
      </c>
    </row>
    <row r="9916">
      <c r="A9916">
        <v>9915</v>
      </c>
      <c r="B9916">
        <f>GS23</f>
        <v>0</v>
      </c>
      <c r="C9916" t="inlineStr">
        <is>
          <t>+LS11</t>
        </is>
      </c>
      <c r="D9916" t="inlineStr">
        <is>
          <t>-472K12.1</t>
        </is>
      </c>
      <c r="E9916" t="inlineStr">
        <is>
          <t>DIL_EM-10-G</t>
        </is>
      </c>
      <c r="F9916" t="inlineStr">
        <is>
          <t>#KALK!</t>
        </is>
      </c>
      <c r="G9916" t="inlineStr">
        <is>
          <t>LASTSCHUETZ</t>
        </is>
      </c>
      <c r="H9916" t="inlineStr">
        <is>
          <t>4kW 1S</t>
        </is>
      </c>
      <c r="I9916">
        <v>782</v>
      </c>
      <c r="J9916">
        <f>GS23/472.6</f>
        <v>0</v>
      </c>
      <c r="M9916" t="inlineStr">
        <is>
          <t>-472K12.1</t>
        </is>
      </c>
    </row>
    <row r="9917">
      <c r="A9917">
        <v>9916</v>
      </c>
      <c r="B9917">
        <f>GS55</f>
        <v>0</v>
      </c>
      <c r="C9917" t="inlineStr">
        <is>
          <t>+LS06</t>
        </is>
      </c>
      <c r="D9917" t="inlineStr">
        <is>
          <t>-472K1700.4</t>
        </is>
      </c>
      <c r="E9917" t="inlineStr">
        <is>
          <t>DILA-40</t>
        </is>
      </c>
      <c r="F9917" t="inlineStr">
        <is>
          <t>#KALK!</t>
        </is>
      </c>
      <c r="G9917" t="inlineStr">
        <is>
          <t>HILFSSCHUETZ</t>
        </is>
      </c>
      <c r="H9917" t="inlineStr">
        <is>
          <t>4S Federzugkl.</t>
        </is>
      </c>
      <c r="I9917">
        <v>748</v>
      </c>
      <c r="J9917">
        <f>GS55/472.2</f>
        <v>0</v>
      </c>
      <c r="M9917" t="inlineStr">
        <is>
          <t>-472K1700.4</t>
        </is>
      </c>
    </row>
    <row r="9918">
      <c r="A9918">
        <v>9917</v>
      </c>
      <c r="B9918">
        <f>GS31</f>
        <v>0</v>
      </c>
      <c r="C9918" t="inlineStr">
        <is>
          <t>+LS9</t>
        </is>
      </c>
      <c r="D9918" t="inlineStr">
        <is>
          <t>-472K59.6</t>
        </is>
      </c>
      <c r="E9918" t="inlineStr">
        <is>
          <t>DIL_EM-10-G</t>
        </is>
      </c>
      <c r="F9918" t="inlineStr">
        <is>
          <t>#KALK!</t>
        </is>
      </c>
      <c r="G9918" t="inlineStr">
        <is>
          <t>LASTSCHUETZ</t>
        </is>
      </c>
      <c r="H9918" t="inlineStr">
        <is>
          <t>4kW 1S</t>
        </is>
      </c>
      <c r="I9918">
        <v>766</v>
      </c>
      <c r="J9918">
        <f>GS31/472.6</f>
        <v>0</v>
      </c>
      <c r="M9918" t="inlineStr">
        <is>
          <t>-472K59.6</t>
        </is>
      </c>
    </row>
    <row r="9919">
      <c r="A9919">
        <v>9918</v>
      </c>
      <c r="B9919">
        <f>GS92</f>
        <v>0</v>
      </c>
      <c r="C9919" t="inlineStr">
        <is>
          <t>+LS08</t>
        </is>
      </c>
      <c r="D9919" t="inlineStr">
        <is>
          <t>-472K759.4</t>
        </is>
      </c>
      <c r="E9919" t="inlineStr">
        <is>
          <t>DILA-22</t>
        </is>
      </c>
      <c r="F9919" t="inlineStr">
        <is>
          <t>#KALK!</t>
        </is>
      </c>
      <c r="G9919" t="inlineStr">
        <is>
          <t>HILFSSCHUETZ</t>
        </is>
      </c>
      <c r="H9919" t="inlineStr">
        <is>
          <t>2S 2Oe Federzugkl.</t>
        </is>
      </c>
      <c r="I9919">
        <v>618</v>
      </c>
      <c r="J9919">
        <f>GS92/472.6</f>
        <v>0</v>
      </c>
      <c r="M9919" t="inlineStr">
        <is>
          <t>-472K759.4</t>
        </is>
      </c>
    </row>
    <row r="9920">
      <c r="A9920">
        <v>9919</v>
      </c>
      <c r="B9920">
        <f>GS92</f>
        <v>0</v>
      </c>
      <c r="C9920" t="inlineStr">
        <is>
          <t>+LS08</t>
        </is>
      </c>
      <c r="D9920" t="inlineStr">
        <is>
          <t>-472Q1</t>
        </is>
      </c>
      <c r="E9920" t="inlineStr">
        <is>
          <t>DILMC25-10(RDC24)</t>
        </is>
      </c>
      <c r="F9920" t="inlineStr">
        <is>
          <t>DILA-XHIC31</t>
        </is>
      </c>
      <c r="G9920" t="inlineStr">
        <is>
          <t>LASTSCHUETZ</t>
        </is>
      </c>
      <c r="H9920" t="inlineStr">
        <is>
          <t>11kW 1S Federzugkl.</t>
        </is>
      </c>
      <c r="I9920">
        <v>618</v>
      </c>
      <c r="J9920">
        <f>GS92/472.2</f>
        <v>0</v>
      </c>
      <c r="M9920" t="inlineStr">
        <is>
          <t>-472Q1</t>
        </is>
      </c>
    </row>
    <row r="9921">
      <c r="A9921">
        <v>9920</v>
      </c>
      <c r="B9921">
        <f>GS92</f>
        <v>0</v>
      </c>
      <c r="C9921" t="inlineStr">
        <is>
          <t>+LS08</t>
        </is>
      </c>
      <c r="D9921" t="inlineStr">
        <is>
          <t>-472Q1</t>
        </is>
      </c>
      <c r="E9921" t="inlineStr">
        <is>
          <t>DILA-XHIC31</t>
        </is>
      </c>
      <c r="F9921" t="inlineStr">
        <is>
          <t>DILA-XHIC31</t>
        </is>
      </c>
      <c r="G9921" t="inlineStr">
        <is>
          <t>HILFSKONTAKTBLOCK</t>
        </is>
      </c>
      <c r="H9921" t="inlineStr">
        <is>
          <t>3S 1OE Last+Hilfssch. Cage</t>
        </is>
      </c>
      <c r="I9921">
        <v>618</v>
      </c>
      <c r="J9921">
        <f>GS92/472.2</f>
        <v>0</v>
      </c>
      <c r="M9921" t="inlineStr">
        <is>
          <t>-472Q1</t>
        </is>
      </c>
    </row>
    <row r="9922">
      <c r="A9922">
        <v>9921</v>
      </c>
      <c r="B9922">
        <f>GS05</f>
        <v>0</v>
      </c>
      <c r="C9922" t="inlineStr">
        <is>
          <t>+LS07</t>
        </is>
      </c>
      <c r="D9922" t="inlineStr">
        <is>
          <t>-472Q404.2</t>
        </is>
      </c>
      <c r="E9922" t="inlineStr">
        <is>
          <t>DILM-9-10</t>
        </is>
      </c>
      <c r="F9922" t="inlineStr">
        <is>
          <t>#KALK!</t>
        </is>
      </c>
      <c r="G9922" t="inlineStr">
        <is>
          <t>LASTSCHUETZ</t>
        </is>
      </c>
      <c r="H9922" t="inlineStr">
        <is>
          <t>4kW 1S Federzugkl.</t>
        </is>
      </c>
      <c r="I9922">
        <v>2565</v>
      </c>
      <c r="J9922">
        <f>GS05/472.6</f>
        <v>0</v>
      </c>
      <c r="K9922" t="inlineStr">
        <is>
          <t>DIL MC9</t>
        </is>
      </c>
      <c r="M9922" t="inlineStr">
        <is>
          <t>-472Q404.2</t>
        </is>
      </c>
    </row>
    <row r="9923">
      <c r="A9923">
        <v>9922</v>
      </c>
      <c r="B9923">
        <f>GS07</f>
        <v>0</v>
      </c>
      <c r="C9923" t="inlineStr">
        <is>
          <t>+LS07</t>
        </is>
      </c>
      <c r="D9923" t="inlineStr">
        <is>
          <t>-472Q420.6</t>
        </is>
      </c>
      <c r="E9923" t="inlineStr">
        <is>
          <t>DILM-9-10</t>
        </is>
      </c>
      <c r="F9923" t="inlineStr">
        <is>
          <t>#KALK!</t>
        </is>
      </c>
      <c r="G9923" t="inlineStr">
        <is>
          <t>LASTSCHUETZ</t>
        </is>
      </c>
      <c r="H9923" t="inlineStr">
        <is>
          <t>4kW 1S Federzugkl.</t>
        </is>
      </c>
      <c r="I9923">
        <v>566</v>
      </c>
      <c r="J9923">
        <f>GS07/472.6</f>
        <v>0</v>
      </c>
      <c r="K9923" t="inlineStr">
        <is>
          <t>DIL MC9</t>
        </is>
      </c>
      <c r="M9923" t="inlineStr">
        <is>
          <t>-472Q420.6</t>
        </is>
      </c>
    </row>
    <row r="9924">
      <c r="A9924">
        <v>9923</v>
      </c>
      <c r="B9924">
        <f>GS13</f>
        <v>0</v>
      </c>
      <c r="C9924" t="inlineStr">
        <is>
          <t>+LS11</t>
        </is>
      </c>
      <c r="D9924" t="inlineStr">
        <is>
          <t>-47312.5</t>
        </is>
      </c>
      <c r="E9924" t="inlineStr">
        <is>
          <t>DIL_EM-10-G</t>
        </is>
      </c>
      <c r="F9924" t="inlineStr">
        <is>
          <t>#KALK!</t>
        </is>
      </c>
      <c r="G9924" t="inlineStr">
        <is>
          <t>LASTSCHUETZ</t>
        </is>
      </c>
      <c r="H9924" t="inlineStr">
        <is>
          <t>4kW 1S</t>
        </is>
      </c>
      <c r="I9924">
        <v>729</v>
      </c>
      <c r="J9924">
        <f>GS13/473.7</f>
        <v>0</v>
      </c>
      <c r="M9924" t="inlineStr">
        <is>
          <t>-47312.5</t>
        </is>
      </c>
    </row>
    <row r="9925">
      <c r="A9925">
        <v>9924</v>
      </c>
      <c r="B9925">
        <f>GS23</f>
        <v>0</v>
      </c>
      <c r="C9925" t="inlineStr">
        <is>
          <t>+LS11</t>
        </is>
      </c>
      <c r="D9925" t="inlineStr">
        <is>
          <t>-473K12.5</t>
        </is>
      </c>
      <c r="E9925" t="inlineStr">
        <is>
          <t>DIL_EM-10-G</t>
        </is>
      </c>
      <c r="F9925" t="inlineStr">
        <is>
          <t>#KALK!</t>
        </is>
      </c>
      <c r="G9925" t="inlineStr">
        <is>
          <t>LASTSCHUETZ</t>
        </is>
      </c>
      <c r="H9925" t="inlineStr">
        <is>
          <t>4kW 1S</t>
        </is>
      </c>
      <c r="I9925">
        <v>783</v>
      </c>
      <c r="J9925">
        <f>GS23/473.7</f>
        <v>0</v>
      </c>
      <c r="M9925" t="inlineStr">
        <is>
          <t>-473K12.5</t>
        </is>
      </c>
    </row>
    <row r="9926">
      <c r="A9926">
        <v>9925</v>
      </c>
      <c r="B9926">
        <f>GS31</f>
        <v>0</v>
      </c>
      <c r="C9926" t="inlineStr">
        <is>
          <t>+LS9</t>
        </is>
      </c>
      <c r="D9926" t="inlineStr">
        <is>
          <t>-473K60.2</t>
        </is>
      </c>
      <c r="E9926" t="inlineStr">
        <is>
          <t>DIL_EM-10-G</t>
        </is>
      </c>
      <c r="F9926" t="inlineStr">
        <is>
          <t>#KALK!</t>
        </is>
      </c>
      <c r="G9926" t="inlineStr">
        <is>
          <t>LASTSCHUETZ</t>
        </is>
      </c>
      <c r="H9926" t="inlineStr">
        <is>
          <t>4kW 1S</t>
        </is>
      </c>
      <c r="I9926">
        <v>767</v>
      </c>
      <c r="J9926">
        <f>GS31/473.7</f>
        <v>0</v>
      </c>
      <c r="M9926" t="inlineStr">
        <is>
          <t>-473K60.2</t>
        </is>
      </c>
    </row>
    <row r="9927">
      <c r="A9927">
        <v>9926</v>
      </c>
      <c r="B9927">
        <f>GS13</f>
        <v>0</v>
      </c>
      <c r="C9927" t="inlineStr">
        <is>
          <t>+LS11</t>
        </is>
      </c>
      <c r="D9927" t="inlineStr">
        <is>
          <t>-47413.1</t>
        </is>
      </c>
      <c r="E9927" t="inlineStr">
        <is>
          <t>DIL_EM-10-G</t>
        </is>
      </c>
      <c r="F9927" t="inlineStr">
        <is>
          <t>#KALK!</t>
        </is>
      </c>
      <c r="G9927" t="inlineStr">
        <is>
          <t>LASTSCHUETZ</t>
        </is>
      </c>
      <c r="H9927" t="inlineStr">
        <is>
          <t>4kW 1S</t>
        </is>
      </c>
      <c r="I9927">
        <v>730</v>
      </c>
      <c r="J9927">
        <f>GS13/474.7</f>
        <v>0</v>
      </c>
      <c r="M9927" t="inlineStr">
        <is>
          <t>-47413.1</t>
        </is>
      </c>
    </row>
    <row r="9928">
      <c r="A9928">
        <v>9927</v>
      </c>
      <c r="B9928">
        <f>GS23</f>
        <v>0</v>
      </c>
      <c r="C9928" t="inlineStr">
        <is>
          <t>+LS11</t>
        </is>
      </c>
      <c r="D9928" t="inlineStr">
        <is>
          <t>-474K13.1</t>
        </is>
      </c>
      <c r="E9928" t="inlineStr">
        <is>
          <t>DIL_EM-10-G</t>
        </is>
      </c>
      <c r="F9928" t="inlineStr">
        <is>
          <t>#KALK!</t>
        </is>
      </c>
      <c r="G9928" t="inlineStr">
        <is>
          <t>LASTSCHUETZ</t>
        </is>
      </c>
      <c r="H9928" t="inlineStr">
        <is>
          <t>4kW 1S</t>
        </is>
      </c>
      <c r="I9928">
        <v>784</v>
      </c>
      <c r="J9928">
        <f>GS23/474.7</f>
        <v>0</v>
      </c>
      <c r="M9928" t="inlineStr">
        <is>
          <t>-474K13.1</t>
        </is>
      </c>
    </row>
    <row r="9929">
      <c r="A9929">
        <v>9928</v>
      </c>
      <c r="B9929">
        <f>GS15</f>
        <v>0</v>
      </c>
      <c r="C9929" t="inlineStr">
        <is>
          <t>+ES3</t>
        </is>
      </c>
      <c r="D9929" t="inlineStr">
        <is>
          <t>-474K3548.0</t>
        </is>
      </c>
      <c r="E9929" t="inlineStr">
        <is>
          <t>DIL_ER-40-G</t>
        </is>
      </c>
      <c r="F9929" t="inlineStr">
        <is>
          <t>40_DIL-E</t>
        </is>
      </c>
      <c r="G9929" t="inlineStr">
        <is>
          <t>HILFSSCHUETZ</t>
        </is>
      </c>
      <c r="H9929" t="inlineStr">
        <is>
          <t>4S</t>
        </is>
      </c>
      <c r="I9929">
        <v>979</v>
      </c>
      <c r="J9929">
        <f>GS15/474.5</f>
        <v>0</v>
      </c>
      <c r="M9929" t="inlineStr">
        <is>
          <t>-474K3548.0</t>
        </is>
      </c>
    </row>
    <row r="9930">
      <c r="A9930">
        <v>9929</v>
      </c>
      <c r="B9930">
        <f>GS15</f>
        <v>0</v>
      </c>
      <c r="C9930" t="inlineStr">
        <is>
          <t>+ES3</t>
        </is>
      </c>
      <c r="D9930" t="inlineStr">
        <is>
          <t>-474K3548.0</t>
        </is>
      </c>
      <c r="E9930" t="inlineStr">
        <is>
          <t>40_DIL-E</t>
        </is>
      </c>
      <c r="F9930" t="inlineStr">
        <is>
          <t>40_DIL-E</t>
        </is>
      </c>
      <c r="G9930" t="inlineStr">
        <is>
          <t>HILFSKONTAKTBLOCK</t>
        </is>
      </c>
      <c r="H9930" t="inlineStr">
        <is>
          <t>4S Last+Hilfsschuetz</t>
        </is>
      </c>
      <c r="I9930">
        <v>979</v>
      </c>
      <c r="J9930">
        <f>GS15/474.5</f>
        <v>0</v>
      </c>
      <c r="M9930" t="inlineStr">
        <is>
          <t>-474K3548.0</t>
        </is>
      </c>
    </row>
    <row r="9931">
      <c r="A9931">
        <v>9930</v>
      </c>
      <c r="B9931">
        <f>GS15</f>
        <v>0</v>
      </c>
      <c r="C9931" t="inlineStr">
        <is>
          <t>+ES3</t>
        </is>
      </c>
      <c r="D9931" t="inlineStr">
        <is>
          <t>-474K3548.0.1</t>
        </is>
      </c>
      <c r="E9931" t="inlineStr">
        <is>
          <t>40_DIL-E</t>
        </is>
      </c>
      <c r="F9931" t="inlineStr">
        <is>
          <t>40_DIL-E</t>
        </is>
      </c>
      <c r="G9931" t="inlineStr">
        <is>
          <t>HILFSKONTAKTBLOCK</t>
        </is>
      </c>
      <c r="H9931" t="inlineStr">
        <is>
          <t>4S Last+Hilfsschuetz</t>
        </is>
      </c>
      <c r="I9931">
        <v>979</v>
      </c>
      <c r="J9931">
        <f>GS15/474.6</f>
        <v>0</v>
      </c>
      <c r="M9931" t="inlineStr">
        <is>
          <t>-474K3548.0.1</t>
        </is>
      </c>
    </row>
    <row r="9932">
      <c r="A9932">
        <v>9931</v>
      </c>
      <c r="B9932">
        <f>GS15</f>
        <v>0</v>
      </c>
      <c r="C9932" t="inlineStr">
        <is>
          <t>+ES3</t>
        </is>
      </c>
      <c r="D9932" t="inlineStr">
        <is>
          <t>-474K3548.0.1</t>
        </is>
      </c>
      <c r="E9932" t="inlineStr">
        <is>
          <t>DIL_ER-40-G</t>
        </is>
      </c>
      <c r="F9932" t="inlineStr">
        <is>
          <t>40_DIL-E</t>
        </is>
      </c>
      <c r="G9932" t="inlineStr">
        <is>
          <t>HILFSSCHUETZ</t>
        </is>
      </c>
      <c r="H9932" t="inlineStr">
        <is>
          <t>4S</t>
        </is>
      </c>
      <c r="I9932">
        <v>979</v>
      </c>
      <c r="J9932">
        <f>GS15/474.6</f>
        <v>0</v>
      </c>
      <c r="M9932" t="inlineStr">
        <is>
          <t>-474K3548.0.1</t>
        </is>
      </c>
    </row>
    <row r="9933">
      <c r="A9933">
        <v>9932</v>
      </c>
      <c r="B9933">
        <f>GS15</f>
        <v>0</v>
      </c>
      <c r="C9933" t="inlineStr">
        <is>
          <t>+ES3</t>
        </is>
      </c>
      <c r="D9933" t="inlineStr">
        <is>
          <t>-474K3548.1</t>
        </is>
      </c>
      <c r="E9933" t="inlineStr">
        <is>
          <t>40_DIL-E</t>
        </is>
      </c>
      <c r="F9933" t="inlineStr">
        <is>
          <t>40_DIL-E</t>
        </is>
      </c>
      <c r="G9933" t="inlineStr">
        <is>
          <t>HILFSKONTAKTBLOCK</t>
        </is>
      </c>
      <c r="H9933" t="inlineStr">
        <is>
          <t>4S Last+Hilfsschuetz</t>
        </is>
      </c>
      <c r="I9933">
        <v>979</v>
      </c>
      <c r="J9933">
        <f>GS15/474.7</f>
        <v>0</v>
      </c>
      <c r="M9933" t="inlineStr">
        <is>
          <t>-474K3548.1</t>
        </is>
      </c>
    </row>
    <row r="9934">
      <c r="A9934">
        <v>9933</v>
      </c>
      <c r="B9934">
        <f>GS15</f>
        <v>0</v>
      </c>
      <c r="C9934" t="inlineStr">
        <is>
          <t>+ES3</t>
        </is>
      </c>
      <c r="D9934" t="inlineStr">
        <is>
          <t>-474K3548.1</t>
        </is>
      </c>
      <c r="E9934" t="inlineStr">
        <is>
          <t>DIL_ER-40-G</t>
        </is>
      </c>
      <c r="F9934" t="inlineStr">
        <is>
          <t>40_DIL-E</t>
        </is>
      </c>
      <c r="G9934" t="inlineStr">
        <is>
          <t>HILFSSCHUETZ</t>
        </is>
      </c>
      <c r="H9934" t="inlineStr">
        <is>
          <t>4S</t>
        </is>
      </c>
      <c r="I9934">
        <v>979</v>
      </c>
      <c r="J9934">
        <f>GS15/474.7</f>
        <v>0</v>
      </c>
      <c r="M9934" t="inlineStr">
        <is>
          <t>-474K3548.1</t>
        </is>
      </c>
    </row>
    <row r="9935">
      <c r="A9935">
        <v>9934</v>
      </c>
      <c r="B9935">
        <f>GS07</f>
        <v>0</v>
      </c>
      <c r="C9935" t="inlineStr">
        <is>
          <t>+LS07</t>
        </is>
      </c>
      <c r="D9935" t="inlineStr">
        <is>
          <t>-474Q420.7</t>
        </is>
      </c>
      <c r="E9935" t="inlineStr">
        <is>
          <t>DILM-9-10</t>
        </is>
      </c>
      <c r="F9935" t="inlineStr">
        <is>
          <t>#KALK!</t>
        </is>
      </c>
      <c r="G9935" t="inlineStr">
        <is>
          <t>LASTSCHUETZ</t>
        </is>
      </c>
      <c r="H9935" t="inlineStr">
        <is>
          <t>4kW 1S Federzugkl.</t>
        </is>
      </c>
      <c r="I9935">
        <v>568</v>
      </c>
      <c r="J9935">
        <f>GS07/474.6</f>
        <v>0</v>
      </c>
      <c r="K9935" t="inlineStr">
        <is>
          <t>DIL MC9</t>
        </is>
      </c>
      <c r="M9935" t="inlineStr">
        <is>
          <t>-474Q420.7</t>
        </is>
      </c>
    </row>
    <row r="9936">
      <c r="A9936">
        <v>9935</v>
      </c>
      <c r="B9936">
        <f>GS13</f>
        <v>0</v>
      </c>
      <c r="C9936" t="inlineStr">
        <is>
          <t>+LS11</t>
        </is>
      </c>
      <c r="D9936" t="inlineStr">
        <is>
          <t>-47513.2</t>
        </is>
      </c>
      <c r="E9936" t="inlineStr">
        <is>
          <t>DIL_EM-10-G</t>
        </is>
      </c>
      <c r="F9936" t="inlineStr">
        <is>
          <t>#KALK!</t>
        </is>
      </c>
      <c r="G9936" t="inlineStr">
        <is>
          <t>LASTSCHUETZ</t>
        </is>
      </c>
      <c r="H9936" t="inlineStr">
        <is>
          <t>4kW 1S</t>
        </is>
      </c>
      <c r="I9936">
        <v>731</v>
      </c>
      <c r="J9936">
        <f>GS13/475.6</f>
        <v>0</v>
      </c>
      <c r="M9936" t="inlineStr">
        <is>
          <t>-47513.2</t>
        </is>
      </c>
    </row>
    <row r="9937">
      <c r="A9937">
        <v>9936</v>
      </c>
      <c r="B9937">
        <f>GC03</f>
        <v>0</v>
      </c>
      <c r="C9937" t="inlineStr">
        <is>
          <t>+LS11</t>
        </is>
      </c>
      <c r="D9937" t="inlineStr">
        <is>
          <t>-475K1</t>
        </is>
      </c>
      <c r="E9937" t="inlineStr">
        <is>
          <t>22_DIL-M</t>
        </is>
      </c>
      <c r="F9937" t="inlineStr">
        <is>
          <t>22_DIL-M</t>
        </is>
      </c>
      <c r="G9937" t="inlineStr">
        <is>
          <t>HILFSKONTAKTBLOCK</t>
        </is>
      </c>
      <c r="H9937" t="inlineStr">
        <is>
          <t>2S 2OE Lastschuetz DIL M</t>
        </is>
      </c>
      <c r="I9937">
        <v>2260</v>
      </c>
      <c r="J9937">
        <f>GC03/475.2</f>
        <v>0</v>
      </c>
      <c r="K9937" t="inlineStr">
        <is>
          <t>DIL0AM</t>
        </is>
      </c>
      <c r="M9937" t="inlineStr">
        <is>
          <t>-475K1</t>
        </is>
      </c>
    </row>
    <row r="9938">
      <c r="A9938">
        <v>9937</v>
      </c>
      <c r="B9938">
        <f>GC03</f>
        <v>0</v>
      </c>
      <c r="C9938" t="inlineStr">
        <is>
          <t>+LS11</t>
        </is>
      </c>
      <c r="D9938" t="inlineStr">
        <is>
          <t>-475K1</t>
        </is>
      </c>
      <c r="E9938" t="inlineStr">
        <is>
          <t>DIL_0AM</t>
        </is>
      </c>
      <c r="F9938" t="inlineStr">
        <is>
          <t>22_DIL-M</t>
        </is>
      </c>
      <c r="G9938" t="inlineStr">
        <is>
          <t>LASTSCHUETZ</t>
        </is>
      </c>
      <c r="H9938" t="inlineStr">
        <is>
          <t>11 kW</t>
        </is>
      </c>
      <c r="I9938">
        <v>2260</v>
      </c>
      <c r="J9938">
        <f>GC03/475.2</f>
        <v>0</v>
      </c>
      <c r="K9938" t="inlineStr">
        <is>
          <t>DIL0AM</t>
        </is>
      </c>
      <c r="M9938" t="inlineStr">
        <is>
          <t>-475K1</t>
        </is>
      </c>
    </row>
    <row r="9939">
      <c r="A9939">
        <v>9938</v>
      </c>
      <c r="B9939">
        <f>GS30</f>
        <v>0</v>
      </c>
      <c r="C9939" t="inlineStr">
        <is>
          <t>+LS15</t>
        </is>
      </c>
      <c r="D9939" t="inlineStr">
        <is>
          <t>-475K1</t>
        </is>
      </c>
      <c r="E9939" t="inlineStr">
        <is>
          <t>DILA-XHI22</t>
        </is>
      </c>
      <c r="F9939" t="inlineStr">
        <is>
          <t>DILA-XHI22</t>
        </is>
      </c>
      <c r="G9939" t="inlineStr">
        <is>
          <t>HILFSKONTAKTBLOCK</t>
        </is>
      </c>
      <c r="H9939" t="inlineStr">
        <is>
          <t>2S 2OE Last+Hilfssch. Cage</t>
        </is>
      </c>
      <c r="I9939">
        <v>3057</v>
      </c>
      <c r="J9939">
        <f>GS30/475.5</f>
        <v>0</v>
      </c>
      <c r="M9939" t="inlineStr">
        <is>
          <t>-475K1</t>
        </is>
      </c>
    </row>
    <row r="9940">
      <c r="A9940">
        <v>9939</v>
      </c>
      <c r="B9940">
        <f>GS30</f>
        <v>0</v>
      </c>
      <c r="C9940" t="inlineStr">
        <is>
          <t>+LS15</t>
        </is>
      </c>
      <c r="D9940" t="inlineStr">
        <is>
          <t>-475K1</t>
        </is>
      </c>
      <c r="E9940" t="inlineStr">
        <is>
          <t>DILM-9-10</t>
        </is>
      </c>
      <c r="F9940" t="inlineStr">
        <is>
          <t>DILA-XHI22</t>
        </is>
      </c>
      <c r="G9940" t="inlineStr">
        <is>
          <t>LASTSCHUETZ</t>
        </is>
      </c>
      <c r="H9940" t="inlineStr">
        <is>
          <t>4kW 1S Federzugkl.</t>
        </is>
      </c>
      <c r="I9940">
        <v>3057</v>
      </c>
      <c r="J9940">
        <f>GS30/475.5</f>
        <v>0</v>
      </c>
      <c r="M9940" t="inlineStr">
        <is>
          <t>-475K1</t>
        </is>
      </c>
    </row>
    <row r="9941">
      <c r="A9941">
        <v>9940</v>
      </c>
      <c r="B9941">
        <f>GS23</f>
        <v>0</v>
      </c>
      <c r="C9941" t="inlineStr">
        <is>
          <t>+LS11</t>
        </is>
      </c>
      <c r="D9941" t="inlineStr">
        <is>
          <t>-475K13.2</t>
        </is>
      </c>
      <c r="E9941" t="inlineStr">
        <is>
          <t>DIL_EM-10-G</t>
        </is>
      </c>
      <c r="F9941" t="inlineStr">
        <is>
          <t>#KALK!</t>
        </is>
      </c>
      <c r="G9941" t="inlineStr">
        <is>
          <t>LASTSCHUETZ</t>
        </is>
      </c>
      <c r="H9941" t="inlineStr">
        <is>
          <t>4kW 1S</t>
        </is>
      </c>
      <c r="I9941">
        <v>785</v>
      </c>
      <c r="J9941">
        <f>GS23/475.6</f>
        <v>0</v>
      </c>
      <c r="M9941" t="inlineStr">
        <is>
          <t>-475K13.2</t>
        </is>
      </c>
    </row>
    <row r="9942">
      <c r="A9942">
        <v>9941</v>
      </c>
      <c r="B9942">
        <f>GS30</f>
        <v>0</v>
      </c>
      <c r="C9942" t="inlineStr">
        <is>
          <t>+LS15</t>
        </is>
      </c>
      <c r="D9942" t="inlineStr">
        <is>
          <t>-475K2</t>
        </is>
      </c>
      <c r="E9942" t="inlineStr">
        <is>
          <t>DILA-XHI22</t>
        </is>
      </c>
      <c r="F9942" t="inlineStr">
        <is>
          <t>DILA-XHI22</t>
        </is>
      </c>
      <c r="G9942" t="inlineStr">
        <is>
          <t>HILFSKONTAKTBLOCK</t>
        </is>
      </c>
      <c r="H9942" t="inlineStr">
        <is>
          <t>2S 2OE Last+Hilfssch. Cage</t>
        </is>
      </c>
      <c r="I9942">
        <v>3057</v>
      </c>
      <c r="J9942">
        <f>GS30/475.6</f>
        <v>0</v>
      </c>
      <c r="M9942" t="inlineStr">
        <is>
          <t>-475K2</t>
        </is>
      </c>
    </row>
    <row r="9943">
      <c r="A9943">
        <v>9942</v>
      </c>
      <c r="B9943">
        <f>GS30</f>
        <v>0</v>
      </c>
      <c r="C9943" t="inlineStr">
        <is>
          <t>+LS15</t>
        </is>
      </c>
      <c r="D9943" t="inlineStr">
        <is>
          <t>-475K2</t>
        </is>
      </c>
      <c r="E9943" t="inlineStr">
        <is>
          <t>DILM-9-10</t>
        </is>
      </c>
      <c r="F9943" t="inlineStr">
        <is>
          <t>DILA-XHI22</t>
        </is>
      </c>
      <c r="G9943" t="inlineStr">
        <is>
          <t>LASTSCHUETZ</t>
        </is>
      </c>
      <c r="H9943" t="inlineStr">
        <is>
          <t>4kW 1S Federzugkl.</t>
        </is>
      </c>
      <c r="I9943">
        <v>3057</v>
      </c>
      <c r="J9943">
        <f>GS30/475.6</f>
        <v>0</v>
      </c>
      <c r="M9943" t="inlineStr">
        <is>
          <t>-475K2</t>
        </is>
      </c>
    </row>
    <row r="9944">
      <c r="A9944">
        <v>9943</v>
      </c>
      <c r="B9944">
        <f>GS15</f>
        <v>0</v>
      </c>
      <c r="C9944" t="inlineStr">
        <is>
          <t>+ES3</t>
        </is>
      </c>
      <c r="D9944" t="inlineStr">
        <is>
          <t>-475K3548.3</t>
        </is>
      </c>
      <c r="E9944" t="inlineStr">
        <is>
          <t>DIL_ER-22-G</t>
        </is>
      </c>
      <c r="F9944" t="inlineStr">
        <is>
          <t>#KALK!</t>
        </is>
      </c>
      <c r="G9944" t="inlineStr">
        <is>
          <t>HILFSSCHUETZ</t>
        </is>
      </c>
      <c r="H9944" t="inlineStr">
        <is>
          <t>2S 2OE</t>
        </is>
      </c>
      <c r="I9944">
        <v>981</v>
      </c>
      <c r="J9944">
        <f>GS15/475.6</f>
        <v>0</v>
      </c>
      <c r="M9944" t="inlineStr">
        <is>
          <t>-475K3548.3</t>
        </is>
      </c>
    </row>
    <row r="9945">
      <c r="A9945">
        <v>9944</v>
      </c>
      <c r="B9945">
        <f>GS35</f>
        <v>0</v>
      </c>
      <c r="C9945" t="inlineStr">
        <is>
          <t>+LS11</t>
        </is>
      </c>
      <c r="D9945" t="inlineStr">
        <is>
          <t>-475K456.4</t>
        </is>
      </c>
      <c r="E9945" t="inlineStr">
        <is>
          <t>DILA-40</t>
        </is>
      </c>
      <c r="F9945" t="inlineStr">
        <is>
          <t>#KALK!</t>
        </is>
      </c>
      <c r="G9945" t="inlineStr">
        <is>
          <t>HILFSSCHUETZ</t>
        </is>
      </c>
      <c r="H9945" t="inlineStr">
        <is>
          <t>4S Federzugkl.</t>
        </is>
      </c>
      <c r="I9945">
        <v>629</v>
      </c>
      <c r="J9945">
        <f>GS35/475.7</f>
        <v>0</v>
      </c>
      <c r="M9945" t="inlineStr">
        <is>
          <t>-475K456.4</t>
        </is>
      </c>
    </row>
    <row r="9946">
      <c r="A9946">
        <v>9945</v>
      </c>
      <c r="B9946">
        <f>GS93</f>
        <v>0</v>
      </c>
      <c r="C9946" t="inlineStr">
        <is>
          <t>+LS09</t>
        </is>
      </c>
      <c r="D9946" t="inlineStr">
        <is>
          <t>-475K484.4</t>
        </is>
      </c>
      <c r="E9946" t="inlineStr">
        <is>
          <t>DILA-40</t>
        </is>
      </c>
      <c r="F9946" t="inlineStr">
        <is>
          <t>#KALK!</t>
        </is>
      </c>
      <c r="G9946" t="inlineStr">
        <is>
          <t>HILFSSCHUETZ</t>
        </is>
      </c>
      <c r="H9946" t="inlineStr">
        <is>
          <t>4S Federzugkl.</t>
        </is>
      </c>
      <c r="I9946">
        <v>1029</v>
      </c>
      <c r="J9946">
        <f>GS93/475.7</f>
        <v>0</v>
      </c>
      <c r="M9946" t="inlineStr">
        <is>
          <t>-475K484.4</t>
        </is>
      </c>
    </row>
    <row r="9947">
      <c r="A9947">
        <v>9946</v>
      </c>
      <c r="B9947">
        <f>GS46</f>
        <v>0</v>
      </c>
      <c r="C9947" t="inlineStr">
        <is>
          <t>+LS08</t>
        </is>
      </c>
      <c r="D9947" t="inlineStr">
        <is>
          <t>-475K748.0</t>
        </is>
      </c>
      <c r="E9947" t="inlineStr">
        <is>
          <t>DILA-40</t>
        </is>
      </c>
      <c r="F9947" t="inlineStr">
        <is>
          <t>#KALK!</t>
        </is>
      </c>
      <c r="G9947" t="inlineStr">
        <is>
          <t>HILFSSCHUETZ</t>
        </is>
      </c>
      <c r="H9947" t="inlineStr">
        <is>
          <t>4S Federzugkl.</t>
        </is>
      </c>
      <c r="I9947">
        <v>553</v>
      </c>
      <c r="J9947">
        <f>GS46/475.7</f>
        <v>0</v>
      </c>
      <c r="M9947" t="inlineStr">
        <is>
          <t>-475K748.0</t>
        </is>
      </c>
    </row>
    <row r="9948">
      <c r="A9948">
        <v>9947</v>
      </c>
      <c r="B9948">
        <f>GS47</f>
        <v>0</v>
      </c>
      <c r="C9948" t="inlineStr">
        <is>
          <t>+LS08</t>
        </is>
      </c>
      <c r="D9948" t="inlineStr">
        <is>
          <t>-475K748.0</t>
        </is>
      </c>
      <c r="E9948" t="inlineStr">
        <is>
          <t>DILA-40</t>
        </is>
      </c>
      <c r="F9948" t="inlineStr">
        <is>
          <t>#KALK!</t>
        </is>
      </c>
      <c r="G9948" t="inlineStr">
        <is>
          <t>HILFSSCHUETZ</t>
        </is>
      </c>
      <c r="H9948" t="inlineStr">
        <is>
          <t>4S Federzugkl.</t>
        </is>
      </c>
      <c r="I9948">
        <v>553</v>
      </c>
      <c r="J9948">
        <f>GS47/475.7</f>
        <v>0</v>
      </c>
      <c r="M9948" t="inlineStr">
        <is>
          <t>-475K748.0</t>
        </is>
      </c>
    </row>
    <row r="9949">
      <c r="A9949">
        <v>9948</v>
      </c>
      <c r="B9949">
        <f>GS48</f>
        <v>0</v>
      </c>
      <c r="C9949" t="inlineStr">
        <is>
          <t>+LS08</t>
        </is>
      </c>
      <c r="D9949" t="inlineStr">
        <is>
          <t>-475K748.0</t>
        </is>
      </c>
      <c r="E9949" t="inlineStr">
        <is>
          <t>DILA-40</t>
        </is>
      </c>
      <c r="F9949" t="inlineStr">
        <is>
          <t>#KALK!</t>
        </is>
      </c>
      <c r="G9949" t="inlineStr">
        <is>
          <t>HILFSSCHUETZ</t>
        </is>
      </c>
      <c r="H9949" t="inlineStr">
        <is>
          <t>4S Federzugkl.</t>
        </is>
      </c>
      <c r="I9949">
        <v>587</v>
      </c>
      <c r="J9949">
        <f>GS48/475.7</f>
        <v>0</v>
      </c>
      <c r="M9949" t="inlineStr">
        <is>
          <t>-475K748.0</t>
        </is>
      </c>
    </row>
    <row r="9950">
      <c r="A9950">
        <v>9949</v>
      </c>
      <c r="B9950">
        <f>GS49</f>
        <v>0</v>
      </c>
      <c r="C9950" t="inlineStr">
        <is>
          <t>+LS08</t>
        </is>
      </c>
      <c r="D9950" t="inlineStr">
        <is>
          <t>-475K748.0</t>
        </is>
      </c>
      <c r="E9950" t="inlineStr">
        <is>
          <t>DILA-40</t>
        </is>
      </c>
      <c r="F9950" t="inlineStr">
        <is>
          <t>#KALK!</t>
        </is>
      </c>
      <c r="G9950" t="inlineStr">
        <is>
          <t>HILFSSCHUETZ</t>
        </is>
      </c>
      <c r="H9950" t="inlineStr">
        <is>
          <t>4S Federzugkl.</t>
        </is>
      </c>
      <c r="I9950">
        <v>586</v>
      </c>
      <c r="J9950">
        <f>GS49/475.7</f>
        <v>0</v>
      </c>
      <c r="M9950" t="inlineStr">
        <is>
          <t>-475K748.0</t>
        </is>
      </c>
    </row>
    <row r="9951">
      <c r="A9951">
        <v>9950</v>
      </c>
      <c r="B9951">
        <f>GS92</f>
        <v>0</v>
      </c>
      <c r="C9951" t="inlineStr">
        <is>
          <t>+LS08</t>
        </is>
      </c>
      <c r="D9951" t="inlineStr">
        <is>
          <t>-475K758.0</t>
        </is>
      </c>
      <c r="E9951" t="inlineStr">
        <is>
          <t>DILA-40</t>
        </is>
      </c>
      <c r="F9951" t="inlineStr">
        <is>
          <t>#KALK!</t>
        </is>
      </c>
      <c r="G9951" t="inlineStr">
        <is>
          <t>HILFSSCHUETZ</t>
        </is>
      </c>
      <c r="H9951" t="inlineStr">
        <is>
          <t>4S Federzugkl.</t>
        </is>
      </c>
      <c r="I9951">
        <v>622</v>
      </c>
      <c r="J9951">
        <f>GS92/475.7</f>
        <v>0</v>
      </c>
      <c r="M9951" t="inlineStr">
        <is>
          <t>-475K758.0</t>
        </is>
      </c>
    </row>
    <row r="9952">
      <c r="A9952">
        <v>9951</v>
      </c>
      <c r="B9952">
        <f>GS35</f>
        <v>0</v>
      </c>
      <c r="C9952" t="inlineStr">
        <is>
          <t>+LS11</t>
        </is>
      </c>
      <c r="D9952" t="inlineStr">
        <is>
          <t>-475Q1</t>
        </is>
      </c>
      <c r="E9952" t="inlineStr">
        <is>
          <t>DILA-XHI22</t>
        </is>
      </c>
      <c r="F9952" t="inlineStr">
        <is>
          <t>DILA-XHI22</t>
        </is>
      </c>
      <c r="G9952" t="inlineStr">
        <is>
          <t>HILFSKONTAKTBLOCK</t>
        </is>
      </c>
      <c r="H9952" t="inlineStr">
        <is>
          <t>2S 2OE Last+Hilfssch. Cage</t>
        </is>
      </c>
      <c r="I9952">
        <v>629</v>
      </c>
      <c r="J9952">
        <f>GS35/475.4</f>
        <v>0</v>
      </c>
      <c r="K9952" t="inlineStr">
        <is>
          <t>DIL MC25</t>
        </is>
      </c>
      <c r="M9952" t="inlineStr">
        <is>
          <t>-475Q1</t>
        </is>
      </c>
    </row>
    <row r="9953">
      <c r="A9953">
        <v>9952</v>
      </c>
      <c r="B9953">
        <f>GS35</f>
        <v>0</v>
      </c>
      <c r="C9953" t="inlineStr">
        <is>
          <t>+LS11</t>
        </is>
      </c>
      <c r="D9953" t="inlineStr">
        <is>
          <t>-475Q1</t>
        </is>
      </c>
      <c r="E9953" t="inlineStr">
        <is>
          <t>DILM-25-10</t>
        </is>
      </c>
      <c r="F9953" t="inlineStr">
        <is>
          <t>DILA-XHI22</t>
        </is>
      </c>
      <c r="G9953" t="inlineStr">
        <is>
          <t>LASTSCHUETZ</t>
        </is>
      </c>
      <c r="H9953" t="inlineStr">
        <is>
          <t>11kW 1S Federzugkl.</t>
        </is>
      </c>
      <c r="I9953">
        <v>629</v>
      </c>
      <c r="J9953">
        <f>GS35/475.4</f>
        <v>0</v>
      </c>
      <c r="K9953" t="inlineStr">
        <is>
          <t>DIL MC25</t>
        </is>
      </c>
      <c r="M9953" t="inlineStr">
        <is>
          <t>-475Q1</t>
        </is>
      </c>
    </row>
    <row r="9954">
      <c r="A9954">
        <v>9953</v>
      </c>
      <c r="B9954">
        <f>GS46</f>
        <v>0</v>
      </c>
      <c r="C9954" t="inlineStr">
        <is>
          <t>+LS08</t>
        </is>
      </c>
      <c r="D9954" t="inlineStr">
        <is>
          <t>-475Q1</t>
        </is>
      </c>
      <c r="E9954" t="inlineStr">
        <is>
          <t>DILA-XHI22</t>
        </is>
      </c>
      <c r="F9954" t="inlineStr">
        <is>
          <t>DILA-XHI22</t>
        </is>
      </c>
      <c r="G9954" t="inlineStr">
        <is>
          <t>HILFSKONTAKTBLOCK</t>
        </is>
      </c>
      <c r="H9954" t="inlineStr">
        <is>
          <t>2S 2OE Last+Hilfssch. Cage</t>
        </is>
      </c>
      <c r="I9954">
        <v>553</v>
      </c>
      <c r="J9954">
        <f>GS46/475.4</f>
        <v>0</v>
      </c>
      <c r="K9954" t="inlineStr">
        <is>
          <t>DIL MC25</t>
        </is>
      </c>
      <c r="M9954" t="inlineStr">
        <is>
          <t>-475Q1</t>
        </is>
      </c>
    </row>
    <row r="9955">
      <c r="A9955">
        <v>9954</v>
      </c>
      <c r="B9955">
        <f>GS46</f>
        <v>0</v>
      </c>
      <c r="C9955" t="inlineStr">
        <is>
          <t>+LS08</t>
        </is>
      </c>
      <c r="D9955" t="inlineStr">
        <is>
          <t>-475Q1</t>
        </is>
      </c>
      <c r="E9955" t="inlineStr">
        <is>
          <t>DILMC25-10(RDC24)</t>
        </is>
      </c>
      <c r="F9955" t="inlineStr">
        <is>
          <t>DILA-XHI22</t>
        </is>
      </c>
      <c r="G9955" t="inlineStr">
        <is>
          <t>LASTSCHUETZ</t>
        </is>
      </c>
      <c r="H9955" t="inlineStr">
        <is>
          <t>11kW 1S Federzugkl.</t>
        </is>
      </c>
      <c r="I9955">
        <v>553</v>
      </c>
      <c r="J9955">
        <f>GS46/475.4</f>
        <v>0</v>
      </c>
      <c r="K9955" t="inlineStr">
        <is>
          <t>DIL MC25</t>
        </is>
      </c>
      <c r="M9955" t="inlineStr">
        <is>
          <t>-475Q1</t>
        </is>
      </c>
    </row>
    <row r="9956">
      <c r="A9956">
        <v>9955</v>
      </c>
      <c r="B9956">
        <f>GS47</f>
        <v>0</v>
      </c>
      <c r="C9956" t="inlineStr">
        <is>
          <t>+LS08</t>
        </is>
      </c>
      <c r="D9956" t="inlineStr">
        <is>
          <t>-475Q1</t>
        </is>
      </c>
      <c r="E9956" t="inlineStr">
        <is>
          <t>DILMC25-10(RDC24)</t>
        </is>
      </c>
      <c r="F9956" t="inlineStr">
        <is>
          <t>DILA-XHI22</t>
        </is>
      </c>
      <c r="G9956" t="inlineStr">
        <is>
          <t>LASTSCHUETZ</t>
        </is>
      </c>
      <c r="H9956" t="inlineStr">
        <is>
          <t>11kW 1S Federzugkl.</t>
        </is>
      </c>
      <c r="I9956">
        <v>553</v>
      </c>
      <c r="J9956">
        <f>GS47/475.4</f>
        <v>0</v>
      </c>
      <c r="K9956" t="inlineStr">
        <is>
          <t>DIL MC25</t>
        </is>
      </c>
      <c r="M9956" t="inlineStr">
        <is>
          <t>-475Q1</t>
        </is>
      </c>
    </row>
    <row r="9957">
      <c r="A9957">
        <v>9956</v>
      </c>
      <c r="B9957">
        <f>GS47</f>
        <v>0</v>
      </c>
      <c r="C9957" t="inlineStr">
        <is>
          <t>+LS08</t>
        </is>
      </c>
      <c r="D9957" t="inlineStr">
        <is>
          <t>-475Q1</t>
        </is>
      </c>
      <c r="E9957" t="inlineStr">
        <is>
          <t>DILA-XHI22</t>
        </is>
      </c>
      <c r="F9957" t="inlineStr">
        <is>
          <t>DILA-XHI22</t>
        </is>
      </c>
      <c r="G9957" t="inlineStr">
        <is>
          <t>HILFSKONTAKTBLOCK</t>
        </is>
      </c>
      <c r="H9957" t="inlineStr">
        <is>
          <t>2S 2OE Last+Hilfssch. Cage</t>
        </is>
      </c>
      <c r="I9957">
        <v>553</v>
      </c>
      <c r="J9957">
        <f>GS47/475.4</f>
        <v>0</v>
      </c>
      <c r="K9957" t="inlineStr">
        <is>
          <t>DIL MC25</t>
        </is>
      </c>
      <c r="M9957" t="inlineStr">
        <is>
          <t>-475Q1</t>
        </is>
      </c>
    </row>
    <row r="9958">
      <c r="A9958">
        <v>9957</v>
      </c>
      <c r="B9958">
        <f>GS48</f>
        <v>0</v>
      </c>
      <c r="C9958" t="inlineStr">
        <is>
          <t>+LS08</t>
        </is>
      </c>
      <c r="D9958" t="inlineStr">
        <is>
          <t>-475Q1</t>
        </is>
      </c>
      <c r="E9958" t="inlineStr">
        <is>
          <t>DILA-XHI22</t>
        </is>
      </c>
      <c r="F9958" t="inlineStr">
        <is>
          <t>DILA-XHI22</t>
        </is>
      </c>
      <c r="G9958" t="inlineStr">
        <is>
          <t>HILFSKONTAKTBLOCK</t>
        </is>
      </c>
      <c r="H9958" t="inlineStr">
        <is>
          <t>2S 2OE Last+Hilfssch. Cage</t>
        </is>
      </c>
      <c r="I9958">
        <v>587</v>
      </c>
      <c r="J9958">
        <f>GS48/475.4</f>
        <v>0</v>
      </c>
      <c r="K9958" t="inlineStr">
        <is>
          <t>DIL MC25</t>
        </is>
      </c>
      <c r="M9958" t="inlineStr">
        <is>
          <t>-475Q1</t>
        </is>
      </c>
    </row>
    <row r="9959">
      <c r="A9959">
        <v>9958</v>
      </c>
      <c r="B9959">
        <f>GS48</f>
        <v>0</v>
      </c>
      <c r="C9959" t="inlineStr">
        <is>
          <t>+LS08</t>
        </is>
      </c>
      <c r="D9959" t="inlineStr">
        <is>
          <t>-475Q1</t>
        </is>
      </c>
      <c r="E9959" t="inlineStr">
        <is>
          <t>DILMC25-10(RDC24)</t>
        </is>
      </c>
      <c r="F9959" t="inlineStr">
        <is>
          <t>DILA-XHI22</t>
        </is>
      </c>
      <c r="G9959" t="inlineStr">
        <is>
          <t>LASTSCHUETZ</t>
        </is>
      </c>
      <c r="H9959" t="inlineStr">
        <is>
          <t>11kW 1S Federzugkl.</t>
        </is>
      </c>
      <c r="I9959">
        <v>587</v>
      </c>
      <c r="J9959">
        <f>GS48/475.4</f>
        <v>0</v>
      </c>
      <c r="K9959" t="inlineStr">
        <is>
          <t>DIL MC25</t>
        </is>
      </c>
      <c r="M9959" t="inlineStr">
        <is>
          <t>-475Q1</t>
        </is>
      </c>
    </row>
    <row r="9960">
      <c r="A9960">
        <v>9959</v>
      </c>
      <c r="B9960">
        <f>GS49</f>
        <v>0</v>
      </c>
      <c r="C9960" t="inlineStr">
        <is>
          <t>+LS08</t>
        </is>
      </c>
      <c r="D9960" t="inlineStr">
        <is>
          <t>-475Q1</t>
        </is>
      </c>
      <c r="E9960" t="inlineStr">
        <is>
          <t>DILMC25-10(RDC24)</t>
        </is>
      </c>
      <c r="F9960" t="inlineStr">
        <is>
          <t>DILA-XHI22</t>
        </is>
      </c>
      <c r="G9960" t="inlineStr">
        <is>
          <t>LASTSCHUETZ</t>
        </is>
      </c>
      <c r="H9960" t="inlineStr">
        <is>
          <t>11kW 1S Federzugkl.</t>
        </is>
      </c>
      <c r="I9960">
        <v>586</v>
      </c>
      <c r="J9960">
        <f>GS49/475.4</f>
        <v>0</v>
      </c>
      <c r="K9960" t="inlineStr">
        <is>
          <t>DIL MC25</t>
        </is>
      </c>
      <c r="M9960" t="inlineStr">
        <is>
          <t>-475Q1</t>
        </is>
      </c>
    </row>
    <row r="9961">
      <c r="A9961">
        <v>9960</v>
      </c>
      <c r="B9961">
        <f>GS49</f>
        <v>0</v>
      </c>
      <c r="C9961" t="inlineStr">
        <is>
          <t>+LS08</t>
        </is>
      </c>
      <c r="D9961" t="inlineStr">
        <is>
          <t>-475Q1</t>
        </is>
      </c>
      <c r="E9961" t="inlineStr">
        <is>
          <t>DILA-XHI22</t>
        </is>
      </c>
      <c r="F9961" t="inlineStr">
        <is>
          <t>DILA-XHI22</t>
        </is>
      </c>
      <c r="G9961" t="inlineStr">
        <is>
          <t>HILFSKONTAKTBLOCK</t>
        </is>
      </c>
      <c r="H9961" t="inlineStr">
        <is>
          <t>2S 2OE Last+Hilfssch. Cage</t>
        </is>
      </c>
      <c r="I9961">
        <v>586</v>
      </c>
      <c r="J9961">
        <f>GS49/475.4</f>
        <v>0</v>
      </c>
      <c r="K9961" t="inlineStr">
        <is>
          <t>DIL MC25</t>
        </is>
      </c>
      <c r="M9961" t="inlineStr">
        <is>
          <t>-475Q1</t>
        </is>
      </c>
    </row>
    <row r="9962">
      <c r="A9962">
        <v>9961</v>
      </c>
      <c r="B9962">
        <f>GS92</f>
        <v>0</v>
      </c>
      <c r="C9962" t="inlineStr">
        <is>
          <t>+LS08</t>
        </is>
      </c>
      <c r="D9962" t="inlineStr">
        <is>
          <t>-475Q1</t>
        </is>
      </c>
      <c r="E9962" t="inlineStr">
        <is>
          <t>DILMC25-10(RDC24)</t>
        </is>
      </c>
      <c r="F9962" t="inlineStr">
        <is>
          <t>DILA-XHI22</t>
        </is>
      </c>
      <c r="G9962" t="inlineStr">
        <is>
          <t>LASTSCHUETZ</t>
        </is>
      </c>
      <c r="H9962" t="inlineStr">
        <is>
          <t>11kW 1S Federzugkl.</t>
        </is>
      </c>
      <c r="I9962">
        <v>622</v>
      </c>
      <c r="J9962">
        <f>GS92/475.4</f>
        <v>0</v>
      </c>
      <c r="K9962" t="inlineStr">
        <is>
          <t>DIL MC25</t>
        </is>
      </c>
      <c r="M9962" t="inlineStr">
        <is>
          <t>-475Q1</t>
        </is>
      </c>
    </row>
    <row r="9963">
      <c r="A9963">
        <v>9962</v>
      </c>
      <c r="B9963">
        <f>GS92</f>
        <v>0</v>
      </c>
      <c r="C9963" t="inlineStr">
        <is>
          <t>+LS08</t>
        </is>
      </c>
      <c r="D9963" t="inlineStr">
        <is>
          <t>-475Q1</t>
        </is>
      </c>
      <c r="E9963" t="inlineStr">
        <is>
          <t>DILA-XHI22</t>
        </is>
      </c>
      <c r="F9963" t="inlineStr">
        <is>
          <t>DILA-XHI22</t>
        </is>
      </c>
      <c r="G9963" t="inlineStr">
        <is>
          <t>HILFSKONTAKTBLOCK</t>
        </is>
      </c>
      <c r="H9963" t="inlineStr">
        <is>
          <t>2S 2OE Last+Hilfssch. Cage</t>
        </is>
      </c>
      <c r="I9963">
        <v>622</v>
      </c>
      <c r="J9963">
        <f>GS92/475.4</f>
        <v>0</v>
      </c>
      <c r="K9963" t="inlineStr">
        <is>
          <t>DIL MC25</t>
        </is>
      </c>
      <c r="M9963" t="inlineStr">
        <is>
          <t>-475Q1</t>
        </is>
      </c>
    </row>
    <row r="9964">
      <c r="A9964">
        <v>9963</v>
      </c>
      <c r="B9964">
        <f>GS93</f>
        <v>0</v>
      </c>
      <c r="C9964" t="inlineStr">
        <is>
          <t>+LS09</t>
        </is>
      </c>
      <c r="D9964" t="inlineStr">
        <is>
          <t>-475Q1</t>
        </is>
      </c>
      <c r="E9964" t="inlineStr">
        <is>
          <t>DILMC25-10(RDC24)</t>
        </is>
      </c>
      <c r="F9964" t="inlineStr">
        <is>
          <t>DILA-XHI22</t>
        </is>
      </c>
      <c r="G9964" t="inlineStr">
        <is>
          <t>LASTSCHUETZ</t>
        </is>
      </c>
      <c r="H9964" t="inlineStr">
        <is>
          <t>11kW 1S Federzugkl.</t>
        </is>
      </c>
      <c r="I9964">
        <v>1029</v>
      </c>
      <c r="J9964">
        <f>GS93/475.4</f>
        <v>0</v>
      </c>
      <c r="K9964" t="inlineStr">
        <is>
          <t>DIL MC25</t>
        </is>
      </c>
      <c r="M9964" t="inlineStr">
        <is>
          <t>-475Q1</t>
        </is>
      </c>
    </row>
    <row r="9965">
      <c r="A9965">
        <v>9964</v>
      </c>
      <c r="B9965">
        <f>GS93</f>
        <v>0</v>
      </c>
      <c r="C9965" t="inlineStr">
        <is>
          <t>+LS09</t>
        </is>
      </c>
      <c r="D9965" t="inlineStr">
        <is>
          <t>-475Q1</t>
        </is>
      </c>
      <c r="E9965" t="inlineStr">
        <is>
          <t>DILA-XHI22</t>
        </is>
      </c>
      <c r="F9965" t="inlineStr">
        <is>
          <t>DILA-XHI22</t>
        </is>
      </c>
      <c r="G9965" t="inlineStr">
        <is>
          <t>HILFSKONTAKTBLOCK</t>
        </is>
      </c>
      <c r="H9965" t="inlineStr">
        <is>
          <t>2S 2OE Last+Hilfssch. Cage</t>
        </is>
      </c>
      <c r="I9965">
        <v>1029</v>
      </c>
      <c r="J9965">
        <f>GS93/475.4</f>
        <v>0</v>
      </c>
      <c r="K9965" t="inlineStr">
        <is>
          <t>DIL MC25</t>
        </is>
      </c>
      <c r="M9965" t="inlineStr">
        <is>
          <t>-475Q1</t>
        </is>
      </c>
    </row>
    <row r="9966">
      <c r="A9966">
        <v>9965</v>
      </c>
      <c r="B9966">
        <f>GS05</f>
        <v>0</v>
      </c>
      <c r="C9966" t="inlineStr">
        <is>
          <t>+LS07</t>
        </is>
      </c>
      <c r="D9966" t="inlineStr">
        <is>
          <t>-475Q404.3</t>
        </is>
      </c>
      <c r="E9966" t="inlineStr">
        <is>
          <t>DILM-9-10</t>
        </is>
      </c>
      <c r="F9966" t="inlineStr">
        <is>
          <t>#KALK!</t>
        </is>
      </c>
      <c r="G9966" t="inlineStr">
        <is>
          <t>LASTSCHUETZ</t>
        </is>
      </c>
      <c r="H9966" t="inlineStr">
        <is>
          <t>4kW 1S Federzugkl.</t>
        </is>
      </c>
      <c r="I9966">
        <v>2562</v>
      </c>
      <c r="J9966">
        <f>GS05/475.6</f>
        <v>0</v>
      </c>
      <c r="K9966" t="inlineStr">
        <is>
          <t>DIL MC9</t>
        </is>
      </c>
      <c r="M9966" t="inlineStr">
        <is>
          <t>-475Q404.3</t>
        </is>
      </c>
    </row>
    <row r="9967">
      <c r="A9967">
        <v>9966</v>
      </c>
      <c r="B9967">
        <f>GS90</f>
        <v>0</v>
      </c>
      <c r="C9967" t="inlineStr">
        <is>
          <t>+LS09</t>
        </is>
      </c>
      <c r="D9967" t="inlineStr">
        <is>
          <t>-475Q465.2</t>
        </is>
      </c>
      <c r="E9967" t="inlineStr">
        <is>
          <t>DILM-9-10</t>
        </is>
      </c>
      <c r="F9967" t="inlineStr">
        <is>
          <t>#KALK!</t>
        </is>
      </c>
      <c r="G9967" t="inlineStr">
        <is>
          <t>LASTSCHUETZ</t>
        </is>
      </c>
      <c r="H9967" t="inlineStr">
        <is>
          <t>4kW 1S Federzugkl.</t>
        </is>
      </c>
      <c r="I9967">
        <v>775</v>
      </c>
      <c r="J9967">
        <f>GS90/475.5</f>
        <v>0</v>
      </c>
      <c r="M9967" t="inlineStr">
        <is>
          <t>-475Q465.2</t>
        </is>
      </c>
    </row>
    <row r="9968">
      <c r="A9968">
        <v>9967</v>
      </c>
      <c r="B9968">
        <f>GS13</f>
        <v>0</v>
      </c>
      <c r="C9968" t="inlineStr">
        <is>
          <t>+LS11</t>
        </is>
      </c>
      <c r="D9968" t="inlineStr">
        <is>
          <t>-47613.6</t>
        </is>
      </c>
      <c r="E9968" t="inlineStr">
        <is>
          <t>DIL_EM-10-G</t>
        </is>
      </c>
      <c r="F9968" t="inlineStr">
        <is>
          <t>#KALK!</t>
        </is>
      </c>
      <c r="G9968" t="inlineStr">
        <is>
          <t>LASTSCHUETZ</t>
        </is>
      </c>
      <c r="H9968" t="inlineStr">
        <is>
          <t>4kW 1S</t>
        </is>
      </c>
      <c r="I9968">
        <v>732</v>
      </c>
      <c r="J9968">
        <f>GS13/476.7</f>
        <v>0</v>
      </c>
      <c r="M9968" t="inlineStr">
        <is>
          <t>-47613.6</t>
        </is>
      </c>
    </row>
    <row r="9969">
      <c r="A9969">
        <v>9968</v>
      </c>
      <c r="B9969">
        <f>GS06</f>
        <v>0</v>
      </c>
      <c r="C9969" t="inlineStr">
        <is>
          <t>+LS07</t>
        </is>
      </c>
      <c r="D9969" t="inlineStr">
        <is>
          <t>-476K1</t>
        </is>
      </c>
      <c r="E9969" t="inlineStr">
        <is>
          <t>DILM-9-01</t>
        </is>
      </c>
      <c r="F9969" t="inlineStr">
        <is>
          <t>#KALK!</t>
        </is>
      </c>
      <c r="G9969" t="inlineStr">
        <is>
          <t>LASTSCHUETZ</t>
        </is>
      </c>
      <c r="H9969" t="inlineStr">
        <is>
          <t>4kW 1Oe Federzugkl.</t>
        </is>
      </c>
      <c r="I9969">
        <v>949</v>
      </c>
      <c r="J9969">
        <f>GS06/476.6</f>
        <v>0</v>
      </c>
      <c r="M9969" t="inlineStr">
        <is>
          <t>-476K1</t>
        </is>
      </c>
    </row>
    <row r="9970">
      <c r="A9970">
        <v>9969</v>
      </c>
      <c r="B9970">
        <f>GS30</f>
        <v>0</v>
      </c>
      <c r="C9970" t="inlineStr">
        <is>
          <t>+LS15</t>
        </is>
      </c>
      <c r="D9970" t="inlineStr">
        <is>
          <t>-476K1</t>
        </is>
      </c>
      <c r="E9970" t="inlineStr">
        <is>
          <t>DILA-XHI22</t>
        </is>
      </c>
      <c r="F9970" t="inlineStr">
        <is>
          <t>DILA-XHI22</t>
        </is>
      </c>
      <c r="G9970" t="inlineStr">
        <is>
          <t>HILFSKONTAKTBLOCK</t>
        </is>
      </c>
      <c r="H9970" t="inlineStr">
        <is>
          <t>2S 2OE Last+Hilfssch. Cage</t>
        </is>
      </c>
      <c r="I9970">
        <v>2815</v>
      </c>
      <c r="J9970">
        <f>GS30/476.5</f>
        <v>0</v>
      </c>
      <c r="M9970" t="inlineStr">
        <is>
          <t>-476K1</t>
        </is>
      </c>
    </row>
    <row r="9971">
      <c r="A9971">
        <v>9970</v>
      </c>
      <c r="B9971">
        <f>GS30</f>
        <v>0</v>
      </c>
      <c r="C9971" t="inlineStr">
        <is>
          <t>+LS15</t>
        </is>
      </c>
      <c r="D9971" t="inlineStr">
        <is>
          <t>-476K1</t>
        </is>
      </c>
      <c r="E9971" t="inlineStr">
        <is>
          <t>DILM-9-10</t>
        </is>
      </c>
      <c r="F9971" t="inlineStr">
        <is>
          <t>DILA-XHI22</t>
        </is>
      </c>
      <c r="G9971" t="inlineStr">
        <is>
          <t>LASTSCHUETZ</t>
        </is>
      </c>
      <c r="H9971" t="inlineStr">
        <is>
          <t>4kW 1S Federzugkl.</t>
        </is>
      </c>
      <c r="I9971">
        <v>2815</v>
      </c>
      <c r="J9971">
        <f>GS30/476.5</f>
        <v>0</v>
      </c>
      <c r="M9971" t="inlineStr">
        <is>
          <t>-476K1</t>
        </is>
      </c>
    </row>
    <row r="9972">
      <c r="A9972">
        <v>9971</v>
      </c>
      <c r="B9972">
        <f>GS33</f>
        <v>0</v>
      </c>
      <c r="C9972" t="inlineStr">
        <is>
          <t>+QVW2601</t>
        </is>
      </c>
      <c r="D9972" t="inlineStr">
        <is>
          <t>-476K1</t>
        </is>
      </c>
      <c r="E9972" t="inlineStr">
        <is>
          <t>DIL_0AM</t>
        </is>
      </c>
      <c r="F9972" t="inlineStr">
        <is>
          <t>22_DIL-M</t>
        </is>
      </c>
      <c r="G9972" t="inlineStr">
        <is>
          <t>LASTSCHUETZ</t>
        </is>
      </c>
      <c r="H9972" t="inlineStr">
        <is>
          <t>11 kW</t>
        </is>
      </c>
      <c r="I9972">
        <v>930</v>
      </c>
      <c r="J9972">
        <f>GS33/476.2</f>
        <v>0</v>
      </c>
      <c r="M9972" t="inlineStr">
        <is>
          <t>-476K1</t>
        </is>
      </c>
    </row>
    <row r="9973">
      <c r="A9973">
        <v>9972</v>
      </c>
      <c r="B9973">
        <f>GS33</f>
        <v>0</v>
      </c>
      <c r="C9973" t="inlineStr">
        <is>
          <t>+QVW2601</t>
        </is>
      </c>
      <c r="D9973" t="inlineStr">
        <is>
          <t>-476K1</t>
        </is>
      </c>
      <c r="E9973" t="inlineStr">
        <is>
          <t>22_DIL-M</t>
        </is>
      </c>
      <c r="F9973" t="inlineStr">
        <is>
          <t>22_DIL-M</t>
        </is>
      </c>
      <c r="G9973" t="inlineStr">
        <is>
          <t>HILFSKONTAKTBLOCK</t>
        </is>
      </c>
      <c r="H9973" t="inlineStr">
        <is>
          <t>2S 2OE Lastschuetz DIL M</t>
        </is>
      </c>
      <c r="I9973">
        <v>930</v>
      </c>
      <c r="J9973">
        <f>GS33/476.2</f>
        <v>0</v>
      </c>
      <c r="M9973" t="inlineStr">
        <is>
          <t>-476K1</t>
        </is>
      </c>
    </row>
    <row r="9974">
      <c r="A9974">
        <v>9973</v>
      </c>
      <c r="B9974">
        <f>GS23</f>
        <v>0</v>
      </c>
      <c r="C9974" t="inlineStr">
        <is>
          <t>+LS11</t>
        </is>
      </c>
      <c r="D9974" t="inlineStr">
        <is>
          <t>-476K13.6</t>
        </is>
      </c>
      <c r="E9974" t="inlineStr">
        <is>
          <t>DIL_EM-10-G</t>
        </is>
      </c>
      <c r="F9974" t="inlineStr">
        <is>
          <t>#KALK!</t>
        </is>
      </c>
      <c r="G9974" t="inlineStr">
        <is>
          <t>LASTSCHUETZ</t>
        </is>
      </c>
      <c r="H9974" t="inlineStr">
        <is>
          <t>4kW 1S</t>
        </is>
      </c>
      <c r="I9974">
        <v>786</v>
      </c>
      <c r="J9974">
        <f>GS23/476.7</f>
        <v>0</v>
      </c>
      <c r="M9974" t="inlineStr">
        <is>
          <t>-476K13.6</t>
        </is>
      </c>
    </row>
    <row r="9975">
      <c r="A9975">
        <v>9974</v>
      </c>
      <c r="B9975">
        <f>GS06</f>
        <v>0</v>
      </c>
      <c r="C9975" t="inlineStr">
        <is>
          <t>+LS07</t>
        </is>
      </c>
      <c r="D9975" t="inlineStr">
        <is>
          <t>-476K2</t>
        </is>
      </c>
      <c r="E9975" t="inlineStr">
        <is>
          <t>DILM-9-01</t>
        </is>
      </c>
      <c r="F9975" t="inlineStr">
        <is>
          <t>#KALK!</t>
        </is>
      </c>
      <c r="G9975" t="inlineStr">
        <is>
          <t>LASTSCHUETZ</t>
        </is>
      </c>
      <c r="H9975" t="inlineStr">
        <is>
          <t>4kW 1Oe Federzugkl.</t>
        </is>
      </c>
      <c r="I9975">
        <v>949</v>
      </c>
      <c r="J9975">
        <f>GS06/476.7</f>
        <v>0</v>
      </c>
      <c r="M9975" t="inlineStr">
        <is>
          <t>-476K2</t>
        </is>
      </c>
    </row>
    <row r="9976">
      <c r="A9976">
        <v>9975</v>
      </c>
      <c r="B9976">
        <f>GS30</f>
        <v>0</v>
      </c>
      <c r="C9976" t="inlineStr">
        <is>
          <t>+LS15</t>
        </is>
      </c>
      <c r="D9976" t="inlineStr">
        <is>
          <t>-476K2</t>
        </is>
      </c>
      <c r="E9976" t="inlineStr">
        <is>
          <t>DILA-XHI22</t>
        </is>
      </c>
      <c r="F9976" t="inlineStr">
        <is>
          <t>DILA-XHI22</t>
        </is>
      </c>
      <c r="G9976" t="inlineStr">
        <is>
          <t>HILFSKONTAKTBLOCK</t>
        </is>
      </c>
      <c r="H9976" t="inlineStr">
        <is>
          <t>2S 2OE Last+Hilfssch. Cage</t>
        </is>
      </c>
      <c r="I9976">
        <v>2815</v>
      </c>
      <c r="J9976">
        <f>GS30/476.6</f>
        <v>0</v>
      </c>
      <c r="M9976" t="inlineStr">
        <is>
          <t>-476K2</t>
        </is>
      </c>
    </row>
    <row r="9977">
      <c r="A9977">
        <v>9976</v>
      </c>
      <c r="B9977">
        <f>GS30</f>
        <v>0</v>
      </c>
      <c r="C9977" t="inlineStr">
        <is>
          <t>+LS15</t>
        </is>
      </c>
      <c r="D9977" t="inlineStr">
        <is>
          <t>-476K2</t>
        </is>
      </c>
      <c r="E9977" t="inlineStr">
        <is>
          <t>DILM-9-10</t>
        </is>
      </c>
      <c r="F9977" t="inlineStr">
        <is>
          <t>DILA-XHI22</t>
        </is>
      </c>
      <c r="G9977" t="inlineStr">
        <is>
          <t>LASTSCHUETZ</t>
        </is>
      </c>
      <c r="H9977" t="inlineStr">
        <is>
          <t>4kW 1S Federzugkl.</t>
        </is>
      </c>
      <c r="I9977">
        <v>2815</v>
      </c>
      <c r="J9977">
        <f>GS30/476.6</f>
        <v>0</v>
      </c>
      <c r="M9977" t="inlineStr">
        <is>
          <t>-476K2</t>
        </is>
      </c>
    </row>
    <row r="9978">
      <c r="A9978">
        <v>9977</v>
      </c>
      <c r="B9978">
        <f>GS90</f>
        <v>0</v>
      </c>
      <c r="C9978" t="inlineStr">
        <is>
          <t>+LS09</t>
        </is>
      </c>
      <c r="D9978" t="inlineStr">
        <is>
          <t>-476Q465.3</t>
        </is>
      </c>
      <c r="E9978" t="inlineStr">
        <is>
          <t>DILM-9-10</t>
        </is>
      </c>
      <c r="F9978" t="inlineStr">
        <is>
          <t>#KALK!</t>
        </is>
      </c>
      <c r="G9978" t="inlineStr">
        <is>
          <t>LASTSCHUETZ</t>
        </is>
      </c>
      <c r="H9978" t="inlineStr">
        <is>
          <t>4kW 1S Federzugkl.</t>
        </is>
      </c>
      <c r="I9978">
        <v>774</v>
      </c>
      <c r="J9978">
        <f>GS90/476.5</f>
        <v>0</v>
      </c>
      <c r="M9978" t="inlineStr">
        <is>
          <t>-476Q465.3</t>
        </is>
      </c>
    </row>
    <row r="9979">
      <c r="A9979">
        <v>9978</v>
      </c>
      <c r="B9979">
        <f>GS13</f>
        <v>0</v>
      </c>
      <c r="C9979" t="inlineStr">
        <is>
          <t>+LS11</t>
        </is>
      </c>
      <c r="D9979" t="inlineStr">
        <is>
          <t>-47713.7</t>
        </is>
      </c>
      <c r="E9979" t="inlineStr">
        <is>
          <t>DIL_EM-10-G</t>
        </is>
      </c>
      <c r="F9979" t="inlineStr">
        <is>
          <t>#KALK!</t>
        </is>
      </c>
      <c r="G9979" t="inlineStr">
        <is>
          <t>LASTSCHUETZ</t>
        </is>
      </c>
      <c r="H9979" t="inlineStr">
        <is>
          <t>4kW 1S</t>
        </is>
      </c>
      <c r="I9979">
        <v>733</v>
      </c>
      <c r="J9979">
        <f>GS13/477.6</f>
        <v>0</v>
      </c>
      <c r="M9979" t="inlineStr">
        <is>
          <t>-47713.7</t>
        </is>
      </c>
    </row>
    <row r="9980">
      <c r="A9980">
        <v>9979</v>
      </c>
      <c r="B9980">
        <f>GS06</f>
        <v>0</v>
      </c>
      <c r="C9980" t="inlineStr">
        <is>
          <t>+LS07</t>
        </is>
      </c>
      <c r="D9980" t="inlineStr">
        <is>
          <t>-477K1</t>
        </is>
      </c>
      <c r="E9980" t="inlineStr">
        <is>
          <t>DILM-9-01</t>
        </is>
      </c>
      <c r="F9980" t="inlineStr">
        <is>
          <t>#KALK!</t>
        </is>
      </c>
      <c r="G9980" t="inlineStr">
        <is>
          <t>LASTSCHUETZ</t>
        </is>
      </c>
      <c r="H9980" t="inlineStr">
        <is>
          <t>4kW 1Oe Federzugkl.</t>
        </is>
      </c>
      <c r="I9980">
        <v>1563</v>
      </c>
      <c r="J9980">
        <f>GS06/477.6</f>
        <v>0</v>
      </c>
      <c r="M9980" t="inlineStr">
        <is>
          <t>-477K1</t>
        </is>
      </c>
    </row>
    <row r="9981">
      <c r="A9981">
        <v>9980</v>
      </c>
      <c r="B9981">
        <f>GS23</f>
        <v>0</v>
      </c>
      <c r="C9981" t="inlineStr">
        <is>
          <t>+LS11</t>
        </is>
      </c>
      <c r="D9981" t="inlineStr">
        <is>
          <t>-477K13.7</t>
        </is>
      </c>
      <c r="E9981" t="inlineStr">
        <is>
          <t>DIL_EM-10-G</t>
        </is>
      </c>
      <c r="F9981" t="inlineStr">
        <is>
          <t>#KALK!</t>
        </is>
      </c>
      <c r="G9981" t="inlineStr">
        <is>
          <t>LASTSCHUETZ</t>
        </is>
      </c>
      <c r="H9981" t="inlineStr">
        <is>
          <t>4kW 1S</t>
        </is>
      </c>
      <c r="I9981">
        <v>787</v>
      </c>
      <c r="J9981">
        <f>GS23/477.6</f>
        <v>0</v>
      </c>
      <c r="M9981" t="inlineStr">
        <is>
          <t>-477K13.7</t>
        </is>
      </c>
    </row>
    <row r="9982">
      <c r="A9982">
        <v>9981</v>
      </c>
      <c r="B9982">
        <f>GS06</f>
        <v>0</v>
      </c>
      <c r="C9982" t="inlineStr">
        <is>
          <t>+LS07</t>
        </is>
      </c>
      <c r="D9982" t="inlineStr">
        <is>
          <t>-477K2</t>
        </is>
      </c>
      <c r="E9982" t="inlineStr">
        <is>
          <t>DILM-9-01</t>
        </is>
      </c>
      <c r="F9982" t="inlineStr">
        <is>
          <t>#KALK!</t>
        </is>
      </c>
      <c r="G9982" t="inlineStr">
        <is>
          <t>LASTSCHUETZ</t>
        </is>
      </c>
      <c r="H9982" t="inlineStr">
        <is>
          <t>4kW 1Oe Federzugkl.</t>
        </is>
      </c>
      <c r="I9982">
        <v>1563</v>
      </c>
      <c r="J9982">
        <f>GS06/477.7</f>
        <v>0</v>
      </c>
      <c r="M9982" t="inlineStr">
        <is>
          <t>-477K2</t>
        </is>
      </c>
    </row>
    <row r="9983">
      <c r="A9983">
        <v>9982</v>
      </c>
      <c r="B9983">
        <f>GC03</f>
        <v>0</v>
      </c>
      <c r="C9983" t="inlineStr">
        <is>
          <t>+LS11</t>
        </is>
      </c>
      <c r="D9983" t="inlineStr">
        <is>
          <t>-477K32.0</t>
        </is>
      </c>
      <c r="E9983" t="inlineStr">
        <is>
          <t>DIL_EM-10-G</t>
        </is>
      </c>
      <c r="F9983" t="inlineStr">
        <is>
          <t>#KALK!</t>
        </is>
      </c>
      <c r="G9983" t="inlineStr">
        <is>
          <t>LASTSCHUETZ</t>
        </is>
      </c>
      <c r="H9983" t="inlineStr">
        <is>
          <t>4kW 1S</t>
        </is>
      </c>
      <c r="I9983">
        <v>2258</v>
      </c>
      <c r="J9983">
        <f>GC03/477.6</f>
        <v>0</v>
      </c>
      <c r="M9983" t="inlineStr">
        <is>
          <t>-477K32.0</t>
        </is>
      </c>
    </row>
    <row r="9984">
      <c r="A9984">
        <v>9983</v>
      </c>
      <c r="B9984">
        <f>GC03</f>
        <v>0</v>
      </c>
      <c r="C9984" t="inlineStr">
        <is>
          <t>+LS11</t>
        </is>
      </c>
      <c r="D9984" t="inlineStr">
        <is>
          <t>-477K32.1</t>
        </is>
      </c>
      <c r="E9984" t="inlineStr">
        <is>
          <t>DIL_EM-10-G</t>
        </is>
      </c>
      <c r="F9984" t="inlineStr">
        <is>
          <t>#KALK!</t>
        </is>
      </c>
      <c r="G9984" t="inlineStr">
        <is>
          <t>LASTSCHUETZ</t>
        </is>
      </c>
      <c r="H9984" t="inlineStr">
        <is>
          <t>4kW 1S</t>
        </is>
      </c>
      <c r="I9984">
        <v>2258</v>
      </c>
      <c r="J9984">
        <f>GC03/477.7</f>
        <v>0</v>
      </c>
      <c r="M9984" t="inlineStr">
        <is>
          <t>-477K32.1</t>
        </is>
      </c>
    </row>
    <row r="9985">
      <c r="A9985">
        <v>9984</v>
      </c>
      <c r="B9985">
        <f>GS35</f>
        <v>0</v>
      </c>
      <c r="C9985" t="inlineStr">
        <is>
          <t>+LS11</t>
        </is>
      </c>
      <c r="D9985" t="inlineStr">
        <is>
          <t>-477Q456.6</t>
        </is>
      </c>
      <c r="E9985" t="inlineStr">
        <is>
          <t>DILM-12-10</t>
        </is>
      </c>
      <c r="F9985" t="inlineStr">
        <is>
          <t>#KALK!</t>
        </is>
      </c>
      <c r="G9985" t="inlineStr">
        <is>
          <t>LASTSCHUETZ</t>
        </is>
      </c>
      <c r="H9985" t="inlineStr">
        <is>
          <t>5,5kW 1S Federzugkl.</t>
        </is>
      </c>
      <c r="I9985">
        <v>631</v>
      </c>
      <c r="J9985">
        <f>GS35/477.5</f>
        <v>0</v>
      </c>
      <c r="K9985" t="inlineStr">
        <is>
          <t>DIL MC12</t>
        </is>
      </c>
      <c r="M9985" t="inlineStr">
        <is>
          <t>-477Q456.6</t>
        </is>
      </c>
    </row>
    <row r="9986">
      <c r="A9986">
        <v>9985</v>
      </c>
      <c r="B9986">
        <f>GS93</f>
        <v>0</v>
      </c>
      <c r="C9986" t="inlineStr">
        <is>
          <t>+LS09</t>
        </is>
      </c>
      <c r="D9986" t="inlineStr">
        <is>
          <t>-477Q484.5</t>
        </is>
      </c>
      <c r="E9986" t="inlineStr">
        <is>
          <t>DILM-9-10</t>
        </is>
      </c>
      <c r="F9986" t="inlineStr">
        <is>
          <t>#KALK!</t>
        </is>
      </c>
      <c r="G9986" t="inlineStr">
        <is>
          <t>LASTSCHUETZ</t>
        </is>
      </c>
      <c r="H9986" t="inlineStr">
        <is>
          <t>4kW 1S Federzugkl.</t>
        </is>
      </c>
      <c r="I9986">
        <v>1031</v>
      </c>
      <c r="J9986">
        <f>GS93/477.5</f>
        <v>0</v>
      </c>
      <c r="M9986" t="inlineStr">
        <is>
          <t>-477Q484.5</t>
        </is>
      </c>
    </row>
    <row r="9987">
      <c r="A9987">
        <v>9986</v>
      </c>
      <c r="B9987">
        <f>GS92</f>
        <v>0</v>
      </c>
      <c r="C9987" t="inlineStr">
        <is>
          <t>+LS08</t>
        </is>
      </c>
      <c r="D9987" t="inlineStr">
        <is>
          <t>-477Q758.2</t>
        </is>
      </c>
      <c r="E9987" t="inlineStr">
        <is>
          <t>DILM-9-10</t>
        </is>
      </c>
      <c r="F9987" t="inlineStr">
        <is>
          <t>#KALK!</t>
        </is>
      </c>
      <c r="G9987" t="inlineStr">
        <is>
          <t>LASTSCHUETZ</t>
        </is>
      </c>
      <c r="H9987" t="inlineStr">
        <is>
          <t>4kW 1S Federzugkl.</t>
        </is>
      </c>
      <c r="I9987">
        <v>623</v>
      </c>
      <c r="J9987">
        <f>GS92/477.5</f>
        <v>0</v>
      </c>
      <c r="M9987" t="inlineStr">
        <is>
          <t>-477Q758.2</t>
        </is>
      </c>
    </row>
    <row r="9988">
      <c r="A9988">
        <v>9987</v>
      </c>
      <c r="B9988">
        <f>GS13</f>
        <v>0</v>
      </c>
      <c r="C9988" t="inlineStr">
        <is>
          <t>+LS11</t>
        </is>
      </c>
      <c r="D9988" t="inlineStr">
        <is>
          <t>-47814.0</t>
        </is>
      </c>
      <c r="E9988" t="inlineStr">
        <is>
          <t>DIL_EM-10-G</t>
        </is>
      </c>
      <c r="F9988" t="inlineStr">
        <is>
          <t>#KALK!</t>
        </is>
      </c>
      <c r="G9988" t="inlineStr">
        <is>
          <t>LASTSCHUETZ</t>
        </is>
      </c>
      <c r="H9988" t="inlineStr">
        <is>
          <t>4kW 1S</t>
        </is>
      </c>
      <c r="I9988">
        <v>734</v>
      </c>
      <c r="J9988">
        <f>GS13/478.6</f>
        <v>0</v>
      </c>
      <c r="M9988" t="inlineStr">
        <is>
          <t>-47814.0</t>
        </is>
      </c>
    </row>
    <row r="9989">
      <c r="A9989">
        <v>9988</v>
      </c>
      <c r="B9989">
        <f>GS13</f>
        <v>0</v>
      </c>
      <c r="C9989" t="inlineStr">
        <is>
          <t>+LS11</t>
        </is>
      </c>
      <c r="D9989" t="inlineStr">
        <is>
          <t>-47814.1</t>
        </is>
      </c>
      <c r="E9989" t="inlineStr">
        <is>
          <t>DIL_EM-10-G</t>
        </is>
      </c>
      <c r="F9989" t="inlineStr">
        <is>
          <t>#KALK!</t>
        </is>
      </c>
      <c r="G9989" t="inlineStr">
        <is>
          <t>LASTSCHUETZ</t>
        </is>
      </c>
      <c r="H9989" t="inlineStr">
        <is>
          <t>4kW 1S</t>
        </is>
      </c>
      <c r="I9989">
        <v>734</v>
      </c>
      <c r="J9989">
        <f>GS13/478.6</f>
        <v>0</v>
      </c>
      <c r="M9989" t="inlineStr">
        <is>
          <t>-47814.1</t>
        </is>
      </c>
    </row>
    <row r="9990">
      <c r="A9990">
        <v>9989</v>
      </c>
      <c r="B9990">
        <f>GS23</f>
        <v>0</v>
      </c>
      <c r="C9990" t="inlineStr">
        <is>
          <t>+LS11</t>
        </is>
      </c>
      <c r="D9990" t="inlineStr">
        <is>
          <t>-478K14.0</t>
        </is>
      </c>
      <c r="E9990" t="inlineStr">
        <is>
          <t>DIL_EM-10-G</t>
        </is>
      </c>
      <c r="F9990" t="inlineStr">
        <is>
          <t>#KALK!</t>
        </is>
      </c>
      <c r="G9990" t="inlineStr">
        <is>
          <t>LASTSCHUETZ</t>
        </is>
      </c>
      <c r="H9990" t="inlineStr">
        <is>
          <t>4kW 1S</t>
        </is>
      </c>
      <c r="I9990">
        <v>788</v>
      </c>
      <c r="J9990">
        <f>GS23/478.6</f>
        <v>0</v>
      </c>
      <c r="M9990" t="inlineStr">
        <is>
          <t>-478K14.0</t>
        </is>
      </c>
    </row>
    <row r="9991">
      <c r="A9991">
        <v>9990</v>
      </c>
      <c r="B9991">
        <f>GS23</f>
        <v>0</v>
      </c>
      <c r="C9991" t="inlineStr">
        <is>
          <t>+LS11</t>
        </is>
      </c>
      <c r="D9991" t="inlineStr">
        <is>
          <t>-478K14.1</t>
        </is>
      </c>
      <c r="E9991" t="inlineStr">
        <is>
          <t>DIL_EM-10-G</t>
        </is>
      </c>
      <c r="F9991" t="inlineStr">
        <is>
          <t>#KALK!</t>
        </is>
      </c>
      <c r="G9991" t="inlineStr">
        <is>
          <t>LASTSCHUETZ</t>
        </is>
      </c>
      <c r="H9991" t="inlineStr">
        <is>
          <t>4kW 1S</t>
        </is>
      </c>
      <c r="I9991">
        <v>788</v>
      </c>
      <c r="J9991">
        <f>GS23/478.6</f>
        <v>0</v>
      </c>
      <c r="M9991" t="inlineStr">
        <is>
          <t>-478K14.1</t>
        </is>
      </c>
    </row>
    <row r="9992">
      <c r="A9992">
        <v>9991</v>
      </c>
      <c r="B9992">
        <f>GC03</f>
        <v>0</v>
      </c>
      <c r="C9992" t="inlineStr">
        <is>
          <t>+LS11</t>
        </is>
      </c>
      <c r="D9992" t="inlineStr">
        <is>
          <t>-478K32.2</t>
        </is>
      </c>
      <c r="E9992" t="inlineStr">
        <is>
          <t>DIL_EM-10-G</t>
        </is>
      </c>
      <c r="F9992" t="inlineStr">
        <is>
          <t>#KALK!</t>
        </is>
      </c>
      <c r="G9992" t="inlineStr">
        <is>
          <t>LASTSCHUETZ</t>
        </is>
      </c>
      <c r="H9992" t="inlineStr">
        <is>
          <t>4kW 1S</t>
        </is>
      </c>
      <c r="I9992">
        <v>2257</v>
      </c>
      <c r="J9992">
        <f>GC03/478.6</f>
        <v>0</v>
      </c>
      <c r="M9992" t="inlineStr">
        <is>
          <t>-478K32.2</t>
        </is>
      </c>
    </row>
    <row r="9993">
      <c r="A9993">
        <v>9992</v>
      </c>
      <c r="B9993">
        <f>GC03</f>
        <v>0</v>
      </c>
      <c r="C9993" t="inlineStr">
        <is>
          <t>+LS11</t>
        </is>
      </c>
      <c r="D9993" t="inlineStr">
        <is>
          <t>-478K32.3</t>
        </is>
      </c>
      <c r="E9993" t="inlineStr">
        <is>
          <t>DIL_EM-10-G</t>
        </is>
      </c>
      <c r="F9993" t="inlineStr">
        <is>
          <t>#KALK!</t>
        </is>
      </c>
      <c r="G9993" t="inlineStr">
        <is>
          <t>LASTSCHUETZ</t>
        </is>
      </c>
      <c r="H9993" t="inlineStr">
        <is>
          <t>4kW 1S</t>
        </is>
      </c>
      <c r="I9993">
        <v>2257</v>
      </c>
      <c r="J9993">
        <f>GC03/478.7</f>
        <v>0</v>
      </c>
      <c r="M9993" t="inlineStr">
        <is>
          <t>-478K32.3</t>
        </is>
      </c>
    </row>
    <row r="9994">
      <c r="A9994">
        <v>9993</v>
      </c>
      <c r="B9994">
        <f>GS33</f>
        <v>0</v>
      </c>
      <c r="C9994" t="inlineStr">
        <is>
          <t>+QVW2601</t>
        </is>
      </c>
      <c r="D9994" t="inlineStr">
        <is>
          <t>-478K3608.2</t>
        </is>
      </c>
      <c r="E9994" t="inlineStr">
        <is>
          <t>DIL_ER-22-G</t>
        </is>
      </c>
      <c r="F9994" t="inlineStr">
        <is>
          <t>#KALK!</t>
        </is>
      </c>
      <c r="G9994" t="inlineStr">
        <is>
          <t>HILFSSCHUETZ</t>
        </is>
      </c>
      <c r="H9994" t="inlineStr">
        <is>
          <t>2S 2OE</t>
        </is>
      </c>
      <c r="I9994">
        <v>932</v>
      </c>
      <c r="J9994">
        <f>GS33/478.2</f>
        <v>0</v>
      </c>
      <c r="M9994" t="inlineStr">
        <is>
          <t>-478K3608.2</t>
        </is>
      </c>
    </row>
    <row r="9995">
      <c r="A9995">
        <v>9994</v>
      </c>
      <c r="B9995">
        <f>GS33</f>
        <v>0</v>
      </c>
      <c r="C9995" t="inlineStr">
        <is>
          <t>+QVW2601</t>
        </is>
      </c>
      <c r="D9995" t="inlineStr">
        <is>
          <t>-478K3608.3</t>
        </is>
      </c>
      <c r="E9995" t="inlineStr">
        <is>
          <t>DIL_EM-10-G</t>
        </is>
      </c>
      <c r="F9995" t="inlineStr">
        <is>
          <t>#KALK!</t>
        </is>
      </c>
      <c r="G9995" t="inlineStr">
        <is>
          <t>LASTSCHUETZ</t>
        </is>
      </c>
      <c r="H9995" t="inlineStr">
        <is>
          <t>4kW 1S</t>
        </is>
      </c>
      <c r="I9995">
        <v>932</v>
      </c>
      <c r="J9995">
        <f>GS33/478.5</f>
        <v>0</v>
      </c>
      <c r="M9995" t="inlineStr">
        <is>
          <t>-478K3608.3</t>
        </is>
      </c>
    </row>
    <row r="9996">
      <c r="A9996">
        <v>9995</v>
      </c>
      <c r="B9996">
        <f>GS33</f>
        <v>0</v>
      </c>
      <c r="C9996" t="inlineStr">
        <is>
          <t>+QVW2601</t>
        </is>
      </c>
      <c r="D9996" t="inlineStr">
        <is>
          <t>-478K3611.1</t>
        </is>
      </c>
      <c r="E9996" t="inlineStr">
        <is>
          <t>DIL_ER-22-G</t>
        </is>
      </c>
      <c r="F9996" t="inlineStr">
        <is>
          <t>#KALK!</t>
        </is>
      </c>
      <c r="G9996" t="inlineStr">
        <is>
          <t>HILFSSCHUETZ</t>
        </is>
      </c>
      <c r="H9996" t="inlineStr">
        <is>
          <t>2S 2OE</t>
        </is>
      </c>
      <c r="I9996">
        <v>932</v>
      </c>
      <c r="J9996">
        <f>GS33/478.3</f>
        <v>0</v>
      </c>
      <c r="M9996" t="inlineStr">
        <is>
          <t>-478K3611.1</t>
        </is>
      </c>
    </row>
    <row r="9997">
      <c r="A9997">
        <v>9996</v>
      </c>
      <c r="B9997">
        <f>GS33</f>
        <v>0</v>
      </c>
      <c r="C9997" t="inlineStr">
        <is>
          <t>+QVW2601</t>
        </is>
      </c>
      <c r="D9997" t="inlineStr">
        <is>
          <t>-478K3611.2</t>
        </is>
      </c>
      <c r="E9997" t="inlineStr">
        <is>
          <t>DIL_ER-22-G</t>
        </is>
      </c>
      <c r="F9997" t="inlineStr">
        <is>
          <t>#KALK!</t>
        </is>
      </c>
      <c r="G9997" t="inlineStr">
        <is>
          <t>HILFSSCHUETZ</t>
        </is>
      </c>
      <c r="H9997" t="inlineStr">
        <is>
          <t>2S 2OE</t>
        </is>
      </c>
      <c r="I9997">
        <v>932</v>
      </c>
      <c r="J9997">
        <f>GS33/478.4</f>
        <v>0</v>
      </c>
      <c r="M9997" t="inlineStr">
        <is>
          <t>-478K3611.2</t>
        </is>
      </c>
    </row>
    <row r="9998">
      <c r="A9998">
        <v>9997</v>
      </c>
      <c r="B9998">
        <f>GS07</f>
        <v>0</v>
      </c>
      <c r="C9998" t="inlineStr">
        <is>
          <t>+LS07</t>
        </is>
      </c>
      <c r="D9998" t="inlineStr">
        <is>
          <t>-478Q421.0</t>
        </is>
      </c>
      <c r="E9998" t="inlineStr">
        <is>
          <t>DILMC12-10(24VDC)</t>
        </is>
      </c>
      <c r="F9998" t="inlineStr">
        <is>
          <t>#KALK!</t>
        </is>
      </c>
      <c r="G9998" t="inlineStr">
        <is>
          <t>LASTSCHUETZ</t>
        </is>
      </c>
      <c r="H9998" t="inlineStr">
        <is>
          <t>5,5kW 1S Federzugkl.</t>
        </is>
      </c>
      <c r="I9998">
        <v>572</v>
      </c>
      <c r="J9998">
        <f>GS07/478.5</f>
        <v>0</v>
      </c>
      <c r="K9998" t="inlineStr">
        <is>
          <t>DIL MC12</t>
        </is>
      </c>
      <c r="M9998" t="inlineStr">
        <is>
          <t>-478Q421.0</t>
        </is>
      </c>
    </row>
    <row r="9999">
      <c r="A9999">
        <v>9998</v>
      </c>
      <c r="B9999">
        <f>GS13</f>
        <v>0</v>
      </c>
      <c r="C9999" t="inlineStr">
        <is>
          <t>+LS11</t>
        </is>
      </c>
      <c r="D9999" t="inlineStr">
        <is>
          <t>-47914.5</t>
        </is>
      </c>
      <c r="E9999" t="inlineStr">
        <is>
          <t>DIL_EM-10-G</t>
        </is>
      </c>
      <c r="F9999" t="inlineStr">
        <is>
          <t>#KALK!</t>
        </is>
      </c>
      <c r="G9999" t="inlineStr">
        <is>
          <t>LASTSCHUETZ</t>
        </is>
      </c>
      <c r="H9999" t="inlineStr">
        <is>
          <t>4kW 1S</t>
        </is>
      </c>
      <c r="I9999">
        <v>735</v>
      </c>
      <c r="J9999">
        <f>GS13/479.7</f>
        <v>0</v>
      </c>
      <c r="M9999" t="inlineStr">
        <is>
          <t>-47914.5</t>
        </is>
      </c>
    </row>
    <row r="10000">
      <c r="A10000">
        <v>9999</v>
      </c>
      <c r="B10000">
        <f>GS01</f>
        <v>0</v>
      </c>
      <c r="C10000" t="inlineStr">
        <is>
          <t>+LS10</t>
        </is>
      </c>
      <c r="D10000" t="inlineStr">
        <is>
          <t>-479K12.5</t>
        </is>
      </c>
      <c r="E10000" t="inlineStr">
        <is>
          <t>DIL_EM-10-G</t>
        </is>
      </c>
      <c r="F10000" t="inlineStr">
        <is>
          <t>#KALK!</t>
        </is>
      </c>
      <c r="G10000" t="inlineStr">
        <is>
          <t>LASTSCHUETZ</t>
        </is>
      </c>
      <c r="H10000" t="inlineStr">
        <is>
          <t>4kW 1S</t>
        </is>
      </c>
      <c r="I10000">
        <v>643</v>
      </c>
      <c r="J10000">
        <f>GS01/479.7</f>
        <v>0</v>
      </c>
      <c r="M10000" t="inlineStr">
        <is>
          <t>-479K12.5</t>
        </is>
      </c>
    </row>
    <row r="10001">
      <c r="A10001">
        <v>10000</v>
      </c>
      <c r="B10001">
        <f>GS23</f>
        <v>0</v>
      </c>
      <c r="C10001" t="inlineStr">
        <is>
          <t>+LS11</t>
        </is>
      </c>
      <c r="D10001" t="inlineStr">
        <is>
          <t>-479K14.5</t>
        </is>
      </c>
      <c r="E10001" t="inlineStr">
        <is>
          <t>DIL_EM-10-G</t>
        </is>
      </c>
      <c r="F10001" t="inlineStr">
        <is>
          <t>#KALK!</t>
        </is>
      </c>
      <c r="G10001" t="inlineStr">
        <is>
          <t>LASTSCHUETZ</t>
        </is>
      </c>
      <c r="H10001" t="inlineStr">
        <is>
          <t>4kW 1S</t>
        </is>
      </c>
      <c r="I10001">
        <v>789</v>
      </c>
      <c r="J10001">
        <f>GS23/479.7</f>
        <v>0</v>
      </c>
      <c r="M10001" t="inlineStr">
        <is>
          <t>-479K14.5</t>
        </is>
      </c>
    </row>
    <row r="10002">
      <c r="A10002">
        <v>10001</v>
      </c>
      <c r="B10002">
        <f>GC03</f>
        <v>0</v>
      </c>
      <c r="C10002" t="inlineStr">
        <is>
          <t>+LS11</t>
        </is>
      </c>
      <c r="D10002" t="inlineStr">
        <is>
          <t>-479K32.4</t>
        </is>
      </c>
      <c r="E10002" t="inlineStr">
        <is>
          <t>DIL_EM-10-G</t>
        </is>
      </c>
      <c r="F10002" t="inlineStr">
        <is>
          <t>#KALK!</t>
        </is>
      </c>
      <c r="G10002" t="inlineStr">
        <is>
          <t>LASTSCHUETZ</t>
        </is>
      </c>
      <c r="H10002" t="inlineStr">
        <is>
          <t>4kW 1S</t>
        </is>
      </c>
      <c r="I10002">
        <v>3714</v>
      </c>
      <c r="J10002">
        <f>GC03/479.6</f>
        <v>0</v>
      </c>
      <c r="M10002" t="inlineStr">
        <is>
          <t>-479K32.4</t>
        </is>
      </c>
    </row>
    <row r="10003">
      <c r="A10003">
        <v>10002</v>
      </c>
      <c r="B10003">
        <f>GC03</f>
        <v>0</v>
      </c>
      <c r="C10003" t="inlineStr">
        <is>
          <t>+LS11</t>
        </is>
      </c>
      <c r="D10003" t="inlineStr">
        <is>
          <t>-479K32.5</t>
        </is>
      </c>
      <c r="E10003" t="inlineStr">
        <is>
          <t>DIL_EM-10-G</t>
        </is>
      </c>
      <c r="F10003" t="inlineStr">
        <is>
          <t>#KALK!</t>
        </is>
      </c>
      <c r="G10003" t="inlineStr">
        <is>
          <t>LASTSCHUETZ</t>
        </is>
      </c>
      <c r="H10003" t="inlineStr">
        <is>
          <t>4kW 1S</t>
        </is>
      </c>
      <c r="I10003">
        <v>3714</v>
      </c>
      <c r="J10003">
        <f>GC03/479.7</f>
        <v>0</v>
      </c>
      <c r="M10003" t="inlineStr">
        <is>
          <t>-479K32.5</t>
        </is>
      </c>
    </row>
    <row r="10004">
      <c r="A10004">
        <v>10003</v>
      </c>
      <c r="B10004">
        <f>GS33</f>
        <v>0</v>
      </c>
      <c r="C10004" t="inlineStr">
        <is>
          <t>+QVW2601</t>
        </is>
      </c>
      <c r="D10004" t="inlineStr">
        <is>
          <t>-479K3608.1</t>
        </is>
      </c>
      <c r="E10004" t="inlineStr">
        <is>
          <t>DIL_EM-10-G</t>
        </is>
      </c>
      <c r="F10004" t="inlineStr">
        <is>
          <t>#KALK!</t>
        </is>
      </c>
      <c r="G10004" t="inlineStr">
        <is>
          <t>LASTSCHUETZ</t>
        </is>
      </c>
      <c r="H10004" t="inlineStr">
        <is>
          <t>4kW 1S</t>
        </is>
      </c>
      <c r="I10004">
        <v>933</v>
      </c>
      <c r="J10004">
        <f>GS33/479.7</f>
        <v>0</v>
      </c>
      <c r="M10004" t="inlineStr">
        <is>
          <t>-479K3608.1</t>
        </is>
      </c>
    </row>
    <row r="10005">
      <c r="A10005">
        <v>10004</v>
      </c>
      <c r="B10005">
        <f>GS93</f>
        <v>0</v>
      </c>
      <c r="C10005" t="inlineStr">
        <is>
          <t>+LS09</t>
        </is>
      </c>
      <c r="D10005" t="inlineStr">
        <is>
          <t>-479Q484.6</t>
        </is>
      </c>
      <c r="E10005" t="inlineStr">
        <is>
          <t>DILM-9-10</t>
        </is>
      </c>
      <c r="F10005" t="inlineStr">
        <is>
          <t>#KALK!</t>
        </is>
      </c>
      <c r="G10005" t="inlineStr">
        <is>
          <t>LASTSCHUETZ</t>
        </is>
      </c>
      <c r="H10005" t="inlineStr">
        <is>
          <t>4kW 1S Federzugkl.</t>
        </is>
      </c>
      <c r="I10005">
        <v>1033</v>
      </c>
      <c r="J10005">
        <f>GS93/479.5</f>
        <v>0</v>
      </c>
      <c r="M10005" t="inlineStr">
        <is>
          <t>-479Q484.6</t>
        </is>
      </c>
    </row>
    <row r="10006">
      <c r="A10006">
        <v>10005</v>
      </c>
      <c r="B10006">
        <f>GS69</f>
        <v>0</v>
      </c>
      <c r="C10006" t="inlineStr">
        <is>
          <t>+LS[I1]</t>
        </is>
      </c>
      <c r="D10006" t="inlineStr">
        <is>
          <t>-47K[a+9].0</t>
        </is>
      </c>
      <c r="E10006" t="inlineStr">
        <is>
          <t>DILA-31</t>
        </is>
      </c>
      <c r="F10006" t="inlineStr">
        <is>
          <t>#KALK!</t>
        </is>
      </c>
      <c r="G10006" t="inlineStr">
        <is>
          <t>HILFSSCHUETZ</t>
        </is>
      </c>
      <c r="H10006" t="inlineStr">
        <is>
          <t>3S 1Oe Federzugkl.</t>
        </is>
      </c>
      <c r="I10006">
        <v>1243</v>
      </c>
      <c r="J10006">
        <f>GS69/47.2</f>
        <v>0</v>
      </c>
      <c r="M10006" t="inlineStr">
        <is>
          <t>-47K[a+9].0</t>
        </is>
      </c>
    </row>
    <row r="10007">
      <c r="A10007">
        <v>10006</v>
      </c>
      <c r="B10007">
        <f>GS13</f>
        <v>0</v>
      </c>
      <c r="C10007" t="inlineStr">
        <is>
          <t>+LS11</t>
        </is>
      </c>
      <c r="D10007" t="inlineStr">
        <is>
          <t>-48014.6</t>
        </is>
      </c>
      <c r="E10007" t="inlineStr">
        <is>
          <t>DIL_EM-10-G</t>
        </is>
      </c>
      <c r="F10007" t="inlineStr">
        <is>
          <t>#KALK!</t>
        </is>
      </c>
      <c r="G10007" t="inlineStr">
        <is>
          <t>LASTSCHUETZ</t>
        </is>
      </c>
      <c r="H10007" t="inlineStr">
        <is>
          <t>4kW 1S</t>
        </is>
      </c>
      <c r="I10007">
        <v>736</v>
      </c>
      <c r="J10007">
        <f>GS13/480.6</f>
        <v>0</v>
      </c>
      <c r="M10007" t="inlineStr">
        <is>
          <t>-48014.6</t>
        </is>
      </c>
    </row>
    <row r="10008">
      <c r="A10008">
        <v>10007</v>
      </c>
      <c r="B10008">
        <f>GS14</f>
        <v>0</v>
      </c>
      <c r="C10008" t="inlineStr">
        <is>
          <t>+LS9</t>
        </is>
      </c>
      <c r="D10008" t="inlineStr">
        <is>
          <t>-480K1</t>
        </is>
      </c>
      <c r="E10008" t="inlineStr">
        <is>
          <t>DIL_0AM</t>
        </is>
      </c>
      <c r="F10008" t="inlineStr">
        <is>
          <t>22_DIL-M</t>
        </is>
      </c>
      <c r="G10008" t="inlineStr">
        <is>
          <t>LASTSCHUETZ</t>
        </is>
      </c>
      <c r="H10008" t="inlineStr">
        <is>
          <t>11 kW</t>
        </is>
      </c>
      <c r="I10008">
        <v>612</v>
      </c>
      <c r="J10008">
        <f>GS14/480.2</f>
        <v>0</v>
      </c>
      <c r="K10008" t="inlineStr">
        <is>
          <t>DIL0AM</t>
        </is>
      </c>
      <c r="M10008" t="inlineStr">
        <is>
          <t>-480K1</t>
        </is>
      </c>
    </row>
    <row r="10009">
      <c r="A10009">
        <v>10008</v>
      </c>
      <c r="B10009">
        <f>GS14</f>
        <v>0</v>
      </c>
      <c r="C10009" t="inlineStr">
        <is>
          <t>+LS9</t>
        </is>
      </c>
      <c r="D10009" t="inlineStr">
        <is>
          <t>-480K1</t>
        </is>
      </c>
      <c r="E10009" t="inlineStr">
        <is>
          <t>22_DIL-M</t>
        </is>
      </c>
      <c r="F10009" t="inlineStr">
        <is>
          <t>22_DIL-M</t>
        </is>
      </c>
      <c r="G10009" t="inlineStr">
        <is>
          <t>HILFSKONTAKTBLOCK</t>
        </is>
      </c>
      <c r="H10009" t="inlineStr">
        <is>
          <t>2S 2OE Lastschuetz DIL M</t>
        </is>
      </c>
      <c r="I10009">
        <v>612</v>
      </c>
      <c r="J10009">
        <f>GS14/480.2</f>
        <v>0</v>
      </c>
      <c r="K10009" t="inlineStr">
        <is>
          <t>DIL0AM</t>
        </is>
      </c>
      <c r="M10009" t="inlineStr">
        <is>
          <t>-480K1</t>
        </is>
      </c>
    </row>
    <row r="10010">
      <c r="A10010">
        <v>10009</v>
      </c>
      <c r="B10010">
        <f>GS24</f>
        <v>0</v>
      </c>
      <c r="C10010" t="inlineStr">
        <is>
          <t>+LS10</t>
        </is>
      </c>
      <c r="D10010" t="inlineStr">
        <is>
          <t>-480K1</t>
        </is>
      </c>
      <c r="E10010" t="inlineStr">
        <is>
          <t>22_DIL-M</t>
        </is>
      </c>
      <c r="F10010" t="inlineStr">
        <is>
          <t>22_DIL-M</t>
        </is>
      </c>
      <c r="G10010" t="inlineStr">
        <is>
          <t>HILFSKONTAKTBLOCK</t>
        </is>
      </c>
      <c r="H10010" t="inlineStr">
        <is>
          <t>2S 2OE Lastschuetz DIL M</t>
        </is>
      </c>
      <c r="I10010">
        <v>616</v>
      </c>
      <c r="J10010">
        <f>GS24/480.2</f>
        <v>0</v>
      </c>
      <c r="K10010" t="inlineStr">
        <is>
          <t>DIL0AM</t>
        </is>
      </c>
      <c r="M10010" t="inlineStr">
        <is>
          <t>-480K1</t>
        </is>
      </c>
    </row>
    <row r="10011">
      <c r="A10011">
        <v>10010</v>
      </c>
      <c r="B10011">
        <f>GS24</f>
        <v>0</v>
      </c>
      <c r="C10011" t="inlineStr">
        <is>
          <t>+LS10</t>
        </is>
      </c>
      <c r="D10011" t="inlineStr">
        <is>
          <t>-480K1</t>
        </is>
      </c>
      <c r="E10011" t="inlineStr">
        <is>
          <t>DIL_0AM</t>
        </is>
      </c>
      <c r="F10011" t="inlineStr">
        <is>
          <t>22_DIL-M</t>
        </is>
      </c>
      <c r="G10011" t="inlineStr">
        <is>
          <t>LASTSCHUETZ</t>
        </is>
      </c>
      <c r="H10011" t="inlineStr">
        <is>
          <t>11 kW</t>
        </is>
      </c>
      <c r="I10011">
        <v>616</v>
      </c>
      <c r="J10011">
        <f>GS24/480.2</f>
        <v>0</v>
      </c>
      <c r="K10011" t="inlineStr">
        <is>
          <t>DIL0AM</t>
        </is>
      </c>
      <c r="M10011" t="inlineStr">
        <is>
          <t>-480K1</t>
        </is>
      </c>
    </row>
    <row r="10012">
      <c r="A10012">
        <v>10011</v>
      </c>
      <c r="B10012">
        <f>GS25</f>
        <v>0</v>
      </c>
      <c r="C10012" t="inlineStr">
        <is>
          <t>+LS11</t>
        </is>
      </c>
      <c r="D10012" t="inlineStr">
        <is>
          <t>-480K1</t>
        </is>
      </c>
      <c r="E10012" t="inlineStr">
        <is>
          <t>DIL_0AM</t>
        </is>
      </c>
      <c r="F10012" t="inlineStr">
        <is>
          <t>22_DIL-M</t>
        </is>
      </c>
      <c r="G10012" t="inlineStr">
        <is>
          <t>LASTSCHUETZ</t>
        </is>
      </c>
      <c r="H10012" t="inlineStr">
        <is>
          <t>11 kW</t>
        </is>
      </c>
      <c r="I10012">
        <v>606</v>
      </c>
      <c r="J10012">
        <f>GS25/480.2</f>
        <v>0</v>
      </c>
      <c r="K10012" t="inlineStr">
        <is>
          <t>DIL0AM</t>
        </is>
      </c>
      <c r="M10012" t="inlineStr">
        <is>
          <t>-480K1</t>
        </is>
      </c>
    </row>
    <row r="10013">
      <c r="A10013">
        <v>10012</v>
      </c>
      <c r="B10013">
        <f>GS25</f>
        <v>0</v>
      </c>
      <c r="C10013" t="inlineStr">
        <is>
          <t>+LS11</t>
        </is>
      </c>
      <c r="D10013" t="inlineStr">
        <is>
          <t>-480K1</t>
        </is>
      </c>
      <c r="E10013" t="inlineStr">
        <is>
          <t>22_DIL-M</t>
        </is>
      </c>
      <c r="F10013" t="inlineStr">
        <is>
          <t>22_DIL-M</t>
        </is>
      </c>
      <c r="G10013" t="inlineStr">
        <is>
          <t>HILFSKONTAKTBLOCK</t>
        </is>
      </c>
      <c r="H10013" t="inlineStr">
        <is>
          <t>2S 2OE Lastschuetz DIL M</t>
        </is>
      </c>
      <c r="I10013">
        <v>606</v>
      </c>
      <c r="J10013">
        <f>GS25/480.2</f>
        <v>0</v>
      </c>
      <c r="K10013" t="inlineStr">
        <is>
          <t>DIL0AM</t>
        </is>
      </c>
      <c r="M10013" t="inlineStr">
        <is>
          <t>-480K1</t>
        </is>
      </c>
    </row>
    <row r="10014">
      <c r="A10014">
        <v>10013</v>
      </c>
      <c r="B10014">
        <f>GS31</f>
        <v>0</v>
      </c>
      <c r="C10014" t="inlineStr">
        <is>
          <t>+LS9</t>
        </is>
      </c>
      <c r="D10014" t="inlineStr">
        <is>
          <t>-480K1</t>
        </is>
      </c>
      <c r="E10014" t="inlineStr">
        <is>
          <t>22_DIL-M</t>
        </is>
      </c>
      <c r="F10014" t="inlineStr">
        <is>
          <t>22_DIL-M</t>
        </is>
      </c>
      <c r="G10014" t="inlineStr">
        <is>
          <t>HILFSKONTAKTBLOCK</t>
        </is>
      </c>
      <c r="H10014" t="inlineStr">
        <is>
          <t>2S 2OE Lastschuetz DIL M</t>
        </is>
      </c>
      <c r="I10014">
        <v>774</v>
      </c>
      <c r="J10014">
        <f>GS31/480.2</f>
        <v>0</v>
      </c>
      <c r="K10014" t="inlineStr">
        <is>
          <t>DIL0AM</t>
        </is>
      </c>
      <c r="M10014" t="inlineStr">
        <is>
          <t>-480K1</t>
        </is>
      </c>
    </row>
    <row r="10015">
      <c r="A10015">
        <v>10014</v>
      </c>
      <c r="B10015">
        <f>GS31</f>
        <v>0</v>
      </c>
      <c r="C10015" t="inlineStr">
        <is>
          <t>+LS9</t>
        </is>
      </c>
      <c r="D10015" t="inlineStr">
        <is>
          <t>-480K1</t>
        </is>
      </c>
      <c r="E10015" t="inlineStr">
        <is>
          <t>DIL_0AM</t>
        </is>
      </c>
      <c r="F10015" t="inlineStr">
        <is>
          <t>22_DIL-M</t>
        </is>
      </c>
      <c r="G10015" t="inlineStr">
        <is>
          <t>LASTSCHUETZ</t>
        </is>
      </c>
      <c r="H10015" t="inlineStr">
        <is>
          <t>11 kW</t>
        </is>
      </c>
      <c r="I10015">
        <v>774</v>
      </c>
      <c r="J10015">
        <f>GS31/480.2</f>
        <v>0</v>
      </c>
      <c r="K10015" t="inlineStr">
        <is>
          <t>DIL0AM</t>
        </is>
      </c>
      <c r="M10015" t="inlineStr">
        <is>
          <t>-480K1</t>
        </is>
      </c>
    </row>
    <row r="10016">
      <c r="A10016">
        <v>10015</v>
      </c>
      <c r="B10016">
        <f>GS01</f>
        <v>0</v>
      </c>
      <c r="C10016" t="inlineStr">
        <is>
          <t>+LS10</t>
        </is>
      </c>
      <c r="D10016" t="inlineStr">
        <is>
          <t>-480K13.5</t>
        </is>
      </c>
      <c r="E10016" t="inlineStr">
        <is>
          <t>DIL_EM-10-G</t>
        </is>
      </c>
      <c r="F10016" t="inlineStr">
        <is>
          <t>#KALK!</t>
        </is>
      </c>
      <c r="G10016" t="inlineStr">
        <is>
          <t>LASTSCHUETZ</t>
        </is>
      </c>
      <c r="H10016" t="inlineStr">
        <is>
          <t>4kW 1S</t>
        </is>
      </c>
      <c r="I10016">
        <v>644</v>
      </c>
      <c r="J10016">
        <f>GS01/480.7</f>
        <v>0</v>
      </c>
      <c r="M10016" t="inlineStr">
        <is>
          <t>-480K13.5</t>
        </is>
      </c>
    </row>
    <row r="10017">
      <c r="A10017">
        <v>10016</v>
      </c>
      <c r="B10017">
        <f>GS23</f>
        <v>0</v>
      </c>
      <c r="C10017" t="inlineStr">
        <is>
          <t>+LS11</t>
        </is>
      </c>
      <c r="D10017" t="inlineStr">
        <is>
          <t>-480K14.6</t>
        </is>
      </c>
      <c r="E10017" t="inlineStr">
        <is>
          <t>DIL_EM-10-G</t>
        </is>
      </c>
      <c r="F10017" t="inlineStr">
        <is>
          <t>#KALK!</t>
        </is>
      </c>
      <c r="G10017" t="inlineStr">
        <is>
          <t>LASTSCHUETZ</t>
        </is>
      </c>
      <c r="H10017" t="inlineStr">
        <is>
          <t>4kW 1S</t>
        </is>
      </c>
      <c r="I10017">
        <v>790</v>
      </c>
      <c r="J10017">
        <f>GS23/480.6</f>
        <v>0</v>
      </c>
      <c r="M10017" t="inlineStr">
        <is>
          <t>-480K14.6</t>
        </is>
      </c>
    </row>
    <row r="10018">
      <c r="A10018">
        <v>10017</v>
      </c>
      <c r="B10018">
        <f>GC03</f>
        <v>0</v>
      </c>
      <c r="C10018" t="inlineStr">
        <is>
          <t>+LS11</t>
        </is>
      </c>
      <c r="D10018" t="inlineStr">
        <is>
          <t>-480K32.6</t>
        </is>
      </c>
      <c r="E10018" t="inlineStr">
        <is>
          <t>DIL_EM-10-G</t>
        </is>
      </c>
      <c r="F10018" t="inlineStr">
        <is>
          <t>#KALK!</t>
        </is>
      </c>
      <c r="G10018" t="inlineStr">
        <is>
          <t>LASTSCHUETZ</t>
        </is>
      </c>
      <c r="H10018" t="inlineStr">
        <is>
          <t>4kW 1S</t>
        </is>
      </c>
      <c r="I10018">
        <v>2623</v>
      </c>
      <c r="J10018">
        <f>GC03/480.6</f>
        <v>0</v>
      </c>
      <c r="M10018" t="inlineStr">
        <is>
          <t>-480K32.6</t>
        </is>
      </c>
    </row>
    <row r="10019">
      <c r="A10019">
        <v>10018</v>
      </c>
      <c r="B10019">
        <f>GC03</f>
        <v>0</v>
      </c>
      <c r="C10019" t="inlineStr">
        <is>
          <t>+LS11</t>
        </is>
      </c>
      <c r="D10019" t="inlineStr">
        <is>
          <t>-480K32.7</t>
        </is>
      </c>
      <c r="E10019" t="inlineStr">
        <is>
          <t>DIL_EM-10-G</t>
        </is>
      </c>
      <c r="F10019" t="inlineStr">
        <is>
          <t>#KALK!</t>
        </is>
      </c>
      <c r="G10019" t="inlineStr">
        <is>
          <t>LASTSCHUETZ</t>
        </is>
      </c>
      <c r="H10019" t="inlineStr">
        <is>
          <t>4kW 1S</t>
        </is>
      </c>
      <c r="I10019">
        <v>2623</v>
      </c>
      <c r="J10019">
        <f>GC03/480.7</f>
        <v>0</v>
      </c>
      <c r="M10019" t="inlineStr">
        <is>
          <t>-480K32.7</t>
        </is>
      </c>
    </row>
    <row r="10020">
      <c r="A10020">
        <v>10019</v>
      </c>
      <c r="B10020">
        <f>GS35</f>
        <v>0</v>
      </c>
      <c r="C10020" t="inlineStr">
        <is>
          <t>+LS11</t>
        </is>
      </c>
      <c r="D10020" t="inlineStr">
        <is>
          <t>-480Q457.2</t>
        </is>
      </c>
      <c r="E10020" t="inlineStr">
        <is>
          <t>DILA-XHI22</t>
        </is>
      </c>
      <c r="F10020" t="inlineStr">
        <is>
          <t>DILA-XHI22</t>
        </is>
      </c>
      <c r="G10020" t="inlineStr">
        <is>
          <t>HILFSKONTAKTBLOCK</t>
        </is>
      </c>
      <c r="H10020" t="inlineStr">
        <is>
          <t>2S 2OE Last+Hilfssch. Cage</t>
        </is>
      </c>
      <c r="I10020">
        <v>634</v>
      </c>
      <c r="J10020">
        <f>GS35/480.5</f>
        <v>0</v>
      </c>
      <c r="M10020" t="inlineStr">
        <is>
          <t>-480Q457.2</t>
        </is>
      </c>
    </row>
    <row r="10021">
      <c r="A10021">
        <v>10020</v>
      </c>
      <c r="B10021">
        <f>GS35</f>
        <v>0</v>
      </c>
      <c r="C10021" t="inlineStr">
        <is>
          <t>+LS11</t>
        </is>
      </c>
      <c r="D10021" t="inlineStr">
        <is>
          <t>-480Q457.2</t>
        </is>
      </c>
      <c r="E10021" t="inlineStr">
        <is>
          <t>DILM-9-10</t>
        </is>
      </c>
      <c r="F10021" t="inlineStr">
        <is>
          <t>DILA-XHI22</t>
        </is>
      </c>
      <c r="G10021" t="inlineStr">
        <is>
          <t>LASTSCHUETZ</t>
        </is>
      </c>
      <c r="H10021" t="inlineStr">
        <is>
          <t>4kW 1S Federzugkl.</t>
        </is>
      </c>
      <c r="I10021">
        <v>634</v>
      </c>
      <c r="J10021">
        <f>GS35/480.5</f>
        <v>0</v>
      </c>
      <c r="M10021" t="inlineStr">
        <is>
          <t>-480Q457.2</t>
        </is>
      </c>
    </row>
    <row r="10022">
      <c r="A10022">
        <v>10021</v>
      </c>
      <c r="B10022">
        <f>GS35</f>
        <v>0</v>
      </c>
      <c r="C10022" t="inlineStr">
        <is>
          <t>+LS11</t>
        </is>
      </c>
      <c r="D10022" t="inlineStr">
        <is>
          <t>-480Q457.3</t>
        </is>
      </c>
      <c r="E10022" t="inlineStr">
        <is>
          <t>DILM-9-10</t>
        </is>
      </c>
      <c r="F10022" t="inlineStr">
        <is>
          <t>DILA-XHI22</t>
        </is>
      </c>
      <c r="G10022" t="inlineStr">
        <is>
          <t>LASTSCHUETZ</t>
        </is>
      </c>
      <c r="H10022" t="inlineStr">
        <is>
          <t>4kW 1S Federzugkl.</t>
        </is>
      </c>
      <c r="I10022">
        <v>634</v>
      </c>
      <c r="J10022">
        <f>GS35/480.6</f>
        <v>0</v>
      </c>
      <c r="M10022" t="inlineStr">
        <is>
          <t>-480Q457.3</t>
        </is>
      </c>
    </row>
    <row r="10023">
      <c r="A10023">
        <v>10022</v>
      </c>
      <c r="B10023">
        <f>GS35</f>
        <v>0</v>
      </c>
      <c r="C10023" t="inlineStr">
        <is>
          <t>+LS11</t>
        </is>
      </c>
      <c r="D10023" t="inlineStr">
        <is>
          <t>-480Q457.3</t>
        </is>
      </c>
      <c r="E10023" t="inlineStr">
        <is>
          <t>DILA-XHI22</t>
        </is>
      </c>
      <c r="F10023" t="inlineStr">
        <is>
          <t>DILA-XHI22</t>
        </is>
      </c>
      <c r="G10023" t="inlineStr">
        <is>
          <t>HILFSKONTAKTBLOCK</t>
        </is>
      </c>
      <c r="H10023" t="inlineStr">
        <is>
          <t>2S 2OE Last+Hilfssch. Cage</t>
        </is>
      </c>
      <c r="I10023">
        <v>634</v>
      </c>
      <c r="J10023">
        <f>GS35/480.6</f>
        <v>0</v>
      </c>
      <c r="M10023" t="inlineStr">
        <is>
          <t>-480Q457.3</t>
        </is>
      </c>
    </row>
    <row r="10024">
      <c r="A10024">
        <v>10023</v>
      </c>
      <c r="B10024">
        <f>GS93</f>
        <v>0</v>
      </c>
      <c r="C10024" t="inlineStr">
        <is>
          <t>+LS09</t>
        </is>
      </c>
      <c r="D10024" t="inlineStr">
        <is>
          <t>-480Q484.7</t>
        </is>
      </c>
      <c r="E10024" t="inlineStr">
        <is>
          <t>DILM-9-10</t>
        </is>
      </c>
      <c r="F10024" t="inlineStr">
        <is>
          <t>#KALK!</t>
        </is>
      </c>
      <c r="G10024" t="inlineStr">
        <is>
          <t>LASTSCHUETZ</t>
        </is>
      </c>
      <c r="H10024" t="inlineStr">
        <is>
          <t>4kW 1S Federzugkl.</t>
        </is>
      </c>
      <c r="I10024">
        <v>1034</v>
      </c>
      <c r="J10024">
        <f>GS93/480.5</f>
        <v>0</v>
      </c>
      <c r="M10024" t="inlineStr">
        <is>
          <t>-480Q484.7</t>
        </is>
      </c>
    </row>
    <row r="10025">
      <c r="A10025">
        <v>10024</v>
      </c>
      <c r="B10025">
        <f>GS13</f>
        <v>0</v>
      </c>
      <c r="C10025" t="inlineStr">
        <is>
          <t>+LS11</t>
        </is>
      </c>
      <c r="D10025" t="inlineStr">
        <is>
          <t>-48115.2</t>
        </is>
      </c>
      <c r="E10025" t="inlineStr">
        <is>
          <t>DIL_EM-10-G</t>
        </is>
      </c>
      <c r="F10025" t="inlineStr">
        <is>
          <t>#KALK!</t>
        </is>
      </c>
      <c r="G10025" t="inlineStr">
        <is>
          <t>LASTSCHUETZ</t>
        </is>
      </c>
      <c r="H10025" t="inlineStr">
        <is>
          <t>4kW 1S</t>
        </is>
      </c>
      <c r="I10025">
        <v>737</v>
      </c>
      <c r="J10025">
        <f>GS13/481.7</f>
        <v>0</v>
      </c>
      <c r="M10025" t="inlineStr">
        <is>
          <t>-48115.2</t>
        </is>
      </c>
    </row>
    <row r="10026">
      <c r="A10026">
        <v>10025</v>
      </c>
      <c r="B10026">
        <f>GS16</f>
        <v>0</v>
      </c>
      <c r="C10026" t="inlineStr">
        <is>
          <t>+LS9</t>
        </is>
      </c>
      <c r="D10026" t="inlineStr">
        <is>
          <t>-481K1</t>
        </is>
      </c>
      <c r="E10026" t="inlineStr">
        <is>
          <t>22_DIL-M</t>
        </is>
      </c>
      <c r="F10026" t="inlineStr">
        <is>
          <t>22_DIL-M</t>
        </is>
      </c>
      <c r="G10026" t="inlineStr">
        <is>
          <t>HILFSKONTAKTBLOCK</t>
        </is>
      </c>
      <c r="H10026" t="inlineStr">
        <is>
          <t>2S 2OE Lastschuetz DIL M</t>
        </is>
      </c>
      <c r="I10026">
        <v>720</v>
      </c>
      <c r="J10026">
        <f>GS16/481.2</f>
        <v>0</v>
      </c>
      <c r="K10026" t="inlineStr">
        <is>
          <t>DIL0AM</t>
        </is>
      </c>
      <c r="M10026" t="inlineStr">
        <is>
          <t>-481K1</t>
        </is>
      </c>
    </row>
    <row r="10027">
      <c r="A10027">
        <v>10026</v>
      </c>
      <c r="B10027">
        <f>GS16</f>
        <v>0</v>
      </c>
      <c r="C10027" t="inlineStr">
        <is>
          <t>+LS9</t>
        </is>
      </c>
      <c r="D10027" t="inlineStr">
        <is>
          <t>-481K1</t>
        </is>
      </c>
      <c r="E10027" t="inlineStr">
        <is>
          <t>DIL_0AM</t>
        </is>
      </c>
      <c r="F10027" t="inlineStr">
        <is>
          <t>22_DIL-M</t>
        </is>
      </c>
      <c r="G10027" t="inlineStr">
        <is>
          <t>LASTSCHUETZ</t>
        </is>
      </c>
      <c r="H10027" t="inlineStr">
        <is>
          <t>11 kW</t>
        </is>
      </c>
      <c r="I10027">
        <v>720</v>
      </c>
      <c r="J10027">
        <f>GS16/481.2</f>
        <v>0</v>
      </c>
      <c r="K10027" t="inlineStr">
        <is>
          <t>DIL0AM</t>
        </is>
      </c>
      <c r="M10027" t="inlineStr">
        <is>
          <t>-481K1</t>
        </is>
      </c>
    </row>
    <row r="10028">
      <c r="A10028">
        <v>10027</v>
      </c>
      <c r="B10028">
        <f>GS01</f>
        <v>0</v>
      </c>
      <c r="C10028" t="inlineStr">
        <is>
          <t>+LS10</t>
        </is>
      </c>
      <c r="D10028" t="inlineStr">
        <is>
          <t>-481K15.0</t>
        </is>
      </c>
      <c r="E10028" t="inlineStr">
        <is>
          <t>DIL_EM-10-G</t>
        </is>
      </c>
      <c r="F10028" t="inlineStr">
        <is>
          <t>#KALK!</t>
        </is>
      </c>
      <c r="G10028" t="inlineStr">
        <is>
          <t>LASTSCHUETZ</t>
        </is>
      </c>
      <c r="H10028" t="inlineStr">
        <is>
          <t>4kW 1S</t>
        </is>
      </c>
      <c r="I10028">
        <v>645</v>
      </c>
      <c r="J10028">
        <f>GS01/481.7</f>
        <v>0</v>
      </c>
      <c r="M10028" t="inlineStr">
        <is>
          <t>-481K15.0</t>
        </is>
      </c>
    </row>
    <row r="10029">
      <c r="A10029">
        <v>10028</v>
      </c>
      <c r="B10029">
        <f>GS23</f>
        <v>0</v>
      </c>
      <c r="C10029" t="inlineStr">
        <is>
          <t>+LS11</t>
        </is>
      </c>
      <c r="D10029" t="inlineStr">
        <is>
          <t>-481K15.2</t>
        </is>
      </c>
      <c r="E10029" t="inlineStr">
        <is>
          <t>DIL_EM-10-G</t>
        </is>
      </c>
      <c r="F10029" t="inlineStr">
        <is>
          <t>#KALK!</t>
        </is>
      </c>
      <c r="G10029" t="inlineStr">
        <is>
          <t>LASTSCHUETZ</t>
        </is>
      </c>
      <c r="H10029" t="inlineStr">
        <is>
          <t>4kW 1S</t>
        </is>
      </c>
      <c r="I10029">
        <v>791</v>
      </c>
      <c r="J10029">
        <f>GS23/481.7</f>
        <v>0</v>
      </c>
      <c r="M10029" t="inlineStr">
        <is>
          <t>-481K15.2</t>
        </is>
      </c>
    </row>
    <row r="10030">
      <c r="A10030">
        <v>10029</v>
      </c>
      <c r="B10030">
        <f>GC03</f>
        <v>0</v>
      </c>
      <c r="C10030" t="inlineStr">
        <is>
          <t>+LS11</t>
        </is>
      </c>
      <c r="D10030" t="inlineStr">
        <is>
          <t>-481K33.3</t>
        </is>
      </c>
      <c r="E10030" t="inlineStr">
        <is>
          <t>DIL_EM-10-G</t>
        </is>
      </c>
      <c r="F10030" t="inlineStr">
        <is>
          <t>#KALK!</t>
        </is>
      </c>
      <c r="G10030" t="inlineStr">
        <is>
          <t>LASTSCHUETZ</t>
        </is>
      </c>
      <c r="H10030" t="inlineStr">
        <is>
          <t>4kW 1S</t>
        </is>
      </c>
      <c r="I10030">
        <v>2107</v>
      </c>
      <c r="J10030">
        <f>GC03/481.7</f>
        <v>0</v>
      </c>
      <c r="M10030" t="inlineStr">
        <is>
          <t>-481K33.3</t>
        </is>
      </c>
    </row>
    <row r="10031">
      <c r="A10031">
        <v>10030</v>
      </c>
      <c r="B10031">
        <f>GS33</f>
        <v>0</v>
      </c>
      <c r="C10031" t="inlineStr">
        <is>
          <t>+QVW2601</t>
        </is>
      </c>
      <c r="D10031" t="inlineStr">
        <is>
          <t>-481K3609.1</t>
        </is>
      </c>
      <c r="E10031" t="inlineStr">
        <is>
          <t>DIL_EM-10-G</t>
        </is>
      </c>
      <c r="F10031" t="inlineStr">
        <is>
          <t>#KALK!</t>
        </is>
      </c>
      <c r="G10031" t="inlineStr">
        <is>
          <t>LASTSCHUETZ</t>
        </is>
      </c>
      <c r="H10031" t="inlineStr">
        <is>
          <t>4kW 1S</t>
        </is>
      </c>
      <c r="I10031">
        <v>935</v>
      </c>
      <c r="J10031">
        <f>GS33/481.2</f>
        <v>0</v>
      </c>
      <c r="M10031" t="inlineStr">
        <is>
          <t>-481K3609.1</t>
        </is>
      </c>
    </row>
    <row r="10032">
      <c r="A10032">
        <v>10031</v>
      </c>
      <c r="B10032">
        <f>GS33</f>
        <v>0</v>
      </c>
      <c r="C10032" t="inlineStr">
        <is>
          <t>+QVW2601</t>
        </is>
      </c>
      <c r="D10032" t="inlineStr">
        <is>
          <t>-481K3609.7</t>
        </is>
      </c>
      <c r="E10032" t="inlineStr">
        <is>
          <t>DIL_EM-10-G</t>
        </is>
      </c>
      <c r="F10032" t="inlineStr">
        <is>
          <t>#KALK!</t>
        </is>
      </c>
      <c r="G10032" t="inlineStr">
        <is>
          <t>LASTSCHUETZ</t>
        </is>
      </c>
      <c r="H10032" t="inlineStr">
        <is>
          <t>4kW 1S</t>
        </is>
      </c>
      <c r="I10032">
        <v>935</v>
      </c>
      <c r="J10032">
        <f>GS33/481.3</f>
        <v>0</v>
      </c>
      <c r="M10032" t="inlineStr">
        <is>
          <t>-481K3609.7</t>
        </is>
      </c>
    </row>
    <row r="10033">
      <c r="A10033">
        <v>10032</v>
      </c>
      <c r="B10033">
        <f>GS13</f>
        <v>0</v>
      </c>
      <c r="C10033" t="inlineStr">
        <is>
          <t>+LS11</t>
        </is>
      </c>
      <c r="D10033" t="inlineStr">
        <is>
          <t>-48215.3</t>
        </is>
      </c>
      <c r="E10033" t="inlineStr">
        <is>
          <t>DIL_EM-10-G</t>
        </is>
      </c>
      <c r="F10033" t="inlineStr">
        <is>
          <t>#KALK!</t>
        </is>
      </c>
      <c r="G10033" t="inlineStr">
        <is>
          <t>LASTSCHUETZ</t>
        </is>
      </c>
      <c r="H10033" t="inlineStr">
        <is>
          <t>4kW 1S</t>
        </is>
      </c>
      <c r="I10033">
        <v>738</v>
      </c>
      <c r="J10033">
        <f>GS13/482.6</f>
        <v>0</v>
      </c>
      <c r="M10033" t="inlineStr">
        <is>
          <t>-48215.3</t>
        </is>
      </c>
    </row>
    <row r="10034">
      <c r="A10034">
        <v>10033</v>
      </c>
      <c r="B10034">
        <f>GS13</f>
        <v>0</v>
      </c>
      <c r="C10034" t="inlineStr">
        <is>
          <t>+LS11</t>
        </is>
      </c>
      <c r="D10034" t="inlineStr">
        <is>
          <t>-48215.4</t>
        </is>
      </c>
      <c r="E10034" t="inlineStr">
        <is>
          <t>DIL_EM-10-G</t>
        </is>
      </c>
      <c r="F10034" t="inlineStr">
        <is>
          <t>#KALK!</t>
        </is>
      </c>
      <c r="G10034" t="inlineStr">
        <is>
          <t>LASTSCHUETZ</t>
        </is>
      </c>
      <c r="H10034" t="inlineStr">
        <is>
          <t>4kW 1S</t>
        </is>
      </c>
      <c r="I10034">
        <v>738</v>
      </c>
      <c r="J10034">
        <f>GS13/482.6</f>
        <v>0</v>
      </c>
      <c r="M10034" t="inlineStr">
        <is>
          <t>-48215.4</t>
        </is>
      </c>
    </row>
    <row r="10035">
      <c r="A10035">
        <v>10034</v>
      </c>
      <c r="B10035">
        <f>GS23</f>
        <v>0</v>
      </c>
      <c r="C10035" t="inlineStr">
        <is>
          <t>+LS11</t>
        </is>
      </c>
      <c r="D10035" t="inlineStr">
        <is>
          <t>-482K15.3</t>
        </is>
      </c>
      <c r="E10035" t="inlineStr">
        <is>
          <t>DIL_EM-10-G</t>
        </is>
      </c>
      <c r="F10035" t="inlineStr">
        <is>
          <t>#KALK!</t>
        </is>
      </c>
      <c r="G10035" t="inlineStr">
        <is>
          <t>LASTSCHUETZ</t>
        </is>
      </c>
      <c r="H10035" t="inlineStr">
        <is>
          <t>4kW 1S</t>
        </is>
      </c>
      <c r="I10035">
        <v>792</v>
      </c>
      <c r="J10035">
        <f>GS23/482.6</f>
        <v>0</v>
      </c>
      <c r="M10035" t="inlineStr">
        <is>
          <t>-482K15.3</t>
        </is>
      </c>
    </row>
    <row r="10036">
      <c r="A10036">
        <v>10035</v>
      </c>
      <c r="B10036">
        <f>GS23</f>
        <v>0</v>
      </c>
      <c r="C10036" t="inlineStr">
        <is>
          <t>+LS11</t>
        </is>
      </c>
      <c r="D10036" t="inlineStr">
        <is>
          <t>-482K15.4</t>
        </is>
      </c>
      <c r="E10036" t="inlineStr">
        <is>
          <t>DIL_EM-10-G</t>
        </is>
      </c>
      <c r="F10036" t="inlineStr">
        <is>
          <t>#KALK!</t>
        </is>
      </c>
      <c r="G10036" t="inlineStr">
        <is>
          <t>LASTSCHUETZ</t>
        </is>
      </c>
      <c r="H10036" t="inlineStr">
        <is>
          <t>4kW 1S</t>
        </is>
      </c>
      <c r="I10036">
        <v>792</v>
      </c>
      <c r="J10036">
        <f>GS23/482.6</f>
        <v>0</v>
      </c>
      <c r="M10036" t="inlineStr">
        <is>
          <t>-482K15.4</t>
        </is>
      </c>
    </row>
    <row r="10037">
      <c r="A10037">
        <v>10036</v>
      </c>
      <c r="B10037">
        <f>GC03</f>
        <v>0</v>
      </c>
      <c r="C10037" t="inlineStr">
        <is>
          <t>+LS11</t>
        </is>
      </c>
      <c r="D10037" t="inlineStr">
        <is>
          <t>-482K33.7</t>
        </is>
      </c>
      <c r="E10037" t="inlineStr">
        <is>
          <t>DIL_EM-10-G</t>
        </is>
      </c>
      <c r="F10037" t="inlineStr">
        <is>
          <t>#KALK!</t>
        </is>
      </c>
      <c r="G10037" t="inlineStr">
        <is>
          <t>LASTSCHUETZ</t>
        </is>
      </c>
      <c r="H10037" t="inlineStr">
        <is>
          <t>4kW 1S</t>
        </is>
      </c>
      <c r="I10037">
        <v>394</v>
      </c>
      <c r="J10037">
        <f>GC03/482.7</f>
        <v>0</v>
      </c>
      <c r="M10037" t="inlineStr">
        <is>
          <t>-482K33.7</t>
        </is>
      </c>
    </row>
    <row r="10038">
      <c r="A10038">
        <v>10037</v>
      </c>
      <c r="B10038">
        <f>GS24</f>
        <v>0</v>
      </c>
      <c r="C10038" t="inlineStr">
        <is>
          <t>+LS10</t>
        </is>
      </c>
      <c r="D10038" t="inlineStr">
        <is>
          <t>-482K3502.0</t>
        </is>
      </c>
      <c r="E10038" t="inlineStr">
        <is>
          <t>DIL_EM-10-G</t>
        </is>
      </c>
      <c r="F10038" t="inlineStr">
        <is>
          <t>#KALK!</t>
        </is>
      </c>
      <c r="G10038" t="inlineStr">
        <is>
          <t>LASTSCHUETZ</t>
        </is>
      </c>
      <c r="H10038" t="inlineStr">
        <is>
          <t>4kW 1S</t>
        </is>
      </c>
      <c r="I10038">
        <v>614</v>
      </c>
      <c r="J10038">
        <f>GS24/482.6</f>
        <v>0</v>
      </c>
      <c r="M10038" t="inlineStr">
        <is>
          <t>-482K3502.0</t>
        </is>
      </c>
    </row>
    <row r="10039">
      <c r="A10039">
        <v>10038</v>
      </c>
      <c r="B10039">
        <f>GS24</f>
        <v>0</v>
      </c>
      <c r="C10039" t="inlineStr">
        <is>
          <t>+LS10</t>
        </is>
      </c>
      <c r="D10039" t="inlineStr">
        <is>
          <t>-482K3502.1</t>
        </is>
      </c>
      <c r="E10039" t="inlineStr">
        <is>
          <t>DIL_EM-10-G</t>
        </is>
      </c>
      <c r="F10039" t="inlineStr">
        <is>
          <t>#KALK!</t>
        </is>
      </c>
      <c r="G10039" t="inlineStr">
        <is>
          <t>LASTSCHUETZ</t>
        </is>
      </c>
      <c r="H10039" t="inlineStr">
        <is>
          <t>4kW 1S</t>
        </is>
      </c>
      <c r="I10039">
        <v>614</v>
      </c>
      <c r="J10039">
        <f>GS24/482.7</f>
        <v>0</v>
      </c>
      <c r="M10039" t="inlineStr">
        <is>
          <t>-482K3502.1</t>
        </is>
      </c>
    </row>
    <row r="10040">
      <c r="A10040">
        <v>10039</v>
      </c>
      <c r="B10040">
        <f>GS25</f>
        <v>0</v>
      </c>
      <c r="C10040" t="inlineStr">
        <is>
          <t>+LS11</t>
        </is>
      </c>
      <c r="D10040" t="inlineStr">
        <is>
          <t>-482K3506.0</t>
        </is>
      </c>
      <c r="E10040" t="inlineStr">
        <is>
          <t>DIL_EM-10-G</t>
        </is>
      </c>
      <c r="F10040" t="inlineStr">
        <is>
          <t>#KALK!</t>
        </is>
      </c>
      <c r="G10040" t="inlineStr">
        <is>
          <t>LASTSCHUETZ</t>
        </is>
      </c>
      <c r="H10040" t="inlineStr">
        <is>
          <t>4kW 1S</t>
        </is>
      </c>
      <c r="I10040">
        <v>608</v>
      </c>
      <c r="J10040">
        <f>GS25/482.6</f>
        <v>0</v>
      </c>
      <c r="M10040" t="inlineStr">
        <is>
          <t>-482K3506.0</t>
        </is>
      </c>
    </row>
    <row r="10041">
      <c r="A10041">
        <v>10040</v>
      </c>
      <c r="B10041">
        <f>GS25</f>
        <v>0</v>
      </c>
      <c r="C10041" t="inlineStr">
        <is>
          <t>+LS11</t>
        </is>
      </c>
      <c r="D10041" t="inlineStr">
        <is>
          <t>-482K3506.1</t>
        </is>
      </c>
      <c r="E10041" t="inlineStr">
        <is>
          <t>DIL_EM-10-G</t>
        </is>
      </c>
      <c r="F10041" t="inlineStr">
        <is>
          <t>#KALK!</t>
        </is>
      </c>
      <c r="G10041" t="inlineStr">
        <is>
          <t>LASTSCHUETZ</t>
        </is>
      </c>
      <c r="H10041" t="inlineStr">
        <is>
          <t>4kW 1S</t>
        </is>
      </c>
      <c r="I10041">
        <v>608</v>
      </c>
      <c r="J10041">
        <f>GS25/482.6</f>
        <v>0</v>
      </c>
      <c r="M10041" t="inlineStr">
        <is>
          <t>-482K3506.1</t>
        </is>
      </c>
    </row>
    <row r="10042">
      <c r="A10042">
        <v>10041</v>
      </c>
      <c r="B10042">
        <f>GS14</f>
        <v>0</v>
      </c>
      <c r="C10042" t="inlineStr">
        <is>
          <t>+LS9</t>
        </is>
      </c>
      <c r="D10042" t="inlineStr">
        <is>
          <t>-482K3510.0</t>
        </is>
      </c>
      <c r="E10042" t="inlineStr">
        <is>
          <t>DIL_EM-10-G</t>
        </is>
      </c>
      <c r="F10042" t="inlineStr">
        <is>
          <t>#KALK!</t>
        </is>
      </c>
      <c r="G10042" t="inlineStr">
        <is>
          <t>LASTSCHUETZ</t>
        </is>
      </c>
      <c r="H10042" t="inlineStr">
        <is>
          <t>4kW 1S</t>
        </is>
      </c>
      <c r="I10042">
        <v>614</v>
      </c>
      <c r="J10042">
        <f>GS14/482.6</f>
        <v>0</v>
      </c>
      <c r="M10042" t="inlineStr">
        <is>
          <t>-482K3510.0</t>
        </is>
      </c>
    </row>
    <row r="10043">
      <c r="A10043">
        <v>10042</v>
      </c>
      <c r="B10043">
        <f>GS14</f>
        <v>0</v>
      </c>
      <c r="C10043" t="inlineStr">
        <is>
          <t>+LS9</t>
        </is>
      </c>
      <c r="D10043" t="inlineStr">
        <is>
          <t>-482K3510.1</t>
        </is>
      </c>
      <c r="E10043" t="inlineStr">
        <is>
          <t>DIL_EM-10-G</t>
        </is>
      </c>
      <c r="F10043" t="inlineStr">
        <is>
          <t>#KALK!</t>
        </is>
      </c>
      <c r="G10043" t="inlineStr">
        <is>
          <t>LASTSCHUETZ</t>
        </is>
      </c>
      <c r="H10043" t="inlineStr">
        <is>
          <t>4kW 1S</t>
        </is>
      </c>
      <c r="I10043">
        <v>614</v>
      </c>
      <c r="J10043">
        <f>GS14/482.7</f>
        <v>0</v>
      </c>
      <c r="M10043" t="inlineStr">
        <is>
          <t>-482K3510.1</t>
        </is>
      </c>
    </row>
    <row r="10044">
      <c r="A10044">
        <v>10043</v>
      </c>
      <c r="B10044">
        <f>GS33</f>
        <v>0</v>
      </c>
      <c r="C10044" t="inlineStr">
        <is>
          <t>+QVW2601</t>
        </is>
      </c>
      <c r="D10044" t="inlineStr">
        <is>
          <t>-482K3609.0</t>
        </is>
      </c>
      <c r="E10044" t="inlineStr">
        <is>
          <t>DIL_EM-10-G</t>
        </is>
      </c>
      <c r="F10044" t="inlineStr">
        <is>
          <t>#KALK!</t>
        </is>
      </c>
      <c r="G10044" t="inlineStr">
        <is>
          <t>LASTSCHUETZ</t>
        </is>
      </c>
      <c r="H10044" t="inlineStr">
        <is>
          <t>4kW 1S</t>
        </is>
      </c>
      <c r="I10044">
        <v>936</v>
      </c>
      <c r="J10044">
        <f>GS33/482.6</f>
        <v>0</v>
      </c>
      <c r="M10044" t="inlineStr">
        <is>
          <t>-482K3609.0</t>
        </is>
      </c>
    </row>
    <row r="10045">
      <c r="A10045">
        <v>10044</v>
      </c>
      <c r="B10045">
        <f>GS16</f>
        <v>0</v>
      </c>
      <c r="C10045" t="inlineStr">
        <is>
          <t>+LS9</t>
        </is>
      </c>
      <c r="D10045" t="inlineStr">
        <is>
          <t>-482K3700.0</t>
        </is>
      </c>
      <c r="E10045" t="inlineStr">
        <is>
          <t>DIL_EM-10-G</t>
        </is>
      </c>
      <c r="F10045" t="inlineStr">
        <is>
          <t>#KALK!</t>
        </is>
      </c>
      <c r="G10045" t="inlineStr">
        <is>
          <t>LASTSCHUETZ</t>
        </is>
      </c>
      <c r="H10045" t="inlineStr">
        <is>
          <t>4kW 1S</t>
        </is>
      </c>
      <c r="I10045">
        <v>721</v>
      </c>
      <c r="J10045">
        <f>GS16/482.6</f>
        <v>0</v>
      </c>
      <c r="M10045" t="inlineStr">
        <is>
          <t>-482K3700.0</t>
        </is>
      </c>
    </row>
    <row r="10046">
      <c r="A10046">
        <v>10045</v>
      </c>
      <c r="B10046">
        <f>GS16</f>
        <v>0</v>
      </c>
      <c r="C10046" t="inlineStr">
        <is>
          <t>+LS9</t>
        </is>
      </c>
      <c r="D10046" t="inlineStr">
        <is>
          <t>-482K3700.1</t>
        </is>
      </c>
      <c r="E10046" t="inlineStr">
        <is>
          <t>DIL_EM-10-G</t>
        </is>
      </c>
      <c r="F10046" t="inlineStr">
        <is>
          <t>#KALK!</t>
        </is>
      </c>
      <c r="G10046" t="inlineStr">
        <is>
          <t>LASTSCHUETZ</t>
        </is>
      </c>
      <c r="H10046" t="inlineStr">
        <is>
          <t>4kW 1S</t>
        </is>
      </c>
      <c r="I10046">
        <v>721</v>
      </c>
      <c r="J10046">
        <f>GS16/482.6</f>
        <v>0</v>
      </c>
      <c r="M10046" t="inlineStr">
        <is>
          <t>-482K3700.1</t>
        </is>
      </c>
    </row>
    <row r="10047">
      <c r="A10047">
        <v>10046</v>
      </c>
      <c r="B10047">
        <f>GS31</f>
        <v>0</v>
      </c>
      <c r="C10047" t="inlineStr">
        <is>
          <t>+LS9</t>
        </is>
      </c>
      <c r="D10047" t="inlineStr">
        <is>
          <t>-482K62.0</t>
        </is>
      </c>
      <c r="E10047" t="inlineStr">
        <is>
          <t>DIL_EM-10-G</t>
        </is>
      </c>
      <c r="F10047" t="inlineStr">
        <is>
          <t>#KALK!</t>
        </is>
      </c>
      <c r="G10047" t="inlineStr">
        <is>
          <t>LASTSCHUETZ</t>
        </is>
      </c>
      <c r="H10047" t="inlineStr">
        <is>
          <t>4kW 1S</t>
        </is>
      </c>
      <c r="I10047">
        <v>776</v>
      </c>
      <c r="J10047">
        <f>GS31/482.6</f>
        <v>0</v>
      </c>
      <c r="M10047" t="inlineStr">
        <is>
          <t>-482K62.0</t>
        </is>
      </c>
    </row>
    <row r="10048">
      <c r="A10048">
        <v>10047</v>
      </c>
      <c r="B10048">
        <f>GS31</f>
        <v>0</v>
      </c>
      <c r="C10048" t="inlineStr">
        <is>
          <t>+LS9</t>
        </is>
      </c>
      <c r="D10048" t="inlineStr">
        <is>
          <t>-482K62.1</t>
        </is>
      </c>
      <c r="E10048" t="inlineStr">
        <is>
          <t>DIL_EM-10-G</t>
        </is>
      </c>
      <c r="F10048" t="inlineStr">
        <is>
          <t>#KALK!</t>
        </is>
      </c>
      <c r="G10048" t="inlineStr">
        <is>
          <t>LASTSCHUETZ</t>
        </is>
      </c>
      <c r="H10048" t="inlineStr">
        <is>
          <t>4kW 1S</t>
        </is>
      </c>
      <c r="I10048">
        <v>776</v>
      </c>
      <c r="J10048">
        <f>GS31/482.6</f>
        <v>0</v>
      </c>
      <c r="M10048" t="inlineStr">
        <is>
          <t>-482K62.1</t>
        </is>
      </c>
    </row>
    <row r="10049">
      <c r="A10049">
        <v>10048</v>
      </c>
      <c r="B10049">
        <f>GS13</f>
        <v>0</v>
      </c>
      <c r="C10049" t="inlineStr">
        <is>
          <t>+LS11</t>
        </is>
      </c>
      <c r="D10049" t="inlineStr">
        <is>
          <t>-48315.5</t>
        </is>
      </c>
      <c r="E10049" t="inlineStr">
        <is>
          <t>DIL_EM-10-G</t>
        </is>
      </c>
      <c r="F10049" t="inlineStr">
        <is>
          <t>#KALK!</t>
        </is>
      </c>
      <c r="G10049" t="inlineStr">
        <is>
          <t>LASTSCHUETZ</t>
        </is>
      </c>
      <c r="H10049" t="inlineStr">
        <is>
          <t>4kW 1S</t>
        </is>
      </c>
      <c r="I10049">
        <v>739</v>
      </c>
      <c r="J10049">
        <f>GS13/483.6</f>
        <v>0</v>
      </c>
      <c r="M10049" t="inlineStr">
        <is>
          <t>-48315.5</t>
        </is>
      </c>
    </row>
    <row r="10050">
      <c r="A10050">
        <v>10049</v>
      </c>
      <c r="B10050">
        <f>GS13</f>
        <v>0</v>
      </c>
      <c r="C10050" t="inlineStr">
        <is>
          <t>+LS11</t>
        </is>
      </c>
      <c r="D10050" t="inlineStr">
        <is>
          <t>-48315.6</t>
        </is>
      </c>
      <c r="E10050" t="inlineStr">
        <is>
          <t>DIL_EM-10-G</t>
        </is>
      </c>
      <c r="F10050" t="inlineStr">
        <is>
          <t>#KALK!</t>
        </is>
      </c>
      <c r="G10050" t="inlineStr">
        <is>
          <t>LASTSCHUETZ</t>
        </is>
      </c>
      <c r="H10050" t="inlineStr">
        <is>
          <t>4kW 1S</t>
        </is>
      </c>
      <c r="I10050">
        <v>739</v>
      </c>
      <c r="J10050">
        <f>GS13/483.6</f>
        <v>0</v>
      </c>
      <c r="M10050" t="inlineStr">
        <is>
          <t>-48315.6</t>
        </is>
      </c>
    </row>
    <row r="10051">
      <c r="A10051">
        <v>10050</v>
      </c>
      <c r="B10051">
        <f>GS23</f>
        <v>0</v>
      </c>
      <c r="C10051" t="inlineStr">
        <is>
          <t>+LS11</t>
        </is>
      </c>
      <c r="D10051" t="inlineStr">
        <is>
          <t>-483K15.5</t>
        </is>
      </c>
      <c r="E10051" t="inlineStr">
        <is>
          <t>DIL_EM-10-G</t>
        </is>
      </c>
      <c r="F10051" t="inlineStr">
        <is>
          <t>#KALK!</t>
        </is>
      </c>
      <c r="G10051" t="inlineStr">
        <is>
          <t>LASTSCHUETZ</t>
        </is>
      </c>
      <c r="H10051" t="inlineStr">
        <is>
          <t>4kW 1S</t>
        </is>
      </c>
      <c r="I10051">
        <v>793</v>
      </c>
      <c r="J10051">
        <f>GS23/483.6</f>
        <v>0</v>
      </c>
      <c r="M10051" t="inlineStr">
        <is>
          <t>-483K15.5</t>
        </is>
      </c>
    </row>
    <row r="10052">
      <c r="A10052">
        <v>10051</v>
      </c>
      <c r="B10052">
        <f>GS23</f>
        <v>0</v>
      </c>
      <c r="C10052" t="inlineStr">
        <is>
          <t>+LS11</t>
        </is>
      </c>
      <c r="D10052" t="inlineStr">
        <is>
          <t>-483K15.6</t>
        </is>
      </c>
      <c r="E10052" t="inlineStr">
        <is>
          <t>DIL_EM-10-G</t>
        </is>
      </c>
      <c r="F10052" t="inlineStr">
        <is>
          <t>#KALK!</t>
        </is>
      </c>
      <c r="G10052" t="inlineStr">
        <is>
          <t>LASTSCHUETZ</t>
        </is>
      </c>
      <c r="H10052" t="inlineStr">
        <is>
          <t>4kW 1S</t>
        </is>
      </c>
      <c r="I10052">
        <v>793</v>
      </c>
      <c r="J10052">
        <f>GS23/483.6</f>
        <v>0</v>
      </c>
      <c r="M10052" t="inlineStr">
        <is>
          <t>-483K15.6</t>
        </is>
      </c>
    </row>
    <row r="10053">
      <c r="A10053">
        <v>10052</v>
      </c>
      <c r="B10053">
        <f>GC03</f>
        <v>0</v>
      </c>
      <c r="C10053" t="inlineStr">
        <is>
          <t>+LS11</t>
        </is>
      </c>
      <c r="D10053" t="inlineStr">
        <is>
          <t>-483K34.0</t>
        </is>
      </c>
      <c r="E10053" t="inlineStr">
        <is>
          <t>DIL_EM-10-G</t>
        </is>
      </c>
      <c r="F10053" t="inlineStr">
        <is>
          <t>#KALK!</t>
        </is>
      </c>
      <c r="G10053" t="inlineStr">
        <is>
          <t>LASTSCHUETZ</t>
        </is>
      </c>
      <c r="H10053" t="inlineStr">
        <is>
          <t>4kW 1S</t>
        </is>
      </c>
      <c r="I10053">
        <v>395</v>
      </c>
      <c r="J10053">
        <f>GC03/483.6</f>
        <v>0</v>
      </c>
      <c r="M10053" t="inlineStr">
        <is>
          <t>-483K34.0</t>
        </is>
      </c>
    </row>
    <row r="10054">
      <c r="A10054">
        <v>10053</v>
      </c>
      <c r="B10054">
        <f>GS24</f>
        <v>0</v>
      </c>
      <c r="C10054" t="inlineStr">
        <is>
          <t>+LS10</t>
        </is>
      </c>
      <c r="D10054" t="inlineStr">
        <is>
          <t>-483K3502.2</t>
        </is>
      </c>
      <c r="E10054" t="inlineStr">
        <is>
          <t>DIL_EM-10-G</t>
        </is>
      </c>
      <c r="F10054" t="inlineStr">
        <is>
          <t>#KALK!</t>
        </is>
      </c>
      <c r="G10054" t="inlineStr">
        <is>
          <t>LASTSCHUETZ</t>
        </is>
      </c>
      <c r="H10054" t="inlineStr">
        <is>
          <t>4kW 1S</t>
        </is>
      </c>
      <c r="I10054">
        <v>613</v>
      </c>
      <c r="J10054">
        <f>GS24/483.6</f>
        <v>0</v>
      </c>
      <c r="M10054" t="inlineStr">
        <is>
          <t>-483K3502.2</t>
        </is>
      </c>
    </row>
    <row r="10055">
      <c r="A10055">
        <v>10054</v>
      </c>
      <c r="B10055">
        <f>GS24</f>
        <v>0</v>
      </c>
      <c r="C10055" t="inlineStr">
        <is>
          <t>+LS10</t>
        </is>
      </c>
      <c r="D10055" t="inlineStr">
        <is>
          <t>-483K3502.3</t>
        </is>
      </c>
      <c r="E10055" t="inlineStr">
        <is>
          <t>DIL_EM-10-G</t>
        </is>
      </c>
      <c r="F10055" t="inlineStr">
        <is>
          <t>#KALK!</t>
        </is>
      </c>
      <c r="G10055" t="inlineStr">
        <is>
          <t>LASTSCHUETZ</t>
        </is>
      </c>
      <c r="H10055" t="inlineStr">
        <is>
          <t>4kW 1S</t>
        </is>
      </c>
      <c r="I10055">
        <v>613</v>
      </c>
      <c r="J10055">
        <f>GS24/483.7</f>
        <v>0</v>
      </c>
      <c r="M10055" t="inlineStr">
        <is>
          <t>-483K3502.3</t>
        </is>
      </c>
    </row>
    <row r="10056">
      <c r="A10056">
        <v>10055</v>
      </c>
      <c r="B10056">
        <f>GS14</f>
        <v>0</v>
      </c>
      <c r="C10056" t="inlineStr">
        <is>
          <t>+LS9</t>
        </is>
      </c>
      <c r="D10056" t="inlineStr">
        <is>
          <t>-483K3510.2</t>
        </is>
      </c>
      <c r="E10056" t="inlineStr">
        <is>
          <t>DIL_EM-10-G</t>
        </is>
      </c>
      <c r="F10056" t="inlineStr">
        <is>
          <t>#KALK!</t>
        </is>
      </c>
      <c r="G10056" t="inlineStr">
        <is>
          <t>LASTSCHUETZ</t>
        </is>
      </c>
      <c r="H10056" t="inlineStr">
        <is>
          <t>4kW 1S</t>
        </is>
      </c>
      <c r="I10056">
        <v>615</v>
      </c>
      <c r="J10056">
        <f>GS14/483.6</f>
        <v>0</v>
      </c>
      <c r="M10056" t="inlineStr">
        <is>
          <t>-483K3510.2</t>
        </is>
      </c>
    </row>
    <row r="10057">
      <c r="A10057">
        <v>10056</v>
      </c>
      <c r="B10057">
        <f>GS14</f>
        <v>0</v>
      </c>
      <c r="C10057" t="inlineStr">
        <is>
          <t>+LS9</t>
        </is>
      </c>
      <c r="D10057" t="inlineStr">
        <is>
          <t>-483K3510.3</t>
        </is>
      </c>
      <c r="E10057" t="inlineStr">
        <is>
          <t>DIL_EM-10-G</t>
        </is>
      </c>
      <c r="F10057" t="inlineStr">
        <is>
          <t>#KALK!</t>
        </is>
      </c>
      <c r="G10057" t="inlineStr">
        <is>
          <t>LASTSCHUETZ</t>
        </is>
      </c>
      <c r="H10057" t="inlineStr">
        <is>
          <t>4kW 1S</t>
        </is>
      </c>
      <c r="I10057">
        <v>615</v>
      </c>
      <c r="J10057">
        <f>GS14/483.7</f>
        <v>0</v>
      </c>
      <c r="M10057" t="inlineStr">
        <is>
          <t>-483K3510.3</t>
        </is>
      </c>
    </row>
    <row r="10058">
      <c r="A10058">
        <v>10057</v>
      </c>
      <c r="B10058">
        <f>GS16</f>
        <v>0</v>
      </c>
      <c r="C10058" t="inlineStr">
        <is>
          <t>+LS9</t>
        </is>
      </c>
      <c r="D10058" t="inlineStr">
        <is>
          <t>-483K3700.2</t>
        </is>
      </c>
      <c r="E10058" t="inlineStr">
        <is>
          <t>DIL_EM-10-G</t>
        </is>
      </c>
      <c r="F10058" t="inlineStr">
        <is>
          <t>#KALK!</t>
        </is>
      </c>
      <c r="G10058" t="inlineStr">
        <is>
          <t>LASTSCHUETZ</t>
        </is>
      </c>
      <c r="H10058" t="inlineStr">
        <is>
          <t>4kW 1S</t>
        </is>
      </c>
      <c r="I10058">
        <v>722</v>
      </c>
      <c r="J10058">
        <f>GS16/483.6</f>
        <v>0</v>
      </c>
      <c r="M10058" t="inlineStr">
        <is>
          <t>-483K3700.2</t>
        </is>
      </c>
    </row>
    <row r="10059">
      <c r="A10059">
        <v>10058</v>
      </c>
      <c r="B10059">
        <f>GS16</f>
        <v>0</v>
      </c>
      <c r="C10059" t="inlineStr">
        <is>
          <t>+LS9</t>
        </is>
      </c>
      <c r="D10059" t="inlineStr">
        <is>
          <t>-483K3700.3</t>
        </is>
      </c>
      <c r="E10059" t="inlineStr">
        <is>
          <t>DIL_EM-10-G</t>
        </is>
      </c>
      <c r="F10059" t="inlineStr">
        <is>
          <t>#KALK!</t>
        </is>
      </c>
      <c r="G10059" t="inlineStr">
        <is>
          <t>LASTSCHUETZ</t>
        </is>
      </c>
      <c r="H10059" t="inlineStr">
        <is>
          <t>4kW 1S</t>
        </is>
      </c>
      <c r="I10059">
        <v>722</v>
      </c>
      <c r="J10059">
        <f>GS16/483.6</f>
        <v>0</v>
      </c>
      <c r="M10059" t="inlineStr">
        <is>
          <t>-483K3700.3</t>
        </is>
      </c>
    </row>
    <row r="10060">
      <c r="A10060">
        <v>10059</v>
      </c>
      <c r="B10060">
        <f>GS31</f>
        <v>0</v>
      </c>
      <c r="C10060" t="inlineStr">
        <is>
          <t>+LS9</t>
        </is>
      </c>
      <c r="D10060" t="inlineStr">
        <is>
          <t>-483K62.2</t>
        </is>
      </c>
      <c r="E10060" t="inlineStr">
        <is>
          <t>DIL_EM-10-G</t>
        </is>
      </c>
      <c r="F10060" t="inlineStr">
        <is>
          <t>#KALK!</t>
        </is>
      </c>
      <c r="G10060" t="inlineStr">
        <is>
          <t>LASTSCHUETZ</t>
        </is>
      </c>
      <c r="H10060" t="inlineStr">
        <is>
          <t>4kW 1S</t>
        </is>
      </c>
      <c r="I10060">
        <v>777</v>
      </c>
      <c r="J10060">
        <f>GS31/483.6</f>
        <v>0</v>
      </c>
      <c r="M10060" t="inlineStr">
        <is>
          <t>-483K62.2</t>
        </is>
      </c>
    </row>
    <row r="10061">
      <c r="A10061">
        <v>10060</v>
      </c>
      <c r="B10061">
        <f>GS31</f>
        <v>0</v>
      </c>
      <c r="C10061" t="inlineStr">
        <is>
          <t>+LS9</t>
        </is>
      </c>
      <c r="D10061" t="inlineStr">
        <is>
          <t>-483K62.3</t>
        </is>
      </c>
      <c r="E10061" t="inlineStr">
        <is>
          <t>DIL_EM-10-G</t>
        </is>
      </c>
      <c r="F10061" t="inlineStr">
        <is>
          <t>#KALK!</t>
        </is>
      </c>
      <c r="G10061" t="inlineStr">
        <is>
          <t>LASTSCHUETZ</t>
        </is>
      </c>
      <c r="H10061" t="inlineStr">
        <is>
          <t>4kW 1S</t>
        </is>
      </c>
      <c r="I10061">
        <v>777</v>
      </c>
      <c r="J10061">
        <f>GS31/483.6</f>
        <v>0</v>
      </c>
      <c r="M10061" t="inlineStr">
        <is>
          <t>-483K62.3</t>
        </is>
      </c>
    </row>
    <row r="10062">
      <c r="A10062">
        <v>10061</v>
      </c>
      <c r="B10062">
        <f>GS13</f>
        <v>0</v>
      </c>
      <c r="C10062" t="inlineStr">
        <is>
          <t>+LS11</t>
        </is>
      </c>
      <c r="D10062" t="inlineStr">
        <is>
          <t>-48415.7</t>
        </is>
      </c>
      <c r="E10062" t="inlineStr">
        <is>
          <t>DIL_EM-10-G</t>
        </is>
      </c>
      <c r="F10062" t="inlineStr">
        <is>
          <t>#KALK!</t>
        </is>
      </c>
      <c r="G10062" t="inlineStr">
        <is>
          <t>LASTSCHUETZ</t>
        </is>
      </c>
      <c r="H10062" t="inlineStr">
        <is>
          <t>4kW 1S</t>
        </is>
      </c>
      <c r="I10062">
        <v>740</v>
      </c>
      <c r="J10062">
        <f>GS13/484.6</f>
        <v>0</v>
      </c>
      <c r="M10062" t="inlineStr">
        <is>
          <t>-48415.7</t>
        </is>
      </c>
    </row>
    <row r="10063">
      <c r="A10063">
        <v>10062</v>
      </c>
      <c r="B10063">
        <f>GS13</f>
        <v>0</v>
      </c>
      <c r="C10063" t="inlineStr">
        <is>
          <t>+LS11</t>
        </is>
      </c>
      <c r="D10063" t="inlineStr">
        <is>
          <t>-48416.0</t>
        </is>
      </c>
      <c r="E10063" t="inlineStr">
        <is>
          <t>DIL_EM-10-G</t>
        </is>
      </c>
      <c r="F10063" t="inlineStr">
        <is>
          <t>#KALK!</t>
        </is>
      </c>
      <c r="G10063" t="inlineStr">
        <is>
          <t>LASTSCHUETZ</t>
        </is>
      </c>
      <c r="H10063" t="inlineStr">
        <is>
          <t>4kW 1S</t>
        </is>
      </c>
      <c r="I10063">
        <v>740</v>
      </c>
      <c r="J10063">
        <f>GS13/484.6</f>
        <v>0</v>
      </c>
      <c r="M10063" t="inlineStr">
        <is>
          <t>-48416.0</t>
        </is>
      </c>
    </row>
    <row r="10064">
      <c r="A10064">
        <v>10063</v>
      </c>
      <c r="B10064">
        <f>GS23</f>
        <v>0</v>
      </c>
      <c r="C10064" t="inlineStr">
        <is>
          <t>+LS11</t>
        </is>
      </c>
      <c r="D10064" t="inlineStr">
        <is>
          <t>-484K15.7</t>
        </is>
      </c>
      <c r="E10064" t="inlineStr">
        <is>
          <t>DIL_EM-10-G</t>
        </is>
      </c>
      <c r="F10064" t="inlineStr">
        <is>
          <t>#KALK!</t>
        </is>
      </c>
      <c r="G10064" t="inlineStr">
        <is>
          <t>LASTSCHUETZ</t>
        </is>
      </c>
      <c r="H10064" t="inlineStr">
        <is>
          <t>4kW 1S</t>
        </is>
      </c>
      <c r="I10064">
        <v>794</v>
      </c>
      <c r="J10064">
        <f>GS23/484.6</f>
        <v>0</v>
      </c>
      <c r="M10064" t="inlineStr">
        <is>
          <t>-484K15.7</t>
        </is>
      </c>
    </row>
    <row r="10065">
      <c r="A10065">
        <v>10064</v>
      </c>
      <c r="B10065">
        <f>GS23</f>
        <v>0</v>
      </c>
      <c r="C10065" t="inlineStr">
        <is>
          <t>+LS11</t>
        </is>
      </c>
      <c r="D10065" t="inlineStr">
        <is>
          <t>-484K16.0</t>
        </is>
      </c>
      <c r="E10065" t="inlineStr">
        <is>
          <t>DIL_EM-10-G</t>
        </is>
      </c>
      <c r="F10065" t="inlineStr">
        <is>
          <t>#KALK!</t>
        </is>
      </c>
      <c r="G10065" t="inlineStr">
        <is>
          <t>LASTSCHUETZ</t>
        </is>
      </c>
      <c r="H10065" t="inlineStr">
        <is>
          <t>4kW 1S</t>
        </is>
      </c>
      <c r="I10065">
        <v>794</v>
      </c>
      <c r="J10065">
        <f>GS23/484.6</f>
        <v>0</v>
      </c>
      <c r="M10065" t="inlineStr">
        <is>
          <t>-484K16.0</t>
        </is>
      </c>
    </row>
    <row r="10066">
      <c r="A10066">
        <v>10065</v>
      </c>
      <c r="B10066">
        <f>GS01</f>
        <v>0</v>
      </c>
      <c r="C10066" t="inlineStr">
        <is>
          <t>+LS10</t>
        </is>
      </c>
      <c r="D10066" t="inlineStr">
        <is>
          <t>-484K16.5</t>
        </is>
      </c>
      <c r="E10066" t="inlineStr">
        <is>
          <t>DIL_EM-10-G</t>
        </is>
      </c>
      <c r="F10066" t="inlineStr">
        <is>
          <t>#KALK!</t>
        </is>
      </c>
      <c r="G10066" t="inlineStr">
        <is>
          <t>LASTSCHUETZ</t>
        </is>
      </c>
      <c r="H10066" t="inlineStr">
        <is>
          <t>4kW 1S</t>
        </is>
      </c>
      <c r="I10066">
        <v>648</v>
      </c>
      <c r="J10066">
        <f>GS01/484.7</f>
        <v>0</v>
      </c>
      <c r="M10066" t="inlineStr">
        <is>
          <t>-484K16.5</t>
        </is>
      </c>
    </row>
    <row r="10067">
      <c r="A10067">
        <v>10066</v>
      </c>
      <c r="B10067">
        <f>GC03</f>
        <v>0</v>
      </c>
      <c r="C10067" t="inlineStr">
        <is>
          <t>+LS11</t>
        </is>
      </c>
      <c r="D10067" t="inlineStr">
        <is>
          <t>-484K34.1</t>
        </is>
      </c>
      <c r="E10067" t="inlineStr">
        <is>
          <t>DIL_EM-10-G</t>
        </is>
      </c>
      <c r="F10067" t="inlineStr">
        <is>
          <t>#KALK!</t>
        </is>
      </c>
      <c r="G10067" t="inlineStr">
        <is>
          <t>LASTSCHUETZ</t>
        </is>
      </c>
      <c r="H10067" t="inlineStr">
        <is>
          <t>4kW 1S</t>
        </is>
      </c>
      <c r="I10067">
        <v>2599</v>
      </c>
      <c r="J10067">
        <f>GC03/484.6</f>
        <v>0</v>
      </c>
      <c r="M10067" t="inlineStr">
        <is>
          <t>-484K34.1</t>
        </is>
      </c>
    </row>
    <row r="10068">
      <c r="A10068">
        <v>10067</v>
      </c>
      <c r="B10068">
        <f>GC03</f>
        <v>0</v>
      </c>
      <c r="C10068" t="inlineStr">
        <is>
          <t>+LS11</t>
        </is>
      </c>
      <c r="D10068" t="inlineStr">
        <is>
          <t>-484K34.2</t>
        </is>
      </c>
      <c r="E10068" t="inlineStr">
        <is>
          <t>DIL_EM-10-G</t>
        </is>
      </c>
      <c r="F10068" t="inlineStr">
        <is>
          <t>#KALK!</t>
        </is>
      </c>
      <c r="G10068" t="inlineStr">
        <is>
          <t>LASTSCHUETZ</t>
        </is>
      </c>
      <c r="H10068" t="inlineStr">
        <is>
          <t>4kW 1S</t>
        </is>
      </c>
      <c r="I10068">
        <v>2599</v>
      </c>
      <c r="J10068">
        <f>GC03/484.7</f>
        <v>0</v>
      </c>
      <c r="M10068" t="inlineStr">
        <is>
          <t>-484K34.2</t>
        </is>
      </c>
    </row>
    <row r="10069">
      <c r="A10069">
        <v>10068</v>
      </c>
      <c r="B10069">
        <f>GS24</f>
        <v>0</v>
      </c>
      <c r="C10069" t="inlineStr">
        <is>
          <t>+LS10</t>
        </is>
      </c>
      <c r="D10069" t="inlineStr">
        <is>
          <t>-484K3503.3</t>
        </is>
      </c>
      <c r="E10069" t="inlineStr">
        <is>
          <t>DIL_EM-01-G</t>
        </is>
      </c>
      <c r="F10069" t="inlineStr">
        <is>
          <t>#KALK!</t>
        </is>
      </c>
      <c r="G10069" t="inlineStr">
        <is>
          <t>LASTSCHUETZ</t>
        </is>
      </c>
      <c r="H10069" t="inlineStr">
        <is>
          <t>4kW 1OE</t>
        </is>
      </c>
      <c r="I10069">
        <v>612</v>
      </c>
      <c r="J10069">
        <f>GS24/484.7</f>
        <v>0</v>
      </c>
      <c r="M10069" t="inlineStr">
        <is>
          <t>-484K3503.3</t>
        </is>
      </c>
    </row>
    <row r="10070">
      <c r="A10070">
        <v>10069</v>
      </c>
      <c r="B10070">
        <f>GS14</f>
        <v>0</v>
      </c>
      <c r="C10070" t="inlineStr">
        <is>
          <t>+LS9</t>
        </is>
      </c>
      <c r="D10070" t="inlineStr">
        <is>
          <t>-484K3511.3</t>
        </is>
      </c>
      <c r="E10070" t="inlineStr">
        <is>
          <t>DIL_EM-10-G</t>
        </is>
      </c>
      <c r="F10070" t="inlineStr">
        <is>
          <t>#KALK!</t>
        </is>
      </c>
      <c r="G10070" t="inlineStr">
        <is>
          <t>LASTSCHUETZ</t>
        </is>
      </c>
      <c r="H10070" t="inlineStr">
        <is>
          <t>4kW 1S</t>
        </is>
      </c>
      <c r="I10070">
        <v>616</v>
      </c>
      <c r="J10070">
        <f>GS14/484.7</f>
        <v>0</v>
      </c>
      <c r="M10070" t="inlineStr">
        <is>
          <t>-484K3511.3</t>
        </is>
      </c>
    </row>
    <row r="10071">
      <c r="A10071">
        <v>10070</v>
      </c>
      <c r="B10071">
        <f>GS16</f>
        <v>0</v>
      </c>
      <c r="C10071" t="inlineStr">
        <is>
          <t>+LS9</t>
        </is>
      </c>
      <c r="D10071" t="inlineStr">
        <is>
          <t>-484K3700.4</t>
        </is>
      </c>
      <c r="E10071" t="inlineStr">
        <is>
          <t>DIL_EM-10-G</t>
        </is>
      </c>
      <c r="F10071" t="inlineStr">
        <is>
          <t>#KALK!</t>
        </is>
      </c>
      <c r="G10071" t="inlineStr">
        <is>
          <t>LASTSCHUETZ</t>
        </is>
      </c>
      <c r="H10071" t="inlineStr">
        <is>
          <t>4kW 1S</t>
        </is>
      </c>
      <c r="I10071">
        <v>723</v>
      </c>
      <c r="J10071">
        <f>GS16/484.6</f>
        <v>0</v>
      </c>
      <c r="M10071" t="inlineStr">
        <is>
          <t>-484K3700.4</t>
        </is>
      </c>
    </row>
    <row r="10072">
      <c r="A10072">
        <v>10071</v>
      </c>
      <c r="B10072">
        <f>GS16</f>
        <v>0</v>
      </c>
      <c r="C10072" t="inlineStr">
        <is>
          <t>+LS9</t>
        </is>
      </c>
      <c r="D10072" t="inlineStr">
        <is>
          <t>-484K3700.5</t>
        </is>
      </c>
      <c r="E10072" t="inlineStr">
        <is>
          <t>DIL_EM-10-G</t>
        </is>
      </c>
      <c r="F10072" t="inlineStr">
        <is>
          <t>#KALK!</t>
        </is>
      </c>
      <c r="G10072" t="inlineStr">
        <is>
          <t>LASTSCHUETZ</t>
        </is>
      </c>
      <c r="H10072" t="inlineStr">
        <is>
          <t>4kW 1S</t>
        </is>
      </c>
      <c r="I10072">
        <v>723</v>
      </c>
      <c r="J10072">
        <f>GS16/484.6</f>
        <v>0</v>
      </c>
      <c r="M10072" t="inlineStr">
        <is>
          <t>-484K3700.5</t>
        </is>
      </c>
    </row>
    <row r="10073">
      <c r="A10073">
        <v>10072</v>
      </c>
      <c r="B10073">
        <f>GS31</f>
        <v>0</v>
      </c>
      <c r="C10073" t="inlineStr">
        <is>
          <t>+LS9</t>
        </is>
      </c>
      <c r="D10073" t="inlineStr">
        <is>
          <t>-484K62.4</t>
        </is>
      </c>
      <c r="E10073" t="inlineStr">
        <is>
          <t>DIL_EM-10-G</t>
        </is>
      </c>
      <c r="F10073" t="inlineStr">
        <is>
          <t>#KALK!</t>
        </is>
      </c>
      <c r="G10073" t="inlineStr">
        <is>
          <t>LASTSCHUETZ</t>
        </is>
      </c>
      <c r="H10073" t="inlineStr">
        <is>
          <t>4kW 1S</t>
        </is>
      </c>
      <c r="I10073">
        <v>778</v>
      </c>
      <c r="J10073">
        <f>GS31/484.6</f>
        <v>0</v>
      </c>
      <c r="M10073" t="inlineStr">
        <is>
          <t>-484K62.4</t>
        </is>
      </c>
    </row>
    <row r="10074">
      <c r="A10074">
        <v>10073</v>
      </c>
      <c r="B10074">
        <f>GS31</f>
        <v>0</v>
      </c>
      <c r="C10074" t="inlineStr">
        <is>
          <t>+LS9</t>
        </is>
      </c>
      <c r="D10074" t="inlineStr">
        <is>
          <t>-484K62.5</t>
        </is>
      </c>
      <c r="E10074" t="inlineStr">
        <is>
          <t>DIL_EM-10-G</t>
        </is>
      </c>
      <c r="F10074" t="inlineStr">
        <is>
          <t>#KALK!</t>
        </is>
      </c>
      <c r="G10074" t="inlineStr">
        <is>
          <t>LASTSCHUETZ</t>
        </is>
      </c>
      <c r="H10074" t="inlineStr">
        <is>
          <t>4kW 1S</t>
        </is>
      </c>
      <c r="I10074">
        <v>778</v>
      </c>
      <c r="J10074">
        <f>GS31/484.6</f>
        <v>0</v>
      </c>
      <c r="M10074" t="inlineStr">
        <is>
          <t>-484K62.5</t>
        </is>
      </c>
    </row>
    <row r="10075">
      <c r="A10075">
        <v>10074</v>
      </c>
      <c r="B10075">
        <f>GS93</f>
        <v>0</v>
      </c>
      <c r="C10075" t="inlineStr">
        <is>
          <t>+LS09</t>
        </is>
      </c>
      <c r="D10075" t="inlineStr">
        <is>
          <t>-484Q485.1</t>
        </is>
      </c>
      <c r="E10075" t="inlineStr">
        <is>
          <t>DILM-9-10</t>
        </is>
      </c>
      <c r="F10075" t="inlineStr">
        <is>
          <t>#KALK!</t>
        </is>
      </c>
      <c r="G10075" t="inlineStr">
        <is>
          <t>LASTSCHUETZ</t>
        </is>
      </c>
      <c r="H10075" t="inlineStr">
        <is>
          <t>4kW 1S Federzugkl.</t>
        </is>
      </c>
      <c r="I10075">
        <v>1038</v>
      </c>
      <c r="J10075">
        <f>GS93/484.5</f>
        <v>0</v>
      </c>
      <c r="M10075" t="inlineStr">
        <is>
          <t>-484Q485.1</t>
        </is>
      </c>
    </row>
    <row r="10076">
      <c r="A10076">
        <v>10075</v>
      </c>
      <c r="B10076">
        <f>GS13</f>
        <v>0</v>
      </c>
      <c r="C10076" t="inlineStr">
        <is>
          <t>+LS11</t>
        </is>
      </c>
      <c r="D10076" t="inlineStr">
        <is>
          <t>-48516.1</t>
        </is>
      </c>
      <c r="E10076" t="inlineStr">
        <is>
          <t>DIL_EM-10-G</t>
        </is>
      </c>
      <c r="F10076" t="inlineStr">
        <is>
          <t>#KALK!</t>
        </is>
      </c>
      <c r="G10076" t="inlineStr">
        <is>
          <t>LASTSCHUETZ</t>
        </is>
      </c>
      <c r="H10076" t="inlineStr">
        <is>
          <t>4kW 1S</t>
        </is>
      </c>
      <c r="I10076">
        <v>741</v>
      </c>
      <c r="J10076">
        <f>GS13/485.6</f>
        <v>0</v>
      </c>
      <c r="M10076" t="inlineStr">
        <is>
          <t>-48516.1</t>
        </is>
      </c>
    </row>
    <row r="10077">
      <c r="A10077">
        <v>10076</v>
      </c>
      <c r="B10077">
        <f>GS13</f>
        <v>0</v>
      </c>
      <c r="C10077" t="inlineStr">
        <is>
          <t>+LS11</t>
        </is>
      </c>
      <c r="D10077" t="inlineStr">
        <is>
          <t>-48516.2</t>
        </is>
      </c>
      <c r="E10077" t="inlineStr">
        <is>
          <t>DIL_EM-10-G</t>
        </is>
      </c>
      <c r="F10077" t="inlineStr">
        <is>
          <t>#KALK!</t>
        </is>
      </c>
      <c r="G10077" t="inlineStr">
        <is>
          <t>LASTSCHUETZ</t>
        </is>
      </c>
      <c r="H10077" t="inlineStr">
        <is>
          <t>4kW 1S</t>
        </is>
      </c>
      <c r="I10077">
        <v>741</v>
      </c>
      <c r="J10077">
        <f>GS13/485.6</f>
        <v>0</v>
      </c>
      <c r="M10077" t="inlineStr">
        <is>
          <t>-48516.2</t>
        </is>
      </c>
    </row>
    <row r="10078">
      <c r="A10078">
        <v>10077</v>
      </c>
      <c r="B10078">
        <f>GS23</f>
        <v>0</v>
      </c>
      <c r="C10078" t="inlineStr">
        <is>
          <t>+LS11</t>
        </is>
      </c>
      <c r="D10078" t="inlineStr">
        <is>
          <t>-485K16.1</t>
        </is>
      </c>
      <c r="E10078" t="inlineStr">
        <is>
          <t>DIL_EM-10-G</t>
        </is>
      </c>
      <c r="F10078" t="inlineStr">
        <is>
          <t>#KALK!</t>
        </is>
      </c>
      <c r="G10078" t="inlineStr">
        <is>
          <t>LASTSCHUETZ</t>
        </is>
      </c>
      <c r="H10078" t="inlineStr">
        <is>
          <t>4kW 1S</t>
        </is>
      </c>
      <c r="I10078">
        <v>795</v>
      </c>
      <c r="J10078">
        <f>GS23/485.6</f>
        <v>0</v>
      </c>
      <c r="M10078" t="inlineStr">
        <is>
          <t>-485K16.1</t>
        </is>
      </c>
    </row>
    <row r="10079">
      <c r="A10079">
        <v>10078</v>
      </c>
      <c r="B10079">
        <f>GS23</f>
        <v>0</v>
      </c>
      <c r="C10079" t="inlineStr">
        <is>
          <t>+LS11</t>
        </is>
      </c>
      <c r="D10079" t="inlineStr">
        <is>
          <t>-485K16.2</t>
        </is>
      </c>
      <c r="E10079" t="inlineStr">
        <is>
          <t>DIL_EM-10-G</t>
        </is>
      </c>
      <c r="F10079" t="inlineStr">
        <is>
          <t>#KALK!</t>
        </is>
      </c>
      <c r="G10079" t="inlineStr">
        <is>
          <t>LASTSCHUETZ</t>
        </is>
      </c>
      <c r="H10079" t="inlineStr">
        <is>
          <t>4kW 1S</t>
        </is>
      </c>
      <c r="I10079">
        <v>795</v>
      </c>
      <c r="J10079">
        <f>GS23/485.6</f>
        <v>0</v>
      </c>
      <c r="M10079" t="inlineStr">
        <is>
          <t>-485K16.2</t>
        </is>
      </c>
    </row>
    <row r="10080">
      <c r="A10080">
        <v>10079</v>
      </c>
      <c r="B10080">
        <f>GS01</f>
        <v>0</v>
      </c>
      <c r="C10080" t="inlineStr">
        <is>
          <t>+LS10</t>
        </is>
      </c>
      <c r="D10080" t="inlineStr">
        <is>
          <t>-485K17.5</t>
        </is>
      </c>
      <c r="E10080" t="inlineStr">
        <is>
          <t>DIL_EM-10-G</t>
        </is>
      </c>
      <c r="F10080" t="inlineStr">
        <is>
          <t>#KALK!</t>
        </is>
      </c>
      <c r="G10080" t="inlineStr">
        <is>
          <t>LASTSCHUETZ</t>
        </is>
      </c>
      <c r="H10080" t="inlineStr">
        <is>
          <t>4kW 1S</t>
        </is>
      </c>
      <c r="I10080">
        <v>649</v>
      </c>
      <c r="J10080">
        <f>GS01/485.7</f>
        <v>0</v>
      </c>
      <c r="M10080" t="inlineStr">
        <is>
          <t>-485K17.5</t>
        </is>
      </c>
    </row>
    <row r="10081">
      <c r="A10081">
        <v>10080</v>
      </c>
      <c r="B10081">
        <f>GC03</f>
        <v>0</v>
      </c>
      <c r="C10081" t="inlineStr">
        <is>
          <t>+LS11</t>
        </is>
      </c>
      <c r="D10081" t="inlineStr">
        <is>
          <t>-485K34.3</t>
        </is>
      </c>
      <c r="E10081" t="inlineStr">
        <is>
          <t>DIL_EM-10-G</t>
        </is>
      </c>
      <c r="F10081" t="inlineStr">
        <is>
          <t>#KALK!</t>
        </is>
      </c>
      <c r="G10081" t="inlineStr">
        <is>
          <t>LASTSCHUETZ</t>
        </is>
      </c>
      <c r="H10081" t="inlineStr">
        <is>
          <t>4kW 1S</t>
        </is>
      </c>
      <c r="I10081">
        <v>3920</v>
      </c>
      <c r="J10081">
        <f>GC03/485.6</f>
        <v>0</v>
      </c>
      <c r="M10081" t="inlineStr">
        <is>
          <t>-485K34.3</t>
        </is>
      </c>
    </row>
    <row r="10082">
      <c r="A10082">
        <v>10081</v>
      </c>
      <c r="B10082">
        <f>GC03</f>
        <v>0</v>
      </c>
      <c r="C10082" t="inlineStr">
        <is>
          <t>+LS11</t>
        </is>
      </c>
      <c r="D10082" t="inlineStr">
        <is>
          <t>-485K34.4</t>
        </is>
      </c>
      <c r="E10082" t="inlineStr">
        <is>
          <t>DIL_EM-10-G</t>
        </is>
      </c>
      <c r="F10082" t="inlineStr">
        <is>
          <t>#KALK!</t>
        </is>
      </c>
      <c r="G10082" t="inlineStr">
        <is>
          <t>LASTSCHUETZ</t>
        </is>
      </c>
      <c r="H10082" t="inlineStr">
        <is>
          <t>4kW 1S</t>
        </is>
      </c>
      <c r="I10082">
        <v>3920</v>
      </c>
      <c r="J10082">
        <f>GC03/485.7</f>
        <v>0</v>
      </c>
      <c r="M10082" t="inlineStr">
        <is>
          <t>-485K34.4</t>
        </is>
      </c>
    </row>
    <row r="10083">
      <c r="A10083">
        <v>10082</v>
      </c>
      <c r="B10083">
        <f>GS24</f>
        <v>0</v>
      </c>
      <c r="C10083" t="inlineStr">
        <is>
          <t>+LS10</t>
        </is>
      </c>
      <c r="D10083" t="inlineStr">
        <is>
          <t>-485K3503.4</t>
        </is>
      </c>
      <c r="E10083" t="inlineStr">
        <is>
          <t>DIL_EM-10-G</t>
        </is>
      </c>
      <c r="F10083" t="inlineStr">
        <is>
          <t>#KALK!</t>
        </is>
      </c>
      <c r="G10083" t="inlineStr">
        <is>
          <t>LASTSCHUETZ</t>
        </is>
      </c>
      <c r="H10083" t="inlineStr">
        <is>
          <t>4kW 1S</t>
        </is>
      </c>
      <c r="I10083">
        <v>611</v>
      </c>
      <c r="J10083">
        <f>GS24/485.6</f>
        <v>0</v>
      </c>
      <c r="M10083" t="inlineStr">
        <is>
          <t>-485K3503.4</t>
        </is>
      </c>
    </row>
    <row r="10084">
      <c r="A10084">
        <v>10083</v>
      </c>
      <c r="B10084">
        <f>GS14</f>
        <v>0</v>
      </c>
      <c r="C10084" t="inlineStr">
        <is>
          <t>+LS9</t>
        </is>
      </c>
      <c r="D10084" t="inlineStr">
        <is>
          <t>-485K3511.4</t>
        </is>
      </c>
      <c r="E10084" t="inlineStr">
        <is>
          <t>DIL_EM-10-G</t>
        </is>
      </c>
      <c r="F10084" t="inlineStr">
        <is>
          <t>#KALK!</t>
        </is>
      </c>
      <c r="G10084" t="inlineStr">
        <is>
          <t>LASTSCHUETZ</t>
        </is>
      </c>
      <c r="H10084" t="inlineStr">
        <is>
          <t>4kW 1S</t>
        </is>
      </c>
      <c r="I10084">
        <v>617</v>
      </c>
      <c r="J10084">
        <f>GS14/485.6</f>
        <v>0</v>
      </c>
      <c r="M10084" t="inlineStr">
        <is>
          <t>-485K3511.4</t>
        </is>
      </c>
    </row>
    <row r="10085">
      <c r="A10085">
        <v>10084</v>
      </c>
      <c r="B10085">
        <f>GS16</f>
        <v>0</v>
      </c>
      <c r="C10085" t="inlineStr">
        <is>
          <t>+LS9</t>
        </is>
      </c>
      <c r="D10085" t="inlineStr">
        <is>
          <t>-485K3701.1</t>
        </is>
      </c>
      <c r="E10085" t="inlineStr">
        <is>
          <t>DIL_EM-10-G</t>
        </is>
      </c>
      <c r="F10085" t="inlineStr">
        <is>
          <t>#KALK!</t>
        </is>
      </c>
      <c r="G10085" t="inlineStr">
        <is>
          <t>LASTSCHUETZ</t>
        </is>
      </c>
      <c r="H10085" t="inlineStr">
        <is>
          <t>4kW 1S</t>
        </is>
      </c>
      <c r="I10085">
        <v>724</v>
      </c>
      <c r="J10085">
        <f>GS16/485.7</f>
        <v>0</v>
      </c>
      <c r="M10085" t="inlineStr">
        <is>
          <t>-485K3701.1</t>
        </is>
      </c>
    </row>
    <row r="10086">
      <c r="A10086">
        <v>10085</v>
      </c>
      <c r="B10086">
        <f>GS35</f>
        <v>0</v>
      </c>
      <c r="C10086" t="inlineStr">
        <is>
          <t>+LS11</t>
        </is>
      </c>
      <c r="D10086" t="inlineStr">
        <is>
          <t>-485K453.2</t>
        </is>
      </c>
      <c r="E10086" t="inlineStr">
        <is>
          <t>DILA-40</t>
        </is>
      </c>
      <c r="F10086" t="inlineStr">
        <is>
          <t>#KALK!</t>
        </is>
      </c>
      <c r="G10086" t="inlineStr">
        <is>
          <t>HILFSSCHUETZ</t>
        </is>
      </c>
      <c r="H10086" t="inlineStr">
        <is>
          <t>4S Federzugkl.</t>
        </is>
      </c>
      <c r="I10086">
        <v>642</v>
      </c>
      <c r="J10086">
        <f>GS35/485.7</f>
        <v>0</v>
      </c>
      <c r="M10086" t="inlineStr">
        <is>
          <t>-485K453.2</t>
        </is>
      </c>
    </row>
    <row r="10087">
      <c r="A10087">
        <v>10086</v>
      </c>
      <c r="B10087">
        <f>GS91</f>
        <v>0</v>
      </c>
      <c r="C10087" t="inlineStr">
        <is>
          <t>+LS09</t>
        </is>
      </c>
      <c r="D10087" t="inlineStr">
        <is>
          <t>-485K464.0</t>
        </is>
      </c>
      <c r="E10087" t="inlineStr">
        <is>
          <t>DILA-40</t>
        </is>
      </c>
      <c r="F10087" t="inlineStr">
        <is>
          <t>#KALK!</t>
        </is>
      </c>
      <c r="G10087" t="inlineStr">
        <is>
          <t>HILFSSCHUETZ</t>
        </is>
      </c>
      <c r="H10087" t="inlineStr">
        <is>
          <t>4S Federzugkl.</t>
        </is>
      </c>
      <c r="I10087">
        <v>637</v>
      </c>
      <c r="J10087">
        <f>GS91/485.7</f>
        <v>0</v>
      </c>
      <c r="M10087" t="inlineStr">
        <is>
          <t>-485K464.0</t>
        </is>
      </c>
    </row>
    <row r="10088">
      <c r="A10088">
        <v>10087</v>
      </c>
      <c r="B10088">
        <f>GS90</f>
        <v>0</v>
      </c>
      <c r="C10088" t="inlineStr">
        <is>
          <t>+LS10</t>
        </is>
      </c>
      <c r="D10088" t="inlineStr">
        <is>
          <t>-485K471.4</t>
        </is>
      </c>
      <c r="E10088" t="inlineStr">
        <is>
          <t>DILA-40</t>
        </is>
      </c>
      <c r="F10088" t="inlineStr">
        <is>
          <t>#KALK!</t>
        </is>
      </c>
      <c r="G10088" t="inlineStr">
        <is>
          <t>HILFSSCHUETZ</t>
        </is>
      </c>
      <c r="H10088" t="inlineStr">
        <is>
          <t>4S Federzugkl.</t>
        </is>
      </c>
      <c r="I10088">
        <v>763</v>
      </c>
      <c r="J10088">
        <f>GS90/485.7</f>
        <v>0</v>
      </c>
      <c r="M10088" t="inlineStr">
        <is>
          <t>-485K471.4</t>
        </is>
      </c>
    </row>
    <row r="10089">
      <c r="A10089">
        <v>10088</v>
      </c>
      <c r="B10089">
        <f>GS31</f>
        <v>0</v>
      </c>
      <c r="C10089" t="inlineStr">
        <is>
          <t>+LS9</t>
        </is>
      </c>
      <c r="D10089" t="inlineStr">
        <is>
          <t>-485K62.6</t>
        </is>
      </c>
      <c r="E10089" t="inlineStr">
        <is>
          <t>DIL_EM-10-G</t>
        </is>
      </c>
      <c r="F10089" t="inlineStr">
        <is>
          <t>#KALK!</t>
        </is>
      </c>
      <c r="G10089" t="inlineStr">
        <is>
          <t>LASTSCHUETZ</t>
        </is>
      </c>
      <c r="H10089" t="inlineStr">
        <is>
          <t>4kW 1S</t>
        </is>
      </c>
      <c r="I10089">
        <v>779</v>
      </c>
      <c r="J10089">
        <f>GS31/485.6</f>
        <v>0</v>
      </c>
      <c r="M10089" t="inlineStr">
        <is>
          <t>-485K62.6</t>
        </is>
      </c>
    </row>
    <row r="10090">
      <c r="A10090">
        <v>10089</v>
      </c>
      <c r="B10090">
        <f>GS31</f>
        <v>0</v>
      </c>
      <c r="C10090" t="inlineStr">
        <is>
          <t>+LS9</t>
        </is>
      </c>
      <c r="D10090" t="inlineStr">
        <is>
          <t>-485K62.7</t>
        </is>
      </c>
      <c r="E10090" t="inlineStr">
        <is>
          <t>DIL_EM-10-G</t>
        </is>
      </c>
      <c r="F10090" t="inlineStr">
        <is>
          <t>#KALK!</t>
        </is>
      </c>
      <c r="G10090" t="inlineStr">
        <is>
          <t>LASTSCHUETZ</t>
        </is>
      </c>
      <c r="H10090" t="inlineStr">
        <is>
          <t>4kW 1S</t>
        </is>
      </c>
      <c r="I10090">
        <v>779</v>
      </c>
      <c r="J10090">
        <f>GS31/485.6</f>
        <v>0</v>
      </c>
      <c r="M10090" t="inlineStr">
        <is>
          <t>-485K62.7</t>
        </is>
      </c>
    </row>
    <row r="10091">
      <c r="A10091">
        <v>10090</v>
      </c>
      <c r="B10091">
        <f>GS20</f>
        <v>0</v>
      </c>
      <c r="C10091" t="inlineStr">
        <is>
          <t>+LS13</t>
        </is>
      </c>
      <c r="D10091" t="inlineStr">
        <is>
          <t>-485K702.4</t>
        </is>
      </c>
      <c r="E10091" t="inlineStr">
        <is>
          <t>DILA-40</t>
        </is>
      </c>
      <c r="F10091" t="inlineStr">
        <is>
          <t>#KALK!</t>
        </is>
      </c>
      <c r="G10091" t="inlineStr">
        <is>
          <t>HILFSSCHUETZ</t>
        </is>
      </c>
      <c r="H10091" t="inlineStr">
        <is>
          <t>4S Federzugkl.</t>
        </is>
      </c>
      <c r="I10091">
        <v>3034</v>
      </c>
      <c r="J10091">
        <f>GS20/485.7</f>
        <v>0</v>
      </c>
      <c r="M10091" t="inlineStr">
        <is>
          <t>-485K702.4</t>
        </is>
      </c>
    </row>
    <row r="10092">
      <c r="A10092">
        <v>10091</v>
      </c>
      <c r="B10092">
        <f>GS92</f>
        <v>0</v>
      </c>
      <c r="C10092" t="inlineStr">
        <is>
          <t>+LS08</t>
        </is>
      </c>
      <c r="D10092" t="inlineStr">
        <is>
          <t>-485K759.0</t>
        </is>
      </c>
      <c r="E10092" t="inlineStr">
        <is>
          <t>DILA-40</t>
        </is>
      </c>
      <c r="F10092" t="inlineStr">
        <is>
          <t>#KALK!</t>
        </is>
      </c>
      <c r="G10092" t="inlineStr">
        <is>
          <t>HILFSSCHUETZ</t>
        </is>
      </c>
      <c r="H10092" t="inlineStr">
        <is>
          <t>4S Federzugkl.</t>
        </is>
      </c>
      <c r="I10092">
        <v>630</v>
      </c>
      <c r="J10092">
        <f>GS92/485.7</f>
        <v>0</v>
      </c>
      <c r="M10092" t="inlineStr">
        <is>
          <t>-485K759.0</t>
        </is>
      </c>
    </row>
    <row r="10093">
      <c r="A10093">
        <v>10092</v>
      </c>
      <c r="B10093">
        <f>GS20</f>
        <v>0</v>
      </c>
      <c r="C10093" t="inlineStr">
        <is>
          <t>+LS13</t>
        </is>
      </c>
      <c r="D10093" t="inlineStr">
        <is>
          <t>-485Q1</t>
        </is>
      </c>
      <c r="E10093" t="inlineStr">
        <is>
          <t>DILA-XHI22</t>
        </is>
      </c>
      <c r="F10093" t="inlineStr">
        <is>
          <t>DILA-XHI22</t>
        </is>
      </c>
      <c r="G10093" t="inlineStr">
        <is>
          <t>HILFSKONTAKTBLOCK</t>
        </is>
      </c>
      <c r="H10093" t="inlineStr">
        <is>
          <t>2S 2OE Last+Hilfssch. Cage</t>
        </is>
      </c>
      <c r="I10093">
        <v>3034</v>
      </c>
      <c r="J10093">
        <f>GS20/485.4</f>
        <v>0</v>
      </c>
      <c r="K10093" t="inlineStr">
        <is>
          <t>DIL MC25</t>
        </is>
      </c>
      <c r="M10093" t="inlineStr">
        <is>
          <t>-485Q1</t>
        </is>
      </c>
    </row>
    <row r="10094">
      <c r="A10094">
        <v>10093</v>
      </c>
      <c r="B10094">
        <f>GS20</f>
        <v>0</v>
      </c>
      <c r="C10094" t="inlineStr">
        <is>
          <t>+LS13</t>
        </is>
      </c>
      <c r="D10094" t="inlineStr">
        <is>
          <t>-485Q1</t>
        </is>
      </c>
      <c r="E10094" t="inlineStr">
        <is>
          <t>DILMC25-10(RDC24)</t>
        </is>
      </c>
      <c r="F10094" t="inlineStr">
        <is>
          <t>DILA-XHI22</t>
        </is>
      </c>
      <c r="G10094" t="inlineStr">
        <is>
          <t>LASTSCHUETZ</t>
        </is>
      </c>
      <c r="H10094" t="inlineStr">
        <is>
          <t>11kW 1S Federzugkl.</t>
        </is>
      </c>
      <c r="I10094">
        <v>3034</v>
      </c>
      <c r="J10094">
        <f>GS20/485.4</f>
        <v>0</v>
      </c>
      <c r="K10094" t="inlineStr">
        <is>
          <t>DIL MC25</t>
        </is>
      </c>
      <c r="M10094" t="inlineStr">
        <is>
          <t>-485Q1</t>
        </is>
      </c>
    </row>
    <row r="10095">
      <c r="A10095">
        <v>10094</v>
      </c>
      <c r="B10095">
        <f>GS35</f>
        <v>0</v>
      </c>
      <c r="C10095" t="inlineStr">
        <is>
          <t>+LS11</t>
        </is>
      </c>
      <c r="D10095" t="inlineStr">
        <is>
          <t>-485Q1</t>
        </is>
      </c>
      <c r="E10095" t="inlineStr">
        <is>
          <t>DILA-XHI22</t>
        </is>
      </c>
      <c r="F10095" t="inlineStr">
        <is>
          <t>DILA-XHI22</t>
        </is>
      </c>
      <c r="G10095" t="inlineStr">
        <is>
          <t>HILFSKONTAKTBLOCK</t>
        </is>
      </c>
      <c r="H10095" t="inlineStr">
        <is>
          <t>2S 2OE Last+Hilfssch. Cage</t>
        </is>
      </c>
      <c r="I10095">
        <v>642</v>
      </c>
      <c r="J10095">
        <f>GS35/485.4</f>
        <v>0</v>
      </c>
      <c r="K10095" t="inlineStr">
        <is>
          <t>DIL MC25</t>
        </is>
      </c>
      <c r="M10095" t="inlineStr">
        <is>
          <t>-485Q1</t>
        </is>
      </c>
    </row>
    <row r="10096">
      <c r="A10096">
        <v>10095</v>
      </c>
      <c r="B10096">
        <f>GS35</f>
        <v>0</v>
      </c>
      <c r="C10096" t="inlineStr">
        <is>
          <t>+LS11</t>
        </is>
      </c>
      <c r="D10096" t="inlineStr">
        <is>
          <t>-485Q1</t>
        </is>
      </c>
      <c r="E10096" t="inlineStr">
        <is>
          <t>DILM-25-10</t>
        </is>
      </c>
      <c r="F10096" t="inlineStr">
        <is>
          <t>DILA-XHI22</t>
        </is>
      </c>
      <c r="G10096" t="inlineStr">
        <is>
          <t>LASTSCHUETZ</t>
        </is>
      </c>
      <c r="H10096" t="inlineStr">
        <is>
          <t>11kW 1S Federzugkl.</t>
        </is>
      </c>
      <c r="I10096">
        <v>642</v>
      </c>
      <c r="J10096">
        <f>GS35/485.4</f>
        <v>0</v>
      </c>
      <c r="K10096" t="inlineStr">
        <is>
          <t>DIL MC25</t>
        </is>
      </c>
      <c r="M10096" t="inlineStr">
        <is>
          <t>-485Q1</t>
        </is>
      </c>
    </row>
    <row r="10097">
      <c r="A10097">
        <v>10096</v>
      </c>
      <c r="B10097">
        <f>GS51</f>
        <v>0</v>
      </c>
      <c r="C10097" t="inlineStr">
        <is>
          <t>+LS07</t>
        </is>
      </c>
      <c r="D10097" t="inlineStr">
        <is>
          <t>-485Q1</t>
        </is>
      </c>
      <c r="E10097" t="inlineStr">
        <is>
          <t>DILA-XHI22</t>
        </is>
      </c>
      <c r="F10097" t="inlineStr">
        <is>
          <t>DILA-XHI22</t>
        </is>
      </c>
      <c r="G10097" t="inlineStr">
        <is>
          <t>HILFSKONTAKTBLOCK</t>
        </is>
      </c>
      <c r="H10097" t="inlineStr">
        <is>
          <t>2S 2OE Last+Hilfssch. Cage</t>
        </is>
      </c>
      <c r="I10097">
        <v>653</v>
      </c>
      <c r="J10097">
        <f>GS51/485.6</f>
        <v>0</v>
      </c>
      <c r="K10097" t="inlineStr">
        <is>
          <t>DIL MC25</t>
        </is>
      </c>
      <c r="M10097" t="inlineStr">
        <is>
          <t>-485Q1</t>
        </is>
      </c>
    </row>
    <row r="10098">
      <c r="A10098">
        <v>10097</v>
      </c>
      <c r="B10098">
        <f>GS51</f>
        <v>0</v>
      </c>
      <c r="C10098" t="inlineStr">
        <is>
          <t>+LS07</t>
        </is>
      </c>
      <c r="D10098" t="inlineStr">
        <is>
          <t>-485Q1</t>
        </is>
      </c>
      <c r="E10098" t="inlineStr">
        <is>
          <t>DILMC25-10(RDC24)</t>
        </is>
      </c>
      <c r="F10098" t="inlineStr">
        <is>
          <t>DILA-XHI22</t>
        </is>
      </c>
      <c r="G10098" t="inlineStr">
        <is>
          <t>LASTSCHUETZ</t>
        </is>
      </c>
      <c r="H10098" t="inlineStr">
        <is>
          <t>11kW 1S Federzugkl.</t>
        </is>
      </c>
      <c r="I10098">
        <v>653</v>
      </c>
      <c r="J10098">
        <f>GS51/485.6</f>
        <v>0</v>
      </c>
      <c r="K10098" t="inlineStr">
        <is>
          <t>DIL MC25</t>
        </is>
      </c>
      <c r="M10098" t="inlineStr">
        <is>
          <t>-485Q1</t>
        </is>
      </c>
    </row>
    <row r="10099">
      <c r="A10099">
        <v>10098</v>
      </c>
      <c r="B10099">
        <f>GS55</f>
        <v>0</v>
      </c>
      <c r="C10099" t="inlineStr">
        <is>
          <t>+LS07</t>
        </is>
      </c>
      <c r="D10099" t="inlineStr">
        <is>
          <t>-485Q1</t>
        </is>
      </c>
      <c r="E10099" t="inlineStr">
        <is>
          <t>DILA-XHI22</t>
        </is>
      </c>
      <c r="F10099" t="inlineStr">
        <is>
          <t>DILA-XHI22</t>
        </is>
      </c>
      <c r="G10099" t="inlineStr">
        <is>
          <t>HILFSKONTAKTBLOCK</t>
        </is>
      </c>
      <c r="H10099" t="inlineStr">
        <is>
          <t>2S 2OE Last+Hilfssch. Cage</t>
        </is>
      </c>
      <c r="I10099">
        <v>755</v>
      </c>
      <c r="J10099">
        <f>GS55/485.6</f>
        <v>0</v>
      </c>
      <c r="K10099" t="inlineStr">
        <is>
          <t>DIL MC25</t>
        </is>
      </c>
      <c r="M10099" t="inlineStr">
        <is>
          <t>-485Q1</t>
        </is>
      </c>
    </row>
    <row r="10100">
      <c r="A10100">
        <v>10099</v>
      </c>
      <c r="B10100">
        <f>GS55</f>
        <v>0</v>
      </c>
      <c r="C10100" t="inlineStr">
        <is>
          <t>+LS07</t>
        </is>
      </c>
      <c r="D10100" t="inlineStr">
        <is>
          <t>-485Q1</t>
        </is>
      </c>
      <c r="E10100" t="inlineStr">
        <is>
          <t>DILMC25-10(RDC24)</t>
        </is>
      </c>
      <c r="F10100" t="inlineStr">
        <is>
          <t>DILA-XHI22</t>
        </is>
      </c>
      <c r="G10100" t="inlineStr">
        <is>
          <t>LASTSCHUETZ</t>
        </is>
      </c>
      <c r="H10100" t="inlineStr">
        <is>
          <t>11kW 1S Federzugkl.</t>
        </is>
      </c>
      <c r="I10100">
        <v>755</v>
      </c>
      <c r="J10100">
        <f>GS55/485.6</f>
        <v>0</v>
      </c>
      <c r="K10100" t="inlineStr">
        <is>
          <t>DIL MC25</t>
        </is>
      </c>
      <c r="M10100" t="inlineStr">
        <is>
          <t>-485Q1</t>
        </is>
      </c>
    </row>
    <row r="10101">
      <c r="A10101">
        <v>10100</v>
      </c>
      <c r="B10101">
        <f>GS90</f>
        <v>0</v>
      </c>
      <c r="C10101" t="inlineStr">
        <is>
          <t>+LS10</t>
        </is>
      </c>
      <c r="D10101" t="inlineStr">
        <is>
          <t>-485Q1</t>
        </is>
      </c>
      <c r="E10101" t="inlineStr">
        <is>
          <t>DILMC25-10(RDC24)</t>
        </is>
      </c>
      <c r="F10101" t="inlineStr">
        <is>
          <t>DILA-XHI22</t>
        </is>
      </c>
      <c r="G10101" t="inlineStr">
        <is>
          <t>LASTSCHUETZ</t>
        </is>
      </c>
      <c r="H10101" t="inlineStr">
        <is>
          <t>11kW 1S Federzugkl.</t>
        </is>
      </c>
      <c r="I10101">
        <v>763</v>
      </c>
      <c r="J10101">
        <f>GS90/485.4</f>
        <v>0</v>
      </c>
      <c r="K10101" t="inlineStr">
        <is>
          <t>DIL MC25</t>
        </is>
      </c>
      <c r="M10101" t="inlineStr">
        <is>
          <t>-485Q1</t>
        </is>
      </c>
    </row>
    <row r="10102">
      <c r="A10102">
        <v>10101</v>
      </c>
      <c r="B10102">
        <f>GS90</f>
        <v>0</v>
      </c>
      <c r="C10102" t="inlineStr">
        <is>
          <t>+LS10</t>
        </is>
      </c>
      <c r="D10102" t="inlineStr">
        <is>
          <t>-485Q1</t>
        </is>
      </c>
      <c r="E10102" t="inlineStr">
        <is>
          <t>DILA-XHI22</t>
        </is>
      </c>
      <c r="F10102" t="inlineStr">
        <is>
          <t>DILA-XHI22</t>
        </is>
      </c>
      <c r="G10102" t="inlineStr">
        <is>
          <t>HILFSKONTAKTBLOCK</t>
        </is>
      </c>
      <c r="H10102" t="inlineStr">
        <is>
          <t>2S 2OE Last+Hilfssch. Cage</t>
        </is>
      </c>
      <c r="I10102">
        <v>763</v>
      </c>
      <c r="J10102">
        <f>GS90/485.4</f>
        <v>0</v>
      </c>
      <c r="K10102" t="inlineStr">
        <is>
          <t>DIL MC25</t>
        </is>
      </c>
      <c r="M10102" t="inlineStr">
        <is>
          <t>-485Q1</t>
        </is>
      </c>
    </row>
    <row r="10103">
      <c r="A10103">
        <v>10102</v>
      </c>
      <c r="B10103">
        <f>GS91</f>
        <v>0</v>
      </c>
      <c r="C10103" t="inlineStr">
        <is>
          <t>+LS09</t>
        </is>
      </c>
      <c r="D10103" t="inlineStr">
        <is>
          <t>-485Q1</t>
        </is>
      </c>
      <c r="E10103" t="inlineStr">
        <is>
          <t>DILA-XHI22</t>
        </is>
      </c>
      <c r="F10103" t="inlineStr">
        <is>
          <t>DILA-XHI22</t>
        </is>
      </c>
      <c r="G10103" t="inlineStr">
        <is>
          <t>HILFSKONTAKTBLOCK</t>
        </is>
      </c>
      <c r="H10103" t="inlineStr">
        <is>
          <t>2S 2OE Last+Hilfssch. Cage</t>
        </is>
      </c>
      <c r="I10103">
        <v>637</v>
      </c>
      <c r="J10103">
        <f>GS91/485.4</f>
        <v>0</v>
      </c>
      <c r="K10103" t="inlineStr">
        <is>
          <t>DIL MC25</t>
        </is>
      </c>
      <c r="M10103" t="inlineStr">
        <is>
          <t>-485Q1</t>
        </is>
      </c>
    </row>
    <row r="10104">
      <c r="A10104">
        <v>10103</v>
      </c>
      <c r="B10104">
        <f>GS91</f>
        <v>0</v>
      </c>
      <c r="C10104" t="inlineStr">
        <is>
          <t>+LS09</t>
        </is>
      </c>
      <c r="D10104" t="inlineStr">
        <is>
          <t>-485Q1</t>
        </is>
      </c>
      <c r="E10104" t="inlineStr">
        <is>
          <t>DILMC25-10(RDC24)</t>
        </is>
      </c>
      <c r="F10104" t="inlineStr">
        <is>
          <t>DILA-XHI22</t>
        </is>
      </c>
      <c r="G10104" t="inlineStr">
        <is>
          <t>LASTSCHUETZ</t>
        </is>
      </c>
      <c r="H10104" t="inlineStr">
        <is>
          <t>11kW 1S Federzugkl.</t>
        </is>
      </c>
      <c r="I10104">
        <v>637</v>
      </c>
      <c r="J10104">
        <f>GS91/485.4</f>
        <v>0</v>
      </c>
      <c r="K10104" t="inlineStr">
        <is>
          <t>DIL MC25</t>
        </is>
      </c>
      <c r="M10104" t="inlineStr">
        <is>
          <t>-485Q1</t>
        </is>
      </c>
    </row>
    <row r="10105">
      <c r="A10105">
        <v>10104</v>
      </c>
      <c r="B10105">
        <f>GS92</f>
        <v>0</v>
      </c>
      <c r="C10105" t="inlineStr">
        <is>
          <t>+LS08</t>
        </is>
      </c>
      <c r="D10105" t="inlineStr">
        <is>
          <t>-485Q1</t>
        </is>
      </c>
      <c r="E10105" t="inlineStr">
        <is>
          <t>DILMC25-10(RDC24)</t>
        </is>
      </c>
      <c r="F10105" t="inlineStr">
        <is>
          <t>DILA-XHI22</t>
        </is>
      </c>
      <c r="G10105" t="inlineStr">
        <is>
          <t>LASTSCHUETZ</t>
        </is>
      </c>
      <c r="H10105" t="inlineStr">
        <is>
          <t>11kW 1S Federzugkl.</t>
        </is>
      </c>
      <c r="I10105">
        <v>630</v>
      </c>
      <c r="J10105">
        <f>GS92/485.4</f>
        <v>0</v>
      </c>
      <c r="K10105" t="inlineStr">
        <is>
          <t>DIL MC25</t>
        </is>
      </c>
      <c r="M10105" t="inlineStr">
        <is>
          <t>-485Q1</t>
        </is>
      </c>
    </row>
    <row r="10106">
      <c r="A10106">
        <v>10105</v>
      </c>
      <c r="B10106">
        <f>GS92</f>
        <v>0</v>
      </c>
      <c r="C10106" t="inlineStr">
        <is>
          <t>+LS08</t>
        </is>
      </c>
      <c r="D10106" t="inlineStr">
        <is>
          <t>-485Q1</t>
        </is>
      </c>
      <c r="E10106" t="inlineStr">
        <is>
          <t>DILA-XHI22</t>
        </is>
      </c>
      <c r="F10106" t="inlineStr">
        <is>
          <t>DILA-XHI22</t>
        </is>
      </c>
      <c r="G10106" t="inlineStr">
        <is>
          <t>HILFSKONTAKTBLOCK</t>
        </is>
      </c>
      <c r="H10106" t="inlineStr">
        <is>
          <t>2S 2OE Last+Hilfssch. Cage</t>
        </is>
      </c>
      <c r="I10106">
        <v>630</v>
      </c>
      <c r="J10106">
        <f>GS92/485.4</f>
        <v>0</v>
      </c>
      <c r="K10106" t="inlineStr">
        <is>
          <t>DIL MC25</t>
        </is>
      </c>
      <c r="M10106" t="inlineStr">
        <is>
          <t>-485Q1</t>
        </is>
      </c>
    </row>
    <row r="10107">
      <c r="A10107">
        <v>10106</v>
      </c>
      <c r="B10107">
        <f>GS35</f>
        <v>0</v>
      </c>
      <c r="C10107" t="inlineStr">
        <is>
          <t>+LS11</t>
        </is>
      </c>
      <c r="D10107" t="inlineStr">
        <is>
          <t>-485Q2</t>
        </is>
      </c>
      <c r="E10107" t="inlineStr">
        <is>
          <t>DILA-XHI22</t>
        </is>
      </c>
      <c r="F10107" t="inlineStr">
        <is>
          <t>DILA-XHI22</t>
        </is>
      </c>
      <c r="G10107" t="inlineStr">
        <is>
          <t>HILFSKONTAKTBLOCK</t>
        </is>
      </c>
      <c r="H10107" t="inlineStr">
        <is>
          <t>2S 2OE Last+Hilfssch. Cage</t>
        </is>
      </c>
      <c r="I10107">
        <v>642</v>
      </c>
      <c r="J10107">
        <f>GS35/485.4</f>
        <v>0</v>
      </c>
      <c r="K10107" t="inlineStr">
        <is>
          <t>DIL MC25</t>
        </is>
      </c>
      <c r="M10107" t="inlineStr">
        <is>
          <t>-485Q2</t>
        </is>
      </c>
    </row>
    <row r="10108">
      <c r="A10108">
        <v>10107</v>
      </c>
      <c r="B10108">
        <f>GS35</f>
        <v>0</v>
      </c>
      <c r="C10108" t="inlineStr">
        <is>
          <t>+LS11</t>
        </is>
      </c>
      <c r="D10108" t="inlineStr">
        <is>
          <t>-485Q2</t>
        </is>
      </c>
      <c r="E10108" t="inlineStr">
        <is>
          <t>DILM-25-10</t>
        </is>
      </c>
      <c r="F10108" t="inlineStr">
        <is>
          <t>DILA-XHI22</t>
        </is>
      </c>
      <c r="G10108" t="inlineStr">
        <is>
          <t>LASTSCHUETZ</t>
        </is>
      </c>
      <c r="H10108" t="inlineStr">
        <is>
          <t>11kW 1S Federzugkl.</t>
        </is>
      </c>
      <c r="I10108">
        <v>642</v>
      </c>
      <c r="J10108">
        <f>GS35/485.4</f>
        <v>0</v>
      </c>
      <c r="K10108" t="inlineStr">
        <is>
          <t>DIL MC25</t>
        </is>
      </c>
      <c r="M10108" t="inlineStr">
        <is>
          <t>-485Q2</t>
        </is>
      </c>
    </row>
    <row r="10109">
      <c r="A10109">
        <v>10108</v>
      </c>
      <c r="B10109">
        <f>GS93</f>
        <v>0</v>
      </c>
      <c r="C10109" t="inlineStr">
        <is>
          <t>+LS09</t>
        </is>
      </c>
      <c r="D10109" t="inlineStr">
        <is>
          <t>-485Q485.2</t>
        </is>
      </c>
      <c r="E10109" t="inlineStr">
        <is>
          <t>DILM-9-10</t>
        </is>
      </c>
      <c r="F10109" t="inlineStr">
        <is>
          <t>#KALK!</t>
        </is>
      </c>
      <c r="G10109" t="inlineStr">
        <is>
          <t>LASTSCHUETZ</t>
        </is>
      </c>
      <c r="H10109" t="inlineStr">
        <is>
          <t>4kW 1S Federzugkl.</t>
        </is>
      </c>
      <c r="I10109">
        <v>1039</v>
      </c>
      <c r="J10109">
        <f>GS93/485.5</f>
        <v>0</v>
      </c>
      <c r="M10109" t="inlineStr">
        <is>
          <t>-485Q485.2</t>
        </is>
      </c>
    </row>
    <row r="10110">
      <c r="A10110">
        <v>10109</v>
      </c>
      <c r="B10110">
        <f>GS13</f>
        <v>0</v>
      </c>
      <c r="C10110" t="inlineStr">
        <is>
          <t>+LS11</t>
        </is>
      </c>
      <c r="D10110" t="inlineStr">
        <is>
          <t>-48619.3</t>
        </is>
      </c>
      <c r="E10110" t="inlineStr">
        <is>
          <t>DIL_EM-10-G</t>
        </is>
      </c>
      <c r="F10110" t="inlineStr">
        <is>
          <t>#KALK!</t>
        </is>
      </c>
      <c r="G10110" t="inlineStr">
        <is>
          <t>LASTSCHUETZ</t>
        </is>
      </c>
      <c r="H10110" t="inlineStr">
        <is>
          <t>4kW 1S</t>
        </is>
      </c>
      <c r="I10110">
        <v>742</v>
      </c>
      <c r="J10110">
        <f>GS13/486.7</f>
        <v>0</v>
      </c>
      <c r="M10110" t="inlineStr">
        <is>
          <t>-48619.3</t>
        </is>
      </c>
    </row>
    <row r="10111">
      <c r="A10111">
        <v>10110</v>
      </c>
      <c r="B10111">
        <f>GC22</f>
        <v>0</v>
      </c>
      <c r="C10111" t="inlineStr">
        <is>
          <t>+QVW2201</t>
        </is>
      </c>
      <c r="D10111" t="inlineStr">
        <is>
          <t>-486K1</t>
        </is>
      </c>
      <c r="E10111" t="inlineStr">
        <is>
          <t>DIL_1AM-G</t>
        </is>
      </c>
      <c r="F10111" t="inlineStr">
        <is>
          <t>#KALK!</t>
        </is>
      </c>
      <c r="G10111" t="inlineStr">
        <is>
          <t>LASTSCHUETZ</t>
        </is>
      </c>
      <c r="H10111" t="inlineStr">
        <is>
          <t>18,5kW</t>
        </is>
      </c>
      <c r="I10111">
        <v>3601</v>
      </c>
      <c r="J10111">
        <f>GC22/486.2</f>
        <v>0</v>
      </c>
      <c r="M10111" t="inlineStr">
        <is>
          <t>-486K1</t>
        </is>
      </c>
    </row>
    <row r="10112">
      <c r="A10112">
        <v>10111</v>
      </c>
      <c r="B10112">
        <f>GS12</f>
        <v>0</v>
      </c>
      <c r="C10112" t="inlineStr">
        <is>
          <t>+QVW2201</t>
        </is>
      </c>
      <c r="D10112" t="inlineStr">
        <is>
          <t>-486K1</t>
        </is>
      </c>
      <c r="E10112" t="inlineStr">
        <is>
          <t>DIL_1AM-G</t>
        </is>
      </c>
      <c r="F10112" t="inlineStr">
        <is>
          <t>#KALK!</t>
        </is>
      </c>
      <c r="G10112" t="inlineStr">
        <is>
          <t>LASTSCHUETZ</t>
        </is>
      </c>
      <c r="H10112" t="inlineStr">
        <is>
          <t>18,5kW</t>
        </is>
      </c>
      <c r="I10112">
        <v>618</v>
      </c>
      <c r="J10112">
        <f>GS12/486.2</f>
        <v>0</v>
      </c>
      <c r="M10112" t="inlineStr">
        <is>
          <t>-486K1</t>
        </is>
      </c>
    </row>
    <row r="10113">
      <c r="A10113">
        <v>10112</v>
      </c>
      <c r="B10113">
        <f>GS34</f>
        <v>0</v>
      </c>
      <c r="C10113" t="inlineStr">
        <is>
          <t>+QVW2701</t>
        </is>
      </c>
      <c r="D10113" t="inlineStr">
        <is>
          <t>-486K1</t>
        </is>
      </c>
      <c r="E10113" t="inlineStr">
        <is>
          <t>DIL_1AM-G</t>
        </is>
      </c>
      <c r="F10113" t="inlineStr">
        <is>
          <t>#KALK!</t>
        </is>
      </c>
      <c r="G10113" t="inlineStr">
        <is>
          <t>LASTSCHUETZ</t>
        </is>
      </c>
      <c r="H10113" t="inlineStr">
        <is>
          <t>18,5kW</t>
        </is>
      </c>
      <c r="I10113">
        <v>611</v>
      </c>
      <c r="J10113">
        <f>GS34/486.2</f>
        <v>0</v>
      </c>
      <c r="M10113" t="inlineStr">
        <is>
          <t>-486K1</t>
        </is>
      </c>
    </row>
    <row r="10114">
      <c r="A10114">
        <v>10113</v>
      </c>
      <c r="B10114">
        <f>GS01</f>
        <v>0</v>
      </c>
      <c r="C10114" t="inlineStr">
        <is>
          <t>+LS10</t>
        </is>
      </c>
      <c r="D10114" t="inlineStr">
        <is>
          <t>-486K18.7</t>
        </is>
      </c>
      <c r="E10114" t="inlineStr">
        <is>
          <t>DIL_EM-10-G</t>
        </is>
      </c>
      <c r="F10114" t="inlineStr">
        <is>
          <t>#KALK!</t>
        </is>
      </c>
      <c r="G10114" t="inlineStr">
        <is>
          <t>LASTSCHUETZ</t>
        </is>
      </c>
      <c r="H10114" t="inlineStr">
        <is>
          <t>4kW 1S</t>
        </is>
      </c>
      <c r="I10114">
        <v>650</v>
      </c>
      <c r="J10114">
        <f>GS01/486.7</f>
        <v>0</v>
      </c>
      <c r="M10114" t="inlineStr">
        <is>
          <t>-486K18.7</t>
        </is>
      </c>
    </row>
    <row r="10115">
      <c r="A10115">
        <v>10114</v>
      </c>
      <c r="B10115">
        <f>GS23</f>
        <v>0</v>
      </c>
      <c r="C10115" t="inlineStr">
        <is>
          <t>+LS13</t>
        </is>
      </c>
      <c r="D10115" t="inlineStr">
        <is>
          <t>-486K19.3</t>
        </is>
      </c>
      <c r="E10115" t="inlineStr">
        <is>
          <t>DIL_EM-10-G</t>
        </is>
      </c>
      <c r="F10115" t="inlineStr">
        <is>
          <t>#KALK!</t>
        </is>
      </c>
      <c r="G10115" t="inlineStr">
        <is>
          <t>LASTSCHUETZ</t>
        </is>
      </c>
      <c r="H10115" t="inlineStr">
        <is>
          <t>4kW 1S</t>
        </is>
      </c>
      <c r="I10115">
        <v>796</v>
      </c>
      <c r="J10115">
        <f>GS23/486.7</f>
        <v>0</v>
      </c>
      <c r="M10115" t="inlineStr">
        <is>
          <t>-486K19.3</t>
        </is>
      </c>
    </row>
    <row r="10116">
      <c r="A10116">
        <v>10115</v>
      </c>
      <c r="B10116">
        <f>GC03</f>
        <v>0</v>
      </c>
      <c r="C10116" t="inlineStr">
        <is>
          <t>+LS11</t>
        </is>
      </c>
      <c r="D10116" t="inlineStr">
        <is>
          <t>-486K34.5</t>
        </is>
      </c>
      <c r="E10116" t="inlineStr">
        <is>
          <t>DIL_EM-10-G</t>
        </is>
      </c>
      <c r="F10116" t="inlineStr">
        <is>
          <t>#KALK!</t>
        </is>
      </c>
      <c r="G10116" t="inlineStr">
        <is>
          <t>LASTSCHUETZ</t>
        </is>
      </c>
      <c r="H10116" t="inlineStr">
        <is>
          <t>4kW 1S</t>
        </is>
      </c>
      <c r="I10116">
        <v>282</v>
      </c>
      <c r="J10116">
        <f>GC03/486.6</f>
        <v>0</v>
      </c>
      <c r="M10116" t="inlineStr">
        <is>
          <t>-486K34.5</t>
        </is>
      </c>
    </row>
    <row r="10117">
      <c r="A10117">
        <v>10116</v>
      </c>
      <c r="B10117">
        <f>GC03</f>
        <v>0</v>
      </c>
      <c r="C10117" t="inlineStr">
        <is>
          <t>+LS11</t>
        </is>
      </c>
      <c r="D10117" t="inlineStr">
        <is>
          <t>-486K34.6</t>
        </is>
      </c>
      <c r="E10117" t="inlineStr">
        <is>
          <t>DIL_EM-10-G</t>
        </is>
      </c>
      <c r="F10117" t="inlineStr">
        <is>
          <t>#KALK!</t>
        </is>
      </c>
      <c r="G10117" t="inlineStr">
        <is>
          <t>LASTSCHUETZ</t>
        </is>
      </c>
      <c r="H10117" t="inlineStr">
        <is>
          <t>4kW 1S</t>
        </is>
      </c>
      <c r="I10117">
        <v>282</v>
      </c>
      <c r="J10117">
        <f>GC03/486.7</f>
        <v>0</v>
      </c>
      <c r="M10117" t="inlineStr">
        <is>
          <t>-486K34.6</t>
        </is>
      </c>
    </row>
    <row r="10118">
      <c r="A10118">
        <v>10117</v>
      </c>
      <c r="B10118">
        <f>GS24</f>
        <v>0</v>
      </c>
      <c r="C10118" t="inlineStr">
        <is>
          <t>+LS10</t>
        </is>
      </c>
      <c r="D10118" t="inlineStr">
        <is>
          <t>-486K3503.5</t>
        </is>
      </c>
      <c r="E10118" t="inlineStr">
        <is>
          <t>DIL_EM-10-G</t>
        </is>
      </c>
      <c r="F10118" t="inlineStr">
        <is>
          <t>#KALK!</t>
        </is>
      </c>
      <c r="G10118" t="inlineStr">
        <is>
          <t>LASTSCHUETZ</t>
        </is>
      </c>
      <c r="H10118" t="inlineStr">
        <is>
          <t>4kW 1S</t>
        </is>
      </c>
      <c r="I10118">
        <v>610</v>
      </c>
      <c r="J10118">
        <f>GS24/486.6</f>
        <v>0</v>
      </c>
      <c r="M10118" t="inlineStr">
        <is>
          <t>-486K3503.5</t>
        </is>
      </c>
    </row>
    <row r="10119">
      <c r="A10119">
        <v>10118</v>
      </c>
      <c r="B10119">
        <f>GS24</f>
        <v>0</v>
      </c>
      <c r="C10119" t="inlineStr">
        <is>
          <t>+LS10</t>
        </is>
      </c>
      <c r="D10119" t="inlineStr">
        <is>
          <t>-486K3504.0</t>
        </is>
      </c>
      <c r="E10119" t="inlineStr">
        <is>
          <t>DIL_EM-10-G</t>
        </is>
      </c>
      <c r="F10119" t="inlineStr">
        <is>
          <t>#KALK!</t>
        </is>
      </c>
      <c r="G10119" t="inlineStr">
        <is>
          <t>LASTSCHUETZ</t>
        </is>
      </c>
      <c r="H10119" t="inlineStr">
        <is>
          <t>4kW 1S</t>
        </is>
      </c>
      <c r="I10119">
        <v>610</v>
      </c>
      <c r="J10119">
        <f>GS24/486.7</f>
        <v>0</v>
      </c>
      <c r="M10119" t="inlineStr">
        <is>
          <t>-486K3504.0</t>
        </is>
      </c>
    </row>
    <row r="10120">
      <c r="A10120">
        <v>10119</v>
      </c>
      <c r="B10120">
        <f>GS14</f>
        <v>0</v>
      </c>
      <c r="C10120" t="inlineStr">
        <is>
          <t>+LS9</t>
        </is>
      </c>
      <c r="D10120" t="inlineStr">
        <is>
          <t>-486K3511.5</t>
        </is>
      </c>
      <c r="E10120" t="inlineStr">
        <is>
          <t>DIL_EM-10-G</t>
        </is>
      </c>
      <c r="F10120" t="inlineStr">
        <is>
          <t>#KALK!</t>
        </is>
      </c>
      <c r="G10120" t="inlineStr">
        <is>
          <t>LASTSCHUETZ</t>
        </is>
      </c>
      <c r="H10120" t="inlineStr">
        <is>
          <t>4kW 1S</t>
        </is>
      </c>
      <c r="I10120">
        <v>618</v>
      </c>
      <c r="J10120">
        <f>GS14/486.6</f>
        <v>0</v>
      </c>
      <c r="M10120" t="inlineStr">
        <is>
          <t>-486K3511.5</t>
        </is>
      </c>
    </row>
    <row r="10121">
      <c r="A10121">
        <v>10120</v>
      </c>
      <c r="B10121">
        <f>GS14</f>
        <v>0</v>
      </c>
      <c r="C10121" t="inlineStr">
        <is>
          <t>+LS9</t>
        </is>
      </c>
      <c r="D10121" t="inlineStr">
        <is>
          <t>-486K3511.6</t>
        </is>
      </c>
      <c r="E10121" t="inlineStr">
        <is>
          <t>DIL_EM-10-G</t>
        </is>
      </c>
      <c r="F10121" t="inlineStr">
        <is>
          <t>#KALK!</t>
        </is>
      </c>
      <c r="G10121" t="inlineStr">
        <is>
          <t>LASTSCHUETZ</t>
        </is>
      </c>
      <c r="H10121" t="inlineStr">
        <is>
          <t>4kW 1S</t>
        </is>
      </c>
      <c r="I10121">
        <v>618</v>
      </c>
      <c r="J10121">
        <f>GS14/486.7</f>
        <v>0</v>
      </c>
      <c r="M10121" t="inlineStr">
        <is>
          <t>-486K3511.6</t>
        </is>
      </c>
    </row>
    <row r="10122">
      <c r="A10122">
        <v>10121</v>
      </c>
      <c r="B10122">
        <f>GS16</f>
        <v>0</v>
      </c>
      <c r="C10122" t="inlineStr">
        <is>
          <t>+LS9</t>
        </is>
      </c>
      <c r="D10122" t="inlineStr">
        <is>
          <t>-486K3701.4</t>
        </is>
      </c>
      <c r="E10122" t="inlineStr">
        <is>
          <t>DIL_EM-10-G</t>
        </is>
      </c>
      <c r="F10122" t="inlineStr">
        <is>
          <t>#KALK!</t>
        </is>
      </c>
      <c r="G10122" t="inlineStr">
        <is>
          <t>LASTSCHUETZ</t>
        </is>
      </c>
      <c r="H10122" t="inlineStr">
        <is>
          <t>4kW 1S</t>
        </is>
      </c>
      <c r="I10122">
        <v>725</v>
      </c>
      <c r="J10122">
        <f>GS16/486.6</f>
        <v>0</v>
      </c>
      <c r="M10122" t="inlineStr">
        <is>
          <t>-486K3701.4</t>
        </is>
      </c>
    </row>
    <row r="10123">
      <c r="A10123">
        <v>10122</v>
      </c>
      <c r="B10123">
        <f>GS31</f>
        <v>0</v>
      </c>
      <c r="C10123" t="inlineStr">
        <is>
          <t>+LS9</t>
        </is>
      </c>
      <c r="D10123" t="inlineStr">
        <is>
          <t>-486K63.3</t>
        </is>
      </c>
      <c r="E10123" t="inlineStr">
        <is>
          <t>DIL_EM-10-G</t>
        </is>
      </c>
      <c r="F10123" t="inlineStr">
        <is>
          <t>#KALK!</t>
        </is>
      </c>
      <c r="G10123" t="inlineStr">
        <is>
          <t>LASTSCHUETZ</t>
        </is>
      </c>
      <c r="H10123" t="inlineStr">
        <is>
          <t>4kW 1S</t>
        </is>
      </c>
      <c r="I10123">
        <v>780</v>
      </c>
      <c r="J10123">
        <f>GS31/486.7</f>
        <v>0</v>
      </c>
      <c r="M10123" t="inlineStr">
        <is>
          <t>-486K63.3</t>
        </is>
      </c>
    </row>
    <row r="10124">
      <c r="A10124">
        <v>10123</v>
      </c>
      <c r="B10124">
        <f>GS35</f>
        <v>0</v>
      </c>
      <c r="C10124" t="inlineStr">
        <is>
          <t>+LS11</t>
        </is>
      </c>
      <c r="D10124" t="inlineStr">
        <is>
          <t>-486Q453.3</t>
        </is>
      </c>
      <c r="E10124" t="inlineStr">
        <is>
          <t>DILM-9-10</t>
        </is>
      </c>
      <c r="F10124" t="inlineStr">
        <is>
          <t>#KALK!</t>
        </is>
      </c>
      <c r="G10124" t="inlineStr">
        <is>
          <t>LASTSCHUETZ</t>
        </is>
      </c>
      <c r="H10124" t="inlineStr">
        <is>
          <t>4kW 1S Federzugkl.</t>
        </is>
      </c>
      <c r="I10124">
        <v>640</v>
      </c>
      <c r="J10124">
        <f>GS35/486.5</f>
        <v>0</v>
      </c>
      <c r="M10124" t="inlineStr">
        <is>
          <t>-486Q453.3</t>
        </is>
      </c>
    </row>
    <row r="10125">
      <c r="A10125">
        <v>10124</v>
      </c>
      <c r="B10125">
        <f>GS91</f>
        <v>0</v>
      </c>
      <c r="C10125" t="inlineStr">
        <is>
          <t>+LS09</t>
        </is>
      </c>
      <c r="D10125" t="inlineStr">
        <is>
          <t>-486Q464.1</t>
        </is>
      </c>
      <c r="E10125" t="inlineStr">
        <is>
          <t>DILA-XHI22</t>
        </is>
      </c>
      <c r="F10125" t="inlineStr">
        <is>
          <t>DILA-XHI22</t>
        </is>
      </c>
      <c r="G10125" t="inlineStr">
        <is>
          <t>HILFSKONTAKTBLOCK</t>
        </is>
      </c>
      <c r="H10125" t="inlineStr">
        <is>
          <t>2S 2OE Last+Hilfssch. Cage</t>
        </is>
      </c>
      <c r="I10125">
        <v>638</v>
      </c>
      <c r="J10125">
        <f>GS91/486.5</f>
        <v>0</v>
      </c>
      <c r="M10125" t="inlineStr">
        <is>
          <t>-486Q464.1</t>
        </is>
      </c>
    </row>
    <row r="10126">
      <c r="A10126">
        <v>10125</v>
      </c>
      <c r="B10126">
        <f>GS91</f>
        <v>0</v>
      </c>
      <c r="C10126" t="inlineStr">
        <is>
          <t>+LS09</t>
        </is>
      </c>
      <c r="D10126" t="inlineStr">
        <is>
          <t>-486Q464.1</t>
        </is>
      </c>
      <c r="E10126" t="inlineStr">
        <is>
          <t>DILM-9-10</t>
        </is>
      </c>
      <c r="F10126" t="inlineStr">
        <is>
          <t>DILA-XHI22</t>
        </is>
      </c>
      <c r="G10126" t="inlineStr">
        <is>
          <t>LASTSCHUETZ</t>
        </is>
      </c>
      <c r="H10126" t="inlineStr">
        <is>
          <t>4kW 1S Federzugkl.</t>
        </is>
      </c>
      <c r="I10126">
        <v>638</v>
      </c>
      <c r="J10126">
        <f>GS91/486.5</f>
        <v>0</v>
      </c>
      <c r="M10126" t="inlineStr">
        <is>
          <t>-486Q464.1</t>
        </is>
      </c>
    </row>
    <row r="10127">
      <c r="A10127">
        <v>10126</v>
      </c>
      <c r="B10127">
        <f>GS91</f>
        <v>0</v>
      </c>
      <c r="C10127" t="inlineStr">
        <is>
          <t>+LS09</t>
        </is>
      </c>
      <c r="D10127" t="inlineStr">
        <is>
          <t>-486Q464.2</t>
        </is>
      </c>
      <c r="E10127" t="inlineStr">
        <is>
          <t>DILA-XHI22</t>
        </is>
      </c>
      <c r="F10127" t="inlineStr">
        <is>
          <t>DILA-XHI22</t>
        </is>
      </c>
      <c r="G10127" t="inlineStr">
        <is>
          <t>HILFSKONTAKTBLOCK</t>
        </is>
      </c>
      <c r="H10127" t="inlineStr">
        <is>
          <t>2S 2OE Last+Hilfssch. Cage</t>
        </is>
      </c>
      <c r="I10127">
        <v>638</v>
      </c>
      <c r="J10127">
        <f>GS91/486.6</f>
        <v>0</v>
      </c>
      <c r="M10127" t="inlineStr">
        <is>
          <t>-486Q464.2</t>
        </is>
      </c>
    </row>
    <row r="10128">
      <c r="A10128">
        <v>10127</v>
      </c>
      <c r="B10128">
        <f>GS91</f>
        <v>0</v>
      </c>
      <c r="C10128" t="inlineStr">
        <is>
          <t>+LS09</t>
        </is>
      </c>
      <c r="D10128" t="inlineStr">
        <is>
          <t>-486Q464.2</t>
        </is>
      </c>
      <c r="E10128" t="inlineStr">
        <is>
          <t>DILM-9-10</t>
        </is>
      </c>
      <c r="F10128" t="inlineStr">
        <is>
          <t>DILA-XHI22</t>
        </is>
      </c>
      <c r="G10128" t="inlineStr">
        <is>
          <t>LASTSCHUETZ</t>
        </is>
      </c>
      <c r="H10128" t="inlineStr">
        <is>
          <t>4kW 1S Federzugkl.</t>
        </is>
      </c>
      <c r="I10128">
        <v>638</v>
      </c>
      <c r="J10128">
        <f>GS91/486.6</f>
        <v>0</v>
      </c>
      <c r="M10128" t="inlineStr">
        <is>
          <t>-486Q464.2</t>
        </is>
      </c>
    </row>
    <row r="10129">
      <c r="A10129">
        <v>10128</v>
      </c>
      <c r="B10129">
        <f>GS92</f>
        <v>0</v>
      </c>
      <c r="C10129" t="inlineStr">
        <is>
          <t>+LS08</t>
        </is>
      </c>
      <c r="D10129" t="inlineStr">
        <is>
          <t>-486Q759.1</t>
        </is>
      </c>
      <c r="E10129" t="inlineStr">
        <is>
          <t>DILA-XHI22</t>
        </is>
      </c>
      <c r="F10129" t="inlineStr">
        <is>
          <t>DILA-XHI22</t>
        </is>
      </c>
      <c r="G10129" t="inlineStr">
        <is>
          <t>HILFSKONTAKTBLOCK</t>
        </is>
      </c>
      <c r="H10129" t="inlineStr">
        <is>
          <t>2S 2OE Last+Hilfssch. Cage</t>
        </is>
      </c>
      <c r="I10129">
        <v>631</v>
      </c>
      <c r="J10129">
        <f>GS92/486.5</f>
        <v>0</v>
      </c>
      <c r="M10129" t="inlineStr">
        <is>
          <t>-486Q759.1</t>
        </is>
      </c>
    </row>
    <row r="10130">
      <c r="A10130">
        <v>10129</v>
      </c>
      <c r="B10130">
        <f>GS92</f>
        <v>0</v>
      </c>
      <c r="C10130" t="inlineStr">
        <is>
          <t>+LS08</t>
        </is>
      </c>
      <c r="D10130" t="inlineStr">
        <is>
          <t>-486Q759.1</t>
        </is>
      </c>
      <c r="E10130" t="inlineStr">
        <is>
          <t>DILM-9-10</t>
        </is>
      </c>
      <c r="F10130" t="inlineStr">
        <is>
          <t>DILA-XHI22</t>
        </is>
      </c>
      <c r="G10130" t="inlineStr">
        <is>
          <t>LASTSCHUETZ</t>
        </is>
      </c>
      <c r="H10130" t="inlineStr">
        <is>
          <t>4kW 1S Federzugkl.</t>
        </is>
      </c>
      <c r="I10130">
        <v>631</v>
      </c>
      <c r="J10130">
        <f>GS92/486.5</f>
        <v>0</v>
      </c>
      <c r="M10130" t="inlineStr">
        <is>
          <t>-486Q759.1</t>
        </is>
      </c>
    </row>
    <row r="10131">
      <c r="A10131">
        <v>10130</v>
      </c>
      <c r="B10131">
        <f>GS92</f>
        <v>0</v>
      </c>
      <c r="C10131" t="inlineStr">
        <is>
          <t>+LS08</t>
        </is>
      </c>
      <c r="D10131" t="inlineStr">
        <is>
          <t>-486Q759.2</t>
        </is>
      </c>
      <c r="E10131" t="inlineStr">
        <is>
          <t>DILA-XHI22</t>
        </is>
      </c>
      <c r="F10131" t="inlineStr">
        <is>
          <t>DILA-XHI22</t>
        </is>
      </c>
      <c r="G10131" t="inlineStr">
        <is>
          <t>HILFSKONTAKTBLOCK</t>
        </is>
      </c>
      <c r="H10131" t="inlineStr">
        <is>
          <t>2S 2OE Last+Hilfssch. Cage</t>
        </is>
      </c>
      <c r="I10131">
        <v>631</v>
      </c>
      <c r="J10131">
        <f>GS92/486.6</f>
        <v>0</v>
      </c>
      <c r="M10131" t="inlineStr">
        <is>
          <t>-486Q759.2</t>
        </is>
      </c>
    </row>
    <row r="10132">
      <c r="A10132">
        <v>10131</v>
      </c>
      <c r="B10132">
        <f>GS92</f>
        <v>0</v>
      </c>
      <c r="C10132" t="inlineStr">
        <is>
          <t>+LS08</t>
        </is>
      </c>
      <c r="D10132" t="inlineStr">
        <is>
          <t>-486Q759.2</t>
        </is>
      </c>
      <c r="E10132" t="inlineStr">
        <is>
          <t>DILM-9-10</t>
        </is>
      </c>
      <c r="F10132" t="inlineStr">
        <is>
          <t>DILA-XHI22</t>
        </is>
      </c>
      <c r="G10132" t="inlineStr">
        <is>
          <t>LASTSCHUETZ</t>
        </is>
      </c>
      <c r="H10132" t="inlineStr">
        <is>
          <t>4kW 1S Federzugkl.</t>
        </is>
      </c>
      <c r="I10132">
        <v>631</v>
      </c>
      <c r="J10132">
        <f>GS92/486.6</f>
        <v>0</v>
      </c>
      <c r="M10132" t="inlineStr">
        <is>
          <t>-486Q759.2</t>
        </is>
      </c>
    </row>
    <row r="10133">
      <c r="A10133">
        <v>10132</v>
      </c>
      <c r="B10133">
        <f>GS13</f>
        <v>0</v>
      </c>
      <c r="C10133" t="inlineStr">
        <is>
          <t>+LS11</t>
        </is>
      </c>
      <c r="D10133" t="inlineStr">
        <is>
          <t>-48716.5</t>
        </is>
      </c>
      <c r="E10133" t="inlineStr">
        <is>
          <t>DIL_EM-10-G</t>
        </is>
      </c>
      <c r="F10133" t="inlineStr">
        <is>
          <t>#KALK!</t>
        </is>
      </c>
      <c r="G10133" t="inlineStr">
        <is>
          <t>LASTSCHUETZ</t>
        </is>
      </c>
      <c r="H10133" t="inlineStr">
        <is>
          <t>4kW 1S</t>
        </is>
      </c>
      <c r="I10133">
        <v>743</v>
      </c>
      <c r="J10133">
        <f>GS13/487.6</f>
        <v>0</v>
      </c>
      <c r="M10133" t="inlineStr">
        <is>
          <t>-48716.5</t>
        </is>
      </c>
    </row>
    <row r="10134">
      <c r="A10134">
        <v>10133</v>
      </c>
      <c r="B10134">
        <f>GS13</f>
        <v>0</v>
      </c>
      <c r="C10134" t="inlineStr">
        <is>
          <t>+LS11</t>
        </is>
      </c>
      <c r="D10134" t="inlineStr">
        <is>
          <t>-48716.6</t>
        </is>
      </c>
      <c r="E10134" t="inlineStr">
        <is>
          <t>DIL_EM-10-G</t>
        </is>
      </c>
      <c r="F10134" t="inlineStr">
        <is>
          <t>#KALK!</t>
        </is>
      </c>
      <c r="G10134" t="inlineStr">
        <is>
          <t>LASTSCHUETZ</t>
        </is>
      </c>
      <c r="H10134" t="inlineStr">
        <is>
          <t>4kW 1S</t>
        </is>
      </c>
      <c r="I10134">
        <v>743</v>
      </c>
      <c r="J10134">
        <f>GS13/487.6</f>
        <v>0</v>
      </c>
      <c r="M10134" t="inlineStr">
        <is>
          <t>-48716.6</t>
        </is>
      </c>
    </row>
    <row r="10135">
      <c r="A10135">
        <v>10134</v>
      </c>
      <c r="B10135">
        <f>GS23</f>
        <v>0</v>
      </c>
      <c r="C10135" t="inlineStr">
        <is>
          <t>+LS11</t>
        </is>
      </c>
      <c r="D10135" t="inlineStr">
        <is>
          <t>-487K16.5</t>
        </is>
      </c>
      <c r="E10135" t="inlineStr">
        <is>
          <t>DIL_EM-10-G</t>
        </is>
      </c>
      <c r="F10135" t="inlineStr">
        <is>
          <t>#KALK!</t>
        </is>
      </c>
      <c r="G10135" t="inlineStr">
        <is>
          <t>LASTSCHUETZ</t>
        </is>
      </c>
      <c r="H10135" t="inlineStr">
        <is>
          <t>4kW 1S</t>
        </is>
      </c>
      <c r="I10135">
        <v>797</v>
      </c>
      <c r="J10135">
        <f>GS23/487.6</f>
        <v>0</v>
      </c>
      <c r="M10135" t="inlineStr">
        <is>
          <t>-487K16.5</t>
        </is>
      </c>
    </row>
    <row r="10136">
      <c r="A10136">
        <v>10135</v>
      </c>
      <c r="B10136">
        <f>GS23</f>
        <v>0</v>
      </c>
      <c r="C10136" t="inlineStr">
        <is>
          <t>+LS11</t>
        </is>
      </c>
      <c r="D10136" t="inlineStr">
        <is>
          <t>-487K16.6</t>
        </is>
      </c>
      <c r="E10136" t="inlineStr">
        <is>
          <t>DIL_EM-10-G</t>
        </is>
      </c>
      <c r="F10136" t="inlineStr">
        <is>
          <t>#KALK!</t>
        </is>
      </c>
      <c r="G10136" t="inlineStr">
        <is>
          <t>LASTSCHUETZ</t>
        </is>
      </c>
      <c r="H10136" t="inlineStr">
        <is>
          <t>4kW 1S</t>
        </is>
      </c>
      <c r="I10136">
        <v>797</v>
      </c>
      <c r="J10136">
        <f>GS23/487.6</f>
        <v>0</v>
      </c>
      <c r="M10136" t="inlineStr">
        <is>
          <t>-487K16.6</t>
        </is>
      </c>
    </row>
    <row r="10137">
      <c r="A10137">
        <v>10136</v>
      </c>
      <c r="B10137">
        <f>GS01</f>
        <v>0</v>
      </c>
      <c r="C10137" t="inlineStr">
        <is>
          <t>+LS10</t>
        </is>
      </c>
      <c r="D10137" t="inlineStr">
        <is>
          <t>-487K20.7</t>
        </is>
      </c>
      <c r="E10137" t="inlineStr">
        <is>
          <t>DIL_EM-10-G</t>
        </is>
      </c>
      <c r="F10137" t="inlineStr">
        <is>
          <t>#KALK!</t>
        </is>
      </c>
      <c r="G10137" t="inlineStr">
        <is>
          <t>LASTSCHUETZ</t>
        </is>
      </c>
      <c r="H10137" t="inlineStr">
        <is>
          <t>4kW 1S</t>
        </is>
      </c>
      <c r="I10137">
        <v>651</v>
      </c>
      <c r="J10137">
        <f>GS01/487.7</f>
        <v>0</v>
      </c>
      <c r="M10137" t="inlineStr">
        <is>
          <t>-487K20.7</t>
        </is>
      </c>
    </row>
    <row r="10138">
      <c r="A10138">
        <v>10137</v>
      </c>
      <c r="B10138">
        <f>GC03</f>
        <v>0</v>
      </c>
      <c r="C10138" t="inlineStr">
        <is>
          <t>+LS11</t>
        </is>
      </c>
      <c r="D10138" t="inlineStr">
        <is>
          <t>-487K34.7</t>
        </is>
      </c>
      <c r="E10138" t="inlineStr">
        <is>
          <t>DIL_EM-10-G</t>
        </is>
      </c>
      <c r="F10138" t="inlineStr">
        <is>
          <t>#KALK!</t>
        </is>
      </c>
      <c r="G10138" t="inlineStr">
        <is>
          <t>LASTSCHUETZ</t>
        </is>
      </c>
      <c r="H10138" t="inlineStr">
        <is>
          <t>4kW 1S</t>
        </is>
      </c>
      <c r="I10138">
        <v>3132</v>
      </c>
      <c r="J10138">
        <f>GC03/487.6</f>
        <v>0</v>
      </c>
      <c r="M10138" t="inlineStr">
        <is>
          <t>-487K34.7</t>
        </is>
      </c>
    </row>
    <row r="10139">
      <c r="A10139">
        <v>10138</v>
      </c>
      <c r="B10139">
        <f>GC03</f>
        <v>0</v>
      </c>
      <c r="C10139" t="inlineStr">
        <is>
          <t>+LS11</t>
        </is>
      </c>
      <c r="D10139" t="inlineStr">
        <is>
          <t>-487K35.0</t>
        </is>
      </c>
      <c r="E10139" t="inlineStr">
        <is>
          <t>DIL_EM-10-G</t>
        </is>
      </c>
      <c r="F10139" t="inlineStr">
        <is>
          <t>#KALK!</t>
        </is>
      </c>
      <c r="G10139" t="inlineStr">
        <is>
          <t>LASTSCHUETZ</t>
        </is>
      </c>
      <c r="H10139" t="inlineStr">
        <is>
          <t>4kW 1S</t>
        </is>
      </c>
      <c r="I10139">
        <v>3132</v>
      </c>
      <c r="J10139">
        <f>GC03/487.7</f>
        <v>0</v>
      </c>
      <c r="M10139" t="inlineStr">
        <is>
          <t>-487K35.0</t>
        </is>
      </c>
    </row>
    <row r="10140">
      <c r="A10140">
        <v>10139</v>
      </c>
      <c r="B10140">
        <f>GS24</f>
        <v>0</v>
      </c>
      <c r="C10140" t="inlineStr">
        <is>
          <t>+LS10</t>
        </is>
      </c>
      <c r="D10140" t="inlineStr">
        <is>
          <t>-487K3504.1</t>
        </is>
      </c>
      <c r="E10140" t="inlineStr">
        <is>
          <t>DIL_EM-10-G</t>
        </is>
      </c>
      <c r="F10140" t="inlineStr">
        <is>
          <t>#KALK!</t>
        </is>
      </c>
      <c r="G10140" t="inlineStr">
        <is>
          <t>LASTSCHUETZ</t>
        </is>
      </c>
      <c r="H10140" t="inlineStr">
        <is>
          <t>4kW 1S</t>
        </is>
      </c>
      <c r="I10140">
        <v>609</v>
      </c>
      <c r="J10140">
        <f>GS24/487.6</f>
        <v>0</v>
      </c>
      <c r="M10140" t="inlineStr">
        <is>
          <t>-487K3504.1</t>
        </is>
      </c>
    </row>
    <row r="10141">
      <c r="A10141">
        <v>10140</v>
      </c>
      <c r="B10141">
        <f>GS24</f>
        <v>0</v>
      </c>
      <c r="C10141" t="inlineStr">
        <is>
          <t>+LS10</t>
        </is>
      </c>
      <c r="D10141" t="inlineStr">
        <is>
          <t>-487K3504.2</t>
        </is>
      </c>
      <c r="E10141" t="inlineStr">
        <is>
          <t>DIL_EM-10-G</t>
        </is>
      </c>
      <c r="F10141" t="inlineStr">
        <is>
          <t>#KALK!</t>
        </is>
      </c>
      <c r="G10141" t="inlineStr">
        <is>
          <t>LASTSCHUETZ</t>
        </is>
      </c>
      <c r="H10141" t="inlineStr">
        <is>
          <t>4kW 1S</t>
        </is>
      </c>
      <c r="I10141">
        <v>609</v>
      </c>
      <c r="J10141">
        <f>GS24/487.7</f>
        <v>0</v>
      </c>
      <c r="M10141" t="inlineStr">
        <is>
          <t>-487K3504.2</t>
        </is>
      </c>
    </row>
    <row r="10142">
      <c r="A10142">
        <v>10141</v>
      </c>
      <c r="B10142">
        <f>GS14</f>
        <v>0</v>
      </c>
      <c r="C10142" t="inlineStr">
        <is>
          <t>+LS9</t>
        </is>
      </c>
      <c r="D10142" t="inlineStr">
        <is>
          <t>-487K3512.6</t>
        </is>
      </c>
      <c r="E10142" t="inlineStr">
        <is>
          <t>DIL_EM-10-G</t>
        </is>
      </c>
      <c r="F10142" t="inlineStr">
        <is>
          <t>#KALK!</t>
        </is>
      </c>
      <c r="G10142" t="inlineStr">
        <is>
          <t>LASTSCHUETZ</t>
        </is>
      </c>
      <c r="H10142" t="inlineStr">
        <is>
          <t>4kW 1S</t>
        </is>
      </c>
      <c r="I10142">
        <v>619</v>
      </c>
      <c r="J10142">
        <f>GS14/487.7</f>
        <v>0</v>
      </c>
      <c r="M10142" t="inlineStr">
        <is>
          <t>-487K3512.6</t>
        </is>
      </c>
    </row>
    <row r="10143">
      <c r="A10143">
        <v>10142</v>
      </c>
      <c r="B10143">
        <f>GS16</f>
        <v>0</v>
      </c>
      <c r="C10143" t="inlineStr">
        <is>
          <t>+LS9</t>
        </is>
      </c>
      <c r="D10143" t="inlineStr">
        <is>
          <t>-487K3701.5</t>
        </is>
      </c>
      <c r="E10143" t="inlineStr">
        <is>
          <t>DIL_EM-10-G</t>
        </is>
      </c>
      <c r="F10143" t="inlineStr">
        <is>
          <t>#KALK!</t>
        </is>
      </c>
      <c r="G10143" t="inlineStr">
        <is>
          <t>LASTSCHUETZ</t>
        </is>
      </c>
      <c r="H10143" t="inlineStr">
        <is>
          <t>4kW 1S</t>
        </is>
      </c>
      <c r="I10143">
        <v>726</v>
      </c>
      <c r="J10143">
        <f>GS16/487.6</f>
        <v>0</v>
      </c>
      <c r="M10143" t="inlineStr">
        <is>
          <t>-487K3701.5</t>
        </is>
      </c>
    </row>
    <row r="10144">
      <c r="A10144">
        <v>10143</v>
      </c>
      <c r="B10144">
        <f>GS16</f>
        <v>0</v>
      </c>
      <c r="C10144" t="inlineStr">
        <is>
          <t>+LS9</t>
        </is>
      </c>
      <c r="D10144" t="inlineStr">
        <is>
          <t>-487K3701.6</t>
        </is>
      </c>
      <c r="E10144" t="inlineStr">
        <is>
          <t>DIL_EM-10-G</t>
        </is>
      </c>
      <c r="F10144" t="inlineStr">
        <is>
          <t>#KALK!</t>
        </is>
      </c>
      <c r="G10144" t="inlineStr">
        <is>
          <t>LASTSCHUETZ</t>
        </is>
      </c>
      <c r="H10144" t="inlineStr">
        <is>
          <t>4kW 1S</t>
        </is>
      </c>
      <c r="I10144">
        <v>726</v>
      </c>
      <c r="J10144">
        <f>GS16/487.6</f>
        <v>0</v>
      </c>
      <c r="M10144" t="inlineStr">
        <is>
          <t>-487K3701.6</t>
        </is>
      </c>
    </row>
    <row r="10145">
      <c r="A10145">
        <v>10144</v>
      </c>
      <c r="B10145">
        <f>GS93</f>
        <v>0</v>
      </c>
      <c r="C10145" t="inlineStr">
        <is>
          <t>+LS09</t>
        </is>
      </c>
      <c r="D10145" t="inlineStr">
        <is>
          <t>-487K485.3</t>
        </is>
      </c>
      <c r="E10145" t="inlineStr">
        <is>
          <t>DILA-22</t>
        </is>
      </c>
      <c r="F10145" t="inlineStr">
        <is>
          <t>#KALK!</t>
        </is>
      </c>
      <c r="G10145" t="inlineStr">
        <is>
          <t>HILFSSCHUETZ</t>
        </is>
      </c>
      <c r="H10145" t="inlineStr">
        <is>
          <t>2S 2Oe Federzugkl.</t>
        </is>
      </c>
      <c r="I10145">
        <v>1041</v>
      </c>
      <c r="J10145">
        <f>GS93/487.6</f>
        <v>0</v>
      </c>
      <c r="M10145" t="inlineStr">
        <is>
          <t>-487K485.3</t>
        </is>
      </c>
    </row>
    <row r="10146">
      <c r="A10146">
        <v>10145</v>
      </c>
      <c r="B10146">
        <f>GS31</f>
        <v>0</v>
      </c>
      <c r="C10146" t="inlineStr">
        <is>
          <t>+LS9</t>
        </is>
      </c>
      <c r="D10146" t="inlineStr">
        <is>
          <t>-487K63.4</t>
        </is>
      </c>
      <c r="E10146" t="inlineStr">
        <is>
          <t>DILM-9-01</t>
        </is>
      </c>
      <c r="F10146" t="inlineStr">
        <is>
          <t>#KALK!</t>
        </is>
      </c>
      <c r="G10146" t="inlineStr">
        <is>
          <t>LASTSCHUETZ</t>
        </is>
      </c>
      <c r="H10146" t="inlineStr">
        <is>
          <t>4kW 1Oe Federzugkl.</t>
        </is>
      </c>
      <c r="I10146">
        <v>781</v>
      </c>
      <c r="J10146">
        <f>GS31/487.6</f>
        <v>0</v>
      </c>
      <c r="M10146" t="inlineStr">
        <is>
          <t>-487K63.4</t>
        </is>
      </c>
    </row>
    <row r="10147">
      <c r="A10147">
        <v>10146</v>
      </c>
      <c r="B10147">
        <f>GS31</f>
        <v>0</v>
      </c>
      <c r="C10147" t="inlineStr">
        <is>
          <t>+LS9</t>
        </is>
      </c>
      <c r="D10147" t="inlineStr">
        <is>
          <t>-487K63.5</t>
        </is>
      </c>
      <c r="E10147" t="inlineStr">
        <is>
          <t>DIL_EM-10-G</t>
        </is>
      </c>
      <c r="F10147" t="inlineStr">
        <is>
          <t>#KALK!</t>
        </is>
      </c>
      <c r="G10147" t="inlineStr">
        <is>
          <t>LASTSCHUETZ</t>
        </is>
      </c>
      <c r="H10147" t="inlineStr">
        <is>
          <t>4kW 1S</t>
        </is>
      </c>
      <c r="I10147">
        <v>781</v>
      </c>
      <c r="J10147">
        <f>GS31/487.8</f>
        <v>0</v>
      </c>
      <c r="M10147" t="inlineStr">
        <is>
          <t>-487K63.5</t>
        </is>
      </c>
    </row>
    <row r="10148">
      <c r="A10148">
        <v>10147</v>
      </c>
      <c r="B10148">
        <f>GS31</f>
        <v>0</v>
      </c>
      <c r="C10148" t="inlineStr">
        <is>
          <t>+LS9</t>
        </is>
      </c>
      <c r="D10148" t="inlineStr">
        <is>
          <t>-487K63.6</t>
        </is>
      </c>
      <c r="E10148" t="inlineStr">
        <is>
          <t>DILM-9-01</t>
        </is>
      </c>
      <c r="F10148" t="inlineStr">
        <is>
          <t>#KALK!</t>
        </is>
      </c>
      <c r="G10148" t="inlineStr">
        <is>
          <t>LASTSCHUETZ</t>
        </is>
      </c>
      <c r="H10148" t="inlineStr">
        <is>
          <t>4kW 1Oe Federzugkl.</t>
        </is>
      </c>
      <c r="I10148">
        <v>781</v>
      </c>
      <c r="J10148">
        <f>GS31/487.7</f>
        <v>0</v>
      </c>
      <c r="M10148" t="inlineStr">
        <is>
          <t>-487K63.6</t>
        </is>
      </c>
    </row>
    <row r="10149">
      <c r="A10149">
        <v>10148</v>
      </c>
      <c r="B10149">
        <f>GS93</f>
        <v>0</v>
      </c>
      <c r="C10149" t="inlineStr">
        <is>
          <t>+LS09</t>
        </is>
      </c>
      <c r="D10149" t="inlineStr">
        <is>
          <t>-487Q1</t>
        </is>
      </c>
      <c r="E10149" t="inlineStr">
        <is>
          <t>DILMC25-10(RDC24)</t>
        </is>
      </c>
      <c r="F10149" t="inlineStr">
        <is>
          <t>DILA-XHIC31</t>
        </is>
      </c>
      <c r="G10149" t="inlineStr">
        <is>
          <t>LASTSCHUETZ</t>
        </is>
      </c>
      <c r="H10149" t="inlineStr">
        <is>
          <t>11kW 1S Federzugkl.</t>
        </is>
      </c>
      <c r="I10149">
        <v>1041</v>
      </c>
      <c r="J10149">
        <f>GS93/487.2</f>
        <v>0</v>
      </c>
      <c r="M10149" t="inlineStr">
        <is>
          <t>-487Q1</t>
        </is>
      </c>
    </row>
    <row r="10150">
      <c r="A10150">
        <v>10149</v>
      </c>
      <c r="B10150">
        <f>GS93</f>
        <v>0</v>
      </c>
      <c r="C10150" t="inlineStr">
        <is>
          <t>+LS09</t>
        </is>
      </c>
      <c r="D10150" t="inlineStr">
        <is>
          <t>-487Q1</t>
        </is>
      </c>
      <c r="E10150" t="inlineStr">
        <is>
          <t>DILA-XHIC31</t>
        </is>
      </c>
      <c r="F10150" t="inlineStr">
        <is>
          <t>DILA-XHIC31</t>
        </is>
      </c>
      <c r="G10150" t="inlineStr">
        <is>
          <t>HILFSKONTAKTBLOCK</t>
        </is>
      </c>
      <c r="H10150" t="inlineStr">
        <is>
          <t>3S 1OE Last+Hilfssch. Cage</t>
        </is>
      </c>
      <c r="I10150">
        <v>1041</v>
      </c>
      <c r="J10150">
        <f>GS93/487.2</f>
        <v>0</v>
      </c>
      <c r="M10150" t="inlineStr">
        <is>
          <t>-487Q1</t>
        </is>
      </c>
    </row>
    <row r="10151">
      <c r="A10151">
        <v>10150</v>
      </c>
      <c r="B10151">
        <f>GS35</f>
        <v>0</v>
      </c>
      <c r="C10151" t="inlineStr">
        <is>
          <t>+LS11</t>
        </is>
      </c>
      <c r="D10151" t="inlineStr">
        <is>
          <t>-487Q453.4</t>
        </is>
      </c>
      <c r="E10151" t="inlineStr">
        <is>
          <t>DILM-9-10</t>
        </is>
      </c>
      <c r="F10151" t="inlineStr">
        <is>
          <t>#KALK!</t>
        </is>
      </c>
      <c r="G10151" t="inlineStr">
        <is>
          <t>LASTSCHUETZ</t>
        </is>
      </c>
      <c r="H10151" t="inlineStr">
        <is>
          <t>4kW 1S Federzugkl.</t>
        </is>
      </c>
      <c r="I10151">
        <v>641</v>
      </c>
      <c r="J10151">
        <f>GS35/487.5</f>
        <v>0</v>
      </c>
      <c r="M10151" t="inlineStr">
        <is>
          <t>-487Q453.4</t>
        </is>
      </c>
    </row>
    <row r="10152">
      <c r="A10152">
        <v>10151</v>
      </c>
      <c r="B10152">
        <f>GS91</f>
        <v>0</v>
      </c>
      <c r="C10152" t="inlineStr">
        <is>
          <t>+LS09</t>
        </is>
      </c>
      <c r="D10152" t="inlineStr">
        <is>
          <t>-487Q464.3</t>
        </is>
      </c>
      <c r="E10152" t="inlineStr">
        <is>
          <t>DILM-9-10</t>
        </is>
      </c>
      <c r="F10152" t="inlineStr">
        <is>
          <t>#KALK!</t>
        </is>
      </c>
      <c r="G10152" t="inlineStr">
        <is>
          <t>LASTSCHUETZ</t>
        </is>
      </c>
      <c r="H10152" t="inlineStr">
        <is>
          <t>4kW 1S Federzugkl.</t>
        </is>
      </c>
      <c r="I10152">
        <v>639</v>
      </c>
      <c r="J10152">
        <f>GS91/487.5</f>
        <v>0</v>
      </c>
      <c r="M10152" t="inlineStr">
        <is>
          <t>-487Q464.3</t>
        </is>
      </c>
    </row>
    <row r="10153">
      <c r="A10153">
        <v>10152</v>
      </c>
      <c r="B10153">
        <f>GS51</f>
        <v>0</v>
      </c>
      <c r="C10153" t="inlineStr">
        <is>
          <t>+LS07</t>
        </is>
      </c>
      <c r="D10153" t="inlineStr">
        <is>
          <t>-487Q706.1</t>
        </is>
      </c>
      <c r="E10153" t="inlineStr">
        <is>
          <t>DILM-9-10</t>
        </is>
      </c>
      <c r="F10153" t="inlineStr">
        <is>
          <t>#KALK!</t>
        </is>
      </c>
      <c r="G10153" t="inlineStr">
        <is>
          <t>LASTSCHUETZ</t>
        </is>
      </c>
      <c r="H10153" t="inlineStr">
        <is>
          <t>4kW 1S Federzugkl.</t>
        </is>
      </c>
      <c r="I10153">
        <v>655</v>
      </c>
      <c r="J10153">
        <f>GS51/487.6</f>
        <v>0</v>
      </c>
      <c r="K10153" t="inlineStr">
        <is>
          <t>DIL MC9</t>
        </is>
      </c>
      <c r="M10153" t="inlineStr">
        <is>
          <t>-487Q706.1</t>
        </is>
      </c>
    </row>
    <row r="10154">
      <c r="A10154">
        <v>10153</v>
      </c>
      <c r="B10154">
        <f>GS92</f>
        <v>0</v>
      </c>
      <c r="C10154" t="inlineStr">
        <is>
          <t>+LS08</t>
        </is>
      </c>
      <c r="D10154" t="inlineStr">
        <is>
          <t>-487Q759.3</t>
        </is>
      </c>
      <c r="E10154" t="inlineStr">
        <is>
          <t>DILM-9-10</t>
        </is>
      </c>
      <c r="F10154" t="inlineStr">
        <is>
          <t>#KALK!</t>
        </is>
      </c>
      <c r="G10154" t="inlineStr">
        <is>
          <t>LASTSCHUETZ</t>
        </is>
      </c>
      <c r="H10154" t="inlineStr">
        <is>
          <t>4kW 1S Federzugkl.</t>
        </is>
      </c>
      <c r="I10154">
        <v>632</v>
      </c>
      <c r="J10154">
        <f>GS92/487.5</f>
        <v>0</v>
      </c>
      <c r="M10154" t="inlineStr">
        <is>
          <t>-487Q759.3</t>
        </is>
      </c>
    </row>
    <row r="10155">
      <c r="A10155">
        <v>10154</v>
      </c>
      <c r="B10155">
        <f>GS13</f>
        <v>0</v>
      </c>
      <c r="C10155" t="inlineStr">
        <is>
          <t>+LS11</t>
        </is>
      </c>
      <c r="D10155" t="inlineStr">
        <is>
          <t>-48816.7</t>
        </is>
      </c>
      <c r="E10155" t="inlineStr">
        <is>
          <t>DIL_EM-10-G</t>
        </is>
      </c>
      <c r="F10155" t="inlineStr">
        <is>
          <t>#KALK!</t>
        </is>
      </c>
      <c r="G10155" t="inlineStr">
        <is>
          <t>LASTSCHUETZ</t>
        </is>
      </c>
      <c r="H10155" t="inlineStr">
        <is>
          <t>4kW 1S</t>
        </is>
      </c>
      <c r="I10155">
        <v>744</v>
      </c>
      <c r="J10155">
        <f>GS13/488.6</f>
        <v>0</v>
      </c>
      <c r="M10155" t="inlineStr">
        <is>
          <t>-48816.7</t>
        </is>
      </c>
    </row>
    <row r="10156">
      <c r="A10156">
        <v>10155</v>
      </c>
      <c r="B10156">
        <f>GS23</f>
        <v>0</v>
      </c>
      <c r="C10156" t="inlineStr">
        <is>
          <t>+LS11</t>
        </is>
      </c>
      <c r="D10156" t="inlineStr">
        <is>
          <t>-488K16.7</t>
        </is>
      </c>
      <c r="E10156" t="inlineStr">
        <is>
          <t>DIL_EM-10-G</t>
        </is>
      </c>
      <c r="F10156" t="inlineStr">
        <is>
          <t>#KALK!</t>
        </is>
      </c>
      <c r="G10156" t="inlineStr">
        <is>
          <t>LASTSCHUETZ</t>
        </is>
      </c>
      <c r="H10156" t="inlineStr">
        <is>
          <t>4kW 1S</t>
        </is>
      </c>
      <c r="I10156">
        <v>798</v>
      </c>
      <c r="J10156">
        <f>GS23/488.6</f>
        <v>0</v>
      </c>
      <c r="M10156" t="inlineStr">
        <is>
          <t>-488K16.7</t>
        </is>
      </c>
    </row>
    <row r="10157">
      <c r="A10157">
        <v>10156</v>
      </c>
      <c r="B10157">
        <f>GS14</f>
        <v>0</v>
      </c>
      <c r="C10157" t="inlineStr">
        <is>
          <t>+LS9</t>
        </is>
      </c>
      <c r="D10157" t="inlineStr">
        <is>
          <t>-488K3512.7</t>
        </is>
      </c>
      <c r="E10157" t="inlineStr">
        <is>
          <t>DIL_EM-10-G</t>
        </is>
      </c>
      <c r="F10157" t="inlineStr">
        <is>
          <t>#KALK!</t>
        </is>
      </c>
      <c r="G10157" t="inlineStr">
        <is>
          <t>LASTSCHUETZ</t>
        </is>
      </c>
      <c r="H10157" t="inlineStr">
        <is>
          <t>4kW 1S</t>
        </is>
      </c>
      <c r="I10157">
        <v>620</v>
      </c>
      <c r="J10157">
        <f>GS14/488.6</f>
        <v>0</v>
      </c>
      <c r="M10157" t="inlineStr">
        <is>
          <t>-488K3512.7</t>
        </is>
      </c>
    </row>
    <row r="10158">
      <c r="A10158">
        <v>10157</v>
      </c>
      <c r="B10158">
        <f>GS16</f>
        <v>0</v>
      </c>
      <c r="C10158" t="inlineStr">
        <is>
          <t>+LS9</t>
        </is>
      </c>
      <c r="D10158" t="inlineStr">
        <is>
          <t>-488K3701.7</t>
        </is>
      </c>
      <c r="E10158" t="inlineStr">
        <is>
          <t>DIL_EM-10-G</t>
        </is>
      </c>
      <c r="F10158" t="inlineStr">
        <is>
          <t>#KALK!</t>
        </is>
      </c>
      <c r="G10158" t="inlineStr">
        <is>
          <t>LASTSCHUETZ</t>
        </is>
      </c>
      <c r="H10158" t="inlineStr">
        <is>
          <t>4kW 1S</t>
        </is>
      </c>
      <c r="I10158">
        <v>727</v>
      </c>
      <c r="J10158">
        <f>GS16/488.6</f>
        <v>0</v>
      </c>
      <c r="M10158" t="inlineStr">
        <is>
          <t>-488K3701.7</t>
        </is>
      </c>
    </row>
    <row r="10159">
      <c r="A10159">
        <v>10158</v>
      </c>
      <c r="B10159">
        <f>GS16</f>
        <v>0</v>
      </c>
      <c r="C10159" t="inlineStr">
        <is>
          <t>+LS9</t>
        </is>
      </c>
      <c r="D10159" t="inlineStr">
        <is>
          <t>-488K3702.0</t>
        </is>
      </c>
      <c r="E10159" t="inlineStr">
        <is>
          <t>DIL_EM-10-G</t>
        </is>
      </c>
      <c r="F10159" t="inlineStr">
        <is>
          <t>#KALK!</t>
        </is>
      </c>
      <c r="G10159" t="inlineStr">
        <is>
          <t>LASTSCHUETZ</t>
        </is>
      </c>
      <c r="H10159" t="inlineStr">
        <is>
          <t>4kW 1S</t>
        </is>
      </c>
      <c r="I10159">
        <v>727</v>
      </c>
      <c r="J10159">
        <f>GS16/488.6</f>
        <v>0</v>
      </c>
      <c r="M10159" t="inlineStr">
        <is>
          <t>-488K3702.0</t>
        </is>
      </c>
    </row>
    <row r="10160">
      <c r="A10160">
        <v>10159</v>
      </c>
      <c r="B10160">
        <f>GS34</f>
        <v>0</v>
      </c>
      <c r="C10160" t="inlineStr">
        <is>
          <t>+QVW2701</t>
        </is>
      </c>
      <c r="D10160" t="inlineStr">
        <is>
          <t>-488K3808.2</t>
        </is>
      </c>
      <c r="E10160" t="inlineStr">
        <is>
          <t>DIL_ER-22-G</t>
        </is>
      </c>
      <c r="F10160" t="inlineStr">
        <is>
          <t>#KALK!</t>
        </is>
      </c>
      <c r="G10160" t="inlineStr">
        <is>
          <t>HILFSSCHUETZ</t>
        </is>
      </c>
      <c r="H10160" t="inlineStr">
        <is>
          <t>2S 2OE</t>
        </is>
      </c>
      <c r="I10160">
        <v>613</v>
      </c>
      <c r="J10160">
        <f>GS34/488.2</f>
        <v>0</v>
      </c>
      <c r="M10160" t="inlineStr">
        <is>
          <t>-488K3808.2</t>
        </is>
      </c>
    </row>
    <row r="10161">
      <c r="A10161">
        <v>10160</v>
      </c>
      <c r="B10161">
        <f>GS34</f>
        <v>0</v>
      </c>
      <c r="C10161" t="inlineStr">
        <is>
          <t>+QVW2701</t>
        </is>
      </c>
      <c r="D10161" t="inlineStr">
        <is>
          <t>-488K3808.3</t>
        </is>
      </c>
      <c r="E10161" t="inlineStr">
        <is>
          <t>DIL_EM-10-G</t>
        </is>
      </c>
      <c r="F10161" t="inlineStr">
        <is>
          <t>#KALK!</t>
        </is>
      </c>
      <c r="G10161" t="inlineStr">
        <is>
          <t>LASTSCHUETZ</t>
        </is>
      </c>
      <c r="H10161" t="inlineStr">
        <is>
          <t>4kW 1S</t>
        </is>
      </c>
      <c r="I10161">
        <v>613</v>
      </c>
      <c r="J10161">
        <f>GS34/488.5</f>
        <v>0</v>
      </c>
      <c r="M10161" t="inlineStr">
        <is>
          <t>-488K3808.3</t>
        </is>
      </c>
    </row>
    <row r="10162">
      <c r="A10162">
        <v>10161</v>
      </c>
      <c r="B10162">
        <f>GS34</f>
        <v>0</v>
      </c>
      <c r="C10162" t="inlineStr">
        <is>
          <t>+QVW2701</t>
        </is>
      </c>
      <c r="D10162" t="inlineStr">
        <is>
          <t>-488K3811.1</t>
        </is>
      </c>
      <c r="E10162" t="inlineStr">
        <is>
          <t>DIL_ER-22-G</t>
        </is>
      </c>
      <c r="F10162" t="inlineStr">
        <is>
          <t>#KALK!</t>
        </is>
      </c>
      <c r="G10162" t="inlineStr">
        <is>
          <t>HILFSSCHUETZ</t>
        </is>
      </c>
      <c r="H10162" t="inlineStr">
        <is>
          <t>2S 2OE</t>
        </is>
      </c>
      <c r="I10162">
        <v>613</v>
      </c>
      <c r="J10162">
        <f>GS34/488.3</f>
        <v>0</v>
      </c>
      <c r="M10162" t="inlineStr">
        <is>
          <t>-488K3811.1</t>
        </is>
      </c>
    </row>
    <row r="10163">
      <c r="A10163">
        <v>10162</v>
      </c>
      <c r="B10163">
        <f>GS34</f>
        <v>0</v>
      </c>
      <c r="C10163" t="inlineStr">
        <is>
          <t>+QVW2701</t>
        </is>
      </c>
      <c r="D10163" t="inlineStr">
        <is>
          <t>-488K3811.2</t>
        </is>
      </c>
      <c r="E10163" t="inlineStr">
        <is>
          <t>DIL_ER-22-G</t>
        </is>
      </c>
      <c r="F10163" t="inlineStr">
        <is>
          <t>#KALK!</t>
        </is>
      </c>
      <c r="G10163" t="inlineStr">
        <is>
          <t>HILFSSCHUETZ</t>
        </is>
      </c>
      <c r="H10163" t="inlineStr">
        <is>
          <t>2S 2OE</t>
        </is>
      </c>
      <c r="I10163">
        <v>613</v>
      </c>
      <c r="J10163">
        <f>GS34/488.4</f>
        <v>0</v>
      </c>
      <c r="M10163" t="inlineStr">
        <is>
          <t>-488K3811.2</t>
        </is>
      </c>
    </row>
    <row r="10164">
      <c r="A10164">
        <v>10163</v>
      </c>
      <c r="B10164">
        <f>GS31</f>
        <v>0</v>
      </c>
      <c r="C10164" t="inlineStr">
        <is>
          <t>+LS9</t>
        </is>
      </c>
      <c r="D10164" t="inlineStr">
        <is>
          <t>-488K64.0</t>
        </is>
      </c>
      <c r="E10164" t="inlineStr">
        <is>
          <t>DIL_EM-10-G</t>
        </is>
      </c>
      <c r="F10164" t="inlineStr">
        <is>
          <t>#KALK!</t>
        </is>
      </c>
      <c r="G10164" t="inlineStr">
        <is>
          <t>LASTSCHUETZ</t>
        </is>
      </c>
      <c r="H10164" t="inlineStr">
        <is>
          <t>4kW 1S</t>
        </is>
      </c>
      <c r="I10164">
        <v>782</v>
      </c>
      <c r="J10164">
        <f>GS31/488.6</f>
        <v>0</v>
      </c>
      <c r="M10164" t="inlineStr">
        <is>
          <t>-488K64.0</t>
        </is>
      </c>
    </row>
    <row r="10165">
      <c r="A10165">
        <v>10164</v>
      </c>
      <c r="B10165">
        <f>GC22</f>
        <v>0</v>
      </c>
      <c r="C10165" t="inlineStr">
        <is>
          <t>+QVW2201</t>
        </is>
      </c>
      <c r="D10165" t="inlineStr">
        <is>
          <t>-488K66.2</t>
        </is>
      </c>
      <c r="E10165" t="inlineStr">
        <is>
          <t>DIL_ER-22-G</t>
        </is>
      </c>
      <c r="F10165" t="inlineStr">
        <is>
          <t>#KALK!</t>
        </is>
      </c>
      <c r="G10165" t="inlineStr">
        <is>
          <t>HILFSSCHUETZ</t>
        </is>
      </c>
      <c r="H10165" t="inlineStr">
        <is>
          <t>2S 2OE</t>
        </is>
      </c>
      <c r="I10165">
        <v>2704</v>
      </c>
      <c r="J10165">
        <f>GC22/488.2</f>
        <v>0</v>
      </c>
      <c r="M10165" t="inlineStr">
        <is>
          <t>-488K66.2</t>
        </is>
      </c>
    </row>
    <row r="10166">
      <c r="A10166">
        <v>10165</v>
      </c>
      <c r="B10166">
        <f>GS12</f>
        <v>0</v>
      </c>
      <c r="C10166" t="inlineStr">
        <is>
          <t>+QVW2201</t>
        </is>
      </c>
      <c r="D10166" t="inlineStr">
        <is>
          <t>-488K66.2</t>
        </is>
      </c>
      <c r="E10166" t="inlineStr">
        <is>
          <t>DIL_ER-22-G</t>
        </is>
      </c>
      <c r="F10166" t="inlineStr">
        <is>
          <t>#KALK!</t>
        </is>
      </c>
      <c r="G10166" t="inlineStr">
        <is>
          <t>HILFSSCHUETZ</t>
        </is>
      </c>
      <c r="H10166" t="inlineStr">
        <is>
          <t>2S 2OE</t>
        </is>
      </c>
      <c r="I10166">
        <v>620</v>
      </c>
      <c r="J10166">
        <f>GS12/488.2</f>
        <v>0</v>
      </c>
      <c r="M10166" t="inlineStr">
        <is>
          <t>-488K66.2</t>
        </is>
      </c>
    </row>
    <row r="10167">
      <c r="A10167">
        <v>10166</v>
      </c>
      <c r="B10167">
        <f>GC22</f>
        <v>0</v>
      </c>
      <c r="C10167" t="inlineStr">
        <is>
          <t>+QVW2201</t>
        </is>
      </c>
      <c r="D10167" t="inlineStr">
        <is>
          <t>-488K66.5</t>
        </is>
      </c>
      <c r="E10167" t="inlineStr">
        <is>
          <t>DIL_EM-10-G</t>
        </is>
      </c>
      <c r="F10167" t="inlineStr">
        <is>
          <t>#KALK!</t>
        </is>
      </c>
      <c r="G10167" t="inlineStr">
        <is>
          <t>LASTSCHUETZ</t>
        </is>
      </c>
      <c r="H10167" t="inlineStr">
        <is>
          <t>4kW 1S</t>
        </is>
      </c>
      <c r="I10167">
        <v>2704</v>
      </c>
      <c r="J10167">
        <f>GC22/488.5</f>
        <v>0</v>
      </c>
      <c r="M10167" t="inlineStr">
        <is>
          <t>-488K66.5</t>
        </is>
      </c>
    </row>
    <row r="10168">
      <c r="A10168">
        <v>10167</v>
      </c>
      <c r="B10168">
        <f>GS12</f>
        <v>0</v>
      </c>
      <c r="C10168" t="inlineStr">
        <is>
          <t>+QVW2201</t>
        </is>
      </c>
      <c r="D10168" t="inlineStr">
        <is>
          <t>-488K66.5</t>
        </is>
      </c>
      <c r="E10168" t="inlineStr">
        <is>
          <t>DIL_EM-10-G</t>
        </is>
      </c>
      <c r="F10168" t="inlineStr">
        <is>
          <t>#KALK!</t>
        </is>
      </c>
      <c r="G10168" t="inlineStr">
        <is>
          <t>LASTSCHUETZ</t>
        </is>
      </c>
      <c r="H10168" t="inlineStr">
        <is>
          <t>4kW 1S</t>
        </is>
      </c>
      <c r="I10168">
        <v>620</v>
      </c>
      <c r="J10168">
        <f>GS12/488.5</f>
        <v>0</v>
      </c>
      <c r="M10168" t="inlineStr">
        <is>
          <t>-488K66.5</t>
        </is>
      </c>
    </row>
    <row r="10169">
      <c r="A10169">
        <v>10168</v>
      </c>
      <c r="B10169">
        <f>GC22</f>
        <v>0</v>
      </c>
      <c r="C10169" t="inlineStr">
        <is>
          <t>+QVW2201</t>
        </is>
      </c>
      <c r="D10169" t="inlineStr">
        <is>
          <t>-488K69.4</t>
        </is>
      </c>
      <c r="E10169" t="inlineStr">
        <is>
          <t>DIL_ER-22-G</t>
        </is>
      </c>
      <c r="F10169" t="inlineStr">
        <is>
          <t>#KALK!</t>
        </is>
      </c>
      <c r="G10169" t="inlineStr">
        <is>
          <t>HILFSSCHUETZ</t>
        </is>
      </c>
      <c r="H10169" t="inlineStr">
        <is>
          <t>2S 2OE</t>
        </is>
      </c>
      <c r="I10169">
        <v>2704</v>
      </c>
      <c r="J10169">
        <f>GC22/488.3</f>
        <v>0</v>
      </c>
      <c r="M10169" t="inlineStr">
        <is>
          <t>-488K69.4</t>
        </is>
      </c>
    </row>
    <row r="10170">
      <c r="A10170">
        <v>10169</v>
      </c>
      <c r="B10170">
        <f>GS12</f>
        <v>0</v>
      </c>
      <c r="C10170" t="inlineStr">
        <is>
          <t>+QVW2201</t>
        </is>
      </c>
      <c r="D10170" t="inlineStr">
        <is>
          <t>-488K69.4</t>
        </is>
      </c>
      <c r="E10170" t="inlineStr">
        <is>
          <t>DIL_ER-22-G</t>
        </is>
      </c>
      <c r="F10170" t="inlineStr">
        <is>
          <t>#KALK!</t>
        </is>
      </c>
      <c r="G10170" t="inlineStr">
        <is>
          <t>HILFSSCHUETZ</t>
        </is>
      </c>
      <c r="H10170" t="inlineStr">
        <is>
          <t>2S 2OE</t>
        </is>
      </c>
      <c r="I10170">
        <v>620</v>
      </c>
      <c r="J10170">
        <f>GS12/488.3</f>
        <v>0</v>
      </c>
      <c r="M10170" t="inlineStr">
        <is>
          <t>-488K69.4</t>
        </is>
      </c>
    </row>
    <row r="10171">
      <c r="A10171">
        <v>10170</v>
      </c>
      <c r="B10171">
        <f>GC22</f>
        <v>0</v>
      </c>
      <c r="C10171" t="inlineStr">
        <is>
          <t>+QVW2201</t>
        </is>
      </c>
      <c r="D10171" t="inlineStr">
        <is>
          <t>-488K69.5</t>
        </is>
      </c>
      <c r="E10171" t="inlineStr">
        <is>
          <t>DIL_ER-22-G</t>
        </is>
      </c>
      <c r="F10171" t="inlineStr">
        <is>
          <t>#KALK!</t>
        </is>
      </c>
      <c r="G10171" t="inlineStr">
        <is>
          <t>HILFSSCHUETZ</t>
        </is>
      </c>
      <c r="H10171" t="inlineStr">
        <is>
          <t>2S 2OE</t>
        </is>
      </c>
      <c r="I10171">
        <v>2704</v>
      </c>
      <c r="J10171">
        <f>GC22/488.4</f>
        <v>0</v>
      </c>
      <c r="M10171" t="inlineStr">
        <is>
          <t>-488K69.5</t>
        </is>
      </c>
    </row>
    <row r="10172">
      <c r="A10172">
        <v>10171</v>
      </c>
      <c r="B10172">
        <f>GS12</f>
        <v>0</v>
      </c>
      <c r="C10172" t="inlineStr">
        <is>
          <t>+QVW2201</t>
        </is>
      </c>
      <c r="D10172" t="inlineStr">
        <is>
          <t>-488K69.5</t>
        </is>
      </c>
      <c r="E10172" t="inlineStr">
        <is>
          <t>DIL_ER-22-G</t>
        </is>
      </c>
      <c r="F10172" t="inlineStr">
        <is>
          <t>#KALK!</t>
        </is>
      </c>
      <c r="G10172" t="inlineStr">
        <is>
          <t>HILFSSCHUETZ</t>
        </is>
      </c>
      <c r="H10172" t="inlineStr">
        <is>
          <t>2S 2OE</t>
        </is>
      </c>
      <c r="I10172">
        <v>620</v>
      </c>
      <c r="J10172">
        <f>GS12/488.4</f>
        <v>0</v>
      </c>
      <c r="M10172" t="inlineStr">
        <is>
          <t>-488K69.5</t>
        </is>
      </c>
    </row>
    <row r="10173">
      <c r="A10173">
        <v>10172</v>
      </c>
      <c r="B10173">
        <f>GS35</f>
        <v>0</v>
      </c>
      <c r="C10173" t="inlineStr">
        <is>
          <t>+LS11</t>
        </is>
      </c>
      <c r="D10173" t="inlineStr">
        <is>
          <t>-488Q453.5</t>
        </is>
      </c>
      <c r="E10173" t="inlineStr">
        <is>
          <t>DILM-9-10</t>
        </is>
      </c>
      <c r="F10173" t="inlineStr">
        <is>
          <t>#KALK!</t>
        </is>
      </c>
      <c r="G10173" t="inlineStr">
        <is>
          <t>LASTSCHUETZ</t>
        </is>
      </c>
      <c r="H10173" t="inlineStr">
        <is>
          <t>4kW 1S Federzugkl.</t>
        </is>
      </c>
      <c r="I10173">
        <v>639</v>
      </c>
      <c r="J10173">
        <f>GS35/488.5</f>
        <v>0</v>
      </c>
      <c r="M10173" t="inlineStr">
        <is>
          <t>-488Q453.5</t>
        </is>
      </c>
    </row>
    <row r="10174">
      <c r="A10174">
        <v>10173</v>
      </c>
      <c r="B10174">
        <f>GS51</f>
        <v>0</v>
      </c>
      <c r="C10174" t="inlineStr">
        <is>
          <t>+LS07</t>
        </is>
      </c>
      <c r="D10174" t="inlineStr">
        <is>
          <t>-488Q706.2</t>
        </is>
      </c>
      <c r="E10174" t="inlineStr">
        <is>
          <t>DILM-9-10</t>
        </is>
      </c>
      <c r="F10174" t="inlineStr">
        <is>
          <t>#KALK!</t>
        </is>
      </c>
      <c r="G10174" t="inlineStr">
        <is>
          <t>LASTSCHUETZ</t>
        </is>
      </c>
      <c r="H10174" t="inlineStr">
        <is>
          <t>4kW 1S Federzugkl.</t>
        </is>
      </c>
      <c r="I10174">
        <v>657</v>
      </c>
      <c r="J10174">
        <f>GS51/488.6</f>
        <v>0</v>
      </c>
      <c r="K10174" t="inlineStr">
        <is>
          <t>DIL MC9</t>
        </is>
      </c>
      <c r="M10174" t="inlineStr">
        <is>
          <t>-488Q706.2</t>
        </is>
      </c>
    </row>
    <row r="10175">
      <c r="A10175">
        <v>10174</v>
      </c>
      <c r="B10175">
        <f>GS35</f>
        <v>0</v>
      </c>
      <c r="C10175" t="inlineStr">
        <is>
          <t>+LS11</t>
        </is>
      </c>
      <c r="D10175" t="inlineStr">
        <is>
          <t>-489.1Q453.7</t>
        </is>
      </c>
      <c r="E10175" t="inlineStr">
        <is>
          <t>DILM-9-10</t>
        </is>
      </c>
      <c r="F10175" t="inlineStr">
        <is>
          <t>#KALK!</t>
        </is>
      </c>
      <c r="G10175" t="inlineStr">
        <is>
          <t>LASTSCHUETZ</t>
        </is>
      </c>
      <c r="H10175" t="inlineStr">
        <is>
          <t>4kW 1S Federzugkl.</t>
        </is>
      </c>
      <c r="I10175">
        <v>1279</v>
      </c>
      <c r="J10175">
        <f>GS35/489.1.5</f>
        <v>0</v>
      </c>
      <c r="M10175" t="inlineStr">
        <is>
          <t>-489.1Q453.7</t>
        </is>
      </c>
    </row>
    <row r="10176">
      <c r="A10176">
        <v>10175</v>
      </c>
      <c r="B10176">
        <f>GS13</f>
        <v>0</v>
      </c>
      <c r="C10176" t="inlineStr">
        <is>
          <t>+LS11</t>
        </is>
      </c>
      <c r="D10176" t="inlineStr">
        <is>
          <t>-48917.3</t>
        </is>
      </c>
      <c r="E10176" t="inlineStr">
        <is>
          <t>DIL_EM-10-G</t>
        </is>
      </c>
      <c r="F10176" t="inlineStr">
        <is>
          <t>#KALK!</t>
        </is>
      </c>
      <c r="G10176" t="inlineStr">
        <is>
          <t>LASTSCHUETZ</t>
        </is>
      </c>
      <c r="H10176" t="inlineStr">
        <is>
          <t>4kW 1S</t>
        </is>
      </c>
      <c r="I10176">
        <v>745</v>
      </c>
      <c r="J10176">
        <f>GS13/489.7</f>
        <v>0</v>
      </c>
      <c r="M10176" t="inlineStr">
        <is>
          <t>-48917.3</t>
        </is>
      </c>
    </row>
    <row r="10177">
      <c r="A10177">
        <v>10176</v>
      </c>
      <c r="B10177">
        <f>GS23</f>
        <v>0</v>
      </c>
      <c r="C10177" t="inlineStr">
        <is>
          <t>+LS11</t>
        </is>
      </c>
      <c r="D10177" t="inlineStr">
        <is>
          <t>-489K17.3</t>
        </is>
      </c>
      <c r="E10177" t="inlineStr">
        <is>
          <t>DIL_EM-10-G</t>
        </is>
      </c>
      <c r="F10177" t="inlineStr">
        <is>
          <t>#KALK!</t>
        </is>
      </c>
      <c r="G10177" t="inlineStr">
        <is>
          <t>LASTSCHUETZ</t>
        </is>
      </c>
      <c r="H10177" t="inlineStr">
        <is>
          <t>4kW 1S</t>
        </is>
      </c>
      <c r="I10177">
        <v>799</v>
      </c>
      <c r="J10177">
        <f>GS23/489.7</f>
        <v>0</v>
      </c>
      <c r="M10177" t="inlineStr">
        <is>
          <t>-489K17.3</t>
        </is>
      </c>
    </row>
    <row r="10178">
      <c r="A10178">
        <v>10177</v>
      </c>
      <c r="B10178">
        <f>GS14</f>
        <v>0</v>
      </c>
      <c r="C10178" t="inlineStr">
        <is>
          <t>+LS9</t>
        </is>
      </c>
      <c r="D10178" t="inlineStr">
        <is>
          <t>-489K3513.3</t>
        </is>
      </c>
      <c r="E10178" t="inlineStr">
        <is>
          <t>DIL_EM-10-G</t>
        </is>
      </c>
      <c r="F10178" t="inlineStr">
        <is>
          <t>#KALK!</t>
        </is>
      </c>
      <c r="G10178" t="inlineStr">
        <is>
          <t>LASTSCHUETZ</t>
        </is>
      </c>
      <c r="H10178" t="inlineStr">
        <is>
          <t>4kW 1S</t>
        </is>
      </c>
      <c r="I10178">
        <v>621</v>
      </c>
      <c r="J10178">
        <f>GS14/489.7</f>
        <v>0</v>
      </c>
      <c r="M10178" t="inlineStr">
        <is>
          <t>-489K3513.3</t>
        </is>
      </c>
    </row>
    <row r="10179">
      <c r="A10179">
        <v>10178</v>
      </c>
      <c r="B10179">
        <f>GS16</f>
        <v>0</v>
      </c>
      <c r="C10179" t="inlineStr">
        <is>
          <t>+LS9</t>
        </is>
      </c>
      <c r="D10179" t="inlineStr">
        <is>
          <t>-489K3702.4</t>
        </is>
      </c>
      <c r="E10179" t="inlineStr">
        <is>
          <t>DIL_EM-10-G</t>
        </is>
      </c>
      <c r="F10179" t="inlineStr">
        <is>
          <t>#KALK!</t>
        </is>
      </c>
      <c r="G10179" t="inlineStr">
        <is>
          <t>LASTSCHUETZ</t>
        </is>
      </c>
      <c r="H10179" t="inlineStr">
        <is>
          <t>4kW 1S</t>
        </is>
      </c>
      <c r="I10179">
        <v>728</v>
      </c>
      <c r="J10179">
        <f>GS16/489.7</f>
        <v>0</v>
      </c>
      <c r="M10179" t="inlineStr">
        <is>
          <t>-489K3702.4</t>
        </is>
      </c>
    </row>
    <row r="10180">
      <c r="A10180">
        <v>10179</v>
      </c>
      <c r="B10180">
        <f>GS34</f>
        <v>0</v>
      </c>
      <c r="C10180" t="inlineStr">
        <is>
          <t>+QVW2701</t>
        </is>
      </c>
      <c r="D10180" t="inlineStr">
        <is>
          <t>-489K3808.1</t>
        </is>
      </c>
      <c r="E10180" t="inlineStr">
        <is>
          <t>DIL_EM-10-G</t>
        </is>
      </c>
      <c r="F10180" t="inlineStr">
        <is>
          <t>#KALK!</t>
        </is>
      </c>
      <c r="G10180" t="inlineStr">
        <is>
          <t>LASTSCHUETZ</t>
        </is>
      </c>
      <c r="H10180" t="inlineStr">
        <is>
          <t>4kW 1S</t>
        </is>
      </c>
      <c r="I10180">
        <v>614</v>
      </c>
      <c r="J10180">
        <f>GS34/489.7</f>
        <v>0</v>
      </c>
      <c r="M10180" t="inlineStr">
        <is>
          <t>-489K3808.1</t>
        </is>
      </c>
    </row>
    <row r="10181">
      <c r="A10181">
        <v>10180</v>
      </c>
      <c r="B10181">
        <f>GC22</f>
        <v>0</v>
      </c>
      <c r="C10181" t="inlineStr">
        <is>
          <t>+QVW2201</t>
        </is>
      </c>
      <c r="D10181" t="inlineStr">
        <is>
          <t>-489K66.1</t>
        </is>
      </c>
      <c r="E10181" t="inlineStr">
        <is>
          <t>DIL_EM-10-G</t>
        </is>
      </c>
      <c r="F10181" t="inlineStr">
        <is>
          <t>#KALK!</t>
        </is>
      </c>
      <c r="G10181" t="inlineStr">
        <is>
          <t>LASTSCHUETZ</t>
        </is>
      </c>
      <c r="H10181" t="inlineStr">
        <is>
          <t>4kW 1S</t>
        </is>
      </c>
      <c r="I10181">
        <v>2282</v>
      </c>
      <c r="J10181">
        <f>GC22/489.7</f>
        <v>0</v>
      </c>
      <c r="M10181" t="inlineStr">
        <is>
          <t>-489K66.1</t>
        </is>
      </c>
    </row>
    <row r="10182">
      <c r="A10182">
        <v>10181</v>
      </c>
      <c r="B10182">
        <f>GS12</f>
        <v>0</v>
      </c>
      <c r="C10182" t="inlineStr">
        <is>
          <t>+QVW2201</t>
        </is>
      </c>
      <c r="D10182" t="inlineStr">
        <is>
          <t>-489K66.1</t>
        </is>
      </c>
      <c r="E10182" t="inlineStr">
        <is>
          <t>DIL_EM-10-G</t>
        </is>
      </c>
      <c r="F10182" t="inlineStr">
        <is>
          <t>#KALK!</t>
        </is>
      </c>
      <c r="G10182" t="inlineStr">
        <is>
          <t>LASTSCHUETZ</t>
        </is>
      </c>
      <c r="H10182" t="inlineStr">
        <is>
          <t>4kW 1S</t>
        </is>
      </c>
      <c r="I10182">
        <v>621</v>
      </c>
      <c r="J10182">
        <f>GS12/489.7</f>
        <v>0</v>
      </c>
      <c r="M10182" t="inlineStr">
        <is>
          <t>-489K66.1</t>
        </is>
      </c>
    </row>
    <row r="10183">
      <c r="A10183">
        <v>10182</v>
      </c>
      <c r="B10183">
        <f>GS35</f>
        <v>0</v>
      </c>
      <c r="C10183" t="inlineStr">
        <is>
          <t>+LS11</t>
        </is>
      </c>
      <c r="D10183" t="inlineStr">
        <is>
          <t>-489Q453.6</t>
        </is>
      </c>
      <c r="E10183" t="inlineStr">
        <is>
          <t>DILM-9-10</t>
        </is>
      </c>
      <c r="F10183" t="inlineStr">
        <is>
          <t>#KALK!</t>
        </is>
      </c>
      <c r="G10183" t="inlineStr">
        <is>
          <t>LASTSCHUETZ</t>
        </is>
      </c>
      <c r="H10183" t="inlineStr">
        <is>
          <t>4kW 1S Federzugkl.</t>
        </is>
      </c>
      <c r="I10183">
        <v>638</v>
      </c>
      <c r="J10183">
        <f>GS35/489.5</f>
        <v>0</v>
      </c>
      <c r="M10183" t="inlineStr">
        <is>
          <t>-489Q453.6</t>
        </is>
      </c>
    </row>
    <row r="10184">
      <c r="A10184">
        <v>10183</v>
      </c>
      <c r="B10184">
        <f>GS91</f>
        <v>0</v>
      </c>
      <c r="C10184" t="inlineStr">
        <is>
          <t>+LS09</t>
        </is>
      </c>
      <c r="D10184" t="inlineStr">
        <is>
          <t>-489Q464.5</t>
        </is>
      </c>
      <c r="E10184" t="inlineStr">
        <is>
          <t>DILM-9-10</t>
        </is>
      </c>
      <c r="F10184" t="inlineStr">
        <is>
          <t>#KALK!</t>
        </is>
      </c>
      <c r="G10184" t="inlineStr">
        <is>
          <t>LASTSCHUETZ</t>
        </is>
      </c>
      <c r="H10184" t="inlineStr">
        <is>
          <t>4kW 1S Federzugkl.</t>
        </is>
      </c>
      <c r="I10184">
        <v>641</v>
      </c>
      <c r="J10184">
        <f>GS91/489.5</f>
        <v>0</v>
      </c>
      <c r="M10184" t="inlineStr">
        <is>
          <t>-489Q464.5</t>
        </is>
      </c>
    </row>
    <row r="10185">
      <c r="A10185">
        <v>10184</v>
      </c>
      <c r="B10185">
        <f>GS51</f>
        <v>0</v>
      </c>
      <c r="C10185" t="inlineStr">
        <is>
          <t>+LS07</t>
        </is>
      </c>
      <c r="D10185" t="inlineStr">
        <is>
          <t>-489Q706.3</t>
        </is>
      </c>
      <c r="E10185" t="inlineStr">
        <is>
          <t>DILM-9-10</t>
        </is>
      </c>
      <c r="F10185" t="inlineStr">
        <is>
          <t>#KALK!</t>
        </is>
      </c>
      <c r="G10185" t="inlineStr">
        <is>
          <t>LASTSCHUETZ</t>
        </is>
      </c>
      <c r="H10185" t="inlineStr">
        <is>
          <t>4kW 1S Federzugkl.</t>
        </is>
      </c>
      <c r="I10185">
        <v>656</v>
      </c>
      <c r="J10185">
        <f>GS51/489.6</f>
        <v>0</v>
      </c>
      <c r="K10185" t="inlineStr">
        <is>
          <t>DIL MC9</t>
        </is>
      </c>
      <c r="M10185" t="inlineStr">
        <is>
          <t>-489Q706.3</t>
        </is>
      </c>
    </row>
    <row r="10186">
      <c r="A10186">
        <v>10185</v>
      </c>
      <c r="B10186">
        <f>GS13</f>
        <v>0</v>
      </c>
      <c r="C10186" t="inlineStr">
        <is>
          <t>+LS11</t>
        </is>
      </c>
      <c r="D10186" t="inlineStr">
        <is>
          <t>-49017.4</t>
        </is>
      </c>
      <c r="E10186" t="inlineStr">
        <is>
          <t>DIL_EM-10-G</t>
        </is>
      </c>
      <c r="F10186" t="inlineStr">
        <is>
          <t>#KALK!</t>
        </is>
      </c>
      <c r="G10186" t="inlineStr">
        <is>
          <t>LASTSCHUETZ</t>
        </is>
      </c>
      <c r="H10186" t="inlineStr">
        <is>
          <t>4kW 1S</t>
        </is>
      </c>
      <c r="I10186">
        <v>746</v>
      </c>
      <c r="J10186">
        <f>GS13/490.6</f>
        <v>0</v>
      </c>
      <c r="M10186" t="inlineStr">
        <is>
          <t>-49017.4</t>
        </is>
      </c>
    </row>
    <row r="10187">
      <c r="A10187">
        <v>10186</v>
      </c>
      <c r="B10187">
        <f>GS13</f>
        <v>0</v>
      </c>
      <c r="C10187" t="inlineStr">
        <is>
          <t>+LS11</t>
        </is>
      </c>
      <c r="D10187" t="inlineStr">
        <is>
          <t>-49017.5</t>
        </is>
      </c>
      <c r="E10187" t="inlineStr">
        <is>
          <t>DIL_EM-10-G</t>
        </is>
      </c>
      <c r="F10187" t="inlineStr">
        <is>
          <t>#KALK!</t>
        </is>
      </c>
      <c r="G10187" t="inlineStr">
        <is>
          <t>LASTSCHUETZ</t>
        </is>
      </c>
      <c r="H10187" t="inlineStr">
        <is>
          <t>4kW 1S</t>
        </is>
      </c>
      <c r="I10187">
        <v>746</v>
      </c>
      <c r="J10187">
        <f>GS13/490.6</f>
        <v>0</v>
      </c>
      <c r="M10187" t="inlineStr">
        <is>
          <t>-49017.5</t>
        </is>
      </c>
    </row>
    <row r="10188">
      <c r="A10188">
        <v>10187</v>
      </c>
      <c r="B10188">
        <f>GS23</f>
        <v>0</v>
      </c>
      <c r="C10188" t="inlineStr">
        <is>
          <t>+LS11</t>
        </is>
      </c>
      <c r="D10188" t="inlineStr">
        <is>
          <t>-490K17.4</t>
        </is>
      </c>
      <c r="E10188" t="inlineStr">
        <is>
          <t>DIL_EM-10-G</t>
        </is>
      </c>
      <c r="F10188" t="inlineStr">
        <is>
          <t>#KALK!</t>
        </is>
      </c>
      <c r="G10188" t="inlineStr">
        <is>
          <t>LASTSCHUETZ</t>
        </is>
      </c>
      <c r="H10188" t="inlineStr">
        <is>
          <t>4kW 1S</t>
        </is>
      </c>
      <c r="I10188">
        <v>800</v>
      </c>
      <c r="J10188">
        <f>GS23/490.6</f>
        <v>0</v>
      </c>
      <c r="M10188" t="inlineStr">
        <is>
          <t>-490K17.4</t>
        </is>
      </c>
    </row>
    <row r="10189">
      <c r="A10189">
        <v>10188</v>
      </c>
      <c r="B10189">
        <f>GS23</f>
        <v>0</v>
      </c>
      <c r="C10189" t="inlineStr">
        <is>
          <t>+LS11</t>
        </is>
      </c>
      <c r="D10189" t="inlineStr">
        <is>
          <t>-490K17.5</t>
        </is>
      </c>
      <c r="E10189" t="inlineStr">
        <is>
          <t>DIL_EM-10-G</t>
        </is>
      </c>
      <c r="F10189" t="inlineStr">
        <is>
          <t>#KALK!</t>
        </is>
      </c>
      <c r="G10189" t="inlineStr">
        <is>
          <t>LASTSCHUETZ</t>
        </is>
      </c>
      <c r="H10189" t="inlineStr">
        <is>
          <t>4kW 1S</t>
        </is>
      </c>
      <c r="I10189">
        <v>800</v>
      </c>
      <c r="J10189">
        <f>GS23/490.6</f>
        <v>0</v>
      </c>
      <c r="M10189" t="inlineStr">
        <is>
          <t>-490K17.5</t>
        </is>
      </c>
    </row>
    <row r="10190">
      <c r="A10190">
        <v>10189</v>
      </c>
      <c r="B10190">
        <f>GS24</f>
        <v>0</v>
      </c>
      <c r="C10190" t="inlineStr">
        <is>
          <t>+LS10</t>
        </is>
      </c>
      <c r="D10190" t="inlineStr">
        <is>
          <t>-490K3545.4</t>
        </is>
      </c>
      <c r="E10190" t="inlineStr">
        <is>
          <t>DILM-9-10</t>
        </is>
      </c>
      <c r="F10190" t="inlineStr">
        <is>
          <t>#KALK!</t>
        </is>
      </c>
      <c r="G10190" t="inlineStr">
        <is>
          <t>LASTSCHUETZ</t>
        </is>
      </c>
      <c r="H10190" t="inlineStr">
        <is>
          <t>4kW 1S Federzugkl.</t>
        </is>
      </c>
      <c r="I10190">
        <v>93</v>
      </c>
      <c r="J10190">
        <f>GS24/490.6</f>
        <v>0</v>
      </c>
      <c r="K10190" t="inlineStr">
        <is>
          <t>DIL MC9</t>
        </is>
      </c>
      <c r="M10190" t="inlineStr">
        <is>
          <t>-490K3545.4</t>
        </is>
      </c>
    </row>
    <row r="10191">
      <c r="A10191">
        <v>10190</v>
      </c>
      <c r="B10191">
        <f>GS16</f>
        <v>0</v>
      </c>
      <c r="C10191" t="inlineStr">
        <is>
          <t>+LS9</t>
        </is>
      </c>
      <c r="D10191" t="inlineStr">
        <is>
          <t>-490K3702.7</t>
        </is>
      </c>
      <c r="E10191" t="inlineStr">
        <is>
          <t>DIL_EM-10-G</t>
        </is>
      </c>
      <c r="F10191" t="inlineStr">
        <is>
          <t>#KALK!</t>
        </is>
      </c>
      <c r="G10191" t="inlineStr">
        <is>
          <t>LASTSCHUETZ</t>
        </is>
      </c>
      <c r="H10191" t="inlineStr">
        <is>
          <t>4kW 1S</t>
        </is>
      </c>
      <c r="I10191">
        <v>729</v>
      </c>
      <c r="J10191">
        <f>GS16/490.6</f>
        <v>0</v>
      </c>
      <c r="M10191" t="inlineStr">
        <is>
          <t>-490K3702.7</t>
        </is>
      </c>
    </row>
    <row r="10192">
      <c r="A10192">
        <v>10191</v>
      </c>
      <c r="B10192">
        <f>GS93</f>
        <v>0</v>
      </c>
      <c r="C10192" t="inlineStr">
        <is>
          <t>+LS09</t>
        </is>
      </c>
      <c r="D10192" t="inlineStr">
        <is>
          <t>-490K486.0</t>
        </is>
      </c>
      <c r="E10192" t="inlineStr">
        <is>
          <t>DILA-40</t>
        </is>
      </c>
      <c r="F10192" t="inlineStr">
        <is>
          <t>#KALK!</t>
        </is>
      </c>
      <c r="G10192" t="inlineStr">
        <is>
          <t>HILFSSCHUETZ</t>
        </is>
      </c>
      <c r="H10192" t="inlineStr">
        <is>
          <t>4S Federzugkl.</t>
        </is>
      </c>
      <c r="I10192">
        <v>1044</v>
      </c>
      <c r="J10192">
        <f>GS93/490.7</f>
        <v>0</v>
      </c>
      <c r="M10192" t="inlineStr">
        <is>
          <t>-490K486.0</t>
        </is>
      </c>
    </row>
    <row r="10193">
      <c r="A10193">
        <v>10192</v>
      </c>
      <c r="B10193">
        <f>GS93</f>
        <v>0</v>
      </c>
      <c r="C10193" t="inlineStr">
        <is>
          <t>+LS09</t>
        </is>
      </c>
      <c r="D10193" t="inlineStr">
        <is>
          <t>-490Q1</t>
        </is>
      </c>
      <c r="E10193" t="inlineStr">
        <is>
          <t>DILMC25-10(RDC24)</t>
        </is>
      </c>
      <c r="F10193" t="inlineStr">
        <is>
          <t>DILA-XHI22</t>
        </is>
      </c>
      <c r="G10193" t="inlineStr">
        <is>
          <t>LASTSCHUETZ</t>
        </is>
      </c>
      <c r="H10193" t="inlineStr">
        <is>
          <t>11kW 1S Federzugkl.</t>
        </is>
      </c>
      <c r="I10193">
        <v>1044</v>
      </c>
      <c r="J10193">
        <f>GS93/490.4</f>
        <v>0</v>
      </c>
      <c r="K10193" t="inlineStr">
        <is>
          <t>DIL MC25</t>
        </is>
      </c>
      <c r="M10193" t="inlineStr">
        <is>
          <t>-490Q1</t>
        </is>
      </c>
    </row>
    <row r="10194">
      <c r="A10194">
        <v>10193</v>
      </c>
      <c r="B10194">
        <f>GS93</f>
        <v>0</v>
      </c>
      <c r="C10194" t="inlineStr">
        <is>
          <t>+LS09</t>
        </is>
      </c>
      <c r="D10194" t="inlineStr">
        <is>
          <t>-490Q1</t>
        </is>
      </c>
      <c r="E10194" t="inlineStr">
        <is>
          <t>DILA-XHI22</t>
        </is>
      </c>
      <c r="F10194" t="inlineStr">
        <is>
          <t>DILA-XHI22</t>
        </is>
      </c>
      <c r="G10194" t="inlineStr">
        <is>
          <t>HILFSKONTAKTBLOCK</t>
        </is>
      </c>
      <c r="H10194" t="inlineStr">
        <is>
          <t>2S 2OE Last+Hilfssch. Cage</t>
        </is>
      </c>
      <c r="I10194">
        <v>1044</v>
      </c>
      <c r="J10194">
        <f>GS93/490.4</f>
        <v>0</v>
      </c>
      <c r="K10194" t="inlineStr">
        <is>
          <t>DIL MC25</t>
        </is>
      </c>
      <c r="M10194" t="inlineStr">
        <is>
          <t>-490Q1</t>
        </is>
      </c>
    </row>
    <row r="10195">
      <c r="A10195">
        <v>10194</v>
      </c>
      <c r="B10195">
        <f>GS91</f>
        <v>0</v>
      </c>
      <c r="C10195" t="inlineStr">
        <is>
          <t>+LS09</t>
        </is>
      </c>
      <c r="D10195" t="inlineStr">
        <is>
          <t>-490Q464.6</t>
        </is>
      </c>
      <c r="E10195" t="inlineStr">
        <is>
          <t>DILM-9-10</t>
        </is>
      </c>
      <c r="F10195" t="inlineStr">
        <is>
          <t>#KALK!</t>
        </is>
      </c>
      <c r="G10195" t="inlineStr">
        <is>
          <t>LASTSCHUETZ</t>
        </is>
      </c>
      <c r="H10195" t="inlineStr">
        <is>
          <t>4kW 1S Federzugkl.</t>
        </is>
      </c>
      <c r="I10195">
        <v>642</v>
      </c>
      <c r="J10195">
        <f>GS91/490.5</f>
        <v>0</v>
      </c>
      <c r="M10195" t="inlineStr">
        <is>
          <t>-490Q464.6</t>
        </is>
      </c>
    </row>
    <row r="10196">
      <c r="A10196">
        <v>10195</v>
      </c>
      <c r="B10196">
        <f>GS51</f>
        <v>0</v>
      </c>
      <c r="C10196" t="inlineStr">
        <is>
          <t>+LS07</t>
        </is>
      </c>
      <c r="D10196" t="inlineStr">
        <is>
          <t>-490Q706.4</t>
        </is>
      </c>
      <c r="E10196" t="inlineStr">
        <is>
          <t>DILM-9-10</t>
        </is>
      </c>
      <c r="F10196" t="inlineStr">
        <is>
          <t>#KALK!</t>
        </is>
      </c>
      <c r="G10196" t="inlineStr">
        <is>
          <t>LASTSCHUETZ</t>
        </is>
      </c>
      <c r="H10196" t="inlineStr">
        <is>
          <t>4kW 1S Federzugkl.</t>
        </is>
      </c>
      <c r="I10196">
        <v>659</v>
      </c>
      <c r="J10196">
        <f>GS51/490.6</f>
        <v>0</v>
      </c>
      <c r="K10196" t="inlineStr">
        <is>
          <t>DIL MC9</t>
        </is>
      </c>
      <c r="M10196" t="inlineStr">
        <is>
          <t>-490Q706.4</t>
        </is>
      </c>
    </row>
    <row r="10197">
      <c r="A10197">
        <v>10196</v>
      </c>
      <c r="B10197">
        <f>GS13</f>
        <v>0</v>
      </c>
      <c r="C10197" t="inlineStr">
        <is>
          <t>+LS11</t>
        </is>
      </c>
      <c r="D10197" t="inlineStr">
        <is>
          <t>-49117.6</t>
        </is>
      </c>
      <c r="E10197" t="inlineStr">
        <is>
          <t>DIL_EM-01-G</t>
        </is>
      </c>
      <c r="F10197" t="inlineStr">
        <is>
          <t>#KALK!</t>
        </is>
      </c>
      <c r="G10197" t="inlineStr">
        <is>
          <t>LASTSCHUETZ</t>
        </is>
      </c>
      <c r="H10197" t="inlineStr">
        <is>
          <t>4kW 1OE</t>
        </is>
      </c>
      <c r="I10197">
        <v>747</v>
      </c>
      <c r="J10197">
        <f>GS13/491.6</f>
        <v>0</v>
      </c>
      <c r="M10197" t="inlineStr">
        <is>
          <t>-49117.6</t>
        </is>
      </c>
    </row>
    <row r="10198">
      <c r="A10198">
        <v>10197</v>
      </c>
      <c r="B10198">
        <f>GS13</f>
        <v>0</v>
      </c>
      <c r="C10198" t="inlineStr">
        <is>
          <t>+LS11</t>
        </is>
      </c>
      <c r="D10198" t="inlineStr">
        <is>
          <t>-49117.7</t>
        </is>
      </c>
      <c r="E10198" t="inlineStr">
        <is>
          <t>DIL_EM-10-G</t>
        </is>
      </c>
      <c r="F10198" t="inlineStr">
        <is>
          <t>#KALK!</t>
        </is>
      </c>
      <c r="G10198" t="inlineStr">
        <is>
          <t>LASTSCHUETZ</t>
        </is>
      </c>
      <c r="H10198" t="inlineStr">
        <is>
          <t>4kW 1S</t>
        </is>
      </c>
      <c r="I10198">
        <v>747</v>
      </c>
      <c r="J10198">
        <f>GS13/491.6</f>
        <v>0</v>
      </c>
      <c r="M10198" t="inlineStr">
        <is>
          <t>-49117.7</t>
        </is>
      </c>
    </row>
    <row r="10199">
      <c r="A10199">
        <v>10198</v>
      </c>
      <c r="B10199">
        <f>GS13</f>
        <v>0</v>
      </c>
      <c r="C10199" t="inlineStr">
        <is>
          <t>+LS11</t>
        </is>
      </c>
      <c r="D10199" t="inlineStr">
        <is>
          <t>-49118.2</t>
        </is>
      </c>
      <c r="E10199" t="inlineStr">
        <is>
          <t>DIL_EM-01-G</t>
        </is>
      </c>
      <c r="F10199" t="inlineStr">
        <is>
          <t>#KALK!</t>
        </is>
      </c>
      <c r="G10199" t="inlineStr">
        <is>
          <t>LASTSCHUETZ</t>
        </is>
      </c>
      <c r="H10199" t="inlineStr">
        <is>
          <t>4kW 1OE</t>
        </is>
      </c>
      <c r="I10199">
        <v>747</v>
      </c>
      <c r="J10199">
        <f>GS13/491.7</f>
        <v>0</v>
      </c>
      <c r="M10199" t="inlineStr">
        <is>
          <t>-49118.2</t>
        </is>
      </c>
    </row>
    <row r="10200">
      <c r="A10200">
        <v>10199</v>
      </c>
      <c r="B10200">
        <f>GS23</f>
        <v>0</v>
      </c>
      <c r="C10200" t="inlineStr">
        <is>
          <t>+LS11</t>
        </is>
      </c>
      <c r="D10200" t="inlineStr">
        <is>
          <t>-491K17.6</t>
        </is>
      </c>
      <c r="E10200" t="inlineStr">
        <is>
          <t>DIL_EM-01-G</t>
        </is>
      </c>
      <c r="F10200" t="inlineStr">
        <is>
          <t>#KALK!</t>
        </is>
      </c>
      <c r="G10200" t="inlineStr">
        <is>
          <t>LASTSCHUETZ</t>
        </is>
      </c>
      <c r="H10200" t="inlineStr">
        <is>
          <t>4kW 1OE</t>
        </is>
      </c>
      <c r="I10200">
        <v>801</v>
      </c>
      <c r="J10200">
        <f>GS23/491.6</f>
        <v>0</v>
      </c>
      <c r="M10200" t="inlineStr">
        <is>
          <t>-491K17.6</t>
        </is>
      </c>
    </row>
    <row r="10201">
      <c r="A10201">
        <v>10200</v>
      </c>
      <c r="B10201">
        <f>GS23</f>
        <v>0</v>
      </c>
      <c r="C10201" t="inlineStr">
        <is>
          <t>+LS11</t>
        </is>
      </c>
      <c r="D10201" t="inlineStr">
        <is>
          <t>-491K17.7</t>
        </is>
      </c>
      <c r="E10201" t="inlineStr">
        <is>
          <t>DIL_EM-10-G</t>
        </is>
      </c>
      <c r="F10201" t="inlineStr">
        <is>
          <t>#KALK!</t>
        </is>
      </c>
      <c r="G10201" t="inlineStr">
        <is>
          <t>LASTSCHUETZ</t>
        </is>
      </c>
      <c r="H10201" t="inlineStr">
        <is>
          <t>4kW 1S</t>
        </is>
      </c>
      <c r="I10201">
        <v>801</v>
      </c>
      <c r="J10201">
        <f>GS23/491.6</f>
        <v>0</v>
      </c>
      <c r="M10201" t="inlineStr">
        <is>
          <t>-491K17.7</t>
        </is>
      </c>
    </row>
    <row r="10202">
      <c r="A10202">
        <v>10201</v>
      </c>
      <c r="B10202">
        <f>GS23</f>
        <v>0</v>
      </c>
      <c r="C10202" t="inlineStr">
        <is>
          <t>+LS11</t>
        </is>
      </c>
      <c r="D10202" t="inlineStr">
        <is>
          <t>-491K18.2</t>
        </is>
      </c>
      <c r="E10202" t="inlineStr">
        <is>
          <t>DIL_EM-01-G</t>
        </is>
      </c>
      <c r="F10202" t="inlineStr">
        <is>
          <t>#KALK!</t>
        </is>
      </c>
      <c r="G10202" t="inlineStr">
        <is>
          <t>LASTSCHUETZ</t>
        </is>
      </c>
      <c r="H10202" t="inlineStr">
        <is>
          <t>4kW 1OE</t>
        </is>
      </c>
      <c r="I10202">
        <v>801</v>
      </c>
      <c r="J10202">
        <f>GS23/491.7</f>
        <v>0</v>
      </c>
      <c r="M10202" t="inlineStr">
        <is>
          <t>-491K18.2</t>
        </is>
      </c>
    </row>
    <row r="10203">
      <c r="A10203">
        <v>10202</v>
      </c>
      <c r="B10203">
        <f>GS16</f>
        <v>0</v>
      </c>
      <c r="C10203" t="inlineStr">
        <is>
          <t>+LS9</t>
        </is>
      </c>
      <c r="D10203" t="inlineStr">
        <is>
          <t>-491K3703.4</t>
        </is>
      </c>
      <c r="E10203" t="inlineStr">
        <is>
          <t>DIL_EM-10-G</t>
        </is>
      </c>
      <c r="F10203" t="inlineStr">
        <is>
          <t>#KALK!</t>
        </is>
      </c>
      <c r="G10203" t="inlineStr">
        <is>
          <t>LASTSCHUETZ</t>
        </is>
      </c>
      <c r="H10203" t="inlineStr">
        <is>
          <t>4kW 1S</t>
        </is>
      </c>
      <c r="I10203">
        <v>730</v>
      </c>
      <c r="J10203">
        <f>GS16/491.7</f>
        <v>0</v>
      </c>
      <c r="M10203" t="inlineStr">
        <is>
          <t>-491K3703.4</t>
        </is>
      </c>
    </row>
    <row r="10204">
      <c r="A10204">
        <v>10203</v>
      </c>
      <c r="B10204">
        <f>GS34</f>
        <v>0</v>
      </c>
      <c r="C10204" t="inlineStr">
        <is>
          <t>+QVW2701</t>
        </is>
      </c>
      <c r="D10204" t="inlineStr">
        <is>
          <t>-491K3809.1</t>
        </is>
      </c>
      <c r="E10204" t="inlineStr">
        <is>
          <t>3RT1016-1BB41</t>
        </is>
      </c>
      <c r="F10204" t="inlineStr">
        <is>
          <t>#KALK!</t>
        </is>
      </c>
      <c r="G10204" t="inlineStr">
        <is>
          <t>LASTSCHUETZ</t>
        </is>
      </c>
      <c r="H10204" t="inlineStr">
        <is>
          <t>3H/1S/0OE</t>
        </is>
      </c>
      <c r="I10204">
        <v>616</v>
      </c>
      <c r="J10204">
        <f>GS34/491.2</f>
        <v>0</v>
      </c>
      <c r="M10204" t="inlineStr">
        <is>
          <t>-491K3809.1</t>
        </is>
      </c>
    </row>
    <row r="10205">
      <c r="A10205">
        <v>10204</v>
      </c>
      <c r="B10205">
        <f>GS34</f>
        <v>0</v>
      </c>
      <c r="C10205" t="inlineStr">
        <is>
          <t>+QVW2701</t>
        </is>
      </c>
      <c r="D10205" t="inlineStr">
        <is>
          <t>-491K3809.7</t>
        </is>
      </c>
      <c r="E10205" t="inlineStr">
        <is>
          <t>DIL_EM-10-G</t>
        </is>
      </c>
      <c r="F10205" t="inlineStr">
        <is>
          <t>#KALK!</t>
        </is>
      </c>
      <c r="G10205" t="inlineStr">
        <is>
          <t>LASTSCHUETZ</t>
        </is>
      </c>
      <c r="H10205" t="inlineStr">
        <is>
          <t>4kW 1S</t>
        </is>
      </c>
      <c r="I10205">
        <v>616</v>
      </c>
      <c r="J10205">
        <f>GS34/491.3</f>
        <v>0</v>
      </c>
      <c r="M10205" t="inlineStr">
        <is>
          <t>-491K3809.7</t>
        </is>
      </c>
    </row>
    <row r="10206">
      <c r="A10206">
        <v>10205</v>
      </c>
      <c r="B10206">
        <f>GS31</f>
        <v>0</v>
      </c>
      <c r="C10206" t="inlineStr">
        <is>
          <t>+LS9</t>
        </is>
      </c>
      <c r="D10206" t="inlineStr">
        <is>
          <t>-491K65.4</t>
        </is>
      </c>
      <c r="E10206" t="inlineStr">
        <is>
          <t>DILM-9-01</t>
        </is>
      </c>
      <c r="F10206" t="inlineStr">
        <is>
          <t>#KALK!</t>
        </is>
      </c>
      <c r="G10206" t="inlineStr">
        <is>
          <t>LASTSCHUETZ</t>
        </is>
      </c>
      <c r="H10206" t="inlineStr">
        <is>
          <t>4kW 1Oe Federzugkl.</t>
        </is>
      </c>
      <c r="I10206">
        <v>785</v>
      </c>
      <c r="J10206">
        <f>GS31/491.6</f>
        <v>0</v>
      </c>
      <c r="M10206" t="inlineStr">
        <is>
          <t>-491K65.4</t>
        </is>
      </c>
    </row>
    <row r="10207">
      <c r="A10207">
        <v>10206</v>
      </c>
      <c r="B10207">
        <f>GS31</f>
        <v>0</v>
      </c>
      <c r="C10207" t="inlineStr">
        <is>
          <t>+LS9</t>
        </is>
      </c>
      <c r="D10207" t="inlineStr">
        <is>
          <t>-491K65.5</t>
        </is>
      </c>
      <c r="E10207" t="inlineStr">
        <is>
          <t>DILM-9-01</t>
        </is>
      </c>
      <c r="F10207" t="inlineStr">
        <is>
          <t>#KALK!</t>
        </is>
      </c>
      <c r="G10207" t="inlineStr">
        <is>
          <t>LASTSCHUETZ</t>
        </is>
      </c>
      <c r="H10207" t="inlineStr">
        <is>
          <t>4kW 1Oe Federzugkl.</t>
        </is>
      </c>
      <c r="I10207">
        <v>785</v>
      </c>
      <c r="J10207">
        <f>GS31/491.7</f>
        <v>0</v>
      </c>
      <c r="M10207" t="inlineStr">
        <is>
          <t>-491K65.5</t>
        </is>
      </c>
    </row>
    <row r="10208">
      <c r="A10208">
        <v>10207</v>
      </c>
      <c r="B10208">
        <f>GC22</f>
        <v>0</v>
      </c>
      <c r="C10208" t="inlineStr">
        <is>
          <t>+QVW2201</t>
        </is>
      </c>
      <c r="D10208" t="inlineStr">
        <is>
          <t>-491K67.1</t>
        </is>
      </c>
      <c r="E10208" t="inlineStr">
        <is>
          <t>3RT1016-1BB41</t>
        </is>
      </c>
      <c r="F10208" t="inlineStr">
        <is>
          <t>#KALK!</t>
        </is>
      </c>
      <c r="G10208" t="inlineStr">
        <is>
          <t>LASTSCHUETZ</t>
        </is>
      </c>
      <c r="H10208" t="inlineStr">
        <is>
          <t>3H/1S/0OE</t>
        </is>
      </c>
      <c r="I10208">
        <v>2594</v>
      </c>
      <c r="J10208">
        <f>GC22/491.2</f>
        <v>0</v>
      </c>
      <c r="M10208" t="inlineStr">
        <is>
          <t>-491K67.1</t>
        </is>
      </c>
    </row>
    <row r="10209">
      <c r="A10209">
        <v>10208</v>
      </c>
      <c r="B10209">
        <f>GS12</f>
        <v>0</v>
      </c>
      <c r="C10209" t="inlineStr">
        <is>
          <t>+QVW2201</t>
        </is>
      </c>
      <c r="D10209" t="inlineStr">
        <is>
          <t>-491K67.1</t>
        </is>
      </c>
      <c r="E10209" t="inlineStr">
        <is>
          <t>3RT1016-1BB41</t>
        </is>
      </c>
      <c r="F10209" t="inlineStr">
        <is>
          <t>#KALK!</t>
        </is>
      </c>
      <c r="G10209" t="inlineStr">
        <is>
          <t>LASTSCHUETZ</t>
        </is>
      </c>
      <c r="H10209" t="inlineStr">
        <is>
          <t>3H/1S/0OE</t>
        </is>
      </c>
      <c r="I10209">
        <v>623</v>
      </c>
      <c r="J10209">
        <f>GS12/491.2</f>
        <v>0</v>
      </c>
      <c r="M10209" t="inlineStr">
        <is>
          <t>-491K67.1</t>
        </is>
      </c>
    </row>
    <row r="10210">
      <c r="A10210">
        <v>10209</v>
      </c>
      <c r="B10210">
        <f>GC22</f>
        <v>0</v>
      </c>
      <c r="C10210" t="inlineStr">
        <is>
          <t>+QVW2201</t>
        </is>
      </c>
      <c r="D10210" t="inlineStr">
        <is>
          <t>-491K67.7</t>
        </is>
      </c>
      <c r="E10210" t="inlineStr">
        <is>
          <t>DIL_EM-10-G</t>
        </is>
      </c>
      <c r="F10210" t="inlineStr">
        <is>
          <t>#KALK!</t>
        </is>
      </c>
      <c r="G10210" t="inlineStr">
        <is>
          <t>LASTSCHUETZ</t>
        </is>
      </c>
      <c r="H10210" t="inlineStr">
        <is>
          <t>4kW 1S</t>
        </is>
      </c>
      <c r="I10210">
        <v>2594</v>
      </c>
      <c r="J10210">
        <f>GC22/491.3</f>
        <v>0</v>
      </c>
      <c r="M10210" t="inlineStr">
        <is>
          <t>-491K67.7</t>
        </is>
      </c>
    </row>
    <row r="10211">
      <c r="A10211">
        <v>10210</v>
      </c>
      <c r="B10211">
        <f>GS12</f>
        <v>0</v>
      </c>
      <c r="C10211" t="inlineStr">
        <is>
          <t>+QVW2201</t>
        </is>
      </c>
      <c r="D10211" t="inlineStr">
        <is>
          <t>-491K67.7</t>
        </is>
      </c>
      <c r="E10211" t="inlineStr">
        <is>
          <t>DIL_EM-10-G</t>
        </is>
      </c>
      <c r="F10211" t="inlineStr">
        <is>
          <t>#KALK!</t>
        </is>
      </c>
      <c r="G10211" t="inlineStr">
        <is>
          <t>LASTSCHUETZ</t>
        </is>
      </c>
      <c r="H10211" t="inlineStr">
        <is>
          <t>4kW 1S</t>
        </is>
      </c>
      <c r="I10211">
        <v>623</v>
      </c>
      <c r="J10211">
        <f>GS12/491.3</f>
        <v>0</v>
      </c>
      <c r="M10211" t="inlineStr">
        <is>
          <t>-491K67.7</t>
        </is>
      </c>
    </row>
    <row r="10212">
      <c r="A10212">
        <v>10211</v>
      </c>
      <c r="B10212">
        <f>GS91</f>
        <v>0</v>
      </c>
      <c r="C10212" t="inlineStr">
        <is>
          <t>+LS09</t>
        </is>
      </c>
      <c r="D10212" t="inlineStr">
        <is>
          <t>-491Q464.7</t>
        </is>
      </c>
      <c r="E10212" t="inlineStr">
        <is>
          <t>DILM-9-10</t>
        </is>
      </c>
      <c r="F10212" t="inlineStr">
        <is>
          <t>#KALK!</t>
        </is>
      </c>
      <c r="G10212" t="inlineStr">
        <is>
          <t>LASTSCHUETZ</t>
        </is>
      </c>
      <c r="H10212" t="inlineStr">
        <is>
          <t>4kW 1S Federzugkl.</t>
        </is>
      </c>
      <c r="I10212">
        <v>636</v>
      </c>
      <c r="J10212">
        <f>GS91/491.5</f>
        <v>0</v>
      </c>
      <c r="M10212" t="inlineStr">
        <is>
          <t>-491Q464.7</t>
        </is>
      </c>
    </row>
    <row r="10213">
      <c r="A10213">
        <v>10212</v>
      </c>
      <c r="B10213">
        <f>GS93</f>
        <v>0</v>
      </c>
      <c r="C10213" t="inlineStr">
        <is>
          <t>+LS09</t>
        </is>
      </c>
      <c r="D10213" t="inlineStr">
        <is>
          <t>-491Q486.1</t>
        </is>
      </c>
      <c r="E10213" t="inlineStr">
        <is>
          <t>DILM-9-10</t>
        </is>
      </c>
      <c r="F10213" t="inlineStr">
        <is>
          <t>#KALK!</t>
        </is>
      </c>
      <c r="G10213" t="inlineStr">
        <is>
          <t>LASTSCHUETZ</t>
        </is>
      </c>
      <c r="H10213" t="inlineStr">
        <is>
          <t>4kW 1S Federzugkl.</t>
        </is>
      </c>
      <c r="I10213">
        <v>1045</v>
      </c>
      <c r="J10213">
        <f>GS93/491.5</f>
        <v>0</v>
      </c>
      <c r="M10213" t="inlineStr">
        <is>
          <t>-491Q486.1</t>
        </is>
      </c>
    </row>
    <row r="10214">
      <c r="A10214">
        <v>10213</v>
      </c>
      <c r="B10214">
        <f>GS51</f>
        <v>0</v>
      </c>
      <c r="C10214" t="inlineStr">
        <is>
          <t>+LS07</t>
        </is>
      </c>
      <c r="D10214" t="inlineStr">
        <is>
          <t>-491Q706.5</t>
        </is>
      </c>
      <c r="E10214" t="inlineStr">
        <is>
          <t>DILM-9-10</t>
        </is>
      </c>
      <c r="F10214" t="inlineStr">
        <is>
          <t>#KALK!</t>
        </is>
      </c>
      <c r="G10214" t="inlineStr">
        <is>
          <t>LASTSCHUETZ</t>
        </is>
      </c>
      <c r="H10214" t="inlineStr">
        <is>
          <t>4kW 1S Federzugkl.</t>
        </is>
      </c>
      <c r="I10214">
        <v>660</v>
      </c>
      <c r="J10214">
        <f>GS51/491.6</f>
        <v>0</v>
      </c>
      <c r="K10214" t="inlineStr">
        <is>
          <t>DIL MC9</t>
        </is>
      </c>
      <c r="M10214" t="inlineStr">
        <is>
          <t>-491Q706.5</t>
        </is>
      </c>
    </row>
    <row r="10215">
      <c r="A10215">
        <v>10214</v>
      </c>
      <c r="B10215">
        <f>GS13</f>
        <v>0</v>
      </c>
      <c r="C10215" t="inlineStr">
        <is>
          <t>+LS11</t>
        </is>
      </c>
      <c r="D10215" t="inlineStr">
        <is>
          <t>-49218.5</t>
        </is>
      </c>
      <c r="E10215" t="inlineStr">
        <is>
          <t>DIL_EM-10-G</t>
        </is>
      </c>
      <c r="F10215" t="inlineStr">
        <is>
          <t>#KALK!</t>
        </is>
      </c>
      <c r="G10215" t="inlineStr">
        <is>
          <t>LASTSCHUETZ</t>
        </is>
      </c>
      <c r="H10215" t="inlineStr">
        <is>
          <t>4kW 1S</t>
        </is>
      </c>
      <c r="I10215">
        <v>748</v>
      </c>
      <c r="J10215">
        <f>GS13/492.6</f>
        <v>0</v>
      </c>
      <c r="M10215" t="inlineStr">
        <is>
          <t>-49218.5</t>
        </is>
      </c>
    </row>
    <row r="10216">
      <c r="A10216">
        <v>10215</v>
      </c>
      <c r="B10216">
        <f>GS23</f>
        <v>0</v>
      </c>
      <c r="C10216" t="inlineStr">
        <is>
          <t>+LS11</t>
        </is>
      </c>
      <c r="D10216" t="inlineStr">
        <is>
          <t>-492K18.5</t>
        </is>
      </c>
      <c r="E10216" t="inlineStr">
        <is>
          <t>DIL_EM-10-G</t>
        </is>
      </c>
      <c r="F10216" t="inlineStr">
        <is>
          <t>#KALK!</t>
        </is>
      </c>
      <c r="G10216" t="inlineStr">
        <is>
          <t>LASTSCHUETZ</t>
        </is>
      </c>
      <c r="H10216" t="inlineStr">
        <is>
          <t>4kW 1S</t>
        </is>
      </c>
      <c r="I10216">
        <v>802</v>
      </c>
      <c r="J10216">
        <f>GS23/492.6</f>
        <v>0</v>
      </c>
      <c r="M10216" t="inlineStr">
        <is>
          <t>-492K18.5</t>
        </is>
      </c>
    </row>
    <row r="10217">
      <c r="A10217">
        <v>10216</v>
      </c>
      <c r="B10217">
        <f>GS34</f>
        <v>0</v>
      </c>
      <c r="C10217" t="inlineStr">
        <is>
          <t>+QVW2701</t>
        </is>
      </c>
      <c r="D10217" t="inlineStr">
        <is>
          <t>-492K3809.0</t>
        </is>
      </c>
      <c r="E10217" t="inlineStr">
        <is>
          <t>DIL_EM-10-G</t>
        </is>
      </c>
      <c r="F10217" t="inlineStr">
        <is>
          <t>#KALK!</t>
        </is>
      </c>
      <c r="G10217" t="inlineStr">
        <is>
          <t>LASTSCHUETZ</t>
        </is>
      </c>
      <c r="H10217" t="inlineStr">
        <is>
          <t>4kW 1S</t>
        </is>
      </c>
      <c r="I10217">
        <v>617</v>
      </c>
      <c r="J10217">
        <f>GS34/492.6</f>
        <v>0</v>
      </c>
      <c r="M10217" t="inlineStr">
        <is>
          <t>-492K3809.0</t>
        </is>
      </c>
    </row>
    <row r="10218">
      <c r="A10218">
        <v>10217</v>
      </c>
      <c r="B10218">
        <f>GS51</f>
        <v>0</v>
      </c>
      <c r="C10218" t="inlineStr">
        <is>
          <t>+LS07</t>
        </is>
      </c>
      <c r="D10218" t="inlineStr">
        <is>
          <t>-492Q706.6</t>
        </is>
      </c>
      <c r="E10218" t="inlineStr">
        <is>
          <t>DILM-9-10</t>
        </is>
      </c>
      <c r="F10218" t="inlineStr">
        <is>
          <t>#KALK!</t>
        </is>
      </c>
      <c r="G10218" t="inlineStr">
        <is>
          <t>LASTSCHUETZ</t>
        </is>
      </c>
      <c r="H10218" t="inlineStr">
        <is>
          <t>4kW 1S Federzugkl.</t>
        </is>
      </c>
      <c r="I10218">
        <v>661</v>
      </c>
      <c r="J10218">
        <f>GS51/492.6</f>
        <v>0</v>
      </c>
      <c r="K10218" t="inlineStr">
        <is>
          <t>DIL MC9</t>
        </is>
      </c>
      <c r="M10218" t="inlineStr">
        <is>
          <t>-492Q706.6</t>
        </is>
      </c>
    </row>
    <row r="10219">
      <c r="A10219">
        <v>10218</v>
      </c>
      <c r="B10219">
        <f>GS13</f>
        <v>0</v>
      </c>
      <c r="C10219" t="inlineStr">
        <is>
          <t>+LS11</t>
        </is>
      </c>
      <c r="D10219" t="inlineStr">
        <is>
          <t>-49318.6</t>
        </is>
      </c>
      <c r="E10219" t="inlineStr">
        <is>
          <t>DIL_EM-10-G</t>
        </is>
      </c>
      <c r="F10219" t="inlineStr">
        <is>
          <t>#KALK!</t>
        </is>
      </c>
      <c r="G10219" t="inlineStr">
        <is>
          <t>LASTSCHUETZ</t>
        </is>
      </c>
      <c r="H10219" t="inlineStr">
        <is>
          <t>4kW 1S</t>
        </is>
      </c>
      <c r="I10219">
        <v>749</v>
      </c>
      <c r="J10219">
        <f>GS13/493.6</f>
        <v>0</v>
      </c>
      <c r="M10219" t="inlineStr">
        <is>
          <t>-49318.6</t>
        </is>
      </c>
    </row>
    <row r="10220">
      <c r="A10220">
        <v>10219</v>
      </c>
      <c r="B10220">
        <f>GS13</f>
        <v>0</v>
      </c>
      <c r="C10220" t="inlineStr">
        <is>
          <t>+LS11</t>
        </is>
      </c>
      <c r="D10220" t="inlineStr">
        <is>
          <t>-49318.7</t>
        </is>
      </c>
      <c r="E10220" t="inlineStr">
        <is>
          <t>DIL_EM-10-G</t>
        </is>
      </c>
      <c r="F10220" t="inlineStr">
        <is>
          <t>#KALK!</t>
        </is>
      </c>
      <c r="G10220" t="inlineStr">
        <is>
          <t>LASTSCHUETZ</t>
        </is>
      </c>
      <c r="H10220" t="inlineStr">
        <is>
          <t>4kW 1S</t>
        </is>
      </c>
      <c r="I10220">
        <v>749</v>
      </c>
      <c r="J10220">
        <f>GS13/493.6</f>
        <v>0</v>
      </c>
      <c r="M10220" t="inlineStr">
        <is>
          <t>-49318.7</t>
        </is>
      </c>
    </row>
    <row r="10221">
      <c r="A10221">
        <v>10220</v>
      </c>
      <c r="B10221">
        <f>GS23</f>
        <v>0</v>
      </c>
      <c r="C10221" t="inlineStr">
        <is>
          <t>+LS11</t>
        </is>
      </c>
      <c r="D10221" t="inlineStr">
        <is>
          <t>-493K18.6</t>
        </is>
      </c>
      <c r="E10221" t="inlineStr">
        <is>
          <t>DIL_EM-10-G</t>
        </is>
      </c>
      <c r="F10221" t="inlineStr">
        <is>
          <t>#KALK!</t>
        </is>
      </c>
      <c r="G10221" t="inlineStr">
        <is>
          <t>LASTSCHUETZ</t>
        </is>
      </c>
      <c r="H10221" t="inlineStr">
        <is>
          <t>4kW 1S</t>
        </is>
      </c>
      <c r="I10221">
        <v>803</v>
      </c>
      <c r="J10221">
        <f>GS23/493.6</f>
        <v>0</v>
      </c>
      <c r="M10221" t="inlineStr">
        <is>
          <t>-493K18.6</t>
        </is>
      </c>
    </row>
    <row r="10222">
      <c r="A10222">
        <v>10221</v>
      </c>
      <c r="B10222">
        <f>GS23</f>
        <v>0</v>
      </c>
      <c r="C10222" t="inlineStr">
        <is>
          <t>+LS11</t>
        </is>
      </c>
      <c r="D10222" t="inlineStr">
        <is>
          <t>-493K18.7</t>
        </is>
      </c>
      <c r="E10222" t="inlineStr">
        <is>
          <t>DIL_EM-10-G</t>
        </is>
      </c>
      <c r="F10222" t="inlineStr">
        <is>
          <t>#KALK!</t>
        </is>
      </c>
      <c r="G10222" t="inlineStr">
        <is>
          <t>LASTSCHUETZ</t>
        </is>
      </c>
      <c r="H10222" t="inlineStr">
        <is>
          <t>4kW 1S</t>
        </is>
      </c>
      <c r="I10222">
        <v>803</v>
      </c>
      <c r="J10222">
        <f>GS23/493.6</f>
        <v>0</v>
      </c>
      <c r="M10222" t="inlineStr">
        <is>
          <t>-493K18.7</t>
        </is>
      </c>
    </row>
    <row r="10223">
      <c r="A10223">
        <v>10222</v>
      </c>
      <c r="B10223">
        <f>GS31</f>
        <v>0</v>
      </c>
      <c r="C10223" t="inlineStr">
        <is>
          <t>+LS9</t>
        </is>
      </c>
      <c r="D10223" t="inlineStr">
        <is>
          <t>-493K63.7</t>
        </is>
      </c>
      <c r="E10223" t="inlineStr">
        <is>
          <t>DILMC25-10(RDC24)</t>
        </is>
      </c>
      <c r="F10223" t="inlineStr">
        <is>
          <t>DILA-XHI22</t>
        </is>
      </c>
      <c r="G10223" t="inlineStr">
        <is>
          <t>LASTSCHUETZ</t>
        </is>
      </c>
      <c r="H10223" t="inlineStr">
        <is>
          <t>11kW 1S Federzugkl.</t>
        </is>
      </c>
      <c r="I10223">
        <v>787</v>
      </c>
      <c r="J10223">
        <f>GS31/493.6</f>
        <v>0</v>
      </c>
      <c r="K10223" t="inlineStr">
        <is>
          <t>DIL MC25</t>
        </is>
      </c>
      <c r="M10223" t="inlineStr">
        <is>
          <t>-493K63.7</t>
        </is>
      </c>
    </row>
    <row r="10224">
      <c r="A10224">
        <v>10223</v>
      </c>
      <c r="B10224">
        <f>GS31</f>
        <v>0</v>
      </c>
      <c r="C10224" t="inlineStr">
        <is>
          <t>+LS9</t>
        </is>
      </c>
      <c r="D10224" t="inlineStr">
        <is>
          <t>-493K63.7</t>
        </is>
      </c>
      <c r="E10224" t="inlineStr">
        <is>
          <t>DILA-XHI22</t>
        </is>
      </c>
      <c r="F10224" t="inlineStr">
        <is>
          <t>DILA-XHI22</t>
        </is>
      </c>
      <c r="G10224" t="inlineStr">
        <is>
          <t>HILFSKONTAKTBLOCK</t>
        </is>
      </c>
      <c r="H10224" t="inlineStr">
        <is>
          <t>2S 2OE Last+Hilfssch. Cage</t>
        </is>
      </c>
      <c r="I10224">
        <v>787</v>
      </c>
      <c r="J10224">
        <f>GS31/493.6</f>
        <v>0</v>
      </c>
      <c r="K10224" t="inlineStr">
        <is>
          <t>DIL MC25</t>
        </is>
      </c>
      <c r="M10224" t="inlineStr">
        <is>
          <t>-493K63.7</t>
        </is>
      </c>
    </row>
    <row r="10225">
      <c r="A10225">
        <v>10224</v>
      </c>
      <c r="B10225">
        <f>GC22</f>
        <v>0</v>
      </c>
      <c r="C10225" t="inlineStr">
        <is>
          <t>+QVW2201</t>
        </is>
      </c>
      <c r="D10225" t="inlineStr">
        <is>
          <t>-493K68.1</t>
        </is>
      </c>
      <c r="E10225" t="inlineStr">
        <is>
          <t>3RT1016-1BB41</t>
        </is>
      </c>
      <c r="F10225" t="inlineStr">
        <is>
          <t>#KALK!</t>
        </is>
      </c>
      <c r="G10225" t="inlineStr">
        <is>
          <t>LASTSCHUETZ</t>
        </is>
      </c>
      <c r="H10225" t="inlineStr">
        <is>
          <t>3H/1S/0OE</t>
        </is>
      </c>
      <c r="I10225">
        <v>2595</v>
      </c>
      <c r="J10225">
        <f>GC22/493.2</f>
        <v>0</v>
      </c>
      <c r="M10225" t="inlineStr">
        <is>
          <t>-493K68.1</t>
        </is>
      </c>
    </row>
    <row r="10226">
      <c r="A10226">
        <v>10225</v>
      </c>
      <c r="B10226">
        <f>GS12</f>
        <v>0</v>
      </c>
      <c r="C10226" t="inlineStr">
        <is>
          <t>+QVW2201</t>
        </is>
      </c>
      <c r="D10226" t="inlineStr">
        <is>
          <t>-493K68.1</t>
        </is>
      </c>
      <c r="E10226" t="inlineStr">
        <is>
          <t>3RT1016-1BB41</t>
        </is>
      </c>
      <c r="F10226" t="inlineStr">
        <is>
          <t>#KALK!</t>
        </is>
      </c>
      <c r="G10226" t="inlineStr">
        <is>
          <t>LASTSCHUETZ</t>
        </is>
      </c>
      <c r="H10226" t="inlineStr">
        <is>
          <t>3H/1S/0OE</t>
        </is>
      </c>
      <c r="I10226">
        <v>625</v>
      </c>
      <c r="J10226">
        <f>GS12/493.2</f>
        <v>0</v>
      </c>
      <c r="M10226" t="inlineStr">
        <is>
          <t>-493K68.1</t>
        </is>
      </c>
    </row>
    <row r="10227">
      <c r="A10227">
        <v>10226</v>
      </c>
      <c r="B10227">
        <f>GC22</f>
        <v>0</v>
      </c>
      <c r="C10227" t="inlineStr">
        <is>
          <t>+QVW2201</t>
        </is>
      </c>
      <c r="D10227" t="inlineStr">
        <is>
          <t>-493K68.7</t>
        </is>
      </c>
      <c r="E10227" t="inlineStr">
        <is>
          <t>DIL_EM-10-G</t>
        </is>
      </c>
      <c r="F10227" t="inlineStr">
        <is>
          <t>#KALK!</t>
        </is>
      </c>
      <c r="G10227" t="inlineStr">
        <is>
          <t>LASTSCHUETZ</t>
        </is>
      </c>
      <c r="H10227" t="inlineStr">
        <is>
          <t>4kW 1S</t>
        </is>
      </c>
      <c r="I10227">
        <v>2595</v>
      </c>
      <c r="J10227">
        <f>GC22/493.3</f>
        <v>0</v>
      </c>
      <c r="M10227" t="inlineStr">
        <is>
          <t>-493K68.7</t>
        </is>
      </c>
    </row>
    <row r="10228">
      <c r="A10228">
        <v>10227</v>
      </c>
      <c r="B10228">
        <f>GS12</f>
        <v>0</v>
      </c>
      <c r="C10228" t="inlineStr">
        <is>
          <t>+QVW2201</t>
        </is>
      </c>
      <c r="D10228" t="inlineStr">
        <is>
          <t>-493K68.7</t>
        </is>
      </c>
      <c r="E10228" t="inlineStr">
        <is>
          <t>DIL_EM-10-G</t>
        </is>
      </c>
      <c r="F10228" t="inlineStr">
        <is>
          <t>#KALK!</t>
        </is>
      </c>
      <c r="G10228" t="inlineStr">
        <is>
          <t>LASTSCHUETZ</t>
        </is>
      </c>
      <c r="H10228" t="inlineStr">
        <is>
          <t>4kW 1S</t>
        </is>
      </c>
      <c r="I10228">
        <v>625</v>
      </c>
      <c r="J10228">
        <f>GS12/493.3</f>
        <v>0</v>
      </c>
      <c r="M10228" t="inlineStr">
        <is>
          <t>-493K68.7</t>
        </is>
      </c>
    </row>
    <row r="10229">
      <c r="A10229">
        <v>10228</v>
      </c>
      <c r="B10229">
        <f>GS91</f>
        <v>0</v>
      </c>
      <c r="C10229" t="inlineStr">
        <is>
          <t>+LS09</t>
        </is>
      </c>
      <c r="D10229" t="inlineStr">
        <is>
          <t>-493Q465.1</t>
        </is>
      </c>
      <c r="E10229" t="inlineStr">
        <is>
          <t>DILM-9-10</t>
        </is>
      </c>
      <c r="F10229" t="inlineStr">
        <is>
          <t>#KALK!</t>
        </is>
      </c>
      <c r="G10229" t="inlineStr">
        <is>
          <t>LASTSCHUETZ</t>
        </is>
      </c>
      <c r="H10229" t="inlineStr">
        <is>
          <t>4kW 1S Federzugkl.</t>
        </is>
      </c>
      <c r="I10229">
        <v>634</v>
      </c>
      <c r="J10229">
        <f>GS91/493.5</f>
        <v>0</v>
      </c>
      <c r="M10229" t="inlineStr">
        <is>
          <t>-493Q465.1</t>
        </is>
      </c>
    </row>
    <row r="10230">
      <c r="A10230">
        <v>10229</v>
      </c>
      <c r="B10230">
        <f>GS51</f>
        <v>0</v>
      </c>
      <c r="C10230" t="inlineStr">
        <is>
          <t>+LS07</t>
        </is>
      </c>
      <c r="D10230" t="inlineStr">
        <is>
          <t>-493Q706.7</t>
        </is>
      </c>
      <c r="E10230" t="inlineStr">
        <is>
          <t>DILM-9-10</t>
        </is>
      </c>
      <c r="F10230" t="inlineStr">
        <is>
          <t>#KALK!</t>
        </is>
      </c>
      <c r="G10230" t="inlineStr">
        <is>
          <t>LASTSCHUETZ</t>
        </is>
      </c>
      <c r="H10230" t="inlineStr">
        <is>
          <t>4kW 1S Federzugkl.</t>
        </is>
      </c>
      <c r="I10230">
        <v>662</v>
      </c>
      <c r="J10230">
        <f>GS51/493.6</f>
        <v>0</v>
      </c>
      <c r="K10230" t="inlineStr">
        <is>
          <t>DIL MC9</t>
        </is>
      </c>
      <c r="M10230" t="inlineStr">
        <is>
          <t>-493Q706.7</t>
        </is>
      </c>
    </row>
    <row r="10231">
      <c r="A10231">
        <v>10230</v>
      </c>
      <c r="B10231">
        <f>GS24</f>
        <v>0</v>
      </c>
      <c r="C10231" t="inlineStr">
        <is>
          <t>+LS10</t>
        </is>
      </c>
      <c r="D10231" t="inlineStr">
        <is>
          <t>-494.3K3545.6</t>
        </is>
      </c>
      <c r="E10231" t="inlineStr">
        <is>
          <t>DILM-9-10</t>
        </is>
      </c>
      <c r="F10231" t="inlineStr">
        <is>
          <t>#KALK!</t>
        </is>
      </c>
      <c r="G10231" t="inlineStr">
        <is>
          <t>LASTSCHUETZ</t>
        </is>
      </c>
      <c r="H10231" t="inlineStr">
        <is>
          <t>4kW 1S Federzugkl.</t>
        </is>
      </c>
      <c r="I10231">
        <v>98</v>
      </c>
      <c r="J10231">
        <f>GS24/494.3.6</f>
        <v>0</v>
      </c>
      <c r="K10231" t="inlineStr">
        <is>
          <t>DIL MC9</t>
        </is>
      </c>
      <c r="M10231" t="inlineStr">
        <is>
          <t>-494.3K3545.6</t>
        </is>
      </c>
    </row>
    <row r="10232">
      <c r="A10232">
        <v>10231</v>
      </c>
      <c r="B10232">
        <f>GS24</f>
        <v>0</v>
      </c>
      <c r="C10232" t="inlineStr">
        <is>
          <t>+LS10</t>
        </is>
      </c>
      <c r="D10232" t="inlineStr">
        <is>
          <t>-494K3545.5</t>
        </is>
      </c>
      <c r="E10232" t="inlineStr">
        <is>
          <t>DILM-9-10</t>
        </is>
      </c>
      <c r="F10232" t="inlineStr">
        <is>
          <t>#KALK!</t>
        </is>
      </c>
      <c r="G10232" t="inlineStr">
        <is>
          <t>LASTSCHUETZ</t>
        </is>
      </c>
      <c r="H10232" t="inlineStr">
        <is>
          <t>4kW 1S Federzugkl.</t>
        </is>
      </c>
      <c r="I10232">
        <v>201</v>
      </c>
      <c r="J10232">
        <f>GS24/494.6</f>
        <v>0</v>
      </c>
      <c r="K10232" t="inlineStr">
        <is>
          <t>DIL MC9</t>
        </is>
      </c>
      <c r="M10232" t="inlineStr">
        <is>
          <t>-494K3545.5</t>
        </is>
      </c>
    </row>
    <row r="10233">
      <c r="A10233">
        <v>10232</v>
      </c>
      <c r="B10233">
        <f>GS91</f>
        <v>0</v>
      </c>
      <c r="C10233" t="inlineStr">
        <is>
          <t>+LS09</t>
        </is>
      </c>
      <c r="D10233" t="inlineStr">
        <is>
          <t>-494Q465.2</t>
        </is>
      </c>
      <c r="E10233" t="inlineStr">
        <is>
          <t>DILM-9-10</t>
        </is>
      </c>
      <c r="F10233" t="inlineStr">
        <is>
          <t>#KALK!</t>
        </is>
      </c>
      <c r="G10233" t="inlineStr">
        <is>
          <t>LASTSCHUETZ</t>
        </is>
      </c>
      <c r="H10233" t="inlineStr">
        <is>
          <t>4kW 1S Federzugkl.</t>
        </is>
      </c>
      <c r="I10233">
        <v>633</v>
      </c>
      <c r="J10233">
        <f>GS91/494.5</f>
        <v>0</v>
      </c>
      <c r="M10233" t="inlineStr">
        <is>
          <t>-494Q465.2</t>
        </is>
      </c>
    </row>
    <row r="10234">
      <c r="A10234">
        <v>10233</v>
      </c>
      <c r="B10234">
        <f>GS01</f>
        <v>0</v>
      </c>
      <c r="C10234" t="inlineStr">
        <is>
          <t>+LS11</t>
        </is>
      </c>
      <c r="D10234" t="inlineStr">
        <is>
          <t>-495K1</t>
        </is>
      </c>
      <c r="E10234" t="inlineStr">
        <is>
          <t>DIL_2AM</t>
        </is>
      </c>
      <c r="F10234" t="inlineStr">
        <is>
          <t>22_DIL-M</t>
        </is>
      </c>
      <c r="G10234" t="inlineStr">
        <is>
          <t>LASTSCHUETZ</t>
        </is>
      </c>
      <c r="H10234" t="inlineStr">
        <is>
          <t>30 kW</t>
        </is>
      </c>
      <c r="I10234">
        <v>659</v>
      </c>
      <c r="J10234">
        <f>GS01/495.2</f>
        <v>0</v>
      </c>
      <c r="K10234" t="inlineStr">
        <is>
          <t>DIL2AM</t>
        </is>
      </c>
      <c r="M10234" t="inlineStr">
        <is>
          <t>-495K1</t>
        </is>
      </c>
    </row>
    <row r="10235">
      <c r="A10235">
        <v>10234</v>
      </c>
      <c r="B10235">
        <f>GS01</f>
        <v>0</v>
      </c>
      <c r="C10235" t="inlineStr">
        <is>
          <t>+LS11</t>
        </is>
      </c>
      <c r="D10235" t="inlineStr">
        <is>
          <t>-495K1</t>
        </is>
      </c>
      <c r="E10235" t="inlineStr">
        <is>
          <t>22_DIL-M</t>
        </is>
      </c>
      <c r="F10235" t="inlineStr">
        <is>
          <t>22_DIL-M</t>
        </is>
      </c>
      <c r="G10235" t="inlineStr">
        <is>
          <t>HILFSKONTAKTBLOCK</t>
        </is>
      </c>
      <c r="H10235" t="inlineStr">
        <is>
          <t>2S 2OE Lastschuetz DIL M</t>
        </is>
      </c>
      <c r="I10235">
        <v>659</v>
      </c>
      <c r="J10235">
        <f>GS01/495.2</f>
        <v>0</v>
      </c>
      <c r="K10235" t="inlineStr">
        <is>
          <t>DIL2AM</t>
        </is>
      </c>
      <c r="M10235" t="inlineStr">
        <is>
          <t>-495K1</t>
        </is>
      </c>
    </row>
    <row r="10236">
      <c r="A10236">
        <v>10235</v>
      </c>
      <c r="B10236">
        <f>GS30</f>
        <v>0</v>
      </c>
      <c r="C10236" t="inlineStr">
        <is>
          <t>+LS17</t>
        </is>
      </c>
      <c r="D10236" t="inlineStr">
        <is>
          <t>-495K1302.4</t>
        </is>
      </c>
      <c r="E10236" t="inlineStr">
        <is>
          <t>DILA-40</t>
        </is>
      </c>
      <c r="F10236" t="inlineStr">
        <is>
          <t>#KALK!</t>
        </is>
      </c>
      <c r="G10236" t="inlineStr">
        <is>
          <t>HILFSSCHUETZ</t>
        </is>
      </c>
      <c r="H10236" t="inlineStr">
        <is>
          <t>4S Federzugkl.</t>
        </is>
      </c>
      <c r="I10236">
        <v>1396</v>
      </c>
      <c r="J10236">
        <f>GS30/495.7</f>
        <v>0</v>
      </c>
      <c r="M10236" t="inlineStr">
        <is>
          <t>-495K1302.4</t>
        </is>
      </c>
    </row>
    <row r="10237">
      <c r="A10237">
        <v>10236</v>
      </c>
      <c r="B10237">
        <f>GS01</f>
        <v>0</v>
      </c>
      <c r="C10237" t="inlineStr">
        <is>
          <t>+LS11</t>
        </is>
      </c>
      <c r="D10237" t="inlineStr">
        <is>
          <t>-495K2</t>
        </is>
      </c>
      <c r="E10237" t="inlineStr">
        <is>
          <t>DIL_2AM</t>
        </is>
      </c>
      <c r="F10237" t="inlineStr">
        <is>
          <t>22_DIL-M</t>
        </is>
      </c>
      <c r="G10237" t="inlineStr">
        <is>
          <t>LASTSCHUETZ</t>
        </is>
      </c>
      <c r="H10237" t="inlineStr">
        <is>
          <t>30 kW</t>
        </is>
      </c>
      <c r="I10237">
        <v>659</v>
      </c>
      <c r="J10237">
        <f>GS01/495.3</f>
        <v>0</v>
      </c>
      <c r="K10237" t="inlineStr">
        <is>
          <t>DIL2AM</t>
        </is>
      </c>
      <c r="M10237" t="inlineStr">
        <is>
          <t>-495K2</t>
        </is>
      </c>
    </row>
    <row r="10238">
      <c r="A10238">
        <v>10237</v>
      </c>
      <c r="B10238">
        <f>GS01</f>
        <v>0</v>
      </c>
      <c r="C10238" t="inlineStr">
        <is>
          <t>+LS11</t>
        </is>
      </c>
      <c r="D10238" t="inlineStr">
        <is>
          <t>-495K2</t>
        </is>
      </c>
      <c r="E10238" t="inlineStr">
        <is>
          <t>22_DIL-M</t>
        </is>
      </c>
      <c r="F10238" t="inlineStr">
        <is>
          <t>22_DIL-M</t>
        </is>
      </c>
      <c r="G10238" t="inlineStr">
        <is>
          <t>HILFSKONTAKTBLOCK</t>
        </is>
      </c>
      <c r="H10238" t="inlineStr">
        <is>
          <t>2S 2OE Lastschuetz DIL M</t>
        </is>
      </c>
      <c r="I10238">
        <v>659</v>
      </c>
      <c r="J10238">
        <f>GS01/495.3</f>
        <v>0</v>
      </c>
      <c r="K10238" t="inlineStr">
        <is>
          <t>DIL2AM</t>
        </is>
      </c>
      <c r="M10238" t="inlineStr">
        <is>
          <t>-495K2</t>
        </is>
      </c>
    </row>
    <row r="10239">
      <c r="A10239">
        <v>10238</v>
      </c>
      <c r="B10239">
        <f>GS35</f>
        <v>0</v>
      </c>
      <c r="C10239" t="inlineStr">
        <is>
          <t>+LS12</t>
        </is>
      </c>
      <c r="D10239" t="inlineStr">
        <is>
          <t>-495K463.4</t>
        </is>
      </c>
      <c r="E10239" t="inlineStr">
        <is>
          <t>DILA-40</t>
        </is>
      </c>
      <c r="F10239" t="inlineStr">
        <is>
          <t>#KALK!</t>
        </is>
      </c>
      <c r="G10239" t="inlineStr">
        <is>
          <t>HILFSSCHUETZ</t>
        </is>
      </c>
      <c r="H10239" t="inlineStr">
        <is>
          <t>4S Federzugkl.</t>
        </is>
      </c>
      <c r="I10239">
        <v>654</v>
      </c>
      <c r="J10239">
        <f>GS35/495.7</f>
        <v>0</v>
      </c>
      <c r="M10239" t="inlineStr">
        <is>
          <t>-495K463.4</t>
        </is>
      </c>
    </row>
    <row r="10240">
      <c r="A10240">
        <v>10239</v>
      </c>
      <c r="B10240">
        <f>GS90</f>
        <v>0</v>
      </c>
      <c r="C10240" t="inlineStr">
        <is>
          <t>+LS10</t>
        </is>
      </c>
      <c r="D10240" t="inlineStr">
        <is>
          <t>-495K473.4</t>
        </is>
      </c>
      <c r="E10240" t="inlineStr">
        <is>
          <t>DILA-40</t>
        </is>
      </c>
      <c r="F10240" t="inlineStr">
        <is>
          <t>#KALK!</t>
        </is>
      </c>
      <c r="G10240" t="inlineStr">
        <is>
          <t>HILFSSCHUETZ</t>
        </is>
      </c>
      <c r="H10240" t="inlineStr">
        <is>
          <t>4S Federzugkl.</t>
        </is>
      </c>
      <c r="I10240">
        <v>758</v>
      </c>
      <c r="J10240">
        <f>GS90/495.7</f>
        <v>0</v>
      </c>
      <c r="M10240" t="inlineStr">
        <is>
          <t>-495K473.4</t>
        </is>
      </c>
    </row>
    <row r="10241">
      <c r="A10241">
        <v>10240</v>
      </c>
      <c r="B10241">
        <f>GS20</f>
        <v>0</v>
      </c>
      <c r="C10241" t="inlineStr">
        <is>
          <t>+LS13</t>
        </is>
      </c>
      <c r="D10241" t="inlineStr">
        <is>
          <t>-495K706.4</t>
        </is>
      </c>
      <c r="E10241" t="inlineStr">
        <is>
          <t>DILA-40</t>
        </is>
      </c>
      <c r="F10241" t="inlineStr">
        <is>
          <t>#KALK!</t>
        </is>
      </c>
      <c r="G10241" t="inlineStr">
        <is>
          <t>HILFSSCHUETZ</t>
        </is>
      </c>
      <c r="H10241" t="inlineStr">
        <is>
          <t>4S Federzugkl.</t>
        </is>
      </c>
      <c r="I10241">
        <v>1117</v>
      </c>
      <c r="J10241">
        <f>GS20/495.7</f>
        <v>0</v>
      </c>
      <c r="M10241" t="inlineStr">
        <is>
          <t>-495K706.4</t>
        </is>
      </c>
    </row>
    <row r="10242">
      <c r="A10242">
        <v>10241</v>
      </c>
      <c r="B10242">
        <f>GS06</f>
        <v>0</v>
      </c>
      <c r="C10242" t="inlineStr">
        <is>
          <t>+LS08</t>
        </is>
      </c>
      <c r="D10242" t="inlineStr">
        <is>
          <t>-495Q1</t>
        </is>
      </c>
      <c r="E10242" t="inlineStr">
        <is>
          <t>DILA-XHI22</t>
        </is>
      </c>
      <c r="F10242" t="inlineStr">
        <is>
          <t>DILA-XHI22</t>
        </is>
      </c>
      <c r="G10242" t="inlineStr">
        <is>
          <t>HILFSKONTAKTBLOCK</t>
        </is>
      </c>
      <c r="H10242" t="inlineStr">
        <is>
          <t>2S 2OE Last+Hilfssch. Cage</t>
        </is>
      </c>
      <c r="I10242">
        <v>1301</v>
      </c>
      <c r="J10242">
        <f>GS06/495.6</f>
        <v>0</v>
      </c>
      <c r="K10242" t="inlineStr">
        <is>
          <t>DIL MC25</t>
        </is>
      </c>
      <c r="M10242" t="inlineStr">
        <is>
          <t>-495Q1</t>
        </is>
      </c>
    </row>
    <row r="10243">
      <c r="A10243">
        <v>10242</v>
      </c>
      <c r="B10243">
        <f>GS06</f>
        <v>0</v>
      </c>
      <c r="C10243" t="inlineStr">
        <is>
          <t>+LS08</t>
        </is>
      </c>
      <c r="D10243" t="inlineStr">
        <is>
          <t>-495Q1</t>
        </is>
      </c>
      <c r="E10243" t="inlineStr">
        <is>
          <t>DILMC25-10(RDC24)</t>
        </is>
      </c>
      <c r="F10243" t="inlineStr">
        <is>
          <t>DILA-XHI22</t>
        </is>
      </c>
      <c r="G10243" t="inlineStr">
        <is>
          <t>LASTSCHUETZ</t>
        </is>
      </c>
      <c r="H10243" t="inlineStr">
        <is>
          <t>11kW 1S Federzugkl.</t>
        </is>
      </c>
      <c r="I10243">
        <v>1301</v>
      </c>
      <c r="J10243">
        <f>GS06/495.6</f>
        <v>0</v>
      </c>
      <c r="K10243" t="inlineStr">
        <is>
          <t>DIL MC25</t>
        </is>
      </c>
      <c r="M10243" t="inlineStr">
        <is>
          <t>-495Q1</t>
        </is>
      </c>
    </row>
    <row r="10244">
      <c r="A10244">
        <v>10243</v>
      </c>
      <c r="B10244">
        <f>GS08</f>
        <v>0</v>
      </c>
      <c r="C10244" t="inlineStr">
        <is>
          <t>+LS08</t>
        </is>
      </c>
      <c r="D10244" t="inlineStr">
        <is>
          <t>-495Q1</t>
        </is>
      </c>
      <c r="E10244" t="inlineStr">
        <is>
          <t>DILA-XHI22</t>
        </is>
      </c>
      <c r="F10244" t="inlineStr">
        <is>
          <t>DILA-XHI22</t>
        </is>
      </c>
      <c r="G10244" t="inlineStr">
        <is>
          <t>HILFSKONTAKTBLOCK</t>
        </is>
      </c>
      <c r="H10244" t="inlineStr">
        <is>
          <t>2S 2OE Last+Hilfssch. Cage</t>
        </is>
      </c>
      <c r="I10244">
        <v>2310</v>
      </c>
      <c r="J10244">
        <f>GS08/495.6</f>
        <v>0</v>
      </c>
      <c r="K10244" t="inlineStr">
        <is>
          <t>DIL MC25</t>
        </is>
      </c>
      <c r="M10244" t="inlineStr">
        <is>
          <t>-495Q1</t>
        </is>
      </c>
    </row>
    <row r="10245">
      <c r="A10245">
        <v>10244</v>
      </c>
      <c r="B10245">
        <f>GS08</f>
        <v>0</v>
      </c>
      <c r="C10245" t="inlineStr">
        <is>
          <t>+LS08</t>
        </is>
      </c>
      <c r="D10245" t="inlineStr">
        <is>
          <t>-495Q1</t>
        </is>
      </c>
      <c r="E10245" t="inlineStr">
        <is>
          <t>DILMC25-10(RDC24)</t>
        </is>
      </c>
      <c r="F10245" t="inlineStr">
        <is>
          <t>DILA-XHI22</t>
        </is>
      </c>
      <c r="G10245" t="inlineStr">
        <is>
          <t>LASTSCHUETZ</t>
        </is>
      </c>
      <c r="H10245" t="inlineStr">
        <is>
          <t>11kW 1S Federzugkl.</t>
        </is>
      </c>
      <c r="I10245">
        <v>2310</v>
      </c>
      <c r="J10245">
        <f>GS08/495.6</f>
        <v>0</v>
      </c>
      <c r="K10245" t="inlineStr">
        <is>
          <t>DIL MC25</t>
        </is>
      </c>
      <c r="M10245" t="inlineStr">
        <is>
          <t>-495Q1</t>
        </is>
      </c>
    </row>
    <row r="10246">
      <c r="A10246">
        <v>10245</v>
      </c>
      <c r="B10246">
        <f>GS20</f>
        <v>0</v>
      </c>
      <c r="C10246" t="inlineStr">
        <is>
          <t>+LS13</t>
        </is>
      </c>
      <c r="D10246" t="inlineStr">
        <is>
          <t>-495Q1</t>
        </is>
      </c>
      <c r="E10246" t="inlineStr">
        <is>
          <t>DILA-XHI22</t>
        </is>
      </c>
      <c r="F10246" t="inlineStr">
        <is>
          <t>DILA-XHI22</t>
        </is>
      </c>
      <c r="G10246" t="inlineStr">
        <is>
          <t>HILFSKONTAKTBLOCK</t>
        </is>
      </c>
      <c r="H10246" t="inlineStr">
        <is>
          <t>2S 2OE Last+Hilfssch. Cage</t>
        </is>
      </c>
      <c r="I10246">
        <v>1117</v>
      </c>
      <c r="J10246">
        <f>GS20/495.4</f>
        <v>0</v>
      </c>
      <c r="K10246" t="inlineStr">
        <is>
          <t>DIL MC25</t>
        </is>
      </c>
      <c r="M10246" t="inlineStr">
        <is>
          <t>-495Q1</t>
        </is>
      </c>
    </row>
    <row r="10247">
      <c r="A10247">
        <v>10246</v>
      </c>
      <c r="B10247">
        <f>GS20</f>
        <v>0</v>
      </c>
      <c r="C10247" t="inlineStr">
        <is>
          <t>+LS13</t>
        </is>
      </c>
      <c r="D10247" t="inlineStr">
        <is>
          <t>-495Q1</t>
        </is>
      </c>
      <c r="E10247" t="inlineStr">
        <is>
          <t>DILMC25-10(RDC24)</t>
        </is>
      </c>
      <c r="F10247" t="inlineStr">
        <is>
          <t>DILA-XHI22</t>
        </is>
      </c>
      <c r="G10247" t="inlineStr">
        <is>
          <t>LASTSCHUETZ</t>
        </is>
      </c>
      <c r="H10247" t="inlineStr">
        <is>
          <t>11kW 1S Federzugkl.</t>
        </is>
      </c>
      <c r="I10247">
        <v>1117</v>
      </c>
      <c r="J10247">
        <f>GS20/495.4</f>
        <v>0</v>
      </c>
      <c r="K10247" t="inlineStr">
        <is>
          <t>DIL MC25</t>
        </is>
      </c>
      <c r="M10247" t="inlineStr">
        <is>
          <t>-495Q1</t>
        </is>
      </c>
    </row>
    <row r="10248">
      <c r="A10248">
        <v>10247</v>
      </c>
      <c r="B10248">
        <f>GS30</f>
        <v>0</v>
      </c>
      <c r="C10248" t="inlineStr">
        <is>
          <t>+LS17</t>
        </is>
      </c>
      <c r="D10248" t="inlineStr">
        <is>
          <t>-495Q1</t>
        </is>
      </c>
      <c r="E10248" t="inlineStr">
        <is>
          <t>DILMC25-10(RDC24)</t>
        </is>
      </c>
      <c r="F10248" t="inlineStr">
        <is>
          <t>DILA-XHI22</t>
        </is>
      </c>
      <c r="G10248" t="inlineStr">
        <is>
          <t>LASTSCHUETZ</t>
        </is>
      </c>
      <c r="H10248" t="inlineStr">
        <is>
          <t>11kW 1S Federzugkl.</t>
        </is>
      </c>
      <c r="I10248">
        <v>1396</v>
      </c>
      <c r="J10248">
        <f>GS30/495.4</f>
        <v>0</v>
      </c>
      <c r="K10248" t="inlineStr">
        <is>
          <t>DIL MC25</t>
        </is>
      </c>
      <c r="M10248" t="inlineStr">
        <is>
          <t>-495Q1</t>
        </is>
      </c>
    </row>
    <row r="10249">
      <c r="A10249">
        <v>10248</v>
      </c>
      <c r="B10249">
        <f>GS30</f>
        <v>0</v>
      </c>
      <c r="C10249" t="inlineStr">
        <is>
          <t>+LS17</t>
        </is>
      </c>
      <c r="D10249" t="inlineStr">
        <is>
          <t>-495Q1</t>
        </is>
      </c>
      <c r="E10249" t="inlineStr">
        <is>
          <t>DILA-XHI22</t>
        </is>
      </c>
      <c r="F10249" t="inlineStr">
        <is>
          <t>DILA-XHI22</t>
        </is>
      </c>
      <c r="G10249" t="inlineStr">
        <is>
          <t>HILFSKONTAKTBLOCK</t>
        </is>
      </c>
      <c r="H10249" t="inlineStr">
        <is>
          <t>2S 2OE Last+Hilfssch. Cage</t>
        </is>
      </c>
      <c r="I10249">
        <v>1396</v>
      </c>
      <c r="J10249">
        <f>GS30/495.4</f>
        <v>0</v>
      </c>
      <c r="K10249" t="inlineStr">
        <is>
          <t>DIL MC25</t>
        </is>
      </c>
      <c r="M10249" t="inlineStr">
        <is>
          <t>-495Q1</t>
        </is>
      </c>
    </row>
    <row r="10250">
      <c r="A10250">
        <v>10249</v>
      </c>
      <c r="B10250">
        <f>GS35</f>
        <v>0</v>
      </c>
      <c r="C10250" t="inlineStr">
        <is>
          <t>+LS12</t>
        </is>
      </c>
      <c r="D10250" t="inlineStr">
        <is>
          <t>-495Q1</t>
        </is>
      </c>
      <c r="E10250" t="inlineStr">
        <is>
          <t>DILA-XHI22</t>
        </is>
      </c>
      <c r="F10250" t="inlineStr">
        <is>
          <t>DILA-XHI22</t>
        </is>
      </c>
      <c r="G10250" t="inlineStr">
        <is>
          <t>HILFSKONTAKTBLOCK</t>
        </is>
      </c>
      <c r="H10250" t="inlineStr">
        <is>
          <t>2S 2OE Last+Hilfssch. Cage</t>
        </is>
      </c>
      <c r="I10250">
        <v>654</v>
      </c>
      <c r="J10250">
        <f>GS35/495.4</f>
        <v>0</v>
      </c>
      <c r="K10250" t="inlineStr">
        <is>
          <t>DIL MC25</t>
        </is>
      </c>
      <c r="M10250" t="inlineStr">
        <is>
          <t>-495Q1</t>
        </is>
      </c>
    </row>
    <row r="10251">
      <c r="A10251">
        <v>10250</v>
      </c>
      <c r="B10251">
        <f>GS35</f>
        <v>0</v>
      </c>
      <c r="C10251" t="inlineStr">
        <is>
          <t>+LS12</t>
        </is>
      </c>
      <c r="D10251" t="inlineStr">
        <is>
          <t>-495Q1</t>
        </is>
      </c>
      <c r="E10251" t="inlineStr">
        <is>
          <t>DILM-25-10</t>
        </is>
      </c>
      <c r="F10251" t="inlineStr">
        <is>
          <t>DILA-XHI22</t>
        </is>
      </c>
      <c r="G10251" t="inlineStr">
        <is>
          <t>LASTSCHUETZ</t>
        </is>
      </c>
      <c r="H10251" t="inlineStr">
        <is>
          <t>11kW 1S Federzugkl.</t>
        </is>
      </c>
      <c r="I10251">
        <v>654</v>
      </c>
      <c r="J10251">
        <f>GS35/495.4</f>
        <v>0</v>
      </c>
      <c r="K10251" t="inlineStr">
        <is>
          <t>DIL MC25</t>
        </is>
      </c>
      <c r="M10251" t="inlineStr">
        <is>
          <t>-495Q1</t>
        </is>
      </c>
    </row>
    <row r="10252">
      <c r="A10252">
        <v>10251</v>
      </c>
      <c r="B10252">
        <f>GS55</f>
        <v>0</v>
      </c>
      <c r="C10252" t="inlineStr">
        <is>
          <t>+LS07</t>
        </is>
      </c>
      <c r="D10252" t="inlineStr">
        <is>
          <t>-495Q1</t>
        </is>
      </c>
      <c r="E10252" t="inlineStr">
        <is>
          <t>DILA-XHI22</t>
        </is>
      </c>
      <c r="F10252" t="inlineStr">
        <is>
          <t>DILA-XHI22</t>
        </is>
      </c>
      <c r="G10252" t="inlineStr">
        <is>
          <t>HILFSKONTAKTBLOCK</t>
        </is>
      </c>
      <c r="H10252" t="inlineStr">
        <is>
          <t>2S 2OE Last+Hilfssch. Cage</t>
        </is>
      </c>
      <c r="I10252">
        <v>777</v>
      </c>
      <c r="J10252">
        <f>GS55/495.6</f>
        <v>0</v>
      </c>
      <c r="K10252" t="inlineStr">
        <is>
          <t>DIL MC25</t>
        </is>
      </c>
      <c r="M10252" t="inlineStr">
        <is>
          <t>-495Q1</t>
        </is>
      </c>
    </row>
    <row r="10253">
      <c r="A10253">
        <v>10252</v>
      </c>
      <c r="B10253">
        <f>GS55</f>
        <v>0</v>
      </c>
      <c r="C10253" t="inlineStr">
        <is>
          <t>+LS07</t>
        </is>
      </c>
      <c r="D10253" t="inlineStr">
        <is>
          <t>-495Q1</t>
        </is>
      </c>
      <c r="E10253" t="inlineStr">
        <is>
          <t>DILMC25-10(RDC24)</t>
        </is>
      </c>
      <c r="F10253" t="inlineStr">
        <is>
          <t>DILA-XHI22</t>
        </is>
      </c>
      <c r="G10253" t="inlineStr">
        <is>
          <t>LASTSCHUETZ</t>
        </is>
      </c>
      <c r="H10253" t="inlineStr">
        <is>
          <t>11kW 1S Federzugkl.</t>
        </is>
      </c>
      <c r="I10253">
        <v>777</v>
      </c>
      <c r="J10253">
        <f>GS55/495.6</f>
        <v>0</v>
      </c>
      <c r="K10253" t="inlineStr">
        <is>
          <t>DIL MC25</t>
        </is>
      </c>
      <c r="M10253" t="inlineStr">
        <is>
          <t>-495Q1</t>
        </is>
      </c>
    </row>
    <row r="10254">
      <c r="A10254">
        <v>10253</v>
      </c>
      <c r="B10254">
        <f>GS90</f>
        <v>0</v>
      </c>
      <c r="C10254" t="inlineStr">
        <is>
          <t>+LS10</t>
        </is>
      </c>
      <c r="D10254" t="inlineStr">
        <is>
          <t>-495Q1</t>
        </is>
      </c>
      <c r="E10254" t="inlineStr">
        <is>
          <t>DILMC25-10(RDC24)</t>
        </is>
      </c>
      <c r="F10254" t="inlineStr">
        <is>
          <t>DILA-XHI22</t>
        </is>
      </c>
      <c r="G10254" t="inlineStr">
        <is>
          <t>LASTSCHUETZ</t>
        </is>
      </c>
      <c r="H10254" t="inlineStr">
        <is>
          <t>11kW 1S Federzugkl.</t>
        </is>
      </c>
      <c r="I10254">
        <v>758</v>
      </c>
      <c r="J10254">
        <f>GS90/495.4</f>
        <v>0</v>
      </c>
      <c r="K10254" t="inlineStr">
        <is>
          <t>DIL MC25</t>
        </is>
      </c>
      <c r="M10254" t="inlineStr">
        <is>
          <t>-495Q1</t>
        </is>
      </c>
    </row>
    <row r="10255">
      <c r="A10255">
        <v>10254</v>
      </c>
      <c r="B10255">
        <f>GS90</f>
        <v>0</v>
      </c>
      <c r="C10255" t="inlineStr">
        <is>
          <t>+LS10</t>
        </is>
      </c>
      <c r="D10255" t="inlineStr">
        <is>
          <t>-495Q1</t>
        </is>
      </c>
      <c r="E10255" t="inlineStr">
        <is>
          <t>DILA-XHI22</t>
        </is>
      </c>
      <c r="F10255" t="inlineStr">
        <is>
          <t>DILA-XHI22</t>
        </is>
      </c>
      <c r="G10255" t="inlineStr">
        <is>
          <t>HILFSKONTAKTBLOCK</t>
        </is>
      </c>
      <c r="H10255" t="inlineStr">
        <is>
          <t>2S 2OE Last+Hilfssch. Cage</t>
        </is>
      </c>
      <c r="I10255">
        <v>758</v>
      </c>
      <c r="J10255">
        <f>GS90/495.4</f>
        <v>0</v>
      </c>
      <c r="K10255" t="inlineStr">
        <is>
          <t>DIL MC25</t>
        </is>
      </c>
      <c r="M10255" t="inlineStr">
        <is>
          <t>-495Q1</t>
        </is>
      </c>
    </row>
    <row r="10256">
      <c r="A10256">
        <v>10255</v>
      </c>
      <c r="B10256">
        <f>GS08</f>
        <v>0</v>
      </c>
      <c r="C10256" t="inlineStr">
        <is>
          <t>+LS08</t>
        </is>
      </c>
      <c r="D10256" t="inlineStr">
        <is>
          <t>-495Q3</t>
        </is>
      </c>
      <c r="E10256" t="inlineStr">
        <is>
          <t>DILA-XHI22</t>
        </is>
      </c>
      <c r="F10256" t="inlineStr">
        <is>
          <t>DILA-XHI22</t>
        </is>
      </c>
      <c r="G10256" t="inlineStr">
        <is>
          <t>HILFSKONTAKTBLOCK</t>
        </is>
      </c>
      <c r="H10256" t="inlineStr">
        <is>
          <t>2S 2OE Last+Hilfssch. Cage</t>
        </is>
      </c>
      <c r="I10256">
        <v>2310</v>
      </c>
      <c r="J10256">
        <f>GS08/495.7</f>
        <v>0</v>
      </c>
      <c r="K10256" t="inlineStr">
        <is>
          <t>DIL MC25</t>
        </is>
      </c>
      <c r="M10256" t="inlineStr">
        <is>
          <t>-495Q3</t>
        </is>
      </c>
    </row>
    <row r="10257">
      <c r="A10257">
        <v>10256</v>
      </c>
      <c r="B10257">
        <f>GS08</f>
        <v>0</v>
      </c>
      <c r="C10257" t="inlineStr">
        <is>
          <t>+LS08</t>
        </is>
      </c>
      <c r="D10257" t="inlineStr">
        <is>
          <t>-495Q3</t>
        </is>
      </c>
      <c r="E10257" t="inlineStr">
        <is>
          <t>DILMC25-10(RDC24)</t>
        </is>
      </c>
      <c r="F10257" t="inlineStr">
        <is>
          <t>DILA-XHI22</t>
        </is>
      </c>
      <c r="G10257" t="inlineStr">
        <is>
          <t>LASTSCHUETZ</t>
        </is>
      </c>
      <c r="H10257" t="inlineStr">
        <is>
          <t>11kW 1S Federzugkl.</t>
        </is>
      </c>
      <c r="I10257">
        <v>2310</v>
      </c>
      <c r="J10257">
        <f>GS08/495.7</f>
        <v>0</v>
      </c>
      <c r="K10257" t="inlineStr">
        <is>
          <t>DIL MC25</t>
        </is>
      </c>
      <c r="M10257" t="inlineStr">
        <is>
          <t>-495Q3</t>
        </is>
      </c>
    </row>
    <row r="10258">
      <c r="A10258">
        <v>10257</v>
      </c>
      <c r="B10258">
        <f>GS91</f>
        <v>0</v>
      </c>
      <c r="C10258" t="inlineStr">
        <is>
          <t>+LS09</t>
        </is>
      </c>
      <c r="D10258" t="inlineStr">
        <is>
          <t>-495Q465.3</t>
        </is>
      </c>
      <c r="E10258" t="inlineStr">
        <is>
          <t>DILM-9-10</t>
        </is>
      </c>
      <c r="F10258" t="inlineStr">
        <is>
          <t>#KALK!</t>
        </is>
      </c>
      <c r="G10258" t="inlineStr">
        <is>
          <t>LASTSCHUETZ</t>
        </is>
      </c>
      <c r="H10258" t="inlineStr">
        <is>
          <t>4kW 1S Federzugkl.</t>
        </is>
      </c>
      <c r="I10258">
        <v>365</v>
      </c>
      <c r="J10258">
        <f>GS91/495.5</f>
        <v>0</v>
      </c>
      <c r="M10258" t="inlineStr">
        <is>
          <t>-495Q465.3</t>
        </is>
      </c>
    </row>
    <row r="10259">
      <c r="A10259">
        <v>10258</v>
      </c>
      <c r="B10259">
        <f>GS14</f>
        <v>0</v>
      </c>
      <c r="C10259" t="inlineStr">
        <is>
          <t>+LS9</t>
        </is>
      </c>
      <c r="D10259" t="inlineStr">
        <is>
          <t>-496K1</t>
        </is>
      </c>
      <c r="E10259" t="inlineStr">
        <is>
          <t>DIL_0AM</t>
        </is>
      </c>
      <c r="F10259" t="inlineStr">
        <is>
          <t>22_DIL-M</t>
        </is>
      </c>
      <c r="G10259" t="inlineStr">
        <is>
          <t>LASTSCHUETZ</t>
        </is>
      </c>
      <c r="H10259" t="inlineStr">
        <is>
          <t>11 kW</t>
        </is>
      </c>
      <c r="I10259">
        <v>628</v>
      </c>
      <c r="J10259">
        <f>GS14/496.2</f>
        <v>0</v>
      </c>
      <c r="K10259" t="inlineStr">
        <is>
          <t>DIL0AM</t>
        </is>
      </c>
      <c r="M10259" t="inlineStr">
        <is>
          <t>-496K1</t>
        </is>
      </c>
    </row>
    <row r="10260">
      <c r="A10260">
        <v>10259</v>
      </c>
      <c r="B10260">
        <f>GS14</f>
        <v>0</v>
      </c>
      <c r="C10260" t="inlineStr">
        <is>
          <t>+LS9</t>
        </is>
      </c>
      <c r="D10260" t="inlineStr">
        <is>
          <t>-496K1</t>
        </is>
      </c>
      <c r="E10260" t="inlineStr">
        <is>
          <t>22_DIL-M</t>
        </is>
      </c>
      <c r="F10260" t="inlineStr">
        <is>
          <t>22_DIL-M</t>
        </is>
      </c>
      <c r="G10260" t="inlineStr">
        <is>
          <t>HILFSKONTAKTBLOCK</t>
        </is>
      </c>
      <c r="H10260" t="inlineStr">
        <is>
          <t>2S 2OE Lastschuetz DIL M</t>
        </is>
      </c>
      <c r="I10260">
        <v>628</v>
      </c>
      <c r="J10260">
        <f>GS14/496.2</f>
        <v>0</v>
      </c>
      <c r="K10260" t="inlineStr">
        <is>
          <t>DIL0AM</t>
        </is>
      </c>
      <c r="M10260" t="inlineStr">
        <is>
          <t>-496K1</t>
        </is>
      </c>
    </row>
    <row r="10261">
      <c r="A10261">
        <v>10260</v>
      </c>
      <c r="B10261">
        <f>GS25</f>
        <v>0</v>
      </c>
      <c r="C10261" t="inlineStr">
        <is>
          <t>+LS11</t>
        </is>
      </c>
      <c r="D10261" t="inlineStr">
        <is>
          <t>-496K1</t>
        </is>
      </c>
      <c r="E10261" t="inlineStr">
        <is>
          <t>DIL_0AM</t>
        </is>
      </c>
      <c r="F10261" t="inlineStr">
        <is>
          <t>22_DIL-M</t>
        </is>
      </c>
      <c r="G10261" t="inlineStr">
        <is>
          <t>LASTSCHUETZ</t>
        </is>
      </c>
      <c r="H10261" t="inlineStr">
        <is>
          <t>11 kW</t>
        </is>
      </c>
      <c r="I10261">
        <v>622</v>
      </c>
      <c r="J10261">
        <f>GS25/496.2</f>
        <v>0</v>
      </c>
      <c r="K10261" t="inlineStr">
        <is>
          <t>DIL0AM</t>
        </is>
      </c>
      <c r="M10261" t="inlineStr">
        <is>
          <t>-496K1</t>
        </is>
      </c>
    </row>
    <row r="10262">
      <c r="A10262">
        <v>10261</v>
      </c>
      <c r="B10262">
        <f>GS25</f>
        <v>0</v>
      </c>
      <c r="C10262" t="inlineStr">
        <is>
          <t>+LS11</t>
        </is>
      </c>
      <c r="D10262" t="inlineStr">
        <is>
          <t>-496K1</t>
        </is>
      </c>
      <c r="E10262" t="inlineStr">
        <is>
          <t>22_DIL-M</t>
        </is>
      </c>
      <c r="F10262" t="inlineStr">
        <is>
          <t>22_DIL-M</t>
        </is>
      </c>
      <c r="G10262" t="inlineStr">
        <is>
          <t>HILFSKONTAKTBLOCK</t>
        </is>
      </c>
      <c r="H10262" t="inlineStr">
        <is>
          <t>2S 2OE Lastschuetz DIL M</t>
        </is>
      </c>
      <c r="I10262">
        <v>622</v>
      </c>
      <c r="J10262">
        <f>GS25/496.2</f>
        <v>0</v>
      </c>
      <c r="K10262" t="inlineStr">
        <is>
          <t>DIL0AM</t>
        </is>
      </c>
      <c r="M10262" t="inlineStr">
        <is>
          <t>-496K1</t>
        </is>
      </c>
    </row>
    <row r="10263">
      <c r="A10263">
        <v>10262</v>
      </c>
      <c r="B10263">
        <f>GS25</f>
        <v>0</v>
      </c>
      <c r="C10263" t="inlineStr">
        <is>
          <t>+LS11</t>
        </is>
      </c>
      <c r="D10263" t="inlineStr">
        <is>
          <t>-497K3542.0</t>
        </is>
      </c>
      <c r="E10263" t="inlineStr">
        <is>
          <t>DIL_EM-10-G</t>
        </is>
      </c>
      <c r="F10263" t="inlineStr">
        <is>
          <t>#KALK!</t>
        </is>
      </c>
      <c r="G10263" t="inlineStr">
        <is>
          <t>LASTSCHUETZ</t>
        </is>
      </c>
      <c r="H10263" t="inlineStr">
        <is>
          <t>4kW 1S</t>
        </is>
      </c>
      <c r="I10263">
        <v>623</v>
      </c>
      <c r="J10263">
        <f>GS25/497.6</f>
        <v>0</v>
      </c>
      <c r="M10263" t="inlineStr">
        <is>
          <t>-497K3542.0</t>
        </is>
      </c>
    </row>
    <row r="10264">
      <c r="A10264">
        <v>10263</v>
      </c>
      <c r="B10264">
        <f>GS25</f>
        <v>0</v>
      </c>
      <c r="C10264" t="inlineStr">
        <is>
          <t>+LS11</t>
        </is>
      </c>
      <c r="D10264" t="inlineStr">
        <is>
          <t>-497K3542.1</t>
        </is>
      </c>
      <c r="E10264" t="inlineStr">
        <is>
          <t>DIL_EM-10-G</t>
        </is>
      </c>
      <c r="F10264" t="inlineStr">
        <is>
          <t>#KALK!</t>
        </is>
      </c>
      <c r="G10264" t="inlineStr">
        <is>
          <t>LASTSCHUETZ</t>
        </is>
      </c>
      <c r="H10264" t="inlineStr">
        <is>
          <t>4kW 1S</t>
        </is>
      </c>
      <c r="I10264">
        <v>623</v>
      </c>
      <c r="J10264">
        <f>GS25/497.6</f>
        <v>0</v>
      </c>
      <c r="M10264" t="inlineStr">
        <is>
          <t>-497K3542.1</t>
        </is>
      </c>
    </row>
    <row r="10265">
      <c r="A10265">
        <v>10264</v>
      </c>
      <c r="B10265">
        <f>GS35</f>
        <v>0</v>
      </c>
      <c r="C10265" t="inlineStr">
        <is>
          <t>+LS12</t>
        </is>
      </c>
      <c r="D10265" t="inlineStr">
        <is>
          <t>-497Q463.6</t>
        </is>
      </c>
      <c r="E10265" t="inlineStr">
        <is>
          <t>DILM-12-10</t>
        </is>
      </c>
      <c r="F10265" t="inlineStr">
        <is>
          <t>#KALK!</t>
        </is>
      </c>
      <c r="G10265" t="inlineStr">
        <is>
          <t>LASTSCHUETZ</t>
        </is>
      </c>
      <c r="H10265" t="inlineStr">
        <is>
          <t>5,5kW 1S Federzugkl.</t>
        </is>
      </c>
      <c r="I10265">
        <v>644</v>
      </c>
      <c r="J10265">
        <f>GS35/497.5</f>
        <v>0</v>
      </c>
      <c r="K10265" t="inlineStr">
        <is>
          <t>DIL MC12</t>
        </is>
      </c>
      <c r="M10265" t="inlineStr">
        <is>
          <t>-497Q463.6</t>
        </is>
      </c>
    </row>
    <row r="10266">
      <c r="A10266">
        <v>10265</v>
      </c>
      <c r="B10266">
        <f>GS25</f>
        <v>0</v>
      </c>
      <c r="C10266" t="inlineStr">
        <is>
          <t>+LS11</t>
        </is>
      </c>
      <c r="D10266" t="inlineStr">
        <is>
          <t>-4983542.5</t>
        </is>
      </c>
      <c r="E10266" t="inlineStr">
        <is>
          <t>DIL_EM-10-G</t>
        </is>
      </c>
      <c r="F10266" t="inlineStr">
        <is>
          <t>#KALK!</t>
        </is>
      </c>
      <c r="G10266" t="inlineStr">
        <is>
          <t>LASTSCHUETZ</t>
        </is>
      </c>
      <c r="H10266" t="inlineStr">
        <is>
          <t>4kW 1S</t>
        </is>
      </c>
      <c r="I10266">
        <v>624</v>
      </c>
      <c r="J10266">
        <f>GS25/498.7</f>
        <v>0</v>
      </c>
      <c r="M10266" t="inlineStr">
        <is>
          <t>-4983542.5</t>
        </is>
      </c>
    </row>
    <row r="10267">
      <c r="A10267">
        <v>10266</v>
      </c>
      <c r="B10267">
        <f>GS01</f>
        <v>0</v>
      </c>
      <c r="C10267" t="inlineStr">
        <is>
          <t>+LS11</t>
        </is>
      </c>
      <c r="D10267" t="inlineStr">
        <is>
          <t>-498K22.5</t>
        </is>
      </c>
      <c r="E10267" t="inlineStr">
        <is>
          <t>DIL_EM-10-G</t>
        </is>
      </c>
      <c r="F10267" t="inlineStr">
        <is>
          <t>#KALK!</t>
        </is>
      </c>
      <c r="G10267" t="inlineStr">
        <is>
          <t>LASTSCHUETZ</t>
        </is>
      </c>
      <c r="H10267" t="inlineStr">
        <is>
          <t>4kW 1S</t>
        </is>
      </c>
      <c r="I10267">
        <v>662</v>
      </c>
      <c r="J10267">
        <f>GS01/498.7</f>
        <v>0</v>
      </c>
      <c r="M10267" t="inlineStr">
        <is>
          <t>-498K22.5</t>
        </is>
      </c>
    </row>
    <row r="10268">
      <c r="A10268">
        <v>10267</v>
      </c>
      <c r="B10268">
        <f>GS14</f>
        <v>0</v>
      </c>
      <c r="C10268" t="inlineStr">
        <is>
          <t>+LS9</t>
        </is>
      </c>
      <c r="D10268" t="inlineStr">
        <is>
          <t>-498K3514.5</t>
        </is>
      </c>
      <c r="E10268" t="inlineStr">
        <is>
          <t>DIL_EM-10-G</t>
        </is>
      </c>
      <c r="F10268" t="inlineStr">
        <is>
          <t>#KALK!</t>
        </is>
      </c>
      <c r="G10268" t="inlineStr">
        <is>
          <t>LASTSCHUETZ</t>
        </is>
      </c>
      <c r="H10268" t="inlineStr">
        <is>
          <t>4kW 1S</t>
        </is>
      </c>
      <c r="I10268">
        <v>630</v>
      </c>
      <c r="J10268">
        <f>GS14/498.6</f>
        <v>0</v>
      </c>
      <c r="M10268" t="inlineStr">
        <is>
          <t>-498K3514.5</t>
        </is>
      </c>
    </row>
    <row r="10269">
      <c r="A10269">
        <v>10268</v>
      </c>
      <c r="B10269">
        <f>GS14</f>
        <v>0</v>
      </c>
      <c r="C10269" t="inlineStr">
        <is>
          <t>+LS9</t>
        </is>
      </c>
      <c r="D10269" t="inlineStr">
        <is>
          <t>-498K3514.6</t>
        </is>
      </c>
      <c r="E10269" t="inlineStr">
        <is>
          <t>DIL_EM-10-G</t>
        </is>
      </c>
      <c r="F10269" t="inlineStr">
        <is>
          <t>#KALK!</t>
        </is>
      </c>
      <c r="G10269" t="inlineStr">
        <is>
          <t>LASTSCHUETZ</t>
        </is>
      </c>
      <c r="H10269" t="inlineStr">
        <is>
          <t>4kW 1S</t>
        </is>
      </c>
      <c r="I10269">
        <v>630</v>
      </c>
      <c r="J10269">
        <f>GS14/498.7</f>
        <v>0</v>
      </c>
      <c r="M10269" t="inlineStr">
        <is>
          <t>-498K3514.6</t>
        </is>
      </c>
    </row>
    <row r="10270">
      <c r="A10270">
        <v>10269</v>
      </c>
      <c r="B10270">
        <f>GS55</f>
        <v>0</v>
      </c>
      <c r="C10270" t="inlineStr">
        <is>
          <t>+LS07</t>
        </is>
      </c>
      <c r="D10270" t="inlineStr">
        <is>
          <t>-498Q1902.2</t>
        </is>
      </c>
      <c r="E10270" t="inlineStr">
        <is>
          <t>DILM-9-10</t>
        </is>
      </c>
      <c r="F10270" t="inlineStr">
        <is>
          <t>#KALK!</t>
        </is>
      </c>
      <c r="G10270" t="inlineStr">
        <is>
          <t>LASTSCHUETZ</t>
        </is>
      </c>
      <c r="H10270" t="inlineStr">
        <is>
          <t>4kW 1S Federzugkl.</t>
        </is>
      </c>
      <c r="I10270">
        <v>780</v>
      </c>
      <c r="J10270">
        <f>GS55/498.6</f>
        <v>0</v>
      </c>
      <c r="K10270" t="inlineStr">
        <is>
          <t>DIL MC9</t>
        </is>
      </c>
      <c r="M10270" t="inlineStr">
        <is>
          <t>-498Q1902.2</t>
        </is>
      </c>
    </row>
    <row r="10271">
      <c r="A10271">
        <v>10270</v>
      </c>
      <c r="B10271">
        <f>GS06</f>
        <v>0</v>
      </c>
      <c r="C10271" t="inlineStr">
        <is>
          <t>+LS08</t>
        </is>
      </c>
      <c r="D10271" t="inlineStr">
        <is>
          <t>-498Q404.1</t>
        </is>
      </c>
      <c r="E10271" t="inlineStr">
        <is>
          <t>DILM-9-10</t>
        </is>
      </c>
      <c r="F10271" t="inlineStr">
        <is>
          <t>#KALK!</t>
        </is>
      </c>
      <c r="G10271" t="inlineStr">
        <is>
          <t>LASTSCHUETZ</t>
        </is>
      </c>
      <c r="H10271" t="inlineStr">
        <is>
          <t>4kW 1S Federzugkl.</t>
        </is>
      </c>
      <c r="I10271">
        <v>2154</v>
      </c>
      <c r="J10271">
        <f>GS06/498.6</f>
        <v>0</v>
      </c>
      <c r="K10271" t="inlineStr">
        <is>
          <t>DIL MC9</t>
        </is>
      </c>
      <c r="M10271" t="inlineStr">
        <is>
          <t>-498Q404.1</t>
        </is>
      </c>
    </row>
    <row r="10272">
      <c r="A10272">
        <v>10271</v>
      </c>
      <c r="B10272">
        <f>GS24</f>
        <v>0</v>
      </c>
      <c r="C10272" t="inlineStr">
        <is>
          <t>+LS10</t>
        </is>
      </c>
      <c r="D10272" t="inlineStr">
        <is>
          <t>-499K1</t>
        </is>
      </c>
      <c r="E10272" t="inlineStr">
        <is>
          <t>22_DIL-M</t>
        </is>
      </c>
      <c r="F10272" t="inlineStr">
        <is>
          <t>22_DIL-M</t>
        </is>
      </c>
      <c r="G10272" t="inlineStr">
        <is>
          <t>HILFSKONTAKTBLOCK</t>
        </is>
      </c>
      <c r="H10272" t="inlineStr">
        <is>
          <t>2S 2OE Lastschuetz DIL M</t>
        </is>
      </c>
      <c r="I10272">
        <v>597</v>
      </c>
      <c r="J10272">
        <f>GS24/499.2</f>
        <v>0</v>
      </c>
      <c r="K10272" t="inlineStr">
        <is>
          <t>DIL0AM</t>
        </is>
      </c>
      <c r="M10272" t="inlineStr">
        <is>
          <t>-499K1</t>
        </is>
      </c>
    </row>
    <row r="10273">
      <c r="A10273">
        <v>10272</v>
      </c>
      <c r="B10273">
        <f>GS24</f>
        <v>0</v>
      </c>
      <c r="C10273" t="inlineStr">
        <is>
          <t>+LS10</t>
        </is>
      </c>
      <c r="D10273" t="inlineStr">
        <is>
          <t>-499K1</t>
        </is>
      </c>
      <c r="E10273" t="inlineStr">
        <is>
          <t>DIL_0AM</t>
        </is>
      </c>
      <c r="F10273" t="inlineStr">
        <is>
          <t>22_DIL-M</t>
        </is>
      </c>
      <c r="G10273" t="inlineStr">
        <is>
          <t>LASTSCHUETZ</t>
        </is>
      </c>
      <c r="H10273" t="inlineStr">
        <is>
          <t>11 kW</t>
        </is>
      </c>
      <c r="I10273">
        <v>597</v>
      </c>
      <c r="J10273">
        <f>GS24/499.2</f>
        <v>0</v>
      </c>
      <c r="K10273" t="inlineStr">
        <is>
          <t>DIL0AM</t>
        </is>
      </c>
      <c r="M10273" t="inlineStr">
        <is>
          <t>-499K1</t>
        </is>
      </c>
    </row>
    <row r="10274">
      <c r="A10274">
        <v>10273</v>
      </c>
      <c r="B10274">
        <f>GS01</f>
        <v>0</v>
      </c>
      <c r="C10274" t="inlineStr">
        <is>
          <t>+LS11</t>
        </is>
      </c>
      <c r="D10274" t="inlineStr">
        <is>
          <t>-499K23.5</t>
        </is>
      </c>
      <c r="E10274" t="inlineStr">
        <is>
          <t>DIL_EM-10-G</t>
        </is>
      </c>
      <c r="F10274" t="inlineStr">
        <is>
          <t>#KALK!</t>
        </is>
      </c>
      <c r="G10274" t="inlineStr">
        <is>
          <t>LASTSCHUETZ</t>
        </is>
      </c>
      <c r="H10274" t="inlineStr">
        <is>
          <t>4kW 1S</t>
        </is>
      </c>
      <c r="I10274">
        <v>663</v>
      </c>
      <c r="J10274">
        <f>GS01/499.7</f>
        <v>0</v>
      </c>
      <c r="M10274" t="inlineStr">
        <is>
          <t>-499K23.5</t>
        </is>
      </c>
    </row>
    <row r="10275">
      <c r="A10275">
        <v>10274</v>
      </c>
      <c r="B10275">
        <f>GS14</f>
        <v>0</v>
      </c>
      <c r="C10275" t="inlineStr">
        <is>
          <t>+LS9</t>
        </is>
      </c>
      <c r="D10275" t="inlineStr">
        <is>
          <t>-499K3514.4</t>
        </is>
      </c>
      <c r="E10275" t="inlineStr">
        <is>
          <t>DIL_EM-10-G</t>
        </is>
      </c>
      <c r="F10275" t="inlineStr">
        <is>
          <t>#KALK!</t>
        </is>
      </c>
      <c r="G10275" t="inlineStr">
        <is>
          <t>LASTSCHUETZ</t>
        </is>
      </c>
      <c r="H10275" t="inlineStr">
        <is>
          <t>4kW 1S</t>
        </is>
      </c>
      <c r="I10275">
        <v>631</v>
      </c>
      <c r="J10275">
        <f>GS14/499.7</f>
        <v>0</v>
      </c>
      <c r="M10275" t="inlineStr">
        <is>
          <t>-499K3514.4</t>
        </is>
      </c>
    </row>
    <row r="10276">
      <c r="A10276">
        <v>10275</v>
      </c>
      <c r="B10276">
        <f>GS25</f>
        <v>0</v>
      </c>
      <c r="C10276" t="inlineStr">
        <is>
          <t>+LS11</t>
        </is>
      </c>
      <c r="D10276" t="inlineStr">
        <is>
          <t>-499K3543.0</t>
        </is>
      </c>
      <c r="E10276" t="inlineStr">
        <is>
          <t>DIL_EM-10-G</t>
        </is>
      </c>
      <c r="F10276" t="inlineStr">
        <is>
          <t>#KALK!</t>
        </is>
      </c>
      <c r="G10276" t="inlineStr">
        <is>
          <t>LASTSCHUETZ</t>
        </is>
      </c>
      <c r="H10276" t="inlineStr">
        <is>
          <t>4kW 1S</t>
        </is>
      </c>
      <c r="I10276">
        <v>625</v>
      </c>
      <c r="J10276">
        <f>GS25/499.6</f>
        <v>0</v>
      </c>
      <c r="M10276" t="inlineStr">
        <is>
          <t>-499K3543.0</t>
        </is>
      </c>
    </row>
    <row r="10277">
      <c r="A10277">
        <v>10276</v>
      </c>
      <c r="B10277">
        <f>GS55</f>
        <v>0</v>
      </c>
      <c r="C10277" t="inlineStr">
        <is>
          <t>+LS07</t>
        </is>
      </c>
      <c r="D10277" t="inlineStr">
        <is>
          <t>-499Q1902.3</t>
        </is>
      </c>
      <c r="E10277" t="inlineStr">
        <is>
          <t>DILM-9-10</t>
        </is>
      </c>
      <c r="F10277" t="inlineStr">
        <is>
          <t>#KALK!</t>
        </is>
      </c>
      <c r="G10277" t="inlineStr">
        <is>
          <t>LASTSCHUETZ</t>
        </is>
      </c>
      <c r="H10277" t="inlineStr">
        <is>
          <t>4kW 1S Federzugkl.</t>
        </is>
      </c>
      <c r="I10277">
        <v>781</v>
      </c>
      <c r="J10277">
        <f>GS55/499.6</f>
        <v>0</v>
      </c>
      <c r="K10277" t="inlineStr">
        <is>
          <t>DIL MC9</t>
        </is>
      </c>
      <c r="M10277" t="inlineStr">
        <is>
          <t>-499Q1902.3</t>
        </is>
      </c>
    </row>
    <row r="10278">
      <c r="A10278">
        <v>10277</v>
      </c>
      <c r="B10278">
        <f>GS62</f>
        <v>0</v>
      </c>
      <c r="C10278" t="inlineStr">
        <is>
          <t>+SPS</t>
        </is>
      </c>
      <c r="D10278" t="inlineStr">
        <is>
          <t>-49K52.0</t>
        </is>
      </c>
      <c r="E10278" t="inlineStr">
        <is>
          <t>DIL_ER-22-G</t>
        </is>
      </c>
      <c r="F10278" t="inlineStr">
        <is>
          <t>#KALK!</t>
        </is>
      </c>
      <c r="G10278" t="inlineStr">
        <is>
          <t>HILFSSCHUETZ</t>
        </is>
      </c>
      <c r="H10278" t="inlineStr">
        <is>
          <t>2S 2OE</t>
        </is>
      </c>
      <c r="I10278">
        <v>241</v>
      </c>
      <c r="J10278">
        <f>GS62/49.7</f>
        <v>0</v>
      </c>
      <c r="M10278" t="inlineStr">
        <is>
          <t>-49K52.0</t>
        </is>
      </c>
    </row>
    <row r="10279">
      <c r="A10279">
        <v>10278</v>
      </c>
      <c r="B10279">
        <f>GS31</f>
        <v>0</v>
      </c>
      <c r="C10279" t="inlineStr">
        <is>
          <t>+LS10</t>
        </is>
      </c>
      <c r="D10279" t="inlineStr">
        <is>
          <t>-500K1</t>
        </is>
      </c>
      <c r="E10279" t="inlineStr">
        <is>
          <t>22_DIL-M</t>
        </is>
      </c>
      <c r="F10279" t="inlineStr">
        <is>
          <t>22_DIL-M</t>
        </is>
      </c>
      <c r="G10279" t="inlineStr">
        <is>
          <t>HILFSKONTAKTBLOCK</t>
        </is>
      </c>
      <c r="H10279" t="inlineStr">
        <is>
          <t>2S 2OE Lastschuetz DIL M</t>
        </is>
      </c>
      <c r="I10279">
        <v>796</v>
      </c>
      <c r="J10279">
        <f>GS31/500.2</f>
        <v>0</v>
      </c>
      <c r="K10279" t="inlineStr">
        <is>
          <t>DIL2AM</t>
        </is>
      </c>
      <c r="M10279" t="inlineStr">
        <is>
          <t>-500K1</t>
        </is>
      </c>
    </row>
    <row r="10280">
      <c r="A10280">
        <v>10279</v>
      </c>
      <c r="B10280">
        <f>GS31</f>
        <v>0</v>
      </c>
      <c r="C10280" t="inlineStr">
        <is>
          <t>+LS10</t>
        </is>
      </c>
      <c r="D10280" t="inlineStr">
        <is>
          <t>-500K1</t>
        </is>
      </c>
      <c r="E10280" t="inlineStr">
        <is>
          <t>DIL_2AM</t>
        </is>
      </c>
      <c r="F10280" t="inlineStr">
        <is>
          <t>22_DIL-M</t>
        </is>
      </c>
      <c r="G10280" t="inlineStr">
        <is>
          <t>LASTSCHUETZ</t>
        </is>
      </c>
      <c r="H10280" t="inlineStr">
        <is>
          <t>30 kW</t>
        </is>
      </c>
      <c r="I10280">
        <v>796</v>
      </c>
      <c r="J10280">
        <f>GS31/500.2</f>
        <v>0</v>
      </c>
      <c r="K10280" t="inlineStr">
        <is>
          <t>DIL2AM</t>
        </is>
      </c>
      <c r="M10280" t="inlineStr">
        <is>
          <t>-500K1</t>
        </is>
      </c>
    </row>
    <row r="10281">
      <c r="A10281">
        <v>10280</v>
      </c>
      <c r="B10281">
        <f>GS31</f>
        <v>0</v>
      </c>
      <c r="C10281" t="inlineStr">
        <is>
          <t>+LS10</t>
        </is>
      </c>
      <c r="D10281" t="inlineStr">
        <is>
          <t>-500K2</t>
        </is>
      </c>
      <c r="E10281" t="inlineStr">
        <is>
          <t>22_DIL-M</t>
        </is>
      </c>
      <c r="F10281" t="inlineStr">
        <is>
          <t>22_DIL-M</t>
        </is>
      </c>
      <c r="G10281" t="inlineStr">
        <is>
          <t>HILFSKONTAKTBLOCK</t>
        </is>
      </c>
      <c r="H10281" t="inlineStr">
        <is>
          <t>2S 2OE Lastschuetz DIL M</t>
        </is>
      </c>
      <c r="I10281">
        <v>796</v>
      </c>
      <c r="J10281">
        <f>GS31/500.3</f>
        <v>0</v>
      </c>
      <c r="K10281" t="inlineStr">
        <is>
          <t>DIL0AM</t>
        </is>
      </c>
      <c r="M10281" t="inlineStr">
        <is>
          <t>-500K2</t>
        </is>
      </c>
    </row>
    <row r="10282">
      <c r="A10282">
        <v>10281</v>
      </c>
      <c r="B10282">
        <f>GS31</f>
        <v>0</v>
      </c>
      <c r="C10282" t="inlineStr">
        <is>
          <t>+LS10</t>
        </is>
      </c>
      <c r="D10282" t="inlineStr">
        <is>
          <t>-500K2</t>
        </is>
      </c>
      <c r="E10282" t="inlineStr">
        <is>
          <t>DIL_0AM</t>
        </is>
      </c>
      <c r="F10282" t="inlineStr">
        <is>
          <t>22_DIL-M</t>
        </is>
      </c>
      <c r="G10282" t="inlineStr">
        <is>
          <t>LASTSCHUETZ</t>
        </is>
      </c>
      <c r="H10282" t="inlineStr">
        <is>
          <t>11 kW</t>
        </is>
      </c>
      <c r="I10282">
        <v>796</v>
      </c>
      <c r="J10282">
        <f>GS31/500.3</f>
        <v>0</v>
      </c>
      <c r="K10282" t="inlineStr">
        <is>
          <t>DIL0AM</t>
        </is>
      </c>
      <c r="M10282" t="inlineStr">
        <is>
          <t>-500K2</t>
        </is>
      </c>
    </row>
    <row r="10283">
      <c r="A10283">
        <v>10282</v>
      </c>
      <c r="B10283">
        <f>GS31</f>
        <v>0</v>
      </c>
      <c r="C10283" t="inlineStr">
        <is>
          <t>+LS10</t>
        </is>
      </c>
      <c r="D10283" t="inlineStr">
        <is>
          <t>-500K3</t>
        </is>
      </c>
      <c r="E10283" t="inlineStr">
        <is>
          <t>22_DIL-M</t>
        </is>
      </c>
      <c r="F10283" t="inlineStr">
        <is>
          <t>22_DIL-M</t>
        </is>
      </c>
      <c r="G10283" t="inlineStr">
        <is>
          <t>HILFSKONTAKTBLOCK</t>
        </is>
      </c>
      <c r="H10283" t="inlineStr">
        <is>
          <t>2S 2OE Lastschuetz DIL M</t>
        </is>
      </c>
      <c r="I10283">
        <v>796</v>
      </c>
      <c r="J10283">
        <f>GS31/500.4</f>
        <v>0</v>
      </c>
      <c r="K10283" t="inlineStr">
        <is>
          <t>DIL0AM</t>
        </is>
      </c>
      <c r="M10283" t="inlineStr">
        <is>
          <t>-500K3</t>
        </is>
      </c>
    </row>
    <row r="10284">
      <c r="A10284">
        <v>10283</v>
      </c>
      <c r="B10284">
        <f>GS31</f>
        <v>0</v>
      </c>
      <c r="C10284" t="inlineStr">
        <is>
          <t>+LS10</t>
        </is>
      </c>
      <c r="D10284" t="inlineStr">
        <is>
          <t>-500K3</t>
        </is>
      </c>
      <c r="E10284" t="inlineStr">
        <is>
          <t>DIL_0AM</t>
        </is>
      </c>
      <c r="F10284" t="inlineStr">
        <is>
          <t>22_DIL-M</t>
        </is>
      </c>
      <c r="G10284" t="inlineStr">
        <is>
          <t>LASTSCHUETZ</t>
        </is>
      </c>
      <c r="H10284" t="inlineStr">
        <is>
          <t>11 kW</t>
        </is>
      </c>
      <c r="I10284">
        <v>796</v>
      </c>
      <c r="J10284">
        <f>GS31/500.4</f>
        <v>0</v>
      </c>
      <c r="K10284" t="inlineStr">
        <is>
          <t>DIL0AM</t>
        </is>
      </c>
      <c r="M10284" t="inlineStr">
        <is>
          <t>-500K3</t>
        </is>
      </c>
    </row>
    <row r="10285">
      <c r="A10285">
        <v>10284</v>
      </c>
      <c r="B10285">
        <f>GS14</f>
        <v>0</v>
      </c>
      <c r="C10285" t="inlineStr">
        <is>
          <t>+LS9</t>
        </is>
      </c>
      <c r="D10285" t="inlineStr">
        <is>
          <t>-500K3514.0</t>
        </is>
      </c>
      <c r="E10285" t="inlineStr">
        <is>
          <t>DIL_EM-10-G</t>
        </is>
      </c>
      <c r="F10285" t="inlineStr">
        <is>
          <t>#KALK!</t>
        </is>
      </c>
      <c r="G10285" t="inlineStr">
        <is>
          <t>LASTSCHUETZ</t>
        </is>
      </c>
      <c r="H10285" t="inlineStr">
        <is>
          <t>4kW 1S</t>
        </is>
      </c>
      <c r="I10285">
        <v>632</v>
      </c>
      <c r="J10285">
        <f>GS14/500.6</f>
        <v>0</v>
      </c>
      <c r="M10285" t="inlineStr">
        <is>
          <t>-500K3514.0</t>
        </is>
      </c>
    </row>
    <row r="10286">
      <c r="A10286">
        <v>10285</v>
      </c>
      <c r="B10286">
        <f>GS93</f>
        <v>0</v>
      </c>
      <c r="C10286" t="inlineStr">
        <is>
          <t>+LS09</t>
        </is>
      </c>
      <c r="D10286" t="inlineStr">
        <is>
          <t>-500K486.4</t>
        </is>
      </c>
      <c r="E10286" t="inlineStr">
        <is>
          <t>DILA-40</t>
        </is>
      </c>
      <c r="F10286" t="inlineStr">
        <is>
          <t>#KALK!</t>
        </is>
      </c>
      <c r="G10286" t="inlineStr">
        <is>
          <t>HILFSSCHUETZ</t>
        </is>
      </c>
      <c r="H10286" t="inlineStr">
        <is>
          <t>4S Federzugkl.</t>
        </is>
      </c>
      <c r="I10286">
        <v>1054</v>
      </c>
      <c r="J10286">
        <f>GS93/500.7</f>
        <v>0</v>
      </c>
      <c r="M10286" t="inlineStr">
        <is>
          <t>-500K486.4</t>
        </is>
      </c>
    </row>
    <row r="10287">
      <c r="A10287">
        <v>10286</v>
      </c>
      <c r="B10287">
        <f>GS93</f>
        <v>0</v>
      </c>
      <c r="C10287" t="inlineStr">
        <is>
          <t>+LS09</t>
        </is>
      </c>
      <c r="D10287" t="inlineStr">
        <is>
          <t>-500Q1</t>
        </is>
      </c>
      <c r="E10287" t="inlineStr">
        <is>
          <t>DILMC25-10(RDC24)</t>
        </is>
      </c>
      <c r="F10287" t="inlineStr">
        <is>
          <t>DILA-XHI22</t>
        </is>
      </c>
      <c r="G10287" t="inlineStr">
        <is>
          <t>LASTSCHUETZ</t>
        </is>
      </c>
      <c r="H10287" t="inlineStr">
        <is>
          <t>11kW 1S Federzugkl.</t>
        </is>
      </c>
      <c r="I10287">
        <v>1054</v>
      </c>
      <c r="J10287">
        <f>GS93/500.4</f>
        <v>0</v>
      </c>
      <c r="K10287" t="inlineStr">
        <is>
          <t>DIL MC25</t>
        </is>
      </c>
      <c r="M10287" t="inlineStr">
        <is>
          <t>-500Q1</t>
        </is>
      </c>
    </row>
    <row r="10288">
      <c r="A10288">
        <v>10287</v>
      </c>
      <c r="B10288">
        <f>GS93</f>
        <v>0</v>
      </c>
      <c r="C10288" t="inlineStr">
        <is>
          <t>+LS09</t>
        </is>
      </c>
      <c r="D10288" t="inlineStr">
        <is>
          <t>-500Q1</t>
        </is>
      </c>
      <c r="E10288" t="inlineStr">
        <is>
          <t>DILA-XHI22</t>
        </is>
      </c>
      <c r="F10288" t="inlineStr">
        <is>
          <t>DILA-XHI22</t>
        </is>
      </c>
      <c r="G10288" t="inlineStr">
        <is>
          <t>HILFSKONTAKTBLOCK</t>
        </is>
      </c>
      <c r="H10288" t="inlineStr">
        <is>
          <t>2S 2OE Last+Hilfssch. Cage</t>
        </is>
      </c>
      <c r="I10288">
        <v>1054</v>
      </c>
      <c r="J10288">
        <f>GS93/500.4</f>
        <v>0</v>
      </c>
      <c r="K10288" t="inlineStr">
        <is>
          <t>DIL MC25</t>
        </is>
      </c>
      <c r="M10288" t="inlineStr">
        <is>
          <t>-500Q1</t>
        </is>
      </c>
    </row>
    <row r="10289">
      <c r="A10289">
        <v>10288</v>
      </c>
      <c r="B10289">
        <f>GS55</f>
        <v>0</v>
      </c>
      <c r="C10289" t="inlineStr">
        <is>
          <t>+LS07</t>
        </is>
      </c>
      <c r="D10289" t="inlineStr">
        <is>
          <t>-500Q1902.4</t>
        </is>
      </c>
      <c r="E10289" t="inlineStr">
        <is>
          <t>DILM-9-10</t>
        </is>
      </c>
      <c r="F10289" t="inlineStr">
        <is>
          <t>#KALK!</t>
        </is>
      </c>
      <c r="G10289" t="inlineStr">
        <is>
          <t>LASTSCHUETZ</t>
        </is>
      </c>
      <c r="H10289" t="inlineStr">
        <is>
          <t>4kW 1S Federzugkl.</t>
        </is>
      </c>
      <c r="I10289">
        <v>782</v>
      </c>
      <c r="J10289">
        <f>GS55/500.6</f>
        <v>0</v>
      </c>
      <c r="K10289" t="inlineStr">
        <is>
          <t>DIL MC9</t>
        </is>
      </c>
      <c r="M10289" t="inlineStr">
        <is>
          <t>-500Q1902.4</t>
        </is>
      </c>
    </row>
    <row r="10290">
      <c r="A10290">
        <v>10289</v>
      </c>
      <c r="B10290">
        <f>GS91</f>
        <v>0</v>
      </c>
      <c r="C10290" t="inlineStr">
        <is>
          <t>+LS09</t>
        </is>
      </c>
      <c r="D10290" t="inlineStr">
        <is>
          <t>-500Q466.0</t>
        </is>
      </c>
      <c r="E10290" t="inlineStr">
        <is>
          <t>DILM-9-10</t>
        </is>
      </c>
      <c r="F10290" t="inlineStr">
        <is>
          <t>#KALK!</t>
        </is>
      </c>
      <c r="G10290" t="inlineStr">
        <is>
          <t>LASTSCHUETZ</t>
        </is>
      </c>
      <c r="H10290" t="inlineStr">
        <is>
          <t>4kW 1S Federzugkl.</t>
        </is>
      </c>
      <c r="I10290">
        <v>647</v>
      </c>
      <c r="J10290">
        <f>GS91/500.5</f>
        <v>0</v>
      </c>
      <c r="M10290" t="inlineStr">
        <is>
          <t>-500Q466.0</t>
        </is>
      </c>
    </row>
    <row r="10291">
      <c r="A10291">
        <v>10290</v>
      </c>
      <c r="B10291">
        <f>GS01</f>
        <v>0</v>
      </c>
      <c r="C10291" t="inlineStr">
        <is>
          <t>+LS11</t>
        </is>
      </c>
      <c r="D10291" t="inlineStr">
        <is>
          <t>-501K24.5</t>
        </is>
      </c>
      <c r="E10291" t="inlineStr">
        <is>
          <t>DIL_EM-10-G</t>
        </is>
      </c>
      <c r="F10291" t="inlineStr">
        <is>
          <t>#KALK!</t>
        </is>
      </c>
      <c r="G10291" t="inlineStr">
        <is>
          <t>LASTSCHUETZ</t>
        </is>
      </c>
      <c r="H10291" t="inlineStr">
        <is>
          <t>4kW 1S</t>
        </is>
      </c>
      <c r="I10291">
        <v>665</v>
      </c>
      <c r="J10291">
        <f>GS01/501.5</f>
        <v>0</v>
      </c>
      <c r="M10291" t="inlineStr">
        <is>
          <t>-501K24.5</t>
        </is>
      </c>
    </row>
    <row r="10292">
      <c r="A10292">
        <v>10291</v>
      </c>
      <c r="B10292">
        <f>GS01</f>
        <v>0</v>
      </c>
      <c r="C10292" t="inlineStr">
        <is>
          <t>+LS11</t>
        </is>
      </c>
      <c r="D10292" t="inlineStr">
        <is>
          <t>-501K24.6</t>
        </is>
      </c>
      <c r="E10292" t="inlineStr">
        <is>
          <t>DIL_EM-10-G</t>
        </is>
      </c>
      <c r="F10292" t="inlineStr">
        <is>
          <t>#KALK!</t>
        </is>
      </c>
      <c r="G10292" t="inlineStr">
        <is>
          <t>LASTSCHUETZ</t>
        </is>
      </c>
      <c r="H10292" t="inlineStr">
        <is>
          <t>4kW 1S</t>
        </is>
      </c>
      <c r="I10292">
        <v>665</v>
      </c>
      <c r="J10292">
        <f>GS01/501.6</f>
        <v>0</v>
      </c>
      <c r="M10292" t="inlineStr">
        <is>
          <t>-501K24.6</t>
        </is>
      </c>
    </row>
    <row r="10293">
      <c r="A10293">
        <v>10292</v>
      </c>
      <c r="B10293">
        <f>GS01</f>
        <v>0</v>
      </c>
      <c r="C10293" t="inlineStr">
        <is>
          <t>+LS11</t>
        </is>
      </c>
      <c r="D10293" t="inlineStr">
        <is>
          <t>-501K24.7</t>
        </is>
      </c>
      <c r="E10293" t="inlineStr">
        <is>
          <t>DIL_EM-01-G</t>
        </is>
      </c>
      <c r="F10293" t="inlineStr">
        <is>
          <t>#KALK!</t>
        </is>
      </c>
      <c r="G10293" t="inlineStr">
        <is>
          <t>LASTSCHUETZ</t>
        </is>
      </c>
      <c r="H10293" t="inlineStr">
        <is>
          <t>4kW 1OE</t>
        </is>
      </c>
      <c r="I10293">
        <v>665</v>
      </c>
      <c r="J10293">
        <f>GS01/501.7</f>
        <v>0</v>
      </c>
      <c r="M10293" t="inlineStr">
        <is>
          <t>-501K24.7</t>
        </is>
      </c>
    </row>
    <row r="10294">
      <c r="A10294">
        <v>10293</v>
      </c>
      <c r="B10294">
        <f>GS01</f>
        <v>0</v>
      </c>
      <c r="C10294" t="inlineStr">
        <is>
          <t>+LS11</t>
        </is>
      </c>
      <c r="D10294" t="inlineStr">
        <is>
          <t>-501K25.0</t>
        </is>
      </c>
      <c r="E10294" t="inlineStr">
        <is>
          <t>DIL_EM-01-G</t>
        </is>
      </c>
      <c r="F10294" t="inlineStr">
        <is>
          <t>#KALK!</t>
        </is>
      </c>
      <c r="G10294" t="inlineStr">
        <is>
          <t>LASTSCHUETZ</t>
        </is>
      </c>
      <c r="H10294" t="inlineStr">
        <is>
          <t>4kW 1OE</t>
        </is>
      </c>
      <c r="I10294">
        <v>665</v>
      </c>
      <c r="J10294">
        <f>GS01/501.8</f>
        <v>0</v>
      </c>
      <c r="M10294" t="inlineStr">
        <is>
          <t>-501K25.0</t>
        </is>
      </c>
    </row>
    <row r="10295">
      <c r="A10295">
        <v>10294</v>
      </c>
      <c r="B10295">
        <f>GS14</f>
        <v>0</v>
      </c>
      <c r="C10295" t="inlineStr">
        <is>
          <t>+LS9</t>
        </is>
      </c>
      <c r="D10295" t="inlineStr">
        <is>
          <t>-501K3514.7</t>
        </is>
      </c>
      <c r="E10295" t="inlineStr">
        <is>
          <t>DIL_EM-10-G</t>
        </is>
      </c>
      <c r="F10295" t="inlineStr">
        <is>
          <t>#KALK!</t>
        </is>
      </c>
      <c r="G10295" t="inlineStr">
        <is>
          <t>LASTSCHUETZ</t>
        </is>
      </c>
      <c r="H10295" t="inlineStr">
        <is>
          <t>4kW 1S</t>
        </is>
      </c>
      <c r="I10295">
        <v>633</v>
      </c>
      <c r="J10295">
        <f>GS14/501.6</f>
        <v>0</v>
      </c>
      <c r="M10295" t="inlineStr">
        <is>
          <t>-501K3514.7</t>
        </is>
      </c>
    </row>
    <row r="10296">
      <c r="A10296">
        <v>10295</v>
      </c>
      <c r="B10296">
        <f>GS14</f>
        <v>0</v>
      </c>
      <c r="C10296" t="inlineStr">
        <is>
          <t>+LS9</t>
        </is>
      </c>
      <c r="D10296" t="inlineStr">
        <is>
          <t>-501K3515.0</t>
        </is>
      </c>
      <c r="E10296" t="inlineStr">
        <is>
          <t>DIL_EM-10-G</t>
        </is>
      </c>
      <c r="F10296" t="inlineStr">
        <is>
          <t>#KALK!</t>
        </is>
      </c>
      <c r="G10296" t="inlineStr">
        <is>
          <t>LASTSCHUETZ</t>
        </is>
      </c>
      <c r="H10296" t="inlineStr">
        <is>
          <t>4kW 1S</t>
        </is>
      </c>
      <c r="I10296">
        <v>633</v>
      </c>
      <c r="J10296">
        <f>GS14/501.7</f>
        <v>0</v>
      </c>
      <c r="M10296" t="inlineStr">
        <is>
          <t>-501K3515.0</t>
        </is>
      </c>
    </row>
    <row r="10297">
      <c r="A10297">
        <v>10296</v>
      </c>
      <c r="B10297">
        <f>GS31</f>
        <v>0</v>
      </c>
      <c r="C10297" t="inlineStr">
        <is>
          <t>+LS10</t>
        </is>
      </c>
      <c r="D10297" t="inlineStr">
        <is>
          <t>-501K75.5</t>
        </is>
      </c>
      <c r="E10297" t="inlineStr">
        <is>
          <t>DIL_EM-10-G</t>
        </is>
      </c>
      <c r="F10297" t="inlineStr">
        <is>
          <t>#KALK!</t>
        </is>
      </c>
      <c r="G10297" t="inlineStr">
        <is>
          <t>LASTSCHUETZ</t>
        </is>
      </c>
      <c r="H10297" t="inlineStr">
        <is>
          <t>4kW 1S</t>
        </is>
      </c>
      <c r="I10297">
        <v>797</v>
      </c>
      <c r="J10297">
        <f>GS31/501.7</f>
        <v>0</v>
      </c>
      <c r="M10297" t="inlineStr">
        <is>
          <t>-501K75.5</t>
        </is>
      </c>
    </row>
    <row r="10298">
      <c r="A10298">
        <v>10297</v>
      </c>
      <c r="B10298">
        <f>GS31</f>
        <v>0</v>
      </c>
      <c r="C10298" t="inlineStr">
        <is>
          <t>+LS10</t>
        </is>
      </c>
      <c r="D10298" t="inlineStr">
        <is>
          <t>-501K75.6</t>
        </is>
      </c>
      <c r="E10298" t="inlineStr">
        <is>
          <t>DIL_EM-10-G</t>
        </is>
      </c>
      <c r="F10298" t="inlineStr">
        <is>
          <t>#KALK!</t>
        </is>
      </c>
      <c r="G10298" t="inlineStr">
        <is>
          <t>LASTSCHUETZ</t>
        </is>
      </c>
      <c r="H10298" t="inlineStr">
        <is>
          <t>4kW 1S</t>
        </is>
      </c>
      <c r="I10298">
        <v>797</v>
      </c>
      <c r="J10298">
        <f>GS31/501.7</f>
        <v>0</v>
      </c>
      <c r="M10298" t="inlineStr">
        <is>
          <t>-501K75.6</t>
        </is>
      </c>
    </row>
    <row r="10299">
      <c r="A10299">
        <v>10298</v>
      </c>
      <c r="B10299">
        <f>GS55</f>
        <v>0</v>
      </c>
      <c r="C10299" t="inlineStr">
        <is>
          <t>+LS07</t>
        </is>
      </c>
      <c r="D10299" t="inlineStr">
        <is>
          <t>-501Q1902.5</t>
        </is>
      </c>
      <c r="E10299" t="inlineStr">
        <is>
          <t>DILM-9-10</t>
        </is>
      </c>
      <c r="F10299" t="inlineStr">
        <is>
          <t>#KALK!</t>
        </is>
      </c>
      <c r="G10299" t="inlineStr">
        <is>
          <t>LASTSCHUETZ</t>
        </is>
      </c>
      <c r="H10299" t="inlineStr">
        <is>
          <t>4kW 1S Federzugkl.</t>
        </is>
      </c>
      <c r="I10299">
        <v>783</v>
      </c>
      <c r="J10299">
        <f>GS55/501.6</f>
        <v>0</v>
      </c>
      <c r="K10299" t="inlineStr">
        <is>
          <t>DIL MC9</t>
        </is>
      </c>
      <c r="M10299" t="inlineStr">
        <is>
          <t>-501Q1902.5</t>
        </is>
      </c>
    </row>
    <row r="10300">
      <c r="A10300">
        <v>10299</v>
      </c>
      <c r="B10300">
        <f>GS35</f>
        <v>0</v>
      </c>
      <c r="C10300" t="inlineStr">
        <is>
          <t>+LS12</t>
        </is>
      </c>
      <c r="D10300" t="inlineStr">
        <is>
          <t>-501Q464.3</t>
        </is>
      </c>
      <c r="E10300" t="inlineStr">
        <is>
          <t>DILM-9-10</t>
        </is>
      </c>
      <c r="F10300" t="inlineStr">
        <is>
          <t>#KALK!</t>
        </is>
      </c>
      <c r="G10300" t="inlineStr">
        <is>
          <t>LASTSCHUETZ</t>
        </is>
      </c>
      <c r="H10300" t="inlineStr">
        <is>
          <t>4kW 1S Federzugkl.</t>
        </is>
      </c>
      <c r="I10300">
        <v>647</v>
      </c>
      <c r="J10300">
        <f>GS35/501.6</f>
        <v>0</v>
      </c>
      <c r="M10300" t="inlineStr">
        <is>
          <t>-501Q464.3</t>
        </is>
      </c>
    </row>
    <row r="10301">
      <c r="A10301">
        <v>10300</v>
      </c>
      <c r="B10301">
        <f>GS91</f>
        <v>0</v>
      </c>
      <c r="C10301" t="inlineStr">
        <is>
          <t>+LS09</t>
        </is>
      </c>
      <c r="D10301" t="inlineStr">
        <is>
          <t>-501Q466.1</t>
        </is>
      </c>
      <c r="E10301" t="inlineStr">
        <is>
          <t>DILM-9-10</t>
        </is>
      </c>
      <c r="F10301" t="inlineStr">
        <is>
          <t>#KALK!</t>
        </is>
      </c>
      <c r="G10301" t="inlineStr">
        <is>
          <t>LASTSCHUETZ</t>
        </is>
      </c>
      <c r="H10301" t="inlineStr">
        <is>
          <t>4kW 1S Federzugkl.</t>
        </is>
      </c>
      <c r="I10301">
        <v>648</v>
      </c>
      <c r="J10301">
        <f>GS91/501.5</f>
        <v>0</v>
      </c>
      <c r="M10301" t="inlineStr">
        <is>
          <t>-501Q466.1</t>
        </is>
      </c>
    </row>
    <row r="10302">
      <c r="A10302">
        <v>10301</v>
      </c>
      <c r="B10302">
        <f>GS93</f>
        <v>0</v>
      </c>
      <c r="C10302" t="inlineStr">
        <is>
          <t>+LS09</t>
        </is>
      </c>
      <c r="D10302" t="inlineStr">
        <is>
          <t>-501Q486.5</t>
        </is>
      </c>
      <c r="E10302" t="inlineStr">
        <is>
          <t>DILM-9-10</t>
        </is>
      </c>
      <c r="F10302" t="inlineStr">
        <is>
          <t>#KALK!</t>
        </is>
      </c>
      <c r="G10302" t="inlineStr">
        <is>
          <t>LASTSCHUETZ</t>
        </is>
      </c>
      <c r="H10302" t="inlineStr">
        <is>
          <t>4kW 1S Federzugkl.</t>
        </is>
      </c>
      <c r="I10302">
        <v>1055</v>
      </c>
      <c r="J10302">
        <f>GS93/501.5</f>
        <v>0</v>
      </c>
      <c r="M10302" t="inlineStr">
        <is>
          <t>-501Q486.5</t>
        </is>
      </c>
    </row>
    <row r="10303">
      <c r="A10303">
        <v>10302</v>
      </c>
      <c r="B10303">
        <f>GS01</f>
        <v>0</v>
      </c>
      <c r="C10303" t="inlineStr">
        <is>
          <t>+LS11</t>
        </is>
      </c>
      <c r="D10303" t="inlineStr">
        <is>
          <t>-502K25.1</t>
        </is>
      </c>
      <c r="E10303" t="inlineStr">
        <is>
          <t>DIL_EM-10-G</t>
        </is>
      </c>
      <c r="F10303" t="inlineStr">
        <is>
          <t>#KALK!</t>
        </is>
      </c>
      <c r="G10303" t="inlineStr">
        <is>
          <t>LASTSCHUETZ</t>
        </is>
      </c>
      <c r="H10303" t="inlineStr">
        <is>
          <t>4kW 1S</t>
        </is>
      </c>
      <c r="I10303">
        <v>666</v>
      </c>
      <c r="J10303">
        <f>GS01/502.6</f>
        <v>0</v>
      </c>
      <c r="M10303" t="inlineStr">
        <is>
          <t>-502K25.1</t>
        </is>
      </c>
    </row>
    <row r="10304">
      <c r="A10304">
        <v>10303</v>
      </c>
      <c r="B10304">
        <f>GS01</f>
        <v>0</v>
      </c>
      <c r="C10304" t="inlineStr">
        <is>
          <t>+LS11</t>
        </is>
      </c>
      <c r="D10304" t="inlineStr">
        <is>
          <t>-502K25.2</t>
        </is>
      </c>
      <c r="E10304" t="inlineStr">
        <is>
          <t>DIL_EM-10-G</t>
        </is>
      </c>
      <c r="F10304" t="inlineStr">
        <is>
          <t>#KALK!</t>
        </is>
      </c>
      <c r="G10304" t="inlineStr">
        <is>
          <t>LASTSCHUETZ</t>
        </is>
      </c>
      <c r="H10304" t="inlineStr">
        <is>
          <t>4kW 1S</t>
        </is>
      </c>
      <c r="I10304">
        <v>666</v>
      </c>
      <c r="J10304">
        <f>GS01/502.6</f>
        <v>0</v>
      </c>
      <c r="M10304" t="inlineStr">
        <is>
          <t>-502K25.2</t>
        </is>
      </c>
    </row>
    <row r="10305">
      <c r="A10305">
        <v>10304</v>
      </c>
      <c r="B10305">
        <f>GS24</f>
        <v>0</v>
      </c>
      <c r="C10305" t="inlineStr">
        <is>
          <t>+LS10</t>
        </is>
      </c>
      <c r="D10305" t="inlineStr">
        <is>
          <t>-502K3506.2</t>
        </is>
      </c>
      <c r="E10305" t="inlineStr">
        <is>
          <t>DIL_EM-10-G</t>
        </is>
      </c>
      <c r="F10305" t="inlineStr">
        <is>
          <t>#KALK!</t>
        </is>
      </c>
      <c r="G10305" t="inlineStr">
        <is>
          <t>LASTSCHUETZ</t>
        </is>
      </c>
      <c r="H10305" t="inlineStr">
        <is>
          <t>4kW 1S</t>
        </is>
      </c>
      <c r="I10305">
        <v>594</v>
      </c>
      <c r="J10305">
        <f>GS24/502.6</f>
        <v>0</v>
      </c>
      <c r="M10305" t="inlineStr">
        <is>
          <t>-502K3506.2</t>
        </is>
      </c>
    </row>
    <row r="10306">
      <c r="A10306">
        <v>10305</v>
      </c>
      <c r="B10306">
        <f>GS24</f>
        <v>0</v>
      </c>
      <c r="C10306" t="inlineStr">
        <is>
          <t>+LS10</t>
        </is>
      </c>
      <c r="D10306" t="inlineStr">
        <is>
          <t>-502K3506.3</t>
        </is>
      </c>
      <c r="E10306" t="inlineStr">
        <is>
          <t>DIL_EM-10-G</t>
        </is>
      </c>
      <c r="F10306" t="inlineStr">
        <is>
          <t>#KALK!</t>
        </is>
      </c>
      <c r="G10306" t="inlineStr">
        <is>
          <t>LASTSCHUETZ</t>
        </is>
      </c>
      <c r="H10306" t="inlineStr">
        <is>
          <t>4kW 1S</t>
        </is>
      </c>
      <c r="I10306">
        <v>594</v>
      </c>
      <c r="J10306">
        <f>GS24/502.7</f>
        <v>0</v>
      </c>
      <c r="M10306" t="inlineStr">
        <is>
          <t>-502K3506.3</t>
        </is>
      </c>
    </row>
    <row r="10307">
      <c r="A10307">
        <v>10306</v>
      </c>
      <c r="B10307">
        <f>GS08</f>
        <v>0</v>
      </c>
      <c r="C10307" t="inlineStr">
        <is>
          <t>+LS08</t>
        </is>
      </c>
      <c r="D10307" t="inlineStr">
        <is>
          <t>-502Q510.5</t>
        </is>
      </c>
      <c r="E10307" t="inlineStr">
        <is>
          <t>DILM-9-10</t>
        </is>
      </c>
      <c r="F10307" t="inlineStr">
        <is>
          <t>#KALK!</t>
        </is>
      </c>
      <c r="G10307" t="inlineStr">
        <is>
          <t>LASTSCHUETZ</t>
        </is>
      </c>
      <c r="H10307" t="inlineStr">
        <is>
          <t>4kW 1S Federzugkl.</t>
        </is>
      </c>
      <c r="I10307">
        <v>633</v>
      </c>
      <c r="J10307">
        <f>GS08/502.6</f>
        <v>0</v>
      </c>
      <c r="K10307" t="inlineStr">
        <is>
          <t>DIL MC9</t>
        </is>
      </c>
      <c r="M10307" t="inlineStr">
        <is>
          <t>-502Q510.5</t>
        </is>
      </c>
    </row>
    <row r="10308">
      <c r="A10308">
        <v>10307</v>
      </c>
      <c r="B10308">
        <f>GS01</f>
        <v>0</v>
      </c>
      <c r="C10308" t="inlineStr">
        <is>
          <t>+LS11</t>
        </is>
      </c>
      <c r="D10308" t="inlineStr">
        <is>
          <t>-503K25.3</t>
        </is>
      </c>
      <c r="E10308" t="inlineStr">
        <is>
          <t>DIL_EM-10-G</t>
        </is>
      </c>
      <c r="F10308" t="inlineStr">
        <is>
          <t>#KALK!</t>
        </is>
      </c>
      <c r="G10308" t="inlineStr">
        <is>
          <t>LASTSCHUETZ</t>
        </is>
      </c>
      <c r="H10308" t="inlineStr">
        <is>
          <t>4kW 1S</t>
        </is>
      </c>
      <c r="I10308">
        <v>667</v>
      </c>
      <c r="J10308">
        <f>GS01/503.6</f>
        <v>0</v>
      </c>
      <c r="M10308" t="inlineStr">
        <is>
          <t>-503K25.3</t>
        </is>
      </c>
    </row>
    <row r="10309">
      <c r="A10309">
        <v>10308</v>
      </c>
      <c r="B10309">
        <f>GS01</f>
        <v>0</v>
      </c>
      <c r="C10309" t="inlineStr">
        <is>
          <t>+LS11</t>
        </is>
      </c>
      <c r="D10309" t="inlineStr">
        <is>
          <t>-503K25.4</t>
        </is>
      </c>
      <c r="E10309" t="inlineStr">
        <is>
          <t>DIL_EM-10-G</t>
        </is>
      </c>
      <c r="F10309" t="inlineStr">
        <is>
          <t>#KALK!</t>
        </is>
      </c>
      <c r="G10309" t="inlineStr">
        <is>
          <t>LASTSCHUETZ</t>
        </is>
      </c>
      <c r="H10309" t="inlineStr">
        <is>
          <t>4kW 1S</t>
        </is>
      </c>
      <c r="I10309">
        <v>667</v>
      </c>
      <c r="J10309">
        <f>GS01/503.6</f>
        <v>0</v>
      </c>
      <c r="M10309" t="inlineStr">
        <is>
          <t>-503K25.4</t>
        </is>
      </c>
    </row>
    <row r="10310">
      <c r="A10310">
        <v>10309</v>
      </c>
      <c r="B10310">
        <f>GS24</f>
        <v>0</v>
      </c>
      <c r="C10310" t="inlineStr">
        <is>
          <t>+LS10</t>
        </is>
      </c>
      <c r="D10310" t="inlineStr">
        <is>
          <t>-503K3507.3</t>
        </is>
      </c>
      <c r="E10310" t="inlineStr">
        <is>
          <t>DIL_EM-01-G</t>
        </is>
      </c>
      <c r="F10310" t="inlineStr">
        <is>
          <t>#KALK!</t>
        </is>
      </c>
      <c r="G10310" t="inlineStr">
        <is>
          <t>LASTSCHUETZ</t>
        </is>
      </c>
      <c r="H10310" t="inlineStr">
        <is>
          <t>4kW 1OE</t>
        </is>
      </c>
      <c r="I10310">
        <v>593</v>
      </c>
      <c r="J10310">
        <f>GS24/503.7</f>
        <v>0</v>
      </c>
      <c r="M10310" t="inlineStr">
        <is>
          <t>-503K3507.3</t>
        </is>
      </c>
    </row>
    <row r="10311">
      <c r="A10311">
        <v>10310</v>
      </c>
      <c r="B10311">
        <f>GS55</f>
        <v>0</v>
      </c>
      <c r="C10311" t="inlineStr">
        <is>
          <t>+LS07</t>
        </is>
      </c>
      <c r="D10311" t="inlineStr">
        <is>
          <t>-503Q1902.6</t>
        </is>
      </c>
      <c r="E10311" t="inlineStr">
        <is>
          <t>DILM-9-10</t>
        </is>
      </c>
      <c r="F10311" t="inlineStr">
        <is>
          <t>#KALK!</t>
        </is>
      </c>
      <c r="G10311" t="inlineStr">
        <is>
          <t>LASTSCHUETZ</t>
        </is>
      </c>
      <c r="H10311" t="inlineStr">
        <is>
          <t>4kW 1S Federzugkl.</t>
        </is>
      </c>
      <c r="I10311">
        <v>785</v>
      </c>
      <c r="J10311">
        <f>GS55/503.6</f>
        <v>0</v>
      </c>
      <c r="K10311" t="inlineStr">
        <is>
          <t>DIL MC9</t>
        </is>
      </c>
      <c r="M10311" t="inlineStr">
        <is>
          <t>-503Q1902.6</t>
        </is>
      </c>
    </row>
    <row r="10312">
      <c r="A10312">
        <v>10311</v>
      </c>
      <c r="B10312">
        <f>GS06</f>
        <v>0</v>
      </c>
      <c r="C10312" t="inlineStr">
        <is>
          <t>+LS08</t>
        </is>
      </c>
      <c r="D10312" t="inlineStr">
        <is>
          <t>-503Q404.2</t>
        </is>
      </c>
      <c r="E10312" t="inlineStr">
        <is>
          <t>DILM-9-10</t>
        </is>
      </c>
      <c r="F10312" t="inlineStr">
        <is>
          <t>#KALK!</t>
        </is>
      </c>
      <c r="G10312" t="inlineStr">
        <is>
          <t>LASTSCHUETZ</t>
        </is>
      </c>
      <c r="H10312" t="inlineStr">
        <is>
          <t>4kW 1S Federzugkl.</t>
        </is>
      </c>
      <c r="I10312">
        <v>2159</v>
      </c>
      <c r="J10312">
        <f>GS06/503.6</f>
        <v>0</v>
      </c>
      <c r="K10312" t="inlineStr">
        <is>
          <t>DIL MC9</t>
        </is>
      </c>
      <c r="M10312" t="inlineStr">
        <is>
          <t>-503Q404.2</t>
        </is>
      </c>
    </row>
    <row r="10313">
      <c r="A10313">
        <v>10312</v>
      </c>
      <c r="B10313">
        <f>GS35</f>
        <v>0</v>
      </c>
      <c r="C10313" t="inlineStr">
        <is>
          <t>+LS12</t>
        </is>
      </c>
      <c r="D10313" t="inlineStr">
        <is>
          <t>-503Q464.6</t>
        </is>
      </c>
      <c r="E10313" t="inlineStr">
        <is>
          <t>DILM-9-10</t>
        </is>
      </c>
      <c r="F10313" t="inlineStr">
        <is>
          <t>#KALK!</t>
        </is>
      </c>
      <c r="G10313" t="inlineStr">
        <is>
          <t>LASTSCHUETZ</t>
        </is>
      </c>
      <c r="H10313" t="inlineStr">
        <is>
          <t>4kW 1S Federzugkl.</t>
        </is>
      </c>
      <c r="I10313">
        <v>657</v>
      </c>
      <c r="J10313">
        <f>GS35/503.6</f>
        <v>0</v>
      </c>
      <c r="M10313" t="inlineStr">
        <is>
          <t>-503Q464.6</t>
        </is>
      </c>
    </row>
    <row r="10314">
      <c r="A10314">
        <v>10313</v>
      </c>
      <c r="B10314">
        <f>GS01</f>
        <v>0</v>
      </c>
      <c r="C10314" t="inlineStr">
        <is>
          <t>+LS11</t>
        </is>
      </c>
      <c r="D10314" t="inlineStr">
        <is>
          <t>-504K26.0</t>
        </is>
      </c>
      <c r="E10314" t="inlineStr">
        <is>
          <t>DIL_EM-10-G</t>
        </is>
      </c>
      <c r="F10314" t="inlineStr">
        <is>
          <t>#KALK!</t>
        </is>
      </c>
      <c r="G10314" t="inlineStr">
        <is>
          <t>LASTSCHUETZ</t>
        </is>
      </c>
      <c r="H10314" t="inlineStr">
        <is>
          <t>4kW 1S</t>
        </is>
      </c>
      <c r="I10314">
        <v>668</v>
      </c>
      <c r="J10314">
        <f>GS01/504.7</f>
        <v>0</v>
      </c>
      <c r="M10314" t="inlineStr">
        <is>
          <t>-504K26.0</t>
        </is>
      </c>
    </row>
    <row r="10315">
      <c r="A10315">
        <v>10314</v>
      </c>
      <c r="B10315">
        <f>GS24</f>
        <v>0</v>
      </c>
      <c r="C10315" t="inlineStr">
        <is>
          <t>+LS10</t>
        </is>
      </c>
      <c r="D10315" t="inlineStr">
        <is>
          <t>-504K3507.4</t>
        </is>
      </c>
      <c r="E10315" t="inlineStr">
        <is>
          <t>DIL_EM-10-G</t>
        </is>
      </c>
      <c r="F10315" t="inlineStr">
        <is>
          <t>#KALK!</t>
        </is>
      </c>
      <c r="G10315" t="inlineStr">
        <is>
          <t>LASTSCHUETZ</t>
        </is>
      </c>
      <c r="H10315" t="inlineStr">
        <is>
          <t>4kW 1S</t>
        </is>
      </c>
      <c r="I10315">
        <v>592</v>
      </c>
      <c r="J10315">
        <f>GS24/504.6</f>
        <v>0</v>
      </c>
      <c r="M10315" t="inlineStr">
        <is>
          <t>-504K3507.4</t>
        </is>
      </c>
    </row>
    <row r="10316">
      <c r="A10316">
        <v>10315</v>
      </c>
      <c r="B10316">
        <f>GS31</f>
        <v>0</v>
      </c>
      <c r="C10316" t="inlineStr">
        <is>
          <t>+LS10</t>
        </is>
      </c>
      <c r="D10316" t="inlineStr">
        <is>
          <t>-504K68.0</t>
        </is>
      </c>
      <c r="E10316" t="inlineStr">
        <is>
          <t>DIL_ER-22-G</t>
        </is>
      </c>
      <c r="F10316" t="inlineStr">
        <is>
          <t>#KALK!</t>
        </is>
      </c>
      <c r="G10316" t="inlineStr">
        <is>
          <t>HILFSSCHUETZ</t>
        </is>
      </c>
      <c r="H10316" t="inlineStr">
        <is>
          <t>2S 2OE</t>
        </is>
      </c>
      <c r="I10316">
        <v>800</v>
      </c>
      <c r="J10316">
        <f>GS31/504.5</f>
        <v>0</v>
      </c>
      <c r="M10316" t="inlineStr">
        <is>
          <t>-504K68.0</t>
        </is>
      </c>
    </row>
    <row r="10317">
      <c r="A10317">
        <v>10316</v>
      </c>
      <c r="B10317">
        <f>GS31</f>
        <v>0</v>
      </c>
      <c r="C10317" t="inlineStr">
        <is>
          <t>+LS10</t>
        </is>
      </c>
      <c r="D10317" t="inlineStr">
        <is>
          <t>-504K68.1</t>
        </is>
      </c>
      <c r="E10317" t="inlineStr">
        <is>
          <t>DIL_ER-22-G</t>
        </is>
      </c>
      <c r="F10317" t="inlineStr">
        <is>
          <t>#KALK!</t>
        </is>
      </c>
      <c r="G10317" t="inlineStr">
        <is>
          <t>HILFSSCHUETZ</t>
        </is>
      </c>
      <c r="H10317" t="inlineStr">
        <is>
          <t>2S 2OE</t>
        </is>
      </c>
      <c r="I10317">
        <v>800</v>
      </c>
      <c r="J10317">
        <f>GS31/504.6</f>
        <v>0</v>
      </c>
      <c r="M10317" t="inlineStr">
        <is>
          <t>-504K68.1</t>
        </is>
      </c>
    </row>
    <row r="10318">
      <c r="A10318">
        <v>10317</v>
      </c>
      <c r="B10318">
        <f>GS31</f>
        <v>0</v>
      </c>
      <c r="C10318" t="inlineStr">
        <is>
          <t>+LS10</t>
        </is>
      </c>
      <c r="D10318" t="inlineStr">
        <is>
          <t>-504K68.2</t>
        </is>
      </c>
      <c r="E10318" t="inlineStr">
        <is>
          <t>DIL_ER-22-G</t>
        </is>
      </c>
      <c r="F10318" t="inlineStr">
        <is>
          <t>#KALK!</t>
        </is>
      </c>
      <c r="G10318" t="inlineStr">
        <is>
          <t>HILFSSCHUETZ</t>
        </is>
      </c>
      <c r="H10318" t="inlineStr">
        <is>
          <t>2S 2OE</t>
        </is>
      </c>
      <c r="I10318">
        <v>800</v>
      </c>
      <c r="J10318">
        <f>GS31/504.7</f>
        <v>0</v>
      </c>
      <c r="M10318" t="inlineStr">
        <is>
          <t>-504K68.2</t>
        </is>
      </c>
    </row>
    <row r="10319">
      <c r="A10319">
        <v>10318</v>
      </c>
      <c r="B10319">
        <f>GS31</f>
        <v>0</v>
      </c>
      <c r="C10319" t="inlineStr">
        <is>
          <t>+LS10</t>
        </is>
      </c>
      <c r="D10319" t="inlineStr">
        <is>
          <t>-504K68.4</t>
        </is>
      </c>
      <c r="E10319" t="inlineStr">
        <is>
          <t>DIL_EM-10-G</t>
        </is>
      </c>
      <c r="F10319" t="inlineStr">
        <is>
          <t>#KALK!</t>
        </is>
      </c>
      <c r="G10319" t="inlineStr">
        <is>
          <t>LASTSCHUETZ</t>
        </is>
      </c>
      <c r="H10319" t="inlineStr">
        <is>
          <t>4kW 1S</t>
        </is>
      </c>
      <c r="I10319">
        <v>800</v>
      </c>
      <c r="J10319">
        <f>GS31/504.7</f>
        <v>0</v>
      </c>
      <c r="M10319" t="inlineStr">
        <is>
          <t>-504K68.4</t>
        </is>
      </c>
    </row>
    <row r="10320">
      <c r="A10320">
        <v>10319</v>
      </c>
      <c r="B10320">
        <f>GS13</f>
        <v>0</v>
      </c>
      <c r="C10320" t="inlineStr">
        <is>
          <t>+LS12</t>
        </is>
      </c>
      <c r="D10320" t="inlineStr">
        <is>
          <t>-505K1</t>
        </is>
      </c>
      <c r="E10320" t="inlineStr">
        <is>
          <t>DIL_0AM</t>
        </is>
      </c>
      <c r="F10320" t="inlineStr">
        <is>
          <t>22_DIL-M</t>
        </is>
      </c>
      <c r="G10320" t="inlineStr">
        <is>
          <t>LASTSCHUETZ</t>
        </is>
      </c>
      <c r="H10320" t="inlineStr">
        <is>
          <t>11 kW</t>
        </is>
      </c>
      <c r="I10320">
        <v>761</v>
      </c>
      <c r="J10320">
        <f>GS13/505.2</f>
        <v>0</v>
      </c>
      <c r="K10320" t="inlineStr">
        <is>
          <t>DIL0AM</t>
        </is>
      </c>
      <c r="M10320" t="inlineStr">
        <is>
          <t>-505K1</t>
        </is>
      </c>
    </row>
    <row r="10321">
      <c r="A10321">
        <v>10320</v>
      </c>
      <c r="B10321">
        <f>GS13</f>
        <v>0</v>
      </c>
      <c r="C10321" t="inlineStr">
        <is>
          <t>+LS12</t>
        </is>
      </c>
      <c r="D10321" t="inlineStr">
        <is>
          <t>-505K1</t>
        </is>
      </c>
      <c r="E10321" t="inlineStr">
        <is>
          <t>22_DIL-M</t>
        </is>
      </c>
      <c r="F10321" t="inlineStr">
        <is>
          <t>22_DIL-M</t>
        </is>
      </c>
      <c r="G10321" t="inlineStr">
        <is>
          <t>HILFSKONTAKTBLOCK</t>
        </is>
      </c>
      <c r="H10321" t="inlineStr">
        <is>
          <t>2S 2OE Lastschuetz DIL M</t>
        </is>
      </c>
      <c r="I10321">
        <v>761</v>
      </c>
      <c r="J10321">
        <f>GS13/505.2</f>
        <v>0</v>
      </c>
      <c r="K10321" t="inlineStr">
        <is>
          <t>DIL0AM</t>
        </is>
      </c>
      <c r="M10321" t="inlineStr">
        <is>
          <t>-505K1</t>
        </is>
      </c>
    </row>
    <row r="10322">
      <c r="A10322">
        <v>10321</v>
      </c>
      <c r="B10322">
        <f>GS23</f>
        <v>0</v>
      </c>
      <c r="C10322" t="inlineStr">
        <is>
          <t>+LS12</t>
        </is>
      </c>
      <c r="D10322" t="inlineStr">
        <is>
          <t>-505K1</t>
        </is>
      </c>
      <c r="E10322" t="inlineStr">
        <is>
          <t>22_DIL-M</t>
        </is>
      </c>
      <c r="F10322" t="inlineStr">
        <is>
          <t>22_DIL-M</t>
        </is>
      </c>
      <c r="G10322" t="inlineStr">
        <is>
          <t>HILFSKONTAKTBLOCK</t>
        </is>
      </c>
      <c r="H10322" t="inlineStr">
        <is>
          <t>2S 2OE Lastschuetz DIL M</t>
        </is>
      </c>
      <c r="I10322">
        <v>815</v>
      </c>
      <c r="J10322">
        <f>GS23/505.2</f>
        <v>0</v>
      </c>
      <c r="K10322" t="inlineStr">
        <is>
          <t>DIL0AM</t>
        </is>
      </c>
      <c r="M10322" t="inlineStr">
        <is>
          <t>-505K1</t>
        </is>
      </c>
    </row>
    <row r="10323">
      <c r="A10323">
        <v>10322</v>
      </c>
      <c r="B10323">
        <f>GS23</f>
        <v>0</v>
      </c>
      <c r="C10323" t="inlineStr">
        <is>
          <t>+LS12</t>
        </is>
      </c>
      <c r="D10323" t="inlineStr">
        <is>
          <t>-505K1</t>
        </is>
      </c>
      <c r="E10323" t="inlineStr">
        <is>
          <t>DIL_0AM</t>
        </is>
      </c>
      <c r="F10323" t="inlineStr">
        <is>
          <t>22_DIL-M</t>
        </is>
      </c>
      <c r="G10323" t="inlineStr">
        <is>
          <t>LASTSCHUETZ</t>
        </is>
      </c>
      <c r="H10323" t="inlineStr">
        <is>
          <t>11 kW</t>
        </is>
      </c>
      <c r="I10323">
        <v>815</v>
      </c>
      <c r="J10323">
        <f>GS23/505.2</f>
        <v>0</v>
      </c>
      <c r="K10323" t="inlineStr">
        <is>
          <t>DIL0AM</t>
        </is>
      </c>
      <c r="M10323" t="inlineStr">
        <is>
          <t>-505K1</t>
        </is>
      </c>
    </row>
    <row r="10324">
      <c r="A10324">
        <v>10323</v>
      </c>
      <c r="B10324">
        <f>GS25</f>
        <v>0</v>
      </c>
      <c r="C10324" t="inlineStr">
        <is>
          <t>+LS12</t>
        </is>
      </c>
      <c r="D10324" t="inlineStr">
        <is>
          <t>-505K1</t>
        </is>
      </c>
      <c r="E10324" t="inlineStr">
        <is>
          <t>DIL_0AM</t>
        </is>
      </c>
      <c r="F10324" t="inlineStr">
        <is>
          <t>22_DIL-M</t>
        </is>
      </c>
      <c r="G10324" t="inlineStr">
        <is>
          <t>LASTSCHUETZ</t>
        </is>
      </c>
      <c r="H10324" t="inlineStr">
        <is>
          <t>11 kW</t>
        </is>
      </c>
      <c r="I10324">
        <v>632</v>
      </c>
      <c r="J10324">
        <f>GS25/505.2</f>
        <v>0</v>
      </c>
      <c r="K10324" t="inlineStr">
        <is>
          <t>DIL0AM</t>
        </is>
      </c>
      <c r="M10324" t="inlineStr">
        <is>
          <t>-505K1</t>
        </is>
      </c>
    </row>
    <row r="10325">
      <c r="A10325">
        <v>10324</v>
      </c>
      <c r="B10325">
        <f>GS25</f>
        <v>0</v>
      </c>
      <c r="C10325" t="inlineStr">
        <is>
          <t>+LS12</t>
        </is>
      </c>
      <c r="D10325" t="inlineStr">
        <is>
          <t>-505K1</t>
        </is>
      </c>
      <c r="E10325" t="inlineStr">
        <is>
          <t>22_DIL-M</t>
        </is>
      </c>
      <c r="F10325" t="inlineStr">
        <is>
          <t>22_DIL-M</t>
        </is>
      </c>
      <c r="G10325" t="inlineStr">
        <is>
          <t>HILFSKONTAKTBLOCK</t>
        </is>
      </c>
      <c r="H10325" t="inlineStr">
        <is>
          <t>2S 2OE Lastschuetz DIL M</t>
        </is>
      </c>
      <c r="I10325">
        <v>632</v>
      </c>
      <c r="J10325">
        <f>GS25/505.2</f>
        <v>0</v>
      </c>
      <c r="K10325" t="inlineStr">
        <is>
          <t>DIL0AM</t>
        </is>
      </c>
      <c r="M10325" t="inlineStr">
        <is>
          <t>-505K1</t>
        </is>
      </c>
    </row>
    <row r="10326">
      <c r="A10326">
        <v>10325</v>
      </c>
      <c r="B10326">
        <f>GS30</f>
        <v>0</v>
      </c>
      <c r="C10326" t="inlineStr">
        <is>
          <t>+LS17</t>
        </is>
      </c>
      <c r="D10326" t="inlineStr">
        <is>
          <t>-505K1306.4</t>
        </is>
      </c>
      <c r="E10326" t="inlineStr">
        <is>
          <t>DILA-40</t>
        </is>
      </c>
      <c r="F10326" t="inlineStr">
        <is>
          <t>#KALK!</t>
        </is>
      </c>
      <c r="G10326" t="inlineStr">
        <is>
          <t>HILFSSCHUETZ</t>
        </is>
      </c>
      <c r="H10326" t="inlineStr">
        <is>
          <t>4S Federzugkl.</t>
        </is>
      </c>
      <c r="I10326">
        <v>2318</v>
      </c>
      <c r="J10326">
        <f>GS30/505.7</f>
        <v>0</v>
      </c>
      <c r="M10326" t="inlineStr">
        <is>
          <t>-505K1306.4</t>
        </is>
      </c>
    </row>
    <row r="10327">
      <c r="A10327">
        <v>10326</v>
      </c>
      <c r="B10327">
        <f>GS01</f>
        <v>0</v>
      </c>
      <c r="C10327" t="inlineStr">
        <is>
          <t>+LS11</t>
        </is>
      </c>
      <c r="D10327" t="inlineStr">
        <is>
          <t>-505K26.1</t>
        </is>
      </c>
      <c r="E10327" t="inlineStr">
        <is>
          <t>22_DIL-E</t>
        </is>
      </c>
      <c r="F10327" t="inlineStr">
        <is>
          <t>22_DIL-E</t>
        </is>
      </c>
      <c r="G10327" t="inlineStr">
        <is>
          <t>HILFSKONTAKTBLOCK</t>
        </is>
      </c>
      <c r="H10327" t="inlineStr">
        <is>
          <t>2S 2OE Last+Hilfsschuetz</t>
        </is>
      </c>
      <c r="I10327">
        <v>674</v>
      </c>
      <c r="J10327">
        <f>GS01/505.6</f>
        <v>0</v>
      </c>
      <c r="M10327" t="inlineStr">
        <is>
          <t>-505K26.1</t>
        </is>
      </c>
    </row>
    <row r="10328">
      <c r="A10328">
        <v>10327</v>
      </c>
      <c r="B10328">
        <f>GS01</f>
        <v>0</v>
      </c>
      <c r="C10328" t="inlineStr">
        <is>
          <t>+LS11</t>
        </is>
      </c>
      <c r="D10328" t="inlineStr">
        <is>
          <t>-505K26.1</t>
        </is>
      </c>
      <c r="E10328" t="inlineStr">
        <is>
          <t>DIL_EM-10-G</t>
        </is>
      </c>
      <c r="F10328" t="inlineStr">
        <is>
          <t>22_DIL-E</t>
        </is>
      </c>
      <c r="G10328" t="inlineStr">
        <is>
          <t>LASTSCHUETZ</t>
        </is>
      </c>
      <c r="H10328" t="inlineStr">
        <is>
          <t>4kW 1S</t>
        </is>
      </c>
      <c r="I10328">
        <v>674</v>
      </c>
      <c r="J10328">
        <f>GS01/505.6</f>
        <v>0</v>
      </c>
      <c r="M10328" t="inlineStr">
        <is>
          <t>-505K26.1</t>
        </is>
      </c>
    </row>
    <row r="10329">
      <c r="A10329">
        <v>10328</v>
      </c>
      <c r="B10329">
        <f>GS01</f>
        <v>0</v>
      </c>
      <c r="C10329" t="inlineStr">
        <is>
          <t>+LS11</t>
        </is>
      </c>
      <c r="D10329" t="inlineStr">
        <is>
          <t>-505K26.2</t>
        </is>
      </c>
      <c r="E10329" t="inlineStr">
        <is>
          <t>22_DIL-E</t>
        </is>
      </c>
      <c r="F10329" t="inlineStr">
        <is>
          <t>22_DIL-E</t>
        </is>
      </c>
      <c r="G10329" t="inlineStr">
        <is>
          <t>HILFSKONTAKTBLOCK</t>
        </is>
      </c>
      <c r="H10329" t="inlineStr">
        <is>
          <t>2S 2OE Last+Hilfsschuetz</t>
        </is>
      </c>
      <c r="I10329">
        <v>674</v>
      </c>
      <c r="J10329">
        <f>GS01/505.6</f>
        <v>0</v>
      </c>
      <c r="M10329" t="inlineStr">
        <is>
          <t>-505K26.2</t>
        </is>
      </c>
    </row>
    <row r="10330">
      <c r="A10330">
        <v>10329</v>
      </c>
      <c r="B10330">
        <f>GS01</f>
        <v>0</v>
      </c>
      <c r="C10330" t="inlineStr">
        <is>
          <t>+LS11</t>
        </is>
      </c>
      <c r="D10330" t="inlineStr">
        <is>
          <t>-505K26.2</t>
        </is>
      </c>
      <c r="E10330" t="inlineStr">
        <is>
          <t>DIL_EM-10-G</t>
        </is>
      </c>
      <c r="F10330" t="inlineStr">
        <is>
          <t>22_DIL-E</t>
        </is>
      </c>
      <c r="G10330" t="inlineStr">
        <is>
          <t>LASTSCHUETZ</t>
        </is>
      </c>
      <c r="H10330" t="inlineStr">
        <is>
          <t>4kW 1S</t>
        </is>
      </c>
      <c r="I10330">
        <v>674</v>
      </c>
      <c r="J10330">
        <f>GS01/505.6</f>
        <v>0</v>
      </c>
      <c r="M10330" t="inlineStr">
        <is>
          <t>-505K26.2</t>
        </is>
      </c>
    </row>
    <row r="10331">
      <c r="A10331">
        <v>10330</v>
      </c>
      <c r="B10331">
        <f>GS24</f>
        <v>0</v>
      </c>
      <c r="C10331" t="inlineStr">
        <is>
          <t>+LS10</t>
        </is>
      </c>
      <c r="D10331" t="inlineStr">
        <is>
          <t>-505K3507.5</t>
        </is>
      </c>
      <c r="E10331" t="inlineStr">
        <is>
          <t>DIL_EM-10-G</t>
        </is>
      </c>
      <c r="F10331" t="inlineStr">
        <is>
          <t>#KALK!</t>
        </is>
      </c>
      <c r="G10331" t="inlineStr">
        <is>
          <t>LASTSCHUETZ</t>
        </is>
      </c>
      <c r="H10331" t="inlineStr">
        <is>
          <t>4kW 1S</t>
        </is>
      </c>
      <c r="I10331">
        <v>591</v>
      </c>
      <c r="J10331">
        <f>GS24/505.6</f>
        <v>0</v>
      </c>
      <c r="M10331" t="inlineStr">
        <is>
          <t>-505K3507.5</t>
        </is>
      </c>
    </row>
    <row r="10332">
      <c r="A10332">
        <v>10331</v>
      </c>
      <c r="B10332">
        <f>GS24</f>
        <v>0</v>
      </c>
      <c r="C10332" t="inlineStr">
        <is>
          <t>+LS10</t>
        </is>
      </c>
      <c r="D10332" t="inlineStr">
        <is>
          <t>-505K3508.0</t>
        </is>
      </c>
      <c r="E10332" t="inlineStr">
        <is>
          <t>DIL_EM-10-G</t>
        </is>
      </c>
      <c r="F10332" t="inlineStr">
        <is>
          <t>#KALK!</t>
        </is>
      </c>
      <c r="G10332" t="inlineStr">
        <is>
          <t>LASTSCHUETZ</t>
        </is>
      </c>
      <c r="H10332" t="inlineStr">
        <is>
          <t>4kW 1S</t>
        </is>
      </c>
      <c r="I10332">
        <v>591</v>
      </c>
      <c r="J10332">
        <f>GS24/505.7</f>
        <v>0</v>
      </c>
      <c r="M10332" t="inlineStr">
        <is>
          <t>-505K3508.0</t>
        </is>
      </c>
    </row>
    <row r="10333">
      <c r="A10333">
        <v>10332</v>
      </c>
      <c r="B10333">
        <f>GS90</f>
        <v>0</v>
      </c>
      <c r="C10333" t="inlineStr">
        <is>
          <t>+LS10</t>
        </is>
      </c>
      <c r="D10333" t="inlineStr">
        <is>
          <t>-505K474.4</t>
        </is>
      </c>
      <c r="E10333" t="inlineStr">
        <is>
          <t>DILA-40</t>
        </is>
      </c>
      <c r="F10333" t="inlineStr">
        <is>
          <t>#KALK!</t>
        </is>
      </c>
      <c r="G10333" t="inlineStr">
        <is>
          <t>HILFSSCHUETZ</t>
        </is>
      </c>
      <c r="H10333" t="inlineStr">
        <is>
          <t>4S Federzugkl.</t>
        </is>
      </c>
      <c r="I10333">
        <v>753</v>
      </c>
      <c r="J10333">
        <f>GS90/505.7</f>
        <v>0</v>
      </c>
      <c r="M10333" t="inlineStr">
        <is>
          <t>-505K474.4</t>
        </is>
      </c>
    </row>
    <row r="10334">
      <c r="A10334">
        <v>10333</v>
      </c>
      <c r="B10334">
        <f>GS46</f>
        <v>0</v>
      </c>
      <c r="C10334" t="inlineStr">
        <is>
          <t>+LS09</t>
        </is>
      </c>
      <c r="D10334" t="inlineStr">
        <is>
          <t>-505K750.0</t>
        </is>
      </c>
      <c r="E10334" t="inlineStr">
        <is>
          <t>DILA-40</t>
        </is>
      </c>
      <c r="F10334" t="inlineStr">
        <is>
          <t>#KALK!</t>
        </is>
      </c>
      <c r="G10334" t="inlineStr">
        <is>
          <t>HILFSSCHUETZ</t>
        </is>
      </c>
      <c r="H10334" t="inlineStr">
        <is>
          <t>4S Federzugkl.</t>
        </is>
      </c>
      <c r="I10334">
        <v>583</v>
      </c>
      <c r="J10334">
        <f>GS46/505.7</f>
        <v>0</v>
      </c>
      <c r="M10334" t="inlineStr">
        <is>
          <t>-505K750.0</t>
        </is>
      </c>
    </row>
    <row r="10335">
      <c r="A10335">
        <v>10334</v>
      </c>
      <c r="B10335">
        <f>GS47</f>
        <v>0</v>
      </c>
      <c r="C10335" t="inlineStr">
        <is>
          <t>+LS09</t>
        </is>
      </c>
      <c r="D10335" t="inlineStr">
        <is>
          <t>-505K750.0</t>
        </is>
      </c>
      <c r="E10335" t="inlineStr">
        <is>
          <t>DILA-40</t>
        </is>
      </c>
      <c r="F10335" t="inlineStr">
        <is>
          <t>#KALK!</t>
        </is>
      </c>
      <c r="G10335" t="inlineStr">
        <is>
          <t>HILFSSCHUETZ</t>
        </is>
      </c>
      <c r="H10335" t="inlineStr">
        <is>
          <t>4S Federzugkl.</t>
        </is>
      </c>
      <c r="I10335">
        <v>583</v>
      </c>
      <c r="J10335">
        <f>GS47/505.7</f>
        <v>0</v>
      </c>
      <c r="M10335" t="inlineStr">
        <is>
          <t>-505K750.0</t>
        </is>
      </c>
    </row>
    <row r="10336">
      <c r="A10336">
        <v>10335</v>
      </c>
      <c r="B10336">
        <f>GS48</f>
        <v>0</v>
      </c>
      <c r="C10336" t="inlineStr">
        <is>
          <t>+LS09</t>
        </is>
      </c>
      <c r="D10336" t="inlineStr">
        <is>
          <t>-505K750.0</t>
        </is>
      </c>
      <c r="E10336" t="inlineStr">
        <is>
          <t>DILA-40</t>
        </is>
      </c>
      <c r="F10336" t="inlineStr">
        <is>
          <t>#KALK!</t>
        </is>
      </c>
      <c r="G10336" t="inlineStr">
        <is>
          <t>HILFSSCHUETZ</t>
        </is>
      </c>
      <c r="H10336" t="inlineStr">
        <is>
          <t>4S Federzugkl.</t>
        </is>
      </c>
      <c r="I10336">
        <v>617</v>
      </c>
      <c r="J10336">
        <f>GS48/505.7</f>
        <v>0</v>
      </c>
      <c r="M10336" t="inlineStr">
        <is>
          <t>-505K750.0</t>
        </is>
      </c>
    </row>
    <row r="10337">
      <c r="A10337">
        <v>10336</v>
      </c>
      <c r="B10337">
        <f>GS49</f>
        <v>0</v>
      </c>
      <c r="C10337" t="inlineStr">
        <is>
          <t>+LS09</t>
        </is>
      </c>
      <c r="D10337" t="inlineStr">
        <is>
          <t>-505K750.0</t>
        </is>
      </c>
      <c r="E10337" t="inlineStr">
        <is>
          <t>DILA-40</t>
        </is>
      </c>
      <c r="F10337" t="inlineStr">
        <is>
          <t>#KALK!</t>
        </is>
      </c>
      <c r="G10337" t="inlineStr">
        <is>
          <t>HILFSSCHUETZ</t>
        </is>
      </c>
      <c r="H10337" t="inlineStr">
        <is>
          <t>4S Federzugkl.</t>
        </is>
      </c>
      <c r="I10337">
        <v>616</v>
      </c>
      <c r="J10337">
        <f>GS49/505.7</f>
        <v>0</v>
      </c>
      <c r="M10337" t="inlineStr">
        <is>
          <t>-505K750.0</t>
        </is>
      </c>
    </row>
    <row r="10338">
      <c r="A10338">
        <v>10337</v>
      </c>
      <c r="B10338">
        <f>GS92</f>
        <v>0</v>
      </c>
      <c r="C10338" t="inlineStr">
        <is>
          <t>+LS09</t>
        </is>
      </c>
      <c r="D10338" t="inlineStr">
        <is>
          <t>-505K763.4</t>
        </is>
      </c>
      <c r="E10338" t="inlineStr">
        <is>
          <t>DILA-40</t>
        </is>
      </c>
      <c r="F10338" t="inlineStr">
        <is>
          <t>#KALK!</t>
        </is>
      </c>
      <c r="G10338" t="inlineStr">
        <is>
          <t>HILFSSCHUETZ</t>
        </is>
      </c>
      <c r="H10338" t="inlineStr">
        <is>
          <t>4S Federzugkl.</t>
        </is>
      </c>
      <c r="I10338">
        <v>646</v>
      </c>
      <c r="J10338">
        <f>GS92/505.7</f>
        <v>0</v>
      </c>
      <c r="M10338" t="inlineStr">
        <is>
          <t>-505K763.4</t>
        </is>
      </c>
    </row>
    <row r="10339">
      <c r="A10339">
        <v>10338</v>
      </c>
      <c r="B10339">
        <f>GS30</f>
        <v>0</v>
      </c>
      <c r="C10339" t="inlineStr">
        <is>
          <t>+LS17</t>
        </is>
      </c>
      <c r="D10339" t="inlineStr">
        <is>
          <t>-505Q1</t>
        </is>
      </c>
      <c r="E10339" t="inlineStr">
        <is>
          <t>DILMC25-10(RDC24)</t>
        </is>
      </c>
      <c r="F10339" t="inlineStr">
        <is>
          <t>DILA-XHI22</t>
        </is>
      </c>
      <c r="G10339" t="inlineStr">
        <is>
          <t>LASTSCHUETZ</t>
        </is>
      </c>
      <c r="H10339" t="inlineStr">
        <is>
          <t>11kW 1S Federzugkl.</t>
        </is>
      </c>
      <c r="I10339">
        <v>2318</v>
      </c>
      <c r="J10339">
        <f>GS30/505.4</f>
        <v>0</v>
      </c>
      <c r="K10339" t="inlineStr">
        <is>
          <t>DIL MC25</t>
        </is>
      </c>
      <c r="M10339" t="inlineStr">
        <is>
          <t>-505Q1</t>
        </is>
      </c>
    </row>
    <row r="10340">
      <c r="A10340">
        <v>10339</v>
      </c>
      <c r="B10340">
        <f>GS30</f>
        <v>0</v>
      </c>
      <c r="C10340" t="inlineStr">
        <is>
          <t>+LS17</t>
        </is>
      </c>
      <c r="D10340" t="inlineStr">
        <is>
          <t>-505Q1</t>
        </is>
      </c>
      <c r="E10340" t="inlineStr">
        <is>
          <t>DILA-XHI22</t>
        </is>
      </c>
      <c r="F10340" t="inlineStr">
        <is>
          <t>DILA-XHI22</t>
        </is>
      </c>
      <c r="G10340" t="inlineStr">
        <is>
          <t>HILFSKONTAKTBLOCK</t>
        </is>
      </c>
      <c r="H10340" t="inlineStr">
        <is>
          <t>2S 2OE Last+Hilfssch. Cage</t>
        </is>
      </c>
      <c r="I10340">
        <v>2318</v>
      </c>
      <c r="J10340">
        <f>GS30/505.4</f>
        <v>0</v>
      </c>
      <c r="K10340" t="inlineStr">
        <is>
          <t>DIL MC25</t>
        </is>
      </c>
      <c r="M10340" t="inlineStr">
        <is>
          <t>-505Q1</t>
        </is>
      </c>
    </row>
    <row r="10341">
      <c r="A10341">
        <v>10340</v>
      </c>
      <c r="B10341">
        <f>GS46</f>
        <v>0</v>
      </c>
      <c r="C10341" t="inlineStr">
        <is>
          <t>+LS09</t>
        </is>
      </c>
      <c r="D10341" t="inlineStr">
        <is>
          <t>-505Q1</t>
        </is>
      </c>
      <c r="E10341" t="inlineStr">
        <is>
          <t>DILM150-XHIC22</t>
        </is>
      </c>
      <c r="F10341" t="inlineStr">
        <is>
          <t>DILM150-XHIC22</t>
        </is>
      </c>
      <c r="G10341" t="inlineStr">
        <is>
          <t>HILFSKONTAKTBLOCK</t>
        </is>
      </c>
      <c r="H10341" t="inlineStr">
        <is>
          <t>2S 2OE ab DILMC40</t>
        </is>
      </c>
      <c r="I10341">
        <v>583</v>
      </c>
      <c r="J10341">
        <f>GS46/505.4</f>
        <v>0</v>
      </c>
      <c r="K10341" t="inlineStr">
        <is>
          <t>DIL MC40</t>
        </is>
      </c>
      <c r="M10341" t="inlineStr">
        <is>
          <t>-505Q1</t>
        </is>
      </c>
    </row>
    <row r="10342">
      <c r="A10342">
        <v>10341</v>
      </c>
      <c r="B10342">
        <f>GS46</f>
        <v>0</v>
      </c>
      <c r="C10342" t="inlineStr">
        <is>
          <t>+LS09</t>
        </is>
      </c>
      <c r="D10342" t="inlineStr">
        <is>
          <t>-505Q1</t>
        </is>
      </c>
      <c r="E10342" t="inlineStr">
        <is>
          <t>DILMC40(RDC24)</t>
        </is>
      </c>
      <c r="F10342" t="inlineStr">
        <is>
          <t>DILM150-XHIC22</t>
        </is>
      </c>
      <c r="G10342" t="inlineStr">
        <is>
          <t>LASTSCHUETZ</t>
        </is>
      </c>
      <c r="H10342" t="inlineStr">
        <is>
          <t>18,5kW Federzugkl.</t>
        </is>
      </c>
      <c r="I10342">
        <v>583</v>
      </c>
      <c r="J10342">
        <f>GS46/505.4</f>
        <v>0</v>
      </c>
      <c r="K10342" t="inlineStr">
        <is>
          <t>DIL MC40</t>
        </is>
      </c>
      <c r="M10342" t="inlineStr">
        <is>
          <t>-505Q1</t>
        </is>
      </c>
    </row>
    <row r="10343">
      <c r="A10343">
        <v>10342</v>
      </c>
      <c r="B10343">
        <f>GS47</f>
        <v>0</v>
      </c>
      <c r="C10343" t="inlineStr">
        <is>
          <t>+LS09</t>
        </is>
      </c>
      <c r="D10343" t="inlineStr">
        <is>
          <t>-505Q1</t>
        </is>
      </c>
      <c r="E10343" t="inlineStr">
        <is>
          <t>DILM150-XHIC22</t>
        </is>
      </c>
      <c r="F10343" t="inlineStr">
        <is>
          <t>DILM150-XHIC22</t>
        </is>
      </c>
      <c r="G10343" t="inlineStr">
        <is>
          <t>HILFSKONTAKTBLOCK</t>
        </is>
      </c>
      <c r="H10343" t="inlineStr">
        <is>
          <t>2S 2OE ab DILMC40</t>
        </is>
      </c>
      <c r="I10343">
        <v>583</v>
      </c>
      <c r="J10343">
        <f>GS47/505.4</f>
        <v>0</v>
      </c>
      <c r="K10343" t="inlineStr">
        <is>
          <t>DIL MC40</t>
        </is>
      </c>
      <c r="M10343" t="inlineStr">
        <is>
          <t>-505Q1</t>
        </is>
      </c>
    </row>
    <row r="10344">
      <c r="A10344">
        <v>10343</v>
      </c>
      <c r="B10344">
        <f>GS47</f>
        <v>0</v>
      </c>
      <c r="C10344" t="inlineStr">
        <is>
          <t>+LS09</t>
        </is>
      </c>
      <c r="D10344" t="inlineStr">
        <is>
          <t>-505Q1</t>
        </is>
      </c>
      <c r="E10344" t="inlineStr">
        <is>
          <t>DILMC40(RDC24)</t>
        </is>
      </c>
      <c r="F10344" t="inlineStr">
        <is>
          <t>DILM150-XHIC22</t>
        </is>
      </c>
      <c r="G10344" t="inlineStr">
        <is>
          <t>LASTSCHUETZ</t>
        </is>
      </c>
      <c r="H10344" t="inlineStr">
        <is>
          <t>18,5kW Federzugkl.</t>
        </is>
      </c>
      <c r="I10344">
        <v>583</v>
      </c>
      <c r="J10344">
        <f>GS47/505.4</f>
        <v>0</v>
      </c>
      <c r="K10344" t="inlineStr">
        <is>
          <t>DIL MC40</t>
        </is>
      </c>
      <c r="M10344" t="inlineStr">
        <is>
          <t>-505Q1</t>
        </is>
      </c>
    </row>
    <row r="10345">
      <c r="A10345">
        <v>10344</v>
      </c>
      <c r="B10345">
        <f>GS48</f>
        <v>0</v>
      </c>
      <c r="C10345" t="inlineStr">
        <is>
          <t>+LS09</t>
        </is>
      </c>
      <c r="D10345" t="inlineStr">
        <is>
          <t>-505Q1</t>
        </is>
      </c>
      <c r="E10345" t="inlineStr">
        <is>
          <t>DILA-XHI22</t>
        </is>
      </c>
      <c r="F10345" t="inlineStr">
        <is>
          <t>DILA-XHI22</t>
        </is>
      </c>
      <c r="G10345" t="inlineStr">
        <is>
          <t>HILFSKONTAKTBLOCK</t>
        </is>
      </c>
      <c r="H10345" t="inlineStr">
        <is>
          <t>2S 2OE Last+Hilfssch. Cage</t>
        </is>
      </c>
      <c r="I10345">
        <v>617</v>
      </c>
      <c r="J10345">
        <f>GS48/505.4</f>
        <v>0</v>
      </c>
      <c r="K10345" t="inlineStr">
        <is>
          <t>DIL MC40</t>
        </is>
      </c>
      <c r="M10345" t="inlineStr">
        <is>
          <t>-505Q1</t>
        </is>
      </c>
    </row>
    <row r="10346">
      <c r="A10346">
        <v>10345</v>
      </c>
      <c r="B10346">
        <f>GS48</f>
        <v>0</v>
      </c>
      <c r="C10346" t="inlineStr">
        <is>
          <t>+LS09</t>
        </is>
      </c>
      <c r="D10346" t="inlineStr">
        <is>
          <t>-505Q1</t>
        </is>
      </c>
      <c r="E10346" t="inlineStr">
        <is>
          <t>DILMC40(RDC24)</t>
        </is>
      </c>
      <c r="F10346" t="inlineStr">
        <is>
          <t>DILA-XHI22</t>
        </is>
      </c>
      <c r="G10346" t="inlineStr">
        <is>
          <t>LASTSCHUETZ</t>
        </is>
      </c>
      <c r="H10346" t="inlineStr">
        <is>
          <t>18,5kW Federzugkl.</t>
        </is>
      </c>
      <c r="I10346">
        <v>617</v>
      </c>
      <c r="J10346">
        <f>GS48/505.4</f>
        <v>0</v>
      </c>
      <c r="K10346" t="inlineStr">
        <is>
          <t>DIL MC40</t>
        </is>
      </c>
      <c r="M10346" t="inlineStr">
        <is>
          <t>-505Q1</t>
        </is>
      </c>
    </row>
    <row r="10347">
      <c r="A10347">
        <v>10346</v>
      </c>
      <c r="B10347">
        <f>GS49</f>
        <v>0</v>
      </c>
      <c r="C10347" t="inlineStr">
        <is>
          <t>+LS09</t>
        </is>
      </c>
      <c r="D10347" t="inlineStr">
        <is>
          <t>-505Q1</t>
        </is>
      </c>
      <c r="E10347" t="inlineStr">
        <is>
          <t>DILMC40(RDC24)</t>
        </is>
      </c>
      <c r="F10347" t="inlineStr">
        <is>
          <t>DILA-XHI22</t>
        </is>
      </c>
      <c r="G10347" t="inlineStr">
        <is>
          <t>LASTSCHUETZ</t>
        </is>
      </c>
      <c r="H10347" t="inlineStr">
        <is>
          <t>18,5kW Federzugkl.</t>
        </is>
      </c>
      <c r="I10347">
        <v>616</v>
      </c>
      <c r="J10347">
        <f>GS49/505.4</f>
        <v>0</v>
      </c>
      <c r="K10347" t="inlineStr">
        <is>
          <t>DIL MC40</t>
        </is>
      </c>
      <c r="M10347" t="inlineStr">
        <is>
          <t>-505Q1</t>
        </is>
      </c>
    </row>
    <row r="10348">
      <c r="A10348">
        <v>10347</v>
      </c>
      <c r="B10348">
        <f>GS49</f>
        <v>0</v>
      </c>
      <c r="C10348" t="inlineStr">
        <is>
          <t>+LS09</t>
        </is>
      </c>
      <c r="D10348" t="inlineStr">
        <is>
          <t>-505Q1</t>
        </is>
      </c>
      <c r="E10348" t="inlineStr">
        <is>
          <t>DILA-XHI22</t>
        </is>
      </c>
      <c r="F10348" t="inlineStr">
        <is>
          <t>DILA-XHI22</t>
        </is>
      </c>
      <c r="G10348" t="inlineStr">
        <is>
          <t>HILFSKONTAKTBLOCK</t>
        </is>
      </c>
      <c r="H10348" t="inlineStr">
        <is>
          <t>2S 2OE Last+Hilfssch. Cage</t>
        </is>
      </c>
      <c r="I10348">
        <v>616</v>
      </c>
      <c r="J10348">
        <f>GS49/505.4</f>
        <v>0</v>
      </c>
      <c r="K10348" t="inlineStr">
        <is>
          <t>DIL MC40</t>
        </is>
      </c>
      <c r="M10348" t="inlineStr">
        <is>
          <t>-505Q1</t>
        </is>
      </c>
    </row>
    <row r="10349">
      <c r="A10349">
        <v>10348</v>
      </c>
      <c r="B10349">
        <f>GS52</f>
        <v>0</v>
      </c>
      <c r="C10349" t="inlineStr">
        <is>
          <t>+LS08</t>
        </is>
      </c>
      <c r="D10349" t="inlineStr">
        <is>
          <t>-505Q1</t>
        </is>
      </c>
      <c r="E10349" t="inlineStr">
        <is>
          <t>DILMC25-10(RDC24)</t>
        </is>
      </c>
      <c r="F10349" t="inlineStr">
        <is>
          <t>DILA-XHI22</t>
        </is>
      </c>
      <c r="G10349" t="inlineStr">
        <is>
          <t>LASTSCHUETZ</t>
        </is>
      </c>
      <c r="H10349" t="inlineStr">
        <is>
          <t>11kW 1S Federzugkl.</t>
        </is>
      </c>
      <c r="I10349">
        <v>1505</v>
      </c>
      <c r="J10349">
        <f>GS52/505.6</f>
        <v>0</v>
      </c>
      <c r="K10349" t="inlineStr">
        <is>
          <t>DIL MC25</t>
        </is>
      </c>
      <c r="M10349" t="inlineStr">
        <is>
          <t>-505Q1</t>
        </is>
      </c>
    </row>
    <row r="10350">
      <c r="A10350">
        <v>10349</v>
      </c>
      <c r="B10350">
        <f>GS52</f>
        <v>0</v>
      </c>
      <c r="C10350" t="inlineStr">
        <is>
          <t>+LS08</t>
        </is>
      </c>
      <c r="D10350" t="inlineStr">
        <is>
          <t>-505Q1</t>
        </is>
      </c>
      <c r="E10350" t="inlineStr">
        <is>
          <t>DILA-XHI22</t>
        </is>
      </c>
      <c r="F10350" t="inlineStr">
        <is>
          <t>DILA-XHI22</t>
        </is>
      </c>
      <c r="G10350" t="inlineStr">
        <is>
          <t>HILFSKONTAKTBLOCK</t>
        </is>
      </c>
      <c r="H10350" t="inlineStr">
        <is>
          <t>2S 2OE Last+Hilfssch. Cage</t>
        </is>
      </c>
      <c r="I10350">
        <v>1505</v>
      </c>
      <c r="J10350">
        <f>GS52/505.6</f>
        <v>0</v>
      </c>
      <c r="K10350" t="inlineStr">
        <is>
          <t>DIL MC25</t>
        </is>
      </c>
      <c r="M10350" t="inlineStr">
        <is>
          <t>-505Q1</t>
        </is>
      </c>
    </row>
    <row r="10351">
      <c r="A10351">
        <v>10350</v>
      </c>
      <c r="B10351">
        <f>GS90</f>
        <v>0</v>
      </c>
      <c r="C10351" t="inlineStr">
        <is>
          <t>+LS10</t>
        </is>
      </c>
      <c r="D10351" t="inlineStr">
        <is>
          <t>-505Q1</t>
        </is>
      </c>
      <c r="E10351" t="inlineStr">
        <is>
          <t>DILMC25-10(RDC24)</t>
        </is>
      </c>
      <c r="F10351" t="inlineStr">
        <is>
          <t>DILA-XHI22</t>
        </is>
      </c>
      <c r="G10351" t="inlineStr">
        <is>
          <t>LASTSCHUETZ</t>
        </is>
      </c>
      <c r="H10351" t="inlineStr">
        <is>
          <t>11kW 1S Federzugkl.</t>
        </is>
      </c>
      <c r="I10351">
        <v>753</v>
      </c>
      <c r="J10351">
        <f>GS90/505.4</f>
        <v>0</v>
      </c>
      <c r="K10351" t="inlineStr">
        <is>
          <t>DIL MC25</t>
        </is>
      </c>
      <c r="M10351" t="inlineStr">
        <is>
          <t>-505Q1</t>
        </is>
      </c>
    </row>
    <row r="10352">
      <c r="A10352">
        <v>10351</v>
      </c>
      <c r="B10352">
        <f>GS90</f>
        <v>0</v>
      </c>
      <c r="C10352" t="inlineStr">
        <is>
          <t>+LS10</t>
        </is>
      </c>
      <c r="D10352" t="inlineStr">
        <is>
          <t>-505Q1</t>
        </is>
      </c>
      <c r="E10352" t="inlineStr">
        <is>
          <t>DILA-XHI22</t>
        </is>
      </c>
      <c r="F10352" t="inlineStr">
        <is>
          <t>DILA-XHI22</t>
        </is>
      </c>
      <c r="G10352" t="inlineStr">
        <is>
          <t>HILFSKONTAKTBLOCK</t>
        </is>
      </c>
      <c r="H10352" t="inlineStr">
        <is>
          <t>2S 2OE Last+Hilfssch. Cage</t>
        </is>
      </c>
      <c r="I10352">
        <v>753</v>
      </c>
      <c r="J10352">
        <f>GS90/505.4</f>
        <v>0</v>
      </c>
      <c r="K10352" t="inlineStr">
        <is>
          <t>DIL MC25</t>
        </is>
      </c>
      <c r="M10352" t="inlineStr">
        <is>
          <t>-505Q1</t>
        </is>
      </c>
    </row>
    <row r="10353">
      <c r="A10353">
        <v>10352</v>
      </c>
      <c r="B10353">
        <f>GS92</f>
        <v>0</v>
      </c>
      <c r="C10353" t="inlineStr">
        <is>
          <t>+LS09</t>
        </is>
      </c>
      <c r="D10353" t="inlineStr">
        <is>
          <t>-505Q1</t>
        </is>
      </c>
      <c r="E10353" t="inlineStr">
        <is>
          <t>DILMC25-10(RDC24)</t>
        </is>
      </c>
      <c r="F10353" t="inlineStr">
        <is>
          <t>DILA-XHI22</t>
        </is>
      </c>
      <c r="G10353" t="inlineStr">
        <is>
          <t>LASTSCHUETZ</t>
        </is>
      </c>
      <c r="H10353" t="inlineStr">
        <is>
          <t>11kW 1S Federzugkl.</t>
        </is>
      </c>
      <c r="I10353">
        <v>646</v>
      </c>
      <c r="J10353">
        <f>GS92/505.4</f>
        <v>0</v>
      </c>
      <c r="K10353" t="inlineStr">
        <is>
          <t>DIL MC25</t>
        </is>
      </c>
      <c r="M10353" t="inlineStr">
        <is>
          <t>-505Q1</t>
        </is>
      </c>
    </row>
    <row r="10354">
      <c r="A10354">
        <v>10353</v>
      </c>
      <c r="B10354">
        <f>GS92</f>
        <v>0</v>
      </c>
      <c r="C10354" t="inlineStr">
        <is>
          <t>+LS09</t>
        </is>
      </c>
      <c r="D10354" t="inlineStr">
        <is>
          <t>-505Q1</t>
        </is>
      </c>
      <c r="E10354" t="inlineStr">
        <is>
          <t>DILA-XHI22</t>
        </is>
      </c>
      <c r="F10354" t="inlineStr">
        <is>
          <t>DILA-XHI22</t>
        </is>
      </c>
      <c r="G10354" t="inlineStr">
        <is>
          <t>HILFSKONTAKTBLOCK</t>
        </is>
      </c>
      <c r="H10354" t="inlineStr">
        <is>
          <t>2S 2OE Last+Hilfssch. Cage</t>
        </is>
      </c>
      <c r="I10354">
        <v>646</v>
      </c>
      <c r="J10354">
        <f>GS92/505.4</f>
        <v>0</v>
      </c>
      <c r="K10354" t="inlineStr">
        <is>
          <t>DIL MC25</t>
        </is>
      </c>
      <c r="M10354" t="inlineStr">
        <is>
          <t>-505Q1</t>
        </is>
      </c>
    </row>
    <row r="10355">
      <c r="A10355">
        <v>10354</v>
      </c>
      <c r="B10355">
        <f>GS33</f>
        <v>0</v>
      </c>
      <c r="C10355" t="inlineStr">
        <is>
          <t>+QVW2701</t>
        </is>
      </c>
      <c r="D10355" t="inlineStr">
        <is>
          <t>-506K1</t>
        </is>
      </c>
      <c r="E10355" t="inlineStr">
        <is>
          <t>DIL_0AM</t>
        </is>
      </c>
      <c r="F10355" t="inlineStr">
        <is>
          <t>22_DIL-M</t>
        </is>
      </c>
      <c r="G10355" t="inlineStr">
        <is>
          <t>LASTSCHUETZ</t>
        </is>
      </c>
      <c r="H10355" t="inlineStr">
        <is>
          <t>11 kW</t>
        </is>
      </c>
      <c r="I10355">
        <v>960</v>
      </c>
      <c r="J10355">
        <f>GS33/506.2</f>
        <v>0</v>
      </c>
      <c r="M10355" t="inlineStr">
        <is>
          <t>-506K1</t>
        </is>
      </c>
    </row>
    <row r="10356">
      <c r="A10356">
        <v>10355</v>
      </c>
      <c r="B10356">
        <f>GS33</f>
        <v>0</v>
      </c>
      <c r="C10356" t="inlineStr">
        <is>
          <t>+QVW2701</t>
        </is>
      </c>
      <c r="D10356" t="inlineStr">
        <is>
          <t>-506K1</t>
        </is>
      </c>
      <c r="E10356" t="inlineStr">
        <is>
          <t>22_DIL-M</t>
        </is>
      </c>
      <c r="F10356" t="inlineStr">
        <is>
          <t>22_DIL-M</t>
        </is>
      </c>
      <c r="G10356" t="inlineStr">
        <is>
          <t>HILFSKONTAKTBLOCK</t>
        </is>
      </c>
      <c r="H10356" t="inlineStr">
        <is>
          <t>2S 2OE Lastschuetz DIL M</t>
        </is>
      </c>
      <c r="I10356">
        <v>960</v>
      </c>
      <c r="J10356">
        <f>GS33/506.2</f>
        <v>0</v>
      </c>
      <c r="M10356" t="inlineStr">
        <is>
          <t>-506K1</t>
        </is>
      </c>
    </row>
    <row r="10357">
      <c r="A10357">
        <v>10356</v>
      </c>
      <c r="B10357">
        <f>GS01</f>
        <v>0</v>
      </c>
      <c r="C10357" t="inlineStr">
        <is>
          <t>+LS11</t>
        </is>
      </c>
      <c r="D10357" t="inlineStr">
        <is>
          <t>-506K26.3</t>
        </is>
      </c>
      <c r="E10357" t="inlineStr">
        <is>
          <t>22_DIL-E</t>
        </is>
      </c>
      <c r="F10357" t="inlineStr">
        <is>
          <t>22_DIL-E</t>
        </is>
      </c>
      <c r="G10357" t="inlineStr">
        <is>
          <t>HILFSKONTAKTBLOCK</t>
        </is>
      </c>
      <c r="H10357" t="inlineStr">
        <is>
          <t>2S 2OE Last+Hilfsschuetz</t>
        </is>
      </c>
      <c r="I10357">
        <v>675</v>
      </c>
      <c r="J10357">
        <f>GS01/506.6</f>
        <v>0</v>
      </c>
      <c r="M10357" t="inlineStr">
        <is>
          <t>-506K26.3</t>
        </is>
      </c>
    </row>
    <row r="10358">
      <c r="A10358">
        <v>10357</v>
      </c>
      <c r="B10358">
        <f>GS01</f>
        <v>0</v>
      </c>
      <c r="C10358" t="inlineStr">
        <is>
          <t>+LS11</t>
        </is>
      </c>
      <c r="D10358" t="inlineStr">
        <is>
          <t>-506K26.3</t>
        </is>
      </c>
      <c r="E10358" t="inlineStr">
        <is>
          <t>DIL_EM-10-G</t>
        </is>
      </c>
      <c r="F10358" t="inlineStr">
        <is>
          <t>22_DIL-E</t>
        </is>
      </c>
      <c r="G10358" t="inlineStr">
        <is>
          <t>LASTSCHUETZ</t>
        </is>
      </c>
      <c r="H10358" t="inlineStr">
        <is>
          <t>4kW 1S</t>
        </is>
      </c>
      <c r="I10358">
        <v>675</v>
      </c>
      <c r="J10358">
        <f>GS01/506.6</f>
        <v>0</v>
      </c>
      <c r="M10358" t="inlineStr">
        <is>
          <t>-506K26.3</t>
        </is>
      </c>
    </row>
    <row r="10359">
      <c r="A10359">
        <v>10358</v>
      </c>
      <c r="B10359">
        <f>GS01</f>
        <v>0</v>
      </c>
      <c r="C10359" t="inlineStr">
        <is>
          <t>+LS11</t>
        </is>
      </c>
      <c r="D10359" t="inlineStr">
        <is>
          <t>-506K26.4</t>
        </is>
      </c>
      <c r="E10359" t="inlineStr">
        <is>
          <t>22_DIL-E</t>
        </is>
      </c>
      <c r="F10359" t="inlineStr">
        <is>
          <t>22_DIL-E</t>
        </is>
      </c>
      <c r="G10359" t="inlineStr">
        <is>
          <t>HILFSKONTAKTBLOCK</t>
        </is>
      </c>
      <c r="H10359" t="inlineStr">
        <is>
          <t>2S 2OE Last+Hilfsschuetz</t>
        </is>
      </c>
      <c r="I10359">
        <v>675</v>
      </c>
      <c r="J10359">
        <f>GS01/506.6</f>
        <v>0</v>
      </c>
      <c r="M10359" t="inlineStr">
        <is>
          <t>-506K26.4</t>
        </is>
      </c>
    </row>
    <row r="10360">
      <c r="A10360">
        <v>10359</v>
      </c>
      <c r="B10360">
        <f>GS01</f>
        <v>0</v>
      </c>
      <c r="C10360" t="inlineStr">
        <is>
          <t>+LS11</t>
        </is>
      </c>
      <c r="D10360" t="inlineStr">
        <is>
          <t>-506K26.4</t>
        </is>
      </c>
      <c r="E10360" t="inlineStr">
        <is>
          <t>DIL_EM-10-G</t>
        </is>
      </c>
      <c r="F10360" t="inlineStr">
        <is>
          <t>22_DIL-E</t>
        </is>
      </c>
      <c r="G10360" t="inlineStr">
        <is>
          <t>LASTSCHUETZ</t>
        </is>
      </c>
      <c r="H10360" t="inlineStr">
        <is>
          <t>4kW 1S</t>
        </is>
      </c>
      <c r="I10360">
        <v>675</v>
      </c>
      <c r="J10360">
        <f>GS01/506.6</f>
        <v>0</v>
      </c>
      <c r="M10360" t="inlineStr">
        <is>
          <t>-506K26.4</t>
        </is>
      </c>
    </row>
    <row r="10361">
      <c r="A10361">
        <v>10360</v>
      </c>
      <c r="B10361">
        <f>GS24</f>
        <v>0</v>
      </c>
      <c r="C10361" t="inlineStr">
        <is>
          <t>+LS10</t>
        </is>
      </c>
      <c r="D10361" t="inlineStr">
        <is>
          <t>-506K3508.1</t>
        </is>
      </c>
      <c r="E10361" t="inlineStr">
        <is>
          <t>DIL_EM-10-G</t>
        </is>
      </c>
      <c r="F10361" t="inlineStr">
        <is>
          <t>#KALK!</t>
        </is>
      </c>
      <c r="G10361" t="inlineStr">
        <is>
          <t>LASTSCHUETZ</t>
        </is>
      </c>
      <c r="H10361" t="inlineStr">
        <is>
          <t>4kW 1S</t>
        </is>
      </c>
      <c r="I10361">
        <v>590</v>
      </c>
      <c r="J10361">
        <f>GS24/506.6</f>
        <v>0</v>
      </c>
      <c r="M10361" t="inlineStr">
        <is>
          <t>-506K3508.1</t>
        </is>
      </c>
    </row>
    <row r="10362">
      <c r="A10362">
        <v>10361</v>
      </c>
      <c r="B10362">
        <f>GS24</f>
        <v>0</v>
      </c>
      <c r="C10362" t="inlineStr">
        <is>
          <t>+LS10</t>
        </is>
      </c>
      <c r="D10362" t="inlineStr">
        <is>
          <t>-506K3508.2</t>
        </is>
      </c>
      <c r="E10362" t="inlineStr">
        <is>
          <t>DIL_EM-10-G</t>
        </is>
      </c>
      <c r="F10362" t="inlineStr">
        <is>
          <t>#KALK!</t>
        </is>
      </c>
      <c r="G10362" t="inlineStr">
        <is>
          <t>LASTSCHUETZ</t>
        </is>
      </c>
      <c r="H10362" t="inlineStr">
        <is>
          <t>4kW 1S</t>
        </is>
      </c>
      <c r="I10362">
        <v>590</v>
      </c>
      <c r="J10362">
        <f>GS24/506.7</f>
        <v>0</v>
      </c>
      <c r="M10362" t="inlineStr">
        <is>
          <t>-506K3508.2</t>
        </is>
      </c>
    </row>
    <row r="10363">
      <c r="A10363">
        <v>10362</v>
      </c>
      <c r="B10363">
        <f>GS08</f>
        <v>0</v>
      </c>
      <c r="C10363" t="inlineStr">
        <is>
          <t>+LS08</t>
        </is>
      </c>
      <c r="D10363" t="inlineStr">
        <is>
          <t>-506KF512.0</t>
        </is>
      </c>
      <c r="E10363" t="inlineStr">
        <is>
          <t>DILM-9-10</t>
        </is>
      </c>
      <c r="F10363" t="inlineStr">
        <is>
          <t>#KALK!</t>
        </is>
      </c>
      <c r="G10363" t="inlineStr">
        <is>
          <t>LASTSCHUETZ</t>
        </is>
      </c>
      <c r="H10363" t="inlineStr">
        <is>
          <t>4kW 1S Federzugkl.</t>
        </is>
      </c>
      <c r="I10363">
        <v>629</v>
      </c>
      <c r="J10363">
        <f>GS08/506.7</f>
        <v>0</v>
      </c>
      <c r="M10363" t="inlineStr">
        <is>
          <t>-506KF512.0</t>
        </is>
      </c>
    </row>
    <row r="10364">
      <c r="A10364">
        <v>10363</v>
      </c>
      <c r="B10364">
        <f>GS06</f>
        <v>0</v>
      </c>
      <c r="C10364" t="inlineStr">
        <is>
          <t>+LS08</t>
        </is>
      </c>
      <c r="D10364" t="inlineStr">
        <is>
          <t>-506Q404.3</t>
        </is>
      </c>
      <c r="E10364" t="inlineStr">
        <is>
          <t>DILM-9-10</t>
        </is>
      </c>
      <c r="F10364" t="inlineStr">
        <is>
          <t>#KALK!</t>
        </is>
      </c>
      <c r="G10364" t="inlineStr">
        <is>
          <t>LASTSCHUETZ</t>
        </is>
      </c>
      <c r="H10364" t="inlineStr">
        <is>
          <t>4kW 1S Federzugkl.</t>
        </is>
      </c>
      <c r="I10364">
        <v>760</v>
      </c>
      <c r="J10364">
        <f>GS06/506.6</f>
        <v>0</v>
      </c>
      <c r="K10364" t="inlineStr">
        <is>
          <t>DIL MC9</t>
        </is>
      </c>
      <c r="M10364" t="inlineStr">
        <is>
          <t>-506Q404.3</t>
        </is>
      </c>
    </row>
    <row r="10365">
      <c r="A10365">
        <v>10364</v>
      </c>
      <c r="B10365">
        <f>GS92</f>
        <v>0</v>
      </c>
      <c r="C10365" t="inlineStr">
        <is>
          <t>+LS09</t>
        </is>
      </c>
      <c r="D10365" t="inlineStr">
        <is>
          <t>-506Q763.5</t>
        </is>
      </c>
      <c r="E10365" t="inlineStr">
        <is>
          <t>DILM-9-10</t>
        </is>
      </c>
      <c r="F10365" t="inlineStr">
        <is>
          <t>#KALK!</t>
        </is>
      </c>
      <c r="G10365" t="inlineStr">
        <is>
          <t>LASTSCHUETZ</t>
        </is>
      </c>
      <c r="H10365" t="inlineStr">
        <is>
          <t>4kW 1S Federzugkl.</t>
        </is>
      </c>
      <c r="I10365">
        <v>647</v>
      </c>
      <c r="J10365">
        <f>GS92/506.5</f>
        <v>0</v>
      </c>
      <c r="M10365" t="inlineStr">
        <is>
          <t>-506Q763.5</t>
        </is>
      </c>
    </row>
    <row r="10366">
      <c r="A10366">
        <v>10365</v>
      </c>
      <c r="B10366">
        <f>GS13</f>
        <v>0</v>
      </c>
      <c r="C10366" t="inlineStr">
        <is>
          <t>+LS12</t>
        </is>
      </c>
      <c r="D10366" t="inlineStr">
        <is>
          <t>-50720.3</t>
        </is>
      </c>
      <c r="E10366" t="inlineStr">
        <is>
          <t>DIL_EM-10-G</t>
        </is>
      </c>
      <c r="F10366" t="inlineStr">
        <is>
          <t>#KALK!</t>
        </is>
      </c>
      <c r="G10366" t="inlineStr">
        <is>
          <t>LASTSCHUETZ</t>
        </is>
      </c>
      <c r="H10366" t="inlineStr">
        <is>
          <t>4kW 1S</t>
        </is>
      </c>
      <c r="I10366">
        <v>763</v>
      </c>
      <c r="J10366">
        <f>GS13/507.7</f>
        <v>0</v>
      </c>
      <c r="M10366" t="inlineStr">
        <is>
          <t>-50720.3</t>
        </is>
      </c>
    </row>
    <row r="10367">
      <c r="A10367">
        <v>10366</v>
      </c>
      <c r="B10367">
        <f>GS31</f>
        <v>0</v>
      </c>
      <c r="C10367" t="inlineStr">
        <is>
          <t>+LS10</t>
        </is>
      </c>
      <c r="D10367" t="inlineStr">
        <is>
          <t>-507K1</t>
        </is>
      </c>
      <c r="E10367" t="inlineStr">
        <is>
          <t>DIL_EM-10-G</t>
        </is>
      </c>
      <c r="F10367" t="inlineStr">
        <is>
          <t>#KALK!</t>
        </is>
      </c>
      <c r="G10367" t="inlineStr">
        <is>
          <t>LASTSCHUETZ</t>
        </is>
      </c>
      <c r="H10367" t="inlineStr">
        <is>
          <t>4kW 1S</t>
        </is>
      </c>
      <c r="I10367">
        <v>803</v>
      </c>
      <c r="J10367">
        <f>GS31/507.5</f>
        <v>0</v>
      </c>
      <c r="M10367" t="inlineStr">
        <is>
          <t>-507K1</t>
        </is>
      </c>
    </row>
    <row r="10368">
      <c r="A10368">
        <v>10367</v>
      </c>
      <c r="B10368">
        <f>GS23</f>
        <v>0</v>
      </c>
      <c r="C10368" t="inlineStr">
        <is>
          <t>+LS12</t>
        </is>
      </c>
      <c r="D10368" t="inlineStr">
        <is>
          <t>-507K20.3</t>
        </is>
      </c>
      <c r="E10368" t="inlineStr">
        <is>
          <t>DIL_EM-10-G</t>
        </is>
      </c>
      <c r="F10368" t="inlineStr">
        <is>
          <t>#KALK!</t>
        </is>
      </c>
      <c r="G10368" t="inlineStr">
        <is>
          <t>LASTSCHUETZ</t>
        </is>
      </c>
      <c r="H10368" t="inlineStr">
        <is>
          <t>4kW 1S</t>
        </is>
      </c>
      <c r="I10368">
        <v>817</v>
      </c>
      <c r="J10368">
        <f>GS23/507.7</f>
        <v>0</v>
      </c>
      <c r="M10368" t="inlineStr">
        <is>
          <t>-507K20.3</t>
        </is>
      </c>
    </row>
    <row r="10369">
      <c r="A10369">
        <v>10368</v>
      </c>
      <c r="B10369">
        <f>GS01</f>
        <v>0</v>
      </c>
      <c r="C10369" t="inlineStr">
        <is>
          <t>+LS11</t>
        </is>
      </c>
      <c r="D10369" t="inlineStr">
        <is>
          <t>-507K26.5</t>
        </is>
      </c>
      <c r="E10369" t="inlineStr">
        <is>
          <t>DIL_EM-10-G</t>
        </is>
      </c>
      <c r="F10369" t="inlineStr">
        <is>
          <t>#KALK!</t>
        </is>
      </c>
      <c r="G10369" t="inlineStr">
        <is>
          <t>LASTSCHUETZ</t>
        </is>
      </c>
      <c r="H10369" t="inlineStr">
        <is>
          <t>4kW 1S</t>
        </is>
      </c>
      <c r="I10369">
        <v>676</v>
      </c>
      <c r="J10369">
        <f>GS01/507.6</f>
        <v>0</v>
      </c>
      <c r="M10369" t="inlineStr">
        <is>
          <t>-507K26.5</t>
        </is>
      </c>
    </row>
    <row r="10370">
      <c r="A10370">
        <v>10369</v>
      </c>
      <c r="B10370">
        <f>GS01</f>
        <v>0</v>
      </c>
      <c r="C10370" t="inlineStr">
        <is>
          <t>+LS11</t>
        </is>
      </c>
      <c r="D10370" t="inlineStr">
        <is>
          <t>-507K26.6</t>
        </is>
      </c>
      <c r="E10370" t="inlineStr">
        <is>
          <t>DIL_EM-10-G</t>
        </is>
      </c>
      <c r="F10370" t="inlineStr">
        <is>
          <t>#KALK!</t>
        </is>
      </c>
      <c r="G10370" t="inlineStr">
        <is>
          <t>LASTSCHUETZ</t>
        </is>
      </c>
      <c r="H10370" t="inlineStr">
        <is>
          <t>4kW 1S</t>
        </is>
      </c>
      <c r="I10370">
        <v>676</v>
      </c>
      <c r="J10370">
        <f>GS01/507.6</f>
        <v>0</v>
      </c>
      <c r="M10370" t="inlineStr">
        <is>
          <t>-507K26.6</t>
        </is>
      </c>
    </row>
    <row r="10371">
      <c r="A10371">
        <v>10370</v>
      </c>
      <c r="B10371">
        <f>GS24</f>
        <v>0</v>
      </c>
      <c r="C10371" t="inlineStr">
        <is>
          <t>+LS10</t>
        </is>
      </c>
      <c r="D10371" t="inlineStr">
        <is>
          <t>-507K3508.3</t>
        </is>
      </c>
      <c r="E10371" t="inlineStr">
        <is>
          <t>DIL_EM-10-G</t>
        </is>
      </c>
      <c r="F10371" t="inlineStr">
        <is>
          <t>#KALK!</t>
        </is>
      </c>
      <c r="G10371" t="inlineStr">
        <is>
          <t>LASTSCHUETZ</t>
        </is>
      </c>
      <c r="H10371" t="inlineStr">
        <is>
          <t>4kW 1S</t>
        </is>
      </c>
      <c r="I10371">
        <v>589</v>
      </c>
      <c r="J10371">
        <f>GS24/507.6</f>
        <v>0</v>
      </c>
      <c r="M10371" t="inlineStr">
        <is>
          <t>-507K3508.3</t>
        </is>
      </c>
    </row>
    <row r="10372">
      <c r="A10372">
        <v>10371</v>
      </c>
      <c r="B10372">
        <f>GS24</f>
        <v>0</v>
      </c>
      <c r="C10372" t="inlineStr">
        <is>
          <t>+LS10</t>
        </is>
      </c>
      <c r="D10372" t="inlineStr">
        <is>
          <t>-507K3508.6</t>
        </is>
      </c>
      <c r="E10372" t="inlineStr">
        <is>
          <t>DIL_EM-10-G</t>
        </is>
      </c>
      <c r="F10372" t="inlineStr">
        <is>
          <t>#KALK!</t>
        </is>
      </c>
      <c r="G10372" t="inlineStr">
        <is>
          <t>LASTSCHUETZ</t>
        </is>
      </c>
      <c r="H10372" t="inlineStr">
        <is>
          <t>4kW 1S</t>
        </is>
      </c>
      <c r="I10372">
        <v>589</v>
      </c>
      <c r="J10372">
        <f>GS24/507.7</f>
        <v>0</v>
      </c>
      <c r="M10372" t="inlineStr">
        <is>
          <t>-507K3508.6</t>
        </is>
      </c>
    </row>
    <row r="10373">
      <c r="A10373">
        <v>10372</v>
      </c>
      <c r="B10373">
        <f>GS35</f>
        <v>0</v>
      </c>
      <c r="C10373" t="inlineStr">
        <is>
          <t>+LS12</t>
        </is>
      </c>
      <c r="D10373" t="inlineStr">
        <is>
          <t>-507K465.1</t>
        </is>
      </c>
      <c r="E10373" t="inlineStr">
        <is>
          <t>DILA-40</t>
        </is>
      </c>
      <c r="F10373" t="inlineStr">
        <is>
          <t>#KALK!</t>
        </is>
      </c>
      <c r="G10373" t="inlineStr">
        <is>
          <t>HILFSSCHUETZ</t>
        </is>
      </c>
      <c r="H10373" t="inlineStr">
        <is>
          <t>4S Federzugkl.</t>
        </is>
      </c>
      <c r="I10373">
        <v>661</v>
      </c>
      <c r="J10373">
        <f>GS35/507.6</f>
        <v>0</v>
      </c>
      <c r="M10373" t="inlineStr">
        <is>
          <t>-507K465.1</t>
        </is>
      </c>
    </row>
    <row r="10374">
      <c r="A10374">
        <v>10373</v>
      </c>
      <c r="B10374">
        <f>GS35</f>
        <v>0</v>
      </c>
      <c r="C10374" t="inlineStr">
        <is>
          <t>+LS12</t>
        </is>
      </c>
      <c r="D10374" t="inlineStr">
        <is>
          <t>-507Q1</t>
        </is>
      </c>
      <c r="E10374" t="inlineStr">
        <is>
          <t>DILA-XHI22</t>
        </is>
      </c>
      <c r="F10374" t="inlineStr">
        <is>
          <t>DILA-XHI22</t>
        </is>
      </c>
      <c r="G10374" t="inlineStr">
        <is>
          <t>HILFSKONTAKTBLOCK</t>
        </is>
      </c>
      <c r="H10374" t="inlineStr">
        <is>
          <t>2S 2OE Last+Hilfssch. Cage</t>
        </is>
      </c>
      <c r="I10374">
        <v>661</v>
      </c>
      <c r="J10374">
        <f>GS35/507.3</f>
        <v>0</v>
      </c>
      <c r="M10374" t="inlineStr">
        <is>
          <t>-507Q1</t>
        </is>
      </c>
    </row>
    <row r="10375">
      <c r="A10375">
        <v>10374</v>
      </c>
      <c r="B10375">
        <f>GS35</f>
        <v>0</v>
      </c>
      <c r="C10375" t="inlineStr">
        <is>
          <t>+LS12</t>
        </is>
      </c>
      <c r="D10375" t="inlineStr">
        <is>
          <t>-507Q1</t>
        </is>
      </c>
      <c r="E10375" t="inlineStr">
        <is>
          <t>DILM-9-10</t>
        </is>
      </c>
      <c r="F10375" t="inlineStr">
        <is>
          <t>DILA-XHI22</t>
        </is>
      </c>
      <c r="G10375" t="inlineStr">
        <is>
          <t>LASTSCHUETZ</t>
        </is>
      </c>
      <c r="H10375" t="inlineStr">
        <is>
          <t>4kW 1S Federzugkl.</t>
        </is>
      </c>
      <c r="I10375">
        <v>661</v>
      </c>
      <c r="J10375">
        <f>GS35/507.3</f>
        <v>0</v>
      </c>
      <c r="M10375" t="inlineStr">
        <is>
          <t>-507Q1</t>
        </is>
      </c>
    </row>
    <row r="10376">
      <c r="A10376">
        <v>10375</v>
      </c>
      <c r="B10376">
        <f>GS52</f>
        <v>0</v>
      </c>
      <c r="C10376" t="inlineStr">
        <is>
          <t>+LS08</t>
        </is>
      </c>
      <c r="D10376" t="inlineStr">
        <is>
          <t>-507Q178.2</t>
        </is>
      </c>
      <c r="E10376" t="inlineStr">
        <is>
          <t>DILM-9-10</t>
        </is>
      </c>
      <c r="F10376" t="inlineStr">
        <is>
          <t>#KALK!</t>
        </is>
      </c>
      <c r="G10376" t="inlineStr">
        <is>
          <t>LASTSCHUETZ</t>
        </is>
      </c>
      <c r="H10376" t="inlineStr">
        <is>
          <t>4kW 1S Federzugkl.</t>
        </is>
      </c>
      <c r="I10376">
        <v>1502</v>
      </c>
      <c r="J10376">
        <f>GS52/507.6</f>
        <v>0</v>
      </c>
      <c r="K10376" t="inlineStr">
        <is>
          <t>DIL MC9</t>
        </is>
      </c>
      <c r="M10376" t="inlineStr">
        <is>
          <t>-507Q178.2</t>
        </is>
      </c>
    </row>
    <row r="10377">
      <c r="A10377">
        <v>10376</v>
      </c>
      <c r="B10377">
        <f>GS35</f>
        <v>0</v>
      </c>
      <c r="C10377" t="inlineStr">
        <is>
          <t>+LS12</t>
        </is>
      </c>
      <c r="D10377" t="inlineStr">
        <is>
          <t>-507Q2</t>
        </is>
      </c>
      <c r="E10377" t="inlineStr">
        <is>
          <t>DILM-9-10</t>
        </is>
      </c>
      <c r="F10377" t="inlineStr">
        <is>
          <t>#KALK!</t>
        </is>
      </c>
      <c r="G10377" t="inlineStr">
        <is>
          <t>LASTSCHUETZ</t>
        </is>
      </c>
      <c r="H10377" t="inlineStr">
        <is>
          <t>4kW 1S Federzugkl.</t>
        </is>
      </c>
      <c r="I10377">
        <v>661</v>
      </c>
      <c r="J10377">
        <f>GS35/507.4</f>
        <v>0</v>
      </c>
      <c r="M10377" t="inlineStr">
        <is>
          <t>-507Q2</t>
        </is>
      </c>
    </row>
    <row r="10378">
      <c r="A10378">
        <v>10377</v>
      </c>
      <c r="B10378">
        <f>GS35</f>
        <v>0</v>
      </c>
      <c r="C10378" t="inlineStr">
        <is>
          <t>+LS12</t>
        </is>
      </c>
      <c r="D10378" t="inlineStr">
        <is>
          <t>-507Q3</t>
        </is>
      </c>
      <c r="E10378" t="inlineStr">
        <is>
          <t>DILM-9-10</t>
        </is>
      </c>
      <c r="F10378" t="inlineStr">
        <is>
          <t>#KALK!</t>
        </is>
      </c>
      <c r="G10378" t="inlineStr">
        <is>
          <t>LASTSCHUETZ</t>
        </is>
      </c>
      <c r="H10378" t="inlineStr">
        <is>
          <t>4kW 1S Federzugkl.</t>
        </is>
      </c>
      <c r="I10378">
        <v>661</v>
      </c>
      <c r="J10378">
        <f>GS35/507.4</f>
        <v>0</v>
      </c>
      <c r="M10378" t="inlineStr">
        <is>
          <t>-507Q3</t>
        </is>
      </c>
    </row>
    <row r="10379">
      <c r="A10379">
        <v>10378</v>
      </c>
      <c r="B10379">
        <f>GS92</f>
        <v>0</v>
      </c>
      <c r="C10379" t="inlineStr">
        <is>
          <t>+LS09</t>
        </is>
      </c>
      <c r="D10379" t="inlineStr">
        <is>
          <t>-507Q763.6</t>
        </is>
      </c>
      <c r="E10379" t="inlineStr">
        <is>
          <t>DILM-9-10</t>
        </is>
      </c>
      <c r="F10379" t="inlineStr">
        <is>
          <t>#KALK!</t>
        </is>
      </c>
      <c r="G10379" t="inlineStr">
        <is>
          <t>LASTSCHUETZ</t>
        </is>
      </c>
      <c r="H10379" t="inlineStr">
        <is>
          <t>4kW 1S Federzugkl.</t>
        </is>
      </c>
      <c r="I10379">
        <v>648</v>
      </c>
      <c r="J10379">
        <f>GS92/507.5</f>
        <v>0</v>
      </c>
      <c r="M10379" t="inlineStr">
        <is>
          <t>-507Q763.6</t>
        </is>
      </c>
    </row>
    <row r="10380">
      <c r="A10380">
        <v>10379</v>
      </c>
      <c r="B10380">
        <f>GS13</f>
        <v>0</v>
      </c>
      <c r="C10380" t="inlineStr">
        <is>
          <t>+LS12</t>
        </is>
      </c>
      <c r="D10380" t="inlineStr">
        <is>
          <t>-50820.4</t>
        </is>
      </c>
      <c r="E10380" t="inlineStr">
        <is>
          <t>DIL_EM-10-G</t>
        </is>
      </c>
      <c r="F10380" t="inlineStr">
        <is>
          <t>#KALK!</t>
        </is>
      </c>
      <c r="G10380" t="inlineStr">
        <is>
          <t>LASTSCHUETZ</t>
        </is>
      </c>
      <c r="H10380" t="inlineStr">
        <is>
          <t>4kW 1S</t>
        </is>
      </c>
      <c r="I10380">
        <v>764</v>
      </c>
      <c r="J10380">
        <f>GS13/508.6</f>
        <v>0</v>
      </c>
      <c r="M10380" t="inlineStr">
        <is>
          <t>-50820.4</t>
        </is>
      </c>
    </row>
    <row r="10381">
      <c r="A10381">
        <v>10380</v>
      </c>
      <c r="B10381">
        <f>GS23</f>
        <v>0</v>
      </c>
      <c r="C10381" t="inlineStr">
        <is>
          <t>+LS12</t>
        </is>
      </c>
      <c r="D10381" t="inlineStr">
        <is>
          <t>-508K20.4</t>
        </is>
      </c>
      <c r="E10381" t="inlineStr">
        <is>
          <t>DIL_EM-10-G</t>
        </is>
      </c>
      <c r="F10381" t="inlineStr">
        <is>
          <t>#KALK!</t>
        </is>
      </c>
      <c r="G10381" t="inlineStr">
        <is>
          <t>LASTSCHUETZ</t>
        </is>
      </c>
      <c r="H10381" t="inlineStr">
        <is>
          <t>4kW 1S</t>
        </is>
      </c>
      <c r="I10381">
        <v>818</v>
      </c>
      <c r="J10381">
        <f>GS23/508.6</f>
        <v>0</v>
      </c>
      <c r="M10381" t="inlineStr">
        <is>
          <t>-508K20.4</t>
        </is>
      </c>
    </row>
    <row r="10382">
      <c r="A10382">
        <v>10381</v>
      </c>
      <c r="B10382">
        <f>GS01</f>
        <v>0</v>
      </c>
      <c r="C10382" t="inlineStr">
        <is>
          <t>+LS11</t>
        </is>
      </c>
      <c r="D10382" t="inlineStr">
        <is>
          <t>-508K26.7</t>
        </is>
      </c>
      <c r="E10382" t="inlineStr">
        <is>
          <t>DIL_EM-10-G</t>
        </is>
      </c>
      <c r="F10382" t="inlineStr">
        <is>
          <t>#KALK!</t>
        </is>
      </c>
      <c r="G10382" t="inlineStr">
        <is>
          <t>LASTSCHUETZ</t>
        </is>
      </c>
      <c r="H10382" t="inlineStr">
        <is>
          <t>4kW 1S</t>
        </is>
      </c>
      <c r="I10382">
        <v>677</v>
      </c>
      <c r="J10382">
        <f>GS01/508.6</f>
        <v>0</v>
      </c>
      <c r="M10382" t="inlineStr">
        <is>
          <t>-508K26.7</t>
        </is>
      </c>
    </row>
    <row r="10383">
      <c r="A10383">
        <v>10382</v>
      </c>
      <c r="B10383">
        <f>GS01</f>
        <v>0</v>
      </c>
      <c r="C10383" t="inlineStr">
        <is>
          <t>+LS11</t>
        </is>
      </c>
      <c r="D10383" t="inlineStr">
        <is>
          <t>-508K27.0</t>
        </is>
      </c>
      <c r="E10383" t="inlineStr">
        <is>
          <t>DIL_EM-10-G</t>
        </is>
      </c>
      <c r="F10383" t="inlineStr">
        <is>
          <t>#KALK!</t>
        </is>
      </c>
      <c r="G10383" t="inlineStr">
        <is>
          <t>LASTSCHUETZ</t>
        </is>
      </c>
      <c r="H10383" t="inlineStr">
        <is>
          <t>4kW 1S</t>
        </is>
      </c>
      <c r="I10383">
        <v>677</v>
      </c>
      <c r="J10383">
        <f>GS01/508.6</f>
        <v>0</v>
      </c>
      <c r="M10383" t="inlineStr">
        <is>
          <t>-508K27.0</t>
        </is>
      </c>
    </row>
    <row r="10384">
      <c r="A10384">
        <v>10383</v>
      </c>
      <c r="B10384">
        <f>GS24</f>
        <v>0</v>
      </c>
      <c r="C10384" t="inlineStr">
        <is>
          <t>+LS10</t>
        </is>
      </c>
      <c r="D10384" t="inlineStr">
        <is>
          <t>-508K3508.7</t>
        </is>
      </c>
      <c r="E10384" t="inlineStr">
        <is>
          <t>DIL_EM-10-G</t>
        </is>
      </c>
      <c r="F10384" t="inlineStr">
        <is>
          <t>#KALK!</t>
        </is>
      </c>
      <c r="G10384" t="inlineStr">
        <is>
          <t>LASTSCHUETZ</t>
        </is>
      </c>
      <c r="H10384" t="inlineStr">
        <is>
          <t>4kW 1S</t>
        </is>
      </c>
      <c r="I10384">
        <v>588</v>
      </c>
      <c r="J10384">
        <f>GS24/508.6</f>
        <v>0</v>
      </c>
      <c r="M10384" t="inlineStr">
        <is>
          <t>-508K3508.7</t>
        </is>
      </c>
    </row>
    <row r="10385">
      <c r="A10385">
        <v>10384</v>
      </c>
      <c r="B10385">
        <f>GS33</f>
        <v>0</v>
      </c>
      <c r="C10385" t="inlineStr">
        <is>
          <t>+QVW2701</t>
        </is>
      </c>
      <c r="D10385" t="inlineStr">
        <is>
          <t>-508K3808.2</t>
        </is>
      </c>
      <c r="E10385" t="inlineStr">
        <is>
          <t>DIL_ER-22-G</t>
        </is>
      </c>
      <c r="F10385" t="inlineStr">
        <is>
          <t>#KALK!</t>
        </is>
      </c>
      <c r="G10385" t="inlineStr">
        <is>
          <t>HILFSSCHUETZ</t>
        </is>
      </c>
      <c r="H10385" t="inlineStr">
        <is>
          <t>2S 2OE</t>
        </is>
      </c>
      <c r="I10385">
        <v>962</v>
      </c>
      <c r="J10385">
        <f>GS33/508.2</f>
        <v>0</v>
      </c>
      <c r="M10385" t="inlineStr">
        <is>
          <t>-508K3808.2</t>
        </is>
      </c>
    </row>
    <row r="10386">
      <c r="A10386">
        <v>10385</v>
      </c>
      <c r="B10386">
        <f>GS33</f>
        <v>0</v>
      </c>
      <c r="C10386" t="inlineStr">
        <is>
          <t>+QVW2701</t>
        </is>
      </c>
      <c r="D10386" t="inlineStr">
        <is>
          <t>-508K3808.3</t>
        </is>
      </c>
      <c r="E10386" t="inlineStr">
        <is>
          <t>DIL_EM-10-G</t>
        </is>
      </c>
      <c r="F10386" t="inlineStr">
        <is>
          <t>#KALK!</t>
        </is>
      </c>
      <c r="G10386" t="inlineStr">
        <is>
          <t>LASTSCHUETZ</t>
        </is>
      </c>
      <c r="H10386" t="inlineStr">
        <is>
          <t>4kW 1S</t>
        </is>
      </c>
      <c r="I10386">
        <v>962</v>
      </c>
      <c r="J10386">
        <f>GS33/508.5</f>
        <v>0</v>
      </c>
      <c r="M10386" t="inlineStr">
        <is>
          <t>-508K3808.3</t>
        </is>
      </c>
    </row>
    <row r="10387">
      <c r="A10387">
        <v>10386</v>
      </c>
      <c r="B10387">
        <f>GS33</f>
        <v>0</v>
      </c>
      <c r="C10387" t="inlineStr">
        <is>
          <t>+QVW2701</t>
        </is>
      </c>
      <c r="D10387" t="inlineStr">
        <is>
          <t>-508K3811.1</t>
        </is>
      </c>
      <c r="E10387" t="inlineStr">
        <is>
          <t>DIL_ER-22-G</t>
        </is>
      </c>
      <c r="F10387" t="inlineStr">
        <is>
          <t>#KALK!</t>
        </is>
      </c>
      <c r="G10387" t="inlineStr">
        <is>
          <t>HILFSSCHUETZ</t>
        </is>
      </c>
      <c r="H10387" t="inlineStr">
        <is>
          <t>2S 2OE</t>
        </is>
      </c>
      <c r="I10387">
        <v>962</v>
      </c>
      <c r="J10387">
        <f>GS33/508.3</f>
        <v>0</v>
      </c>
      <c r="M10387" t="inlineStr">
        <is>
          <t>-508K3811.1</t>
        </is>
      </c>
    </row>
    <row r="10388">
      <c r="A10388">
        <v>10387</v>
      </c>
      <c r="B10388">
        <f>GS33</f>
        <v>0</v>
      </c>
      <c r="C10388" t="inlineStr">
        <is>
          <t>+QVW2701</t>
        </is>
      </c>
      <c r="D10388" t="inlineStr">
        <is>
          <t>-508K3811.2</t>
        </is>
      </c>
      <c r="E10388" t="inlineStr">
        <is>
          <t>DIL_ER-22-G</t>
        </is>
      </c>
      <c r="F10388" t="inlineStr">
        <is>
          <t>#KALK!</t>
        </is>
      </c>
      <c r="G10388" t="inlineStr">
        <is>
          <t>HILFSSCHUETZ</t>
        </is>
      </c>
      <c r="H10388" t="inlineStr">
        <is>
          <t>2S 2OE</t>
        </is>
      </c>
      <c r="I10388">
        <v>962</v>
      </c>
      <c r="J10388">
        <f>GS33/508.4</f>
        <v>0</v>
      </c>
      <c r="M10388" t="inlineStr">
        <is>
          <t>-508K3811.2</t>
        </is>
      </c>
    </row>
    <row r="10389">
      <c r="A10389">
        <v>10388</v>
      </c>
      <c r="B10389">
        <f>GS13</f>
        <v>0</v>
      </c>
      <c r="C10389" t="inlineStr">
        <is>
          <t>+LS12</t>
        </is>
      </c>
      <c r="D10389" t="inlineStr">
        <is>
          <t>-50920.5</t>
        </is>
      </c>
      <c r="E10389" t="inlineStr">
        <is>
          <t>DIL_EM-10-G</t>
        </is>
      </c>
      <c r="F10389" t="inlineStr">
        <is>
          <t>#KALK!</t>
        </is>
      </c>
      <c r="G10389" t="inlineStr">
        <is>
          <t>LASTSCHUETZ</t>
        </is>
      </c>
      <c r="H10389" t="inlineStr">
        <is>
          <t>4kW 1S</t>
        </is>
      </c>
      <c r="I10389">
        <v>765</v>
      </c>
      <c r="J10389">
        <f>GS13/509.6</f>
        <v>0</v>
      </c>
      <c r="M10389" t="inlineStr">
        <is>
          <t>-50920.5</t>
        </is>
      </c>
    </row>
    <row r="10390">
      <c r="A10390">
        <v>10389</v>
      </c>
      <c r="B10390">
        <f>GS13</f>
        <v>0</v>
      </c>
      <c r="C10390" t="inlineStr">
        <is>
          <t>+LS12</t>
        </is>
      </c>
      <c r="D10390" t="inlineStr">
        <is>
          <t>-50920.6</t>
        </is>
      </c>
      <c r="E10390" t="inlineStr">
        <is>
          <t>DIL_EM-10-G</t>
        </is>
      </c>
      <c r="F10390" t="inlineStr">
        <is>
          <t>#KALK!</t>
        </is>
      </c>
      <c r="G10390" t="inlineStr">
        <is>
          <t>LASTSCHUETZ</t>
        </is>
      </c>
      <c r="H10390" t="inlineStr">
        <is>
          <t>4kW 1S</t>
        </is>
      </c>
      <c r="I10390">
        <v>765</v>
      </c>
      <c r="J10390">
        <f>GS13/509.6</f>
        <v>0</v>
      </c>
      <c r="M10390" t="inlineStr">
        <is>
          <t>-50920.6</t>
        </is>
      </c>
    </row>
    <row r="10391">
      <c r="A10391">
        <v>10390</v>
      </c>
      <c r="B10391">
        <f>GS14</f>
        <v>0</v>
      </c>
      <c r="C10391" t="inlineStr">
        <is>
          <t>+LS9</t>
        </is>
      </c>
      <c r="D10391" t="inlineStr">
        <is>
          <t>-509K1</t>
        </is>
      </c>
      <c r="E10391" t="inlineStr">
        <is>
          <t>DIL_0AM</t>
        </is>
      </c>
      <c r="F10391" t="inlineStr">
        <is>
          <t>22_DIL-M</t>
        </is>
      </c>
      <c r="G10391" t="inlineStr">
        <is>
          <t>LASTSCHUETZ</t>
        </is>
      </c>
      <c r="H10391" t="inlineStr">
        <is>
          <t>11 kW</t>
        </is>
      </c>
      <c r="I10391">
        <v>641</v>
      </c>
      <c r="J10391">
        <f>GS14/509.2</f>
        <v>0</v>
      </c>
      <c r="K10391" t="inlineStr">
        <is>
          <t>DIL0AM</t>
        </is>
      </c>
      <c r="M10391" t="inlineStr">
        <is>
          <t>-509K1</t>
        </is>
      </c>
    </row>
    <row r="10392">
      <c r="A10392">
        <v>10391</v>
      </c>
      <c r="B10392">
        <f>GS14</f>
        <v>0</v>
      </c>
      <c r="C10392" t="inlineStr">
        <is>
          <t>+LS9</t>
        </is>
      </c>
      <c r="D10392" t="inlineStr">
        <is>
          <t>-509K1</t>
        </is>
      </c>
      <c r="E10392" t="inlineStr">
        <is>
          <t>22_DIL-M</t>
        </is>
      </c>
      <c r="F10392" t="inlineStr">
        <is>
          <t>22_DIL-M</t>
        </is>
      </c>
      <c r="G10392" t="inlineStr">
        <is>
          <t>HILFSKONTAKTBLOCK</t>
        </is>
      </c>
      <c r="H10392" t="inlineStr">
        <is>
          <t>2S 2OE Lastschuetz DIL M</t>
        </is>
      </c>
      <c r="I10392">
        <v>641</v>
      </c>
      <c r="J10392">
        <f>GS14/509.2</f>
        <v>0</v>
      </c>
      <c r="K10392" t="inlineStr">
        <is>
          <t>DIL0AM</t>
        </is>
      </c>
      <c r="M10392" t="inlineStr">
        <is>
          <t>-509K1</t>
        </is>
      </c>
    </row>
    <row r="10393">
      <c r="A10393">
        <v>10392</v>
      </c>
      <c r="B10393">
        <f>GS23</f>
        <v>0</v>
      </c>
      <c r="C10393" t="inlineStr">
        <is>
          <t>+LS12</t>
        </is>
      </c>
      <c r="D10393" t="inlineStr">
        <is>
          <t>-509K20.5</t>
        </is>
      </c>
      <c r="E10393" t="inlineStr">
        <is>
          <t>DIL_EM-10-G</t>
        </is>
      </c>
      <c r="F10393" t="inlineStr">
        <is>
          <t>#KALK!</t>
        </is>
      </c>
      <c r="G10393" t="inlineStr">
        <is>
          <t>LASTSCHUETZ</t>
        </is>
      </c>
      <c r="H10393" t="inlineStr">
        <is>
          <t>4kW 1S</t>
        </is>
      </c>
      <c r="I10393">
        <v>819</v>
      </c>
      <c r="J10393">
        <f>GS23/509.6</f>
        <v>0</v>
      </c>
      <c r="M10393" t="inlineStr">
        <is>
          <t>-509K20.5</t>
        </is>
      </c>
    </row>
    <row r="10394">
      <c r="A10394">
        <v>10393</v>
      </c>
      <c r="B10394">
        <f>GS23</f>
        <v>0</v>
      </c>
      <c r="C10394" t="inlineStr">
        <is>
          <t>+LS12</t>
        </is>
      </c>
      <c r="D10394" t="inlineStr">
        <is>
          <t>-509K20.6</t>
        </is>
      </c>
      <c r="E10394" t="inlineStr">
        <is>
          <t>DIL_EM-10-G</t>
        </is>
      </c>
      <c r="F10394" t="inlineStr">
        <is>
          <t>#KALK!</t>
        </is>
      </c>
      <c r="G10394" t="inlineStr">
        <is>
          <t>LASTSCHUETZ</t>
        </is>
      </c>
      <c r="H10394" t="inlineStr">
        <is>
          <t>4kW 1S</t>
        </is>
      </c>
      <c r="I10394">
        <v>819</v>
      </c>
      <c r="J10394">
        <f>GS23/509.6</f>
        <v>0</v>
      </c>
      <c r="M10394" t="inlineStr">
        <is>
          <t>-509K20.6</t>
        </is>
      </c>
    </row>
    <row r="10395">
      <c r="A10395">
        <v>10394</v>
      </c>
      <c r="B10395">
        <f>GS01</f>
        <v>0</v>
      </c>
      <c r="C10395" t="inlineStr">
        <is>
          <t>+LS11</t>
        </is>
      </c>
      <c r="D10395" t="inlineStr">
        <is>
          <t>-509K27.6</t>
        </is>
      </c>
      <c r="E10395" t="inlineStr">
        <is>
          <t>DIL_EM-10-G</t>
        </is>
      </c>
      <c r="F10395" t="inlineStr">
        <is>
          <t>#KALK!</t>
        </is>
      </c>
      <c r="G10395" t="inlineStr">
        <is>
          <t>LASTSCHUETZ</t>
        </is>
      </c>
      <c r="H10395" t="inlineStr">
        <is>
          <t>4kW 1S</t>
        </is>
      </c>
      <c r="I10395">
        <v>678</v>
      </c>
      <c r="J10395">
        <f>GS01/509.7</f>
        <v>0</v>
      </c>
      <c r="M10395" t="inlineStr">
        <is>
          <t>-509K27.6</t>
        </is>
      </c>
    </row>
    <row r="10396">
      <c r="A10396">
        <v>10395</v>
      </c>
      <c r="B10396">
        <f>GS24</f>
        <v>0</v>
      </c>
      <c r="C10396" t="inlineStr">
        <is>
          <t>+LS10</t>
        </is>
      </c>
      <c r="D10396" t="inlineStr">
        <is>
          <t>-509K3509.3</t>
        </is>
      </c>
      <c r="E10396" t="inlineStr">
        <is>
          <t>DIL_EM-01-G</t>
        </is>
      </c>
      <c r="F10396" t="inlineStr">
        <is>
          <t>#KALK!</t>
        </is>
      </c>
      <c r="G10396" t="inlineStr">
        <is>
          <t>LASTSCHUETZ</t>
        </is>
      </c>
      <c r="H10396" t="inlineStr">
        <is>
          <t>4kW 1OE</t>
        </is>
      </c>
      <c r="I10396">
        <v>587</v>
      </c>
      <c r="J10396">
        <f>GS24/509.7</f>
        <v>0</v>
      </c>
      <c r="M10396" t="inlineStr">
        <is>
          <t>-509K3509.3</t>
        </is>
      </c>
    </row>
    <row r="10397">
      <c r="A10397">
        <v>10396</v>
      </c>
      <c r="B10397">
        <f>GS16</f>
        <v>0</v>
      </c>
      <c r="C10397" t="inlineStr">
        <is>
          <t>+ES4</t>
        </is>
      </c>
      <c r="D10397" t="inlineStr">
        <is>
          <t>-509K3550.0</t>
        </is>
      </c>
      <c r="E10397" t="inlineStr">
        <is>
          <t>DIL_ER-40-G</t>
        </is>
      </c>
      <c r="F10397" t="inlineStr">
        <is>
          <t>40_DIL-E</t>
        </is>
      </c>
      <c r="G10397" t="inlineStr">
        <is>
          <t>HILFSSCHUETZ</t>
        </is>
      </c>
      <c r="H10397" t="inlineStr">
        <is>
          <t>4S</t>
        </is>
      </c>
      <c r="I10397">
        <v>749</v>
      </c>
      <c r="J10397">
        <f>GS16/509.6</f>
        <v>0</v>
      </c>
      <c r="M10397" t="inlineStr">
        <is>
          <t>-509K3550.0</t>
        </is>
      </c>
    </row>
    <row r="10398">
      <c r="A10398">
        <v>10397</v>
      </c>
      <c r="B10398">
        <f>GS16</f>
        <v>0</v>
      </c>
      <c r="C10398" t="inlineStr">
        <is>
          <t>+ES4</t>
        </is>
      </c>
      <c r="D10398" t="inlineStr">
        <is>
          <t>-509K3550.0</t>
        </is>
      </c>
      <c r="E10398" t="inlineStr">
        <is>
          <t>40_DIL-E</t>
        </is>
      </c>
      <c r="F10398" t="inlineStr">
        <is>
          <t>40_DIL-E</t>
        </is>
      </c>
      <c r="G10398" t="inlineStr">
        <is>
          <t>HILFSKONTAKTBLOCK</t>
        </is>
      </c>
      <c r="H10398" t="inlineStr">
        <is>
          <t>4S Last+Hilfsschuetz</t>
        </is>
      </c>
      <c r="I10398">
        <v>749</v>
      </c>
      <c r="J10398">
        <f>GS16/509.6</f>
        <v>0</v>
      </c>
      <c r="M10398" t="inlineStr">
        <is>
          <t>-509K3550.0</t>
        </is>
      </c>
    </row>
    <row r="10399">
      <c r="A10399">
        <v>10398</v>
      </c>
      <c r="B10399">
        <f>GS16</f>
        <v>0</v>
      </c>
      <c r="C10399" t="inlineStr">
        <is>
          <t>+ES4</t>
        </is>
      </c>
      <c r="D10399" t="inlineStr">
        <is>
          <t>-509K3550.1</t>
        </is>
      </c>
      <c r="E10399" t="inlineStr">
        <is>
          <t>DIL_ER-40-G</t>
        </is>
      </c>
      <c r="F10399" t="inlineStr">
        <is>
          <t>40_DIL-E</t>
        </is>
      </c>
      <c r="G10399" t="inlineStr">
        <is>
          <t>HILFSSCHUETZ</t>
        </is>
      </c>
      <c r="H10399" t="inlineStr">
        <is>
          <t>4S</t>
        </is>
      </c>
      <c r="I10399">
        <v>749</v>
      </c>
      <c r="J10399">
        <f>GS16/509.7</f>
        <v>0</v>
      </c>
      <c r="M10399" t="inlineStr">
        <is>
          <t>-509K3550.1</t>
        </is>
      </c>
    </row>
    <row r="10400">
      <c r="A10400">
        <v>10399</v>
      </c>
      <c r="B10400">
        <f>GS16</f>
        <v>0</v>
      </c>
      <c r="C10400" t="inlineStr">
        <is>
          <t>+ES4</t>
        </is>
      </c>
      <c r="D10400" t="inlineStr">
        <is>
          <t>-509K3550.1</t>
        </is>
      </c>
      <c r="E10400" t="inlineStr">
        <is>
          <t>40_DIL-E</t>
        </is>
      </c>
      <c r="F10400" t="inlineStr">
        <is>
          <t>40_DIL-E</t>
        </is>
      </c>
      <c r="G10400" t="inlineStr">
        <is>
          <t>HILFSKONTAKTBLOCK</t>
        </is>
      </c>
      <c r="H10400" t="inlineStr">
        <is>
          <t>4S Last+Hilfsschuetz</t>
        </is>
      </c>
      <c r="I10400">
        <v>749</v>
      </c>
      <c r="J10400">
        <f>GS16/509.7</f>
        <v>0</v>
      </c>
      <c r="M10400" t="inlineStr">
        <is>
          <t>-509K3550.1</t>
        </is>
      </c>
    </row>
    <row r="10401">
      <c r="A10401">
        <v>10400</v>
      </c>
      <c r="B10401">
        <f>GS33</f>
        <v>0</v>
      </c>
      <c r="C10401" t="inlineStr">
        <is>
          <t>+QVW2701</t>
        </is>
      </c>
      <c r="D10401" t="inlineStr">
        <is>
          <t>-509K3808.1</t>
        </is>
      </c>
      <c r="E10401" t="inlineStr">
        <is>
          <t>DIL_EM-10-G</t>
        </is>
      </c>
      <c r="F10401" t="inlineStr">
        <is>
          <t>#KALK!</t>
        </is>
      </c>
      <c r="G10401" t="inlineStr">
        <is>
          <t>LASTSCHUETZ</t>
        </is>
      </c>
      <c r="H10401" t="inlineStr">
        <is>
          <t>4kW 1S</t>
        </is>
      </c>
      <c r="I10401">
        <v>963</v>
      </c>
      <c r="J10401">
        <f>GS33/509.7</f>
        <v>0</v>
      </c>
      <c r="M10401" t="inlineStr">
        <is>
          <t>-509K3808.1</t>
        </is>
      </c>
    </row>
    <row r="10402">
      <c r="A10402">
        <v>10401</v>
      </c>
      <c r="B10402">
        <f>GS31</f>
        <v>0</v>
      </c>
      <c r="C10402" t="inlineStr">
        <is>
          <t>+LS10</t>
        </is>
      </c>
      <c r="D10402" t="inlineStr">
        <is>
          <t>-509K69.3</t>
        </is>
      </c>
      <c r="E10402" t="inlineStr">
        <is>
          <t>DIL_EM-10-G</t>
        </is>
      </c>
      <c r="F10402" t="inlineStr">
        <is>
          <t>#KALK!</t>
        </is>
      </c>
      <c r="G10402" t="inlineStr">
        <is>
          <t>LASTSCHUETZ</t>
        </is>
      </c>
      <c r="H10402" t="inlineStr">
        <is>
          <t>4kW 1S</t>
        </is>
      </c>
      <c r="I10402">
        <v>805</v>
      </c>
      <c r="J10402">
        <f>GS31/509.7</f>
        <v>0</v>
      </c>
      <c r="M10402" t="inlineStr">
        <is>
          <t>-509K69.3</t>
        </is>
      </c>
    </row>
    <row r="10403">
      <c r="A10403">
        <v>10402</v>
      </c>
      <c r="B10403">
        <f>GS52</f>
        <v>0</v>
      </c>
      <c r="C10403" t="inlineStr">
        <is>
          <t>+LS08</t>
        </is>
      </c>
      <c r="D10403" t="inlineStr">
        <is>
          <t>-509Q178.4</t>
        </is>
      </c>
      <c r="E10403" t="inlineStr">
        <is>
          <t>DILM-9-10</t>
        </is>
      </c>
      <c r="F10403" t="inlineStr">
        <is>
          <t>#KALK!</t>
        </is>
      </c>
      <c r="G10403" t="inlineStr">
        <is>
          <t>LASTSCHUETZ</t>
        </is>
      </c>
      <c r="H10403" t="inlineStr">
        <is>
          <t>4kW 1S Federzugkl.</t>
        </is>
      </c>
      <c r="I10403">
        <v>1503</v>
      </c>
      <c r="J10403">
        <f>GS52/509.6</f>
        <v>0</v>
      </c>
      <c r="K10403" t="inlineStr">
        <is>
          <t>DIL MC9</t>
        </is>
      </c>
      <c r="M10403" t="inlineStr">
        <is>
          <t>-509Q178.4</t>
        </is>
      </c>
    </row>
    <row r="10404">
      <c r="A10404">
        <v>10403</v>
      </c>
      <c r="B10404">
        <f>GS92</f>
        <v>0</v>
      </c>
      <c r="C10404" t="inlineStr">
        <is>
          <t>+LS09</t>
        </is>
      </c>
      <c r="D10404" t="inlineStr">
        <is>
          <t>-509Q764.0</t>
        </is>
      </c>
      <c r="E10404" t="inlineStr">
        <is>
          <t>DILM-9-10</t>
        </is>
      </c>
      <c r="F10404" t="inlineStr">
        <is>
          <t>#KALK!</t>
        </is>
      </c>
      <c r="G10404" t="inlineStr">
        <is>
          <t>LASTSCHUETZ</t>
        </is>
      </c>
      <c r="H10404" t="inlineStr">
        <is>
          <t>4kW 1S Federzugkl.</t>
        </is>
      </c>
      <c r="I10404">
        <v>650</v>
      </c>
      <c r="J10404">
        <f>GS92/509.5</f>
        <v>0</v>
      </c>
      <c r="M10404" t="inlineStr">
        <is>
          <t>-509Q764.0</t>
        </is>
      </c>
    </row>
    <row r="10405">
      <c r="A10405">
        <v>10404</v>
      </c>
      <c r="B10405">
        <f>GS80</f>
        <v>0</v>
      </c>
      <c r="C10405" t="inlineStr">
        <is>
          <t>+LS05</t>
        </is>
      </c>
      <c r="D10405" t="inlineStr">
        <is>
          <t>-50Q1</t>
        </is>
      </c>
      <c r="E10405" t="inlineStr">
        <is>
          <t>DILM-9-10</t>
        </is>
      </c>
      <c r="F10405" t="inlineStr">
        <is>
          <t>#KALK!</t>
        </is>
      </c>
      <c r="G10405" t="inlineStr">
        <is>
          <t>LASTSCHUETZ</t>
        </is>
      </c>
      <c r="H10405" t="inlineStr">
        <is>
          <t>4kW 1S Federzugkl.</t>
        </is>
      </c>
      <c r="I10405">
        <v>188</v>
      </c>
      <c r="J10405">
        <f>GS80/50.2</f>
        <v>0</v>
      </c>
      <c r="M10405" t="inlineStr">
        <is>
          <t>-50Q1</t>
        </is>
      </c>
    </row>
    <row r="10406">
      <c r="A10406">
        <v>10405</v>
      </c>
      <c r="B10406">
        <f>GS80</f>
        <v>0</v>
      </c>
      <c r="C10406" t="inlineStr">
        <is>
          <t>+LS04</t>
        </is>
      </c>
      <c r="D10406" t="inlineStr">
        <is>
          <t>-50Q1</t>
        </is>
      </c>
      <c r="E10406" t="inlineStr">
        <is>
          <t>DILM-9-10</t>
        </is>
      </c>
      <c r="F10406" t="inlineStr">
        <is>
          <t>#KALK!</t>
        </is>
      </c>
      <c r="G10406" t="inlineStr">
        <is>
          <t>LASTSCHUETZ</t>
        </is>
      </c>
      <c r="H10406" t="inlineStr">
        <is>
          <t>4kW 1S Federzugkl.</t>
        </is>
      </c>
      <c r="I10406">
        <v>185</v>
      </c>
      <c r="J10406">
        <f>GS80/50.2</f>
        <v>0</v>
      </c>
      <c r="M10406" t="inlineStr">
        <is>
          <t>-50Q1</t>
        </is>
      </c>
    </row>
    <row r="10407">
      <c r="A10407">
        <v>10406</v>
      </c>
      <c r="B10407">
        <f>GS80</f>
        <v>0</v>
      </c>
      <c r="C10407" t="inlineStr">
        <is>
          <t>+LS05</t>
        </is>
      </c>
      <c r="D10407" t="inlineStr">
        <is>
          <t>-50Q2</t>
        </is>
      </c>
      <c r="E10407" t="inlineStr">
        <is>
          <t>DILM-9-10</t>
        </is>
      </c>
      <c r="F10407" t="inlineStr">
        <is>
          <t>#KALK!</t>
        </is>
      </c>
      <c r="G10407" t="inlineStr">
        <is>
          <t>LASTSCHUETZ</t>
        </is>
      </c>
      <c r="H10407" t="inlineStr">
        <is>
          <t>4kW 1S Federzugkl.</t>
        </is>
      </c>
      <c r="I10407">
        <v>188</v>
      </c>
      <c r="J10407">
        <f>GS80/50.3</f>
        <v>0</v>
      </c>
      <c r="M10407" t="inlineStr">
        <is>
          <t>-50Q2</t>
        </is>
      </c>
    </row>
    <row r="10408">
      <c r="A10408">
        <v>10407</v>
      </c>
      <c r="B10408">
        <f>GS80</f>
        <v>0</v>
      </c>
      <c r="C10408" t="inlineStr">
        <is>
          <t>+LS04</t>
        </is>
      </c>
      <c r="D10408" t="inlineStr">
        <is>
          <t>-50Q2</t>
        </is>
      </c>
      <c r="E10408" t="inlineStr">
        <is>
          <t>DILM-9-10</t>
        </is>
      </c>
      <c r="F10408" t="inlineStr">
        <is>
          <t>#KALK!</t>
        </is>
      </c>
      <c r="G10408" t="inlineStr">
        <is>
          <t>LASTSCHUETZ</t>
        </is>
      </c>
      <c r="H10408" t="inlineStr">
        <is>
          <t>4kW 1S Federzugkl.</t>
        </is>
      </c>
      <c r="I10408">
        <v>185</v>
      </c>
      <c r="J10408">
        <f>GS80/50.3</f>
        <v>0</v>
      </c>
      <c r="M10408" t="inlineStr">
        <is>
          <t>-50Q2</t>
        </is>
      </c>
    </row>
    <row r="10409">
      <c r="A10409">
        <v>10408</v>
      </c>
      <c r="B10409">
        <f>GS13</f>
        <v>0</v>
      </c>
      <c r="C10409" t="inlineStr">
        <is>
          <t>+LS12</t>
        </is>
      </c>
      <c r="D10409" t="inlineStr">
        <is>
          <t>-51020.7</t>
        </is>
      </c>
      <c r="E10409" t="inlineStr">
        <is>
          <t>DIL_EM-10-G</t>
        </is>
      </c>
      <c r="F10409" t="inlineStr">
        <is>
          <t>#KALK!</t>
        </is>
      </c>
      <c r="G10409" t="inlineStr">
        <is>
          <t>LASTSCHUETZ</t>
        </is>
      </c>
      <c r="H10409" t="inlineStr">
        <is>
          <t>4kW 1S</t>
        </is>
      </c>
      <c r="I10409">
        <v>766</v>
      </c>
      <c r="J10409">
        <f>GS13/510.6</f>
        <v>0</v>
      </c>
      <c r="M10409" t="inlineStr">
        <is>
          <t>-51020.7</t>
        </is>
      </c>
    </row>
    <row r="10410">
      <c r="A10410">
        <v>10409</v>
      </c>
      <c r="B10410">
        <f>GS13</f>
        <v>0</v>
      </c>
      <c r="C10410" t="inlineStr">
        <is>
          <t>+LS12</t>
        </is>
      </c>
      <c r="D10410" t="inlineStr">
        <is>
          <t>-51021.0</t>
        </is>
      </c>
      <c r="E10410" t="inlineStr">
        <is>
          <t>DIL_EM-10-G</t>
        </is>
      </c>
      <c r="F10410" t="inlineStr">
        <is>
          <t>#KALK!</t>
        </is>
      </c>
      <c r="G10410" t="inlineStr">
        <is>
          <t>LASTSCHUETZ</t>
        </is>
      </c>
      <c r="H10410" t="inlineStr">
        <is>
          <t>4kW 1S</t>
        </is>
      </c>
      <c r="I10410">
        <v>766</v>
      </c>
      <c r="J10410">
        <f>GS13/510.6</f>
        <v>0</v>
      </c>
      <c r="M10410" t="inlineStr">
        <is>
          <t>-51021.0</t>
        </is>
      </c>
    </row>
    <row r="10411">
      <c r="A10411">
        <v>10410</v>
      </c>
      <c r="B10411">
        <f>GS35</f>
        <v>0</v>
      </c>
      <c r="C10411" t="inlineStr">
        <is>
          <t>+LS12</t>
        </is>
      </c>
      <c r="D10411" t="inlineStr">
        <is>
          <t>-510K1</t>
        </is>
      </c>
      <c r="E10411" t="inlineStr">
        <is>
          <t>DILA-40</t>
        </is>
      </c>
      <c r="F10411" t="inlineStr">
        <is>
          <t>#KALK!</t>
        </is>
      </c>
      <c r="G10411" t="inlineStr">
        <is>
          <t>HILFSSCHUETZ</t>
        </is>
      </c>
      <c r="H10411" t="inlineStr">
        <is>
          <t>4S Federzugkl.</t>
        </is>
      </c>
      <c r="I10411">
        <v>664</v>
      </c>
      <c r="J10411">
        <f>GS35/510.6</f>
        <v>0</v>
      </c>
      <c r="M10411" t="inlineStr">
        <is>
          <t>-510K1</t>
        </is>
      </c>
    </row>
    <row r="10412">
      <c r="A10412">
        <v>10411</v>
      </c>
      <c r="B10412">
        <f>GS23</f>
        <v>0</v>
      </c>
      <c r="C10412" t="inlineStr">
        <is>
          <t>+LS12</t>
        </is>
      </c>
      <c r="D10412" t="inlineStr">
        <is>
          <t>-510K20.7</t>
        </is>
      </c>
      <c r="E10412" t="inlineStr">
        <is>
          <t>DIL_EM-10-G</t>
        </is>
      </c>
      <c r="F10412" t="inlineStr">
        <is>
          <t>#KALK!</t>
        </is>
      </c>
      <c r="G10412" t="inlineStr">
        <is>
          <t>LASTSCHUETZ</t>
        </is>
      </c>
      <c r="H10412" t="inlineStr">
        <is>
          <t>4kW 1S</t>
        </is>
      </c>
      <c r="I10412">
        <v>820</v>
      </c>
      <c r="J10412">
        <f>GS23/510.6</f>
        <v>0</v>
      </c>
      <c r="M10412" t="inlineStr">
        <is>
          <t>-510K20.7</t>
        </is>
      </c>
    </row>
    <row r="10413">
      <c r="A10413">
        <v>10412</v>
      </c>
      <c r="B10413">
        <f>GS23</f>
        <v>0</v>
      </c>
      <c r="C10413" t="inlineStr">
        <is>
          <t>+LS12</t>
        </is>
      </c>
      <c r="D10413" t="inlineStr">
        <is>
          <t>-510K21.0</t>
        </is>
      </c>
      <c r="E10413" t="inlineStr">
        <is>
          <t>DIL_EM-10-G</t>
        </is>
      </c>
      <c r="F10413" t="inlineStr">
        <is>
          <t>#KALK!</t>
        </is>
      </c>
      <c r="G10413" t="inlineStr">
        <is>
          <t>LASTSCHUETZ</t>
        </is>
      </c>
      <c r="H10413" t="inlineStr">
        <is>
          <t>4kW 1S</t>
        </is>
      </c>
      <c r="I10413">
        <v>820</v>
      </c>
      <c r="J10413">
        <f>GS23/510.6</f>
        <v>0</v>
      </c>
      <c r="M10413" t="inlineStr">
        <is>
          <t>-510K21.0</t>
        </is>
      </c>
    </row>
    <row r="10414">
      <c r="A10414">
        <v>10413</v>
      </c>
      <c r="B10414">
        <f>GS01</f>
        <v>0</v>
      </c>
      <c r="C10414" t="inlineStr">
        <is>
          <t>+LS11</t>
        </is>
      </c>
      <c r="D10414" t="inlineStr">
        <is>
          <t>-510K28.2</t>
        </is>
      </c>
      <c r="E10414" t="inlineStr">
        <is>
          <t>DIL_EM-10-G</t>
        </is>
      </c>
      <c r="F10414" t="inlineStr">
        <is>
          <t>#KALK!</t>
        </is>
      </c>
      <c r="G10414" t="inlineStr">
        <is>
          <t>LASTSCHUETZ</t>
        </is>
      </c>
      <c r="H10414" t="inlineStr">
        <is>
          <t>4kW 1S</t>
        </is>
      </c>
      <c r="I10414">
        <v>679</v>
      </c>
      <c r="J10414">
        <f>GS01/510.7</f>
        <v>0</v>
      </c>
      <c r="M10414" t="inlineStr">
        <is>
          <t>-510K28.2</t>
        </is>
      </c>
    </row>
    <row r="10415">
      <c r="A10415">
        <v>10414</v>
      </c>
      <c r="B10415">
        <f>GS24</f>
        <v>0</v>
      </c>
      <c r="C10415" t="inlineStr">
        <is>
          <t>+LS10</t>
        </is>
      </c>
      <c r="D10415" t="inlineStr">
        <is>
          <t>-510K3509.4</t>
        </is>
      </c>
      <c r="E10415" t="inlineStr">
        <is>
          <t>DIL_EM-10-G</t>
        </is>
      </c>
      <c r="F10415" t="inlineStr">
        <is>
          <t>#KALK!</t>
        </is>
      </c>
      <c r="G10415" t="inlineStr">
        <is>
          <t>LASTSCHUETZ</t>
        </is>
      </c>
      <c r="H10415" t="inlineStr">
        <is>
          <t>4kW 1S</t>
        </is>
      </c>
      <c r="I10415">
        <v>586</v>
      </c>
      <c r="J10415">
        <f>GS24/510.6</f>
        <v>0</v>
      </c>
      <c r="M10415" t="inlineStr">
        <is>
          <t>-510K3509.4</t>
        </is>
      </c>
    </row>
    <row r="10416">
      <c r="A10416">
        <v>10415</v>
      </c>
      <c r="B10416">
        <f>GS24</f>
        <v>0</v>
      </c>
      <c r="C10416" t="inlineStr">
        <is>
          <t>+LS10</t>
        </is>
      </c>
      <c r="D10416" t="inlineStr">
        <is>
          <t>-510K3509.5</t>
        </is>
      </c>
      <c r="E10416" t="inlineStr">
        <is>
          <t>DIL_EM-10-G</t>
        </is>
      </c>
      <c r="F10416" t="inlineStr">
        <is>
          <t>#KALK!</t>
        </is>
      </c>
      <c r="G10416" t="inlineStr">
        <is>
          <t>LASTSCHUETZ</t>
        </is>
      </c>
      <c r="H10416" t="inlineStr">
        <is>
          <t>4kW 1S</t>
        </is>
      </c>
      <c r="I10416">
        <v>586</v>
      </c>
      <c r="J10416">
        <f>GS24/510.7</f>
        <v>0</v>
      </c>
      <c r="M10416" t="inlineStr">
        <is>
          <t>-510K3509.5</t>
        </is>
      </c>
    </row>
    <row r="10417">
      <c r="A10417">
        <v>10416</v>
      </c>
      <c r="B10417">
        <f>GS16</f>
        <v>0</v>
      </c>
      <c r="C10417" t="inlineStr">
        <is>
          <t>+ES4</t>
        </is>
      </c>
      <c r="D10417" t="inlineStr">
        <is>
          <t>-510K3550.3</t>
        </is>
      </c>
      <c r="E10417" t="inlineStr">
        <is>
          <t>DIL_ER-22-G</t>
        </is>
      </c>
      <c r="F10417" t="inlineStr">
        <is>
          <t>31_DIL-E</t>
        </is>
      </c>
      <c r="G10417" t="inlineStr">
        <is>
          <t>HILFSSCHUETZ</t>
        </is>
      </c>
      <c r="H10417" t="inlineStr">
        <is>
          <t>2S 2OE</t>
        </is>
      </c>
      <c r="I10417">
        <v>750</v>
      </c>
      <c r="J10417">
        <f>GS16/510.6</f>
        <v>0</v>
      </c>
      <c r="M10417" t="inlineStr">
        <is>
          <t>-510K3550.3</t>
        </is>
      </c>
    </row>
    <row r="10418">
      <c r="A10418">
        <v>10417</v>
      </c>
      <c r="B10418">
        <f>GS16</f>
        <v>0</v>
      </c>
      <c r="C10418" t="inlineStr">
        <is>
          <t>+ES4</t>
        </is>
      </c>
      <c r="D10418" t="inlineStr">
        <is>
          <t>-510K3550.3</t>
        </is>
      </c>
      <c r="E10418" t="inlineStr">
        <is>
          <t>31_DIL-E</t>
        </is>
      </c>
      <c r="F10418" t="inlineStr">
        <is>
          <t>31_DIL-E</t>
        </is>
      </c>
      <c r="G10418" t="inlineStr">
        <is>
          <t>HILFSKONTAKTBLOCK</t>
        </is>
      </c>
      <c r="H10418" t="inlineStr">
        <is>
          <t>3S 1OE Last+Hilsschuetz</t>
        </is>
      </c>
      <c r="I10418">
        <v>750</v>
      </c>
      <c r="J10418">
        <f>GS16/510.6</f>
        <v>0</v>
      </c>
      <c r="M10418" t="inlineStr">
        <is>
          <t>-510K3550.3</t>
        </is>
      </c>
    </row>
    <row r="10419">
      <c r="A10419">
        <v>10418</v>
      </c>
      <c r="B10419">
        <f>GS35</f>
        <v>0</v>
      </c>
      <c r="C10419" t="inlineStr">
        <is>
          <t>+LS12</t>
        </is>
      </c>
      <c r="D10419" t="inlineStr">
        <is>
          <t>-510K469.4</t>
        </is>
      </c>
      <c r="E10419" t="inlineStr">
        <is>
          <t>DILA-40</t>
        </is>
      </c>
      <c r="F10419" t="inlineStr">
        <is>
          <t>#KALK!</t>
        </is>
      </c>
      <c r="G10419" t="inlineStr">
        <is>
          <t>HILFSSCHUETZ</t>
        </is>
      </c>
      <c r="H10419" t="inlineStr">
        <is>
          <t>4S Federzugkl.</t>
        </is>
      </c>
      <c r="I10419">
        <v>664</v>
      </c>
      <c r="J10419">
        <f>GS35/510.7</f>
        <v>0</v>
      </c>
      <c r="M10419" t="inlineStr">
        <is>
          <t>-510K469.4</t>
        </is>
      </c>
    </row>
    <row r="10420">
      <c r="A10420">
        <v>10419</v>
      </c>
      <c r="B10420">
        <f>GS90</f>
        <v>0</v>
      </c>
      <c r="C10420" t="inlineStr">
        <is>
          <t>+LS10</t>
        </is>
      </c>
      <c r="D10420" t="inlineStr">
        <is>
          <t>-510K475.4</t>
        </is>
      </c>
      <c r="E10420" t="inlineStr">
        <is>
          <t>DILA-40</t>
        </is>
      </c>
      <c r="F10420" t="inlineStr">
        <is>
          <t>#KALK!</t>
        </is>
      </c>
      <c r="G10420" t="inlineStr">
        <is>
          <t>HILFSSCHUETZ</t>
        </is>
      </c>
      <c r="H10420" t="inlineStr">
        <is>
          <t>4S Federzugkl.</t>
        </is>
      </c>
      <c r="I10420">
        <v>748</v>
      </c>
      <c r="J10420">
        <f>GS90/510.7</f>
        <v>0</v>
      </c>
      <c r="M10420" t="inlineStr">
        <is>
          <t>-510K475.4</t>
        </is>
      </c>
    </row>
    <row r="10421">
      <c r="A10421">
        <v>10420</v>
      </c>
      <c r="B10421">
        <f>GS93</f>
        <v>0</v>
      </c>
      <c r="C10421" t="inlineStr">
        <is>
          <t>+LS09</t>
        </is>
      </c>
      <c r="D10421" t="inlineStr">
        <is>
          <t>-510K487.0</t>
        </is>
      </c>
      <c r="E10421" t="inlineStr">
        <is>
          <t>DILA-40</t>
        </is>
      </c>
      <c r="F10421" t="inlineStr">
        <is>
          <t>#KALK!</t>
        </is>
      </c>
      <c r="G10421" t="inlineStr">
        <is>
          <t>HILFSSCHUETZ</t>
        </is>
      </c>
      <c r="H10421" t="inlineStr">
        <is>
          <t>4S Federzugkl.</t>
        </is>
      </c>
      <c r="I10421">
        <v>1064</v>
      </c>
      <c r="J10421">
        <f>GS93/510.7</f>
        <v>0</v>
      </c>
      <c r="M10421" t="inlineStr">
        <is>
          <t>-510K487.0</t>
        </is>
      </c>
    </row>
    <row r="10422">
      <c r="A10422">
        <v>10421</v>
      </c>
      <c r="B10422">
        <f>GS31</f>
        <v>0</v>
      </c>
      <c r="C10422" t="inlineStr">
        <is>
          <t>+LS10</t>
        </is>
      </c>
      <c r="D10422" t="inlineStr">
        <is>
          <t>-510K69.7</t>
        </is>
      </c>
      <c r="E10422" t="inlineStr">
        <is>
          <t>DIL_EM-10-G</t>
        </is>
      </c>
      <c r="F10422" t="inlineStr">
        <is>
          <t>#KALK!</t>
        </is>
      </c>
      <c r="G10422" t="inlineStr">
        <is>
          <t>LASTSCHUETZ</t>
        </is>
      </c>
      <c r="H10422" t="inlineStr">
        <is>
          <t>4kW 1S</t>
        </is>
      </c>
      <c r="I10422">
        <v>806</v>
      </c>
      <c r="J10422">
        <f>GS31/510.7</f>
        <v>0</v>
      </c>
      <c r="M10422" t="inlineStr">
        <is>
          <t>-510K69.7</t>
        </is>
      </c>
    </row>
    <row r="10423">
      <c r="A10423">
        <v>10422</v>
      </c>
      <c r="B10423">
        <f>GS35</f>
        <v>0</v>
      </c>
      <c r="C10423" t="inlineStr">
        <is>
          <t>+LS12</t>
        </is>
      </c>
      <c r="D10423" t="inlineStr">
        <is>
          <t>-510Q1</t>
        </is>
      </c>
      <c r="E10423" t="inlineStr">
        <is>
          <t>DILA-XHI22</t>
        </is>
      </c>
      <c r="F10423" t="inlineStr">
        <is>
          <t>DILA-XHI22</t>
        </is>
      </c>
      <c r="G10423" t="inlineStr">
        <is>
          <t>HILFSKONTAKTBLOCK</t>
        </is>
      </c>
      <c r="H10423" t="inlineStr">
        <is>
          <t>2S 2OE Last+Hilfssch. Cage</t>
        </is>
      </c>
      <c r="I10423">
        <v>664</v>
      </c>
      <c r="J10423">
        <f>GS35/510.4</f>
        <v>0</v>
      </c>
      <c r="K10423" t="inlineStr">
        <is>
          <t>DIL MC25</t>
        </is>
      </c>
      <c r="M10423" t="inlineStr">
        <is>
          <t>-510Q1</t>
        </is>
      </c>
    </row>
    <row r="10424">
      <c r="A10424">
        <v>10423</v>
      </c>
      <c r="B10424">
        <f>GS35</f>
        <v>0</v>
      </c>
      <c r="C10424" t="inlineStr">
        <is>
          <t>+LS12</t>
        </is>
      </c>
      <c r="D10424" t="inlineStr">
        <is>
          <t>-510Q1</t>
        </is>
      </c>
      <c r="E10424" t="inlineStr">
        <is>
          <t>DILM-25-10</t>
        </is>
      </c>
      <c r="F10424" t="inlineStr">
        <is>
          <t>DILA-XHI22</t>
        </is>
      </c>
      <c r="G10424" t="inlineStr">
        <is>
          <t>LASTSCHUETZ</t>
        </is>
      </c>
      <c r="H10424" t="inlineStr">
        <is>
          <t>11kW 1S Federzugkl.</t>
        </is>
      </c>
      <c r="I10424">
        <v>664</v>
      </c>
      <c r="J10424">
        <f>GS35/510.4</f>
        <v>0</v>
      </c>
      <c r="K10424" t="inlineStr">
        <is>
          <t>DIL MC25</t>
        </is>
      </c>
      <c r="M10424" t="inlineStr">
        <is>
          <t>-510Q1</t>
        </is>
      </c>
    </row>
    <row r="10425">
      <c r="A10425">
        <v>10424</v>
      </c>
      <c r="B10425">
        <f>GS55</f>
        <v>0</v>
      </c>
      <c r="C10425" t="inlineStr">
        <is>
          <t>+LS07</t>
        </is>
      </c>
      <c r="D10425" t="inlineStr">
        <is>
          <t>-510Q1</t>
        </is>
      </c>
      <c r="E10425" t="inlineStr">
        <is>
          <t>DILA-XHI22</t>
        </is>
      </c>
      <c r="F10425" t="inlineStr">
        <is>
          <t>DILA-XHI22</t>
        </is>
      </c>
      <c r="G10425" t="inlineStr">
        <is>
          <t>HILFSKONTAKTBLOCK</t>
        </is>
      </c>
      <c r="H10425" t="inlineStr">
        <is>
          <t>2S 2OE Last+Hilfssch. Cage</t>
        </is>
      </c>
      <c r="I10425">
        <v>772</v>
      </c>
      <c r="J10425">
        <f>GS55/510.6</f>
        <v>0</v>
      </c>
      <c r="K10425" t="inlineStr">
        <is>
          <t>DIL MC25</t>
        </is>
      </c>
      <c r="M10425" t="inlineStr">
        <is>
          <t>-510Q1</t>
        </is>
      </c>
    </row>
    <row r="10426">
      <c r="A10426">
        <v>10425</v>
      </c>
      <c r="B10426">
        <f>GS55</f>
        <v>0</v>
      </c>
      <c r="C10426" t="inlineStr">
        <is>
          <t>+LS07</t>
        </is>
      </c>
      <c r="D10426" t="inlineStr">
        <is>
          <t>-510Q1</t>
        </is>
      </c>
      <c r="E10426" t="inlineStr">
        <is>
          <t>DILMC25-10(RDC24)</t>
        </is>
      </c>
      <c r="F10426" t="inlineStr">
        <is>
          <t>DILA-XHI22</t>
        </is>
      </c>
      <c r="G10426" t="inlineStr">
        <is>
          <t>LASTSCHUETZ</t>
        </is>
      </c>
      <c r="H10426" t="inlineStr">
        <is>
          <t>11kW 1S Federzugkl.</t>
        </is>
      </c>
      <c r="I10426">
        <v>772</v>
      </c>
      <c r="J10426">
        <f>GS55/510.6</f>
        <v>0</v>
      </c>
      <c r="K10426" t="inlineStr">
        <is>
          <t>DIL MC25</t>
        </is>
      </c>
      <c r="M10426" t="inlineStr">
        <is>
          <t>-510Q1</t>
        </is>
      </c>
    </row>
    <row r="10427">
      <c r="A10427">
        <v>10426</v>
      </c>
      <c r="B10427">
        <f>GS90</f>
        <v>0</v>
      </c>
      <c r="C10427" t="inlineStr">
        <is>
          <t>+LS10</t>
        </is>
      </c>
      <c r="D10427" t="inlineStr">
        <is>
          <t>-510Q1</t>
        </is>
      </c>
      <c r="E10427" t="inlineStr">
        <is>
          <t>DILMC25-10(RDC24)</t>
        </is>
      </c>
      <c r="F10427" t="inlineStr">
        <is>
          <t>DILA-XHI22</t>
        </is>
      </c>
      <c r="G10427" t="inlineStr">
        <is>
          <t>LASTSCHUETZ</t>
        </is>
      </c>
      <c r="H10427" t="inlineStr">
        <is>
          <t>11kW 1S Federzugkl.</t>
        </is>
      </c>
      <c r="I10427">
        <v>748</v>
      </c>
      <c r="J10427">
        <f>GS90/510.4</f>
        <v>0</v>
      </c>
      <c r="K10427" t="inlineStr">
        <is>
          <t>DIL MC25</t>
        </is>
      </c>
      <c r="M10427" t="inlineStr">
        <is>
          <t>-510Q1</t>
        </is>
      </c>
    </row>
    <row r="10428">
      <c r="A10428">
        <v>10427</v>
      </c>
      <c r="B10428">
        <f>GS90</f>
        <v>0</v>
      </c>
      <c r="C10428" t="inlineStr">
        <is>
          <t>+LS10</t>
        </is>
      </c>
      <c r="D10428" t="inlineStr">
        <is>
          <t>-510Q1</t>
        </is>
      </c>
      <c r="E10428" t="inlineStr">
        <is>
          <t>DILA-XHI22</t>
        </is>
      </c>
      <c r="F10428" t="inlineStr">
        <is>
          <t>DILA-XHI22</t>
        </is>
      </c>
      <c r="G10428" t="inlineStr">
        <is>
          <t>HILFSKONTAKTBLOCK</t>
        </is>
      </c>
      <c r="H10428" t="inlineStr">
        <is>
          <t>2S 2OE Last+Hilfssch. Cage</t>
        </is>
      </c>
      <c r="I10428">
        <v>748</v>
      </c>
      <c r="J10428">
        <f>GS90/510.4</f>
        <v>0</v>
      </c>
      <c r="K10428" t="inlineStr">
        <is>
          <t>DIL MC25</t>
        </is>
      </c>
      <c r="M10428" t="inlineStr">
        <is>
          <t>-510Q1</t>
        </is>
      </c>
    </row>
    <row r="10429">
      <c r="A10429">
        <v>10428</v>
      </c>
      <c r="B10429">
        <f>GS93</f>
        <v>0</v>
      </c>
      <c r="C10429" t="inlineStr">
        <is>
          <t>+LS09</t>
        </is>
      </c>
      <c r="D10429" t="inlineStr">
        <is>
          <t>-510Q1</t>
        </is>
      </c>
      <c r="E10429" t="inlineStr">
        <is>
          <t>DILMC25-10(RDC24)</t>
        </is>
      </c>
      <c r="F10429" t="inlineStr">
        <is>
          <t>DILA-XHI22</t>
        </is>
      </c>
      <c r="G10429" t="inlineStr">
        <is>
          <t>LASTSCHUETZ</t>
        </is>
      </c>
      <c r="H10429" t="inlineStr">
        <is>
          <t>11kW 1S Federzugkl.</t>
        </is>
      </c>
      <c r="I10429">
        <v>1064</v>
      </c>
      <c r="J10429">
        <f>GS93/510.4</f>
        <v>0</v>
      </c>
      <c r="K10429" t="inlineStr">
        <is>
          <t>DIL MC25</t>
        </is>
      </c>
      <c r="M10429" t="inlineStr">
        <is>
          <t>-510Q1</t>
        </is>
      </c>
    </row>
    <row r="10430">
      <c r="A10430">
        <v>10429</v>
      </c>
      <c r="B10430">
        <f>GS93</f>
        <v>0</v>
      </c>
      <c r="C10430" t="inlineStr">
        <is>
          <t>+LS09</t>
        </is>
      </c>
      <c r="D10430" t="inlineStr">
        <is>
          <t>-510Q1</t>
        </is>
      </c>
      <c r="E10430" t="inlineStr">
        <is>
          <t>DILA-XHI22</t>
        </is>
      </c>
      <c r="F10430" t="inlineStr">
        <is>
          <t>DILA-XHI22</t>
        </is>
      </c>
      <c r="G10430" t="inlineStr">
        <is>
          <t>HILFSKONTAKTBLOCK</t>
        </is>
      </c>
      <c r="H10430" t="inlineStr">
        <is>
          <t>2S 2OE Last+Hilfssch. Cage</t>
        </is>
      </c>
      <c r="I10430">
        <v>1064</v>
      </c>
      <c r="J10430">
        <f>GS93/510.4</f>
        <v>0</v>
      </c>
      <c r="K10430" t="inlineStr">
        <is>
          <t>DIL MC25</t>
        </is>
      </c>
      <c r="M10430" t="inlineStr">
        <is>
          <t>-510Q1</t>
        </is>
      </c>
    </row>
    <row r="10431">
      <c r="A10431">
        <v>10430</v>
      </c>
      <c r="B10431">
        <f>GS13</f>
        <v>0</v>
      </c>
      <c r="C10431" t="inlineStr">
        <is>
          <t>+LS12</t>
        </is>
      </c>
      <c r="D10431" t="inlineStr">
        <is>
          <t>-51121.1</t>
        </is>
      </c>
      <c r="E10431" t="inlineStr">
        <is>
          <t>DIL_EM-10-G</t>
        </is>
      </c>
      <c r="F10431" t="inlineStr">
        <is>
          <t>#KALK!</t>
        </is>
      </c>
      <c r="G10431" t="inlineStr">
        <is>
          <t>LASTSCHUETZ</t>
        </is>
      </c>
      <c r="H10431" t="inlineStr">
        <is>
          <t>4kW 1S</t>
        </is>
      </c>
      <c r="I10431">
        <v>767</v>
      </c>
      <c r="J10431">
        <f>GS13/511.6</f>
        <v>0</v>
      </c>
      <c r="M10431" t="inlineStr">
        <is>
          <t>-51121.1</t>
        </is>
      </c>
    </row>
    <row r="10432">
      <c r="A10432">
        <v>10431</v>
      </c>
      <c r="B10432">
        <f>GS13</f>
        <v>0</v>
      </c>
      <c r="C10432" t="inlineStr">
        <is>
          <t>+LS12</t>
        </is>
      </c>
      <c r="D10432" t="inlineStr">
        <is>
          <t>-51121.2</t>
        </is>
      </c>
      <c r="E10432" t="inlineStr">
        <is>
          <t>DIL_EM-10-G</t>
        </is>
      </c>
      <c r="F10432" t="inlineStr">
        <is>
          <t>#KALK!</t>
        </is>
      </c>
      <c r="G10432" t="inlineStr">
        <is>
          <t>LASTSCHUETZ</t>
        </is>
      </c>
      <c r="H10432" t="inlineStr">
        <is>
          <t>4kW 1S</t>
        </is>
      </c>
      <c r="I10432">
        <v>767</v>
      </c>
      <c r="J10432">
        <f>GS13/511.6</f>
        <v>0</v>
      </c>
      <c r="M10432" t="inlineStr">
        <is>
          <t>-51121.2</t>
        </is>
      </c>
    </row>
    <row r="10433">
      <c r="A10433">
        <v>10432</v>
      </c>
      <c r="B10433">
        <f>GS23</f>
        <v>0</v>
      </c>
      <c r="C10433" t="inlineStr">
        <is>
          <t>+LS12</t>
        </is>
      </c>
      <c r="D10433" t="inlineStr">
        <is>
          <t>-511K21.1</t>
        </is>
      </c>
      <c r="E10433" t="inlineStr">
        <is>
          <t>DIL_EM-10-G</t>
        </is>
      </c>
      <c r="F10433" t="inlineStr">
        <is>
          <t>#KALK!</t>
        </is>
      </c>
      <c r="G10433" t="inlineStr">
        <is>
          <t>LASTSCHUETZ</t>
        </is>
      </c>
      <c r="H10433" t="inlineStr">
        <is>
          <t>4kW 1S</t>
        </is>
      </c>
      <c r="I10433">
        <v>821</v>
      </c>
      <c r="J10433">
        <f>GS23/511.6</f>
        <v>0</v>
      </c>
      <c r="M10433" t="inlineStr">
        <is>
          <t>-511K21.1</t>
        </is>
      </c>
    </row>
    <row r="10434">
      <c r="A10434">
        <v>10433</v>
      </c>
      <c r="B10434">
        <f>GS23</f>
        <v>0</v>
      </c>
      <c r="C10434" t="inlineStr">
        <is>
          <t>+LS12</t>
        </is>
      </c>
      <c r="D10434" t="inlineStr">
        <is>
          <t>-511K21.2</t>
        </is>
      </c>
      <c r="E10434" t="inlineStr">
        <is>
          <t>DIL_EM-10-G</t>
        </is>
      </c>
      <c r="F10434" t="inlineStr">
        <is>
          <t>#KALK!</t>
        </is>
      </c>
      <c r="G10434" t="inlineStr">
        <is>
          <t>LASTSCHUETZ</t>
        </is>
      </c>
      <c r="H10434" t="inlineStr">
        <is>
          <t>4kW 1S</t>
        </is>
      </c>
      <c r="I10434">
        <v>821</v>
      </c>
      <c r="J10434">
        <f>GS23/511.6</f>
        <v>0</v>
      </c>
      <c r="M10434" t="inlineStr">
        <is>
          <t>-511K21.2</t>
        </is>
      </c>
    </row>
    <row r="10435">
      <c r="A10435">
        <v>10434</v>
      </c>
      <c r="B10435">
        <f>GS01</f>
        <v>0</v>
      </c>
      <c r="C10435" t="inlineStr">
        <is>
          <t>+LS11</t>
        </is>
      </c>
      <c r="D10435" t="inlineStr">
        <is>
          <t>-511K28.3</t>
        </is>
      </c>
      <c r="E10435" t="inlineStr">
        <is>
          <t>22_DIL-E</t>
        </is>
      </c>
      <c r="F10435" t="inlineStr">
        <is>
          <t>22_DIL-E</t>
        </is>
      </c>
      <c r="G10435" t="inlineStr">
        <is>
          <t>HILFSKONTAKTBLOCK</t>
        </is>
      </c>
      <c r="H10435" t="inlineStr">
        <is>
          <t>2S 2OE Last+Hilfsschuetz</t>
        </is>
      </c>
      <c r="I10435">
        <v>680</v>
      </c>
      <c r="J10435">
        <f>GS01/511.6</f>
        <v>0</v>
      </c>
      <c r="M10435" t="inlineStr">
        <is>
          <t>-511K28.3</t>
        </is>
      </c>
    </row>
    <row r="10436">
      <c r="A10436">
        <v>10435</v>
      </c>
      <c r="B10436">
        <f>GS01</f>
        <v>0</v>
      </c>
      <c r="C10436" t="inlineStr">
        <is>
          <t>+LS11</t>
        </is>
      </c>
      <c r="D10436" t="inlineStr">
        <is>
          <t>-511K28.3</t>
        </is>
      </c>
      <c r="E10436" t="inlineStr">
        <is>
          <t>DIL_EM-10-G</t>
        </is>
      </c>
      <c r="F10436" t="inlineStr">
        <is>
          <t>22_DIL-E</t>
        </is>
      </c>
      <c r="G10436" t="inlineStr">
        <is>
          <t>LASTSCHUETZ</t>
        </is>
      </c>
      <c r="H10436" t="inlineStr">
        <is>
          <t>4kW 1S</t>
        </is>
      </c>
      <c r="I10436">
        <v>680</v>
      </c>
      <c r="J10436">
        <f>GS01/511.6</f>
        <v>0</v>
      </c>
      <c r="M10436" t="inlineStr">
        <is>
          <t>-511K28.3</t>
        </is>
      </c>
    </row>
    <row r="10437">
      <c r="A10437">
        <v>10436</v>
      </c>
      <c r="B10437">
        <f>GS01</f>
        <v>0</v>
      </c>
      <c r="C10437" t="inlineStr">
        <is>
          <t>+LS11</t>
        </is>
      </c>
      <c r="D10437" t="inlineStr">
        <is>
          <t>-511K28.4</t>
        </is>
      </c>
      <c r="E10437" t="inlineStr">
        <is>
          <t>22_DIL-E</t>
        </is>
      </c>
      <c r="F10437" t="inlineStr">
        <is>
          <t>22_DIL-E</t>
        </is>
      </c>
      <c r="G10437" t="inlineStr">
        <is>
          <t>HILFSKONTAKTBLOCK</t>
        </is>
      </c>
      <c r="H10437" t="inlineStr">
        <is>
          <t>2S 2OE Last+Hilfsschuetz</t>
        </is>
      </c>
      <c r="I10437">
        <v>680</v>
      </c>
      <c r="J10437">
        <f>GS01/511.6</f>
        <v>0</v>
      </c>
      <c r="M10437" t="inlineStr">
        <is>
          <t>-511K28.4</t>
        </is>
      </c>
    </row>
    <row r="10438">
      <c r="A10438">
        <v>10437</v>
      </c>
      <c r="B10438">
        <f>GS01</f>
        <v>0</v>
      </c>
      <c r="C10438" t="inlineStr">
        <is>
          <t>+LS11</t>
        </is>
      </c>
      <c r="D10438" t="inlineStr">
        <is>
          <t>-511K28.4</t>
        </is>
      </c>
      <c r="E10438" t="inlineStr">
        <is>
          <t>DIL_EM-10-G</t>
        </is>
      </c>
      <c r="F10438" t="inlineStr">
        <is>
          <t>22_DIL-E</t>
        </is>
      </c>
      <c r="G10438" t="inlineStr">
        <is>
          <t>LASTSCHUETZ</t>
        </is>
      </c>
      <c r="H10438" t="inlineStr">
        <is>
          <t>4kW 1S</t>
        </is>
      </c>
      <c r="I10438">
        <v>680</v>
      </c>
      <c r="J10438">
        <f>GS01/511.6</f>
        <v>0</v>
      </c>
      <c r="M10438" t="inlineStr">
        <is>
          <t>-511K28.4</t>
        </is>
      </c>
    </row>
    <row r="10439">
      <c r="A10439">
        <v>10438</v>
      </c>
      <c r="B10439">
        <f>GS24</f>
        <v>0</v>
      </c>
      <c r="C10439" t="inlineStr">
        <is>
          <t>+LS10</t>
        </is>
      </c>
      <c r="D10439" t="inlineStr">
        <is>
          <t>-511K3509.6</t>
        </is>
      </c>
      <c r="E10439" t="inlineStr">
        <is>
          <t>DIL_EM-10-G</t>
        </is>
      </c>
      <c r="F10439" t="inlineStr">
        <is>
          <t>#KALK!</t>
        </is>
      </c>
      <c r="G10439" t="inlineStr">
        <is>
          <t>LASTSCHUETZ</t>
        </is>
      </c>
      <c r="H10439" t="inlineStr">
        <is>
          <t>4kW 1S</t>
        </is>
      </c>
      <c r="I10439">
        <v>585</v>
      </c>
      <c r="J10439">
        <f>GS24/511.6</f>
        <v>0</v>
      </c>
      <c r="M10439" t="inlineStr">
        <is>
          <t>-511K3509.6</t>
        </is>
      </c>
    </row>
    <row r="10440">
      <c r="A10440">
        <v>10439</v>
      </c>
      <c r="B10440">
        <f>GS24</f>
        <v>0</v>
      </c>
      <c r="C10440" t="inlineStr">
        <is>
          <t>+LS10</t>
        </is>
      </c>
      <c r="D10440" t="inlineStr">
        <is>
          <t>-511K3509.7</t>
        </is>
      </c>
      <c r="E10440" t="inlineStr">
        <is>
          <t>DIL_EM-10-G</t>
        </is>
      </c>
      <c r="F10440" t="inlineStr">
        <is>
          <t>#KALK!</t>
        </is>
      </c>
      <c r="G10440" t="inlineStr">
        <is>
          <t>LASTSCHUETZ</t>
        </is>
      </c>
      <c r="H10440" t="inlineStr">
        <is>
          <t>4kW 1S</t>
        </is>
      </c>
      <c r="I10440">
        <v>585</v>
      </c>
      <c r="J10440">
        <f>GS24/511.7</f>
        <v>0</v>
      </c>
      <c r="M10440" t="inlineStr">
        <is>
          <t>-511K3509.7</t>
        </is>
      </c>
    </row>
    <row r="10441">
      <c r="A10441">
        <v>10440</v>
      </c>
      <c r="B10441">
        <f>GS14</f>
        <v>0</v>
      </c>
      <c r="C10441" t="inlineStr">
        <is>
          <t>+LS9</t>
        </is>
      </c>
      <c r="D10441" t="inlineStr">
        <is>
          <t>-511K3516.0</t>
        </is>
      </c>
      <c r="E10441" t="inlineStr">
        <is>
          <t>DIL_EM-10-G</t>
        </is>
      </c>
      <c r="F10441" t="inlineStr">
        <is>
          <t>#KALK!</t>
        </is>
      </c>
      <c r="G10441" t="inlineStr">
        <is>
          <t>LASTSCHUETZ</t>
        </is>
      </c>
      <c r="H10441" t="inlineStr">
        <is>
          <t>4kW 1S</t>
        </is>
      </c>
      <c r="I10441">
        <v>643</v>
      </c>
      <c r="J10441">
        <f>GS14/511.6</f>
        <v>0</v>
      </c>
      <c r="M10441" t="inlineStr">
        <is>
          <t>-511K3516.0</t>
        </is>
      </c>
    </row>
    <row r="10442">
      <c r="A10442">
        <v>10441</v>
      </c>
      <c r="B10442">
        <f>GS14</f>
        <v>0</v>
      </c>
      <c r="C10442" t="inlineStr">
        <is>
          <t>+LS9</t>
        </is>
      </c>
      <c r="D10442" t="inlineStr">
        <is>
          <t>-511K3516.1</t>
        </is>
      </c>
      <c r="E10442" t="inlineStr">
        <is>
          <t>DIL_EM-10-G</t>
        </is>
      </c>
      <c r="F10442" t="inlineStr">
        <is>
          <t>#KALK!</t>
        </is>
      </c>
      <c r="G10442" t="inlineStr">
        <is>
          <t>LASTSCHUETZ</t>
        </is>
      </c>
      <c r="H10442" t="inlineStr">
        <is>
          <t>4kW 1S</t>
        </is>
      </c>
      <c r="I10442">
        <v>643</v>
      </c>
      <c r="J10442">
        <f>GS14/511.7</f>
        <v>0</v>
      </c>
      <c r="M10442" t="inlineStr">
        <is>
          <t>-511K3516.1</t>
        </is>
      </c>
    </row>
    <row r="10443">
      <c r="A10443">
        <v>10442</v>
      </c>
      <c r="B10443">
        <f>GS33</f>
        <v>0</v>
      </c>
      <c r="C10443" t="inlineStr">
        <is>
          <t>+QVW2701</t>
        </is>
      </c>
      <c r="D10443" t="inlineStr">
        <is>
          <t>-511K3809.1</t>
        </is>
      </c>
      <c r="E10443" t="inlineStr">
        <is>
          <t>DIL_EM-10-G</t>
        </is>
      </c>
      <c r="F10443" t="inlineStr">
        <is>
          <t>#KALK!</t>
        </is>
      </c>
      <c r="G10443" t="inlineStr">
        <is>
          <t>LASTSCHUETZ</t>
        </is>
      </c>
      <c r="H10443" t="inlineStr">
        <is>
          <t>4kW 1S</t>
        </is>
      </c>
      <c r="I10443">
        <v>965</v>
      </c>
      <c r="J10443">
        <f>GS33/511.2</f>
        <v>0</v>
      </c>
      <c r="M10443" t="inlineStr">
        <is>
          <t>-511K3809.1</t>
        </is>
      </c>
    </row>
    <row r="10444">
      <c r="A10444">
        <v>10443</v>
      </c>
      <c r="B10444">
        <f>GS33</f>
        <v>0</v>
      </c>
      <c r="C10444" t="inlineStr">
        <is>
          <t>+QVW2701</t>
        </is>
      </c>
      <c r="D10444" t="inlineStr">
        <is>
          <t>-511K3809.7</t>
        </is>
      </c>
      <c r="E10444" t="inlineStr">
        <is>
          <t>DIL_EM-10-G</t>
        </is>
      </c>
      <c r="F10444" t="inlineStr">
        <is>
          <t>#KALK!</t>
        </is>
      </c>
      <c r="G10444" t="inlineStr">
        <is>
          <t>LASTSCHUETZ</t>
        </is>
      </c>
      <c r="H10444" t="inlineStr">
        <is>
          <t>4kW 1S</t>
        </is>
      </c>
      <c r="I10444">
        <v>965</v>
      </c>
      <c r="J10444">
        <f>GS33/511.3</f>
        <v>0</v>
      </c>
      <c r="M10444" t="inlineStr">
        <is>
          <t>-511K3809.7</t>
        </is>
      </c>
    </row>
    <row r="10445">
      <c r="A10445">
        <v>10444</v>
      </c>
      <c r="B10445">
        <f>GS31</f>
        <v>0</v>
      </c>
      <c r="C10445" t="inlineStr">
        <is>
          <t>+LS10</t>
        </is>
      </c>
      <c r="D10445" t="inlineStr">
        <is>
          <t>-511K70.3</t>
        </is>
      </c>
      <c r="E10445" t="inlineStr">
        <is>
          <t>DIL_EM-10-G</t>
        </is>
      </c>
      <c r="F10445" t="inlineStr">
        <is>
          <t>#KALK!</t>
        </is>
      </c>
      <c r="G10445" t="inlineStr">
        <is>
          <t>LASTSCHUETZ</t>
        </is>
      </c>
      <c r="H10445" t="inlineStr">
        <is>
          <t>4kW 1S</t>
        </is>
      </c>
      <c r="I10445">
        <v>807</v>
      </c>
      <c r="J10445">
        <f>GS31/511.7</f>
        <v>0</v>
      </c>
      <c r="M10445" t="inlineStr">
        <is>
          <t>-511K70.3</t>
        </is>
      </c>
    </row>
    <row r="10446">
      <c r="A10446">
        <v>10445</v>
      </c>
      <c r="B10446">
        <f>GS55</f>
        <v>0</v>
      </c>
      <c r="C10446" t="inlineStr">
        <is>
          <t>+LS07</t>
        </is>
      </c>
      <c r="D10446" t="inlineStr">
        <is>
          <t>-511Q1910.1</t>
        </is>
      </c>
      <c r="E10446" t="inlineStr">
        <is>
          <t>DILM-9-10</t>
        </is>
      </c>
      <c r="F10446" t="inlineStr">
        <is>
          <t>#KALK!</t>
        </is>
      </c>
      <c r="G10446" t="inlineStr">
        <is>
          <t>LASTSCHUETZ</t>
        </is>
      </c>
      <c r="H10446" t="inlineStr">
        <is>
          <t>4kW 1S Federzugkl.</t>
        </is>
      </c>
      <c r="I10446">
        <v>771</v>
      </c>
      <c r="J10446">
        <f>GS55/511.6</f>
        <v>0</v>
      </c>
      <c r="K10446" t="inlineStr">
        <is>
          <t>DIL MC9</t>
        </is>
      </c>
      <c r="M10446" t="inlineStr">
        <is>
          <t>-511Q1910.1</t>
        </is>
      </c>
    </row>
    <row r="10447">
      <c r="A10447">
        <v>10446</v>
      </c>
      <c r="B10447">
        <f>GS93</f>
        <v>0</v>
      </c>
      <c r="C10447" t="inlineStr">
        <is>
          <t>+LS09</t>
        </is>
      </c>
      <c r="D10447" t="inlineStr">
        <is>
          <t>-511Q487.1</t>
        </is>
      </c>
      <c r="E10447" t="inlineStr">
        <is>
          <t>DILM-9-10</t>
        </is>
      </c>
      <c r="F10447" t="inlineStr">
        <is>
          <t>DILA-XHI22</t>
        </is>
      </c>
      <c r="G10447" t="inlineStr">
        <is>
          <t>LASTSCHUETZ</t>
        </is>
      </c>
      <c r="H10447" t="inlineStr">
        <is>
          <t>4kW 1S Federzugkl.</t>
        </is>
      </c>
      <c r="I10447">
        <v>1065</v>
      </c>
      <c r="J10447">
        <f>GS93/511.5</f>
        <v>0</v>
      </c>
      <c r="M10447" t="inlineStr">
        <is>
          <t>-511Q487.1</t>
        </is>
      </c>
    </row>
    <row r="10448">
      <c r="A10448">
        <v>10447</v>
      </c>
      <c r="B10448">
        <f>GS93</f>
        <v>0</v>
      </c>
      <c r="C10448" t="inlineStr">
        <is>
          <t>+LS09</t>
        </is>
      </c>
      <c r="D10448" t="inlineStr">
        <is>
          <t>-511Q487.1</t>
        </is>
      </c>
      <c r="E10448" t="inlineStr">
        <is>
          <t>DILA-XHI22</t>
        </is>
      </c>
      <c r="F10448" t="inlineStr">
        <is>
          <t>DILA-XHI22</t>
        </is>
      </c>
      <c r="G10448" t="inlineStr">
        <is>
          <t>HILFSKONTAKTBLOCK</t>
        </is>
      </c>
      <c r="H10448" t="inlineStr">
        <is>
          <t>2S 2OE Last+Hilfssch. Cage</t>
        </is>
      </c>
      <c r="I10448">
        <v>1065</v>
      </c>
      <c r="J10448">
        <f>GS93/511.5</f>
        <v>0</v>
      </c>
      <c r="M10448" t="inlineStr">
        <is>
          <t>-511Q487.1</t>
        </is>
      </c>
    </row>
    <row r="10449">
      <c r="A10449">
        <v>10448</v>
      </c>
      <c r="B10449">
        <f>GS93</f>
        <v>0</v>
      </c>
      <c r="C10449" t="inlineStr">
        <is>
          <t>+LS09</t>
        </is>
      </c>
      <c r="D10449" t="inlineStr">
        <is>
          <t>-511Q487.2</t>
        </is>
      </c>
      <c r="E10449" t="inlineStr">
        <is>
          <t>DILM-9-10</t>
        </is>
      </c>
      <c r="F10449" t="inlineStr">
        <is>
          <t>DILA-XHI22</t>
        </is>
      </c>
      <c r="G10449" t="inlineStr">
        <is>
          <t>LASTSCHUETZ</t>
        </is>
      </c>
      <c r="H10449" t="inlineStr">
        <is>
          <t>4kW 1S Federzugkl.</t>
        </is>
      </c>
      <c r="I10449">
        <v>1065</v>
      </c>
      <c r="J10449">
        <f>GS93/511.6</f>
        <v>0</v>
      </c>
      <c r="M10449" t="inlineStr">
        <is>
          <t>-511Q487.2</t>
        </is>
      </c>
    </row>
    <row r="10450">
      <c r="A10450">
        <v>10449</v>
      </c>
      <c r="B10450">
        <f>GS93</f>
        <v>0</v>
      </c>
      <c r="C10450" t="inlineStr">
        <is>
          <t>+LS09</t>
        </is>
      </c>
      <c r="D10450" t="inlineStr">
        <is>
          <t>-511Q487.2</t>
        </is>
      </c>
      <c r="E10450" t="inlineStr">
        <is>
          <t>DILA-XHI22</t>
        </is>
      </c>
      <c r="F10450" t="inlineStr">
        <is>
          <t>DILA-XHI22</t>
        </is>
      </c>
      <c r="G10450" t="inlineStr">
        <is>
          <t>HILFSKONTAKTBLOCK</t>
        </is>
      </c>
      <c r="H10450" t="inlineStr">
        <is>
          <t>2S 2OE Last+Hilfssch. Cage</t>
        </is>
      </c>
      <c r="I10450">
        <v>1065</v>
      </c>
      <c r="J10450">
        <f>GS93/511.6</f>
        <v>0</v>
      </c>
      <c r="M10450" t="inlineStr">
        <is>
          <t>-511Q487.2</t>
        </is>
      </c>
    </row>
    <row r="10451">
      <c r="A10451">
        <v>10450</v>
      </c>
      <c r="B10451">
        <f>GS13</f>
        <v>0</v>
      </c>
      <c r="C10451" t="inlineStr">
        <is>
          <t>+LS12</t>
        </is>
      </c>
      <c r="D10451" t="inlineStr">
        <is>
          <t>-51221.3</t>
        </is>
      </c>
      <c r="E10451" t="inlineStr">
        <is>
          <t>DIL_EM-10-G</t>
        </is>
      </c>
      <c r="F10451" t="inlineStr">
        <is>
          <t>#KALK!</t>
        </is>
      </c>
      <c r="G10451" t="inlineStr">
        <is>
          <t>LASTSCHUETZ</t>
        </is>
      </c>
      <c r="H10451" t="inlineStr">
        <is>
          <t>4kW 1S</t>
        </is>
      </c>
      <c r="I10451">
        <v>768</v>
      </c>
      <c r="J10451">
        <f>GS13/512.6</f>
        <v>0</v>
      </c>
      <c r="M10451" t="inlineStr">
        <is>
          <t>-51221.3</t>
        </is>
      </c>
    </row>
    <row r="10452">
      <c r="A10452">
        <v>10451</v>
      </c>
      <c r="B10452">
        <f>GS13</f>
        <v>0</v>
      </c>
      <c r="C10452" t="inlineStr">
        <is>
          <t>+LS12</t>
        </is>
      </c>
      <c r="D10452" t="inlineStr">
        <is>
          <t>-51221.4</t>
        </is>
      </c>
      <c r="E10452" t="inlineStr">
        <is>
          <t>DIL_EM-10-G</t>
        </is>
      </c>
      <c r="F10452" t="inlineStr">
        <is>
          <t>#KALK!</t>
        </is>
      </c>
      <c r="G10452" t="inlineStr">
        <is>
          <t>LASTSCHUETZ</t>
        </is>
      </c>
      <c r="H10452" t="inlineStr">
        <is>
          <t>4kW 1S</t>
        </is>
      </c>
      <c r="I10452">
        <v>768</v>
      </c>
      <c r="J10452">
        <f>GS13/512.6</f>
        <v>0</v>
      </c>
      <c r="M10452" t="inlineStr">
        <is>
          <t>-51221.4</t>
        </is>
      </c>
    </row>
    <row r="10453">
      <c r="A10453">
        <v>10452</v>
      </c>
      <c r="B10453">
        <f>GS23</f>
        <v>0</v>
      </c>
      <c r="C10453" t="inlineStr">
        <is>
          <t>+LS12</t>
        </is>
      </c>
      <c r="D10453" t="inlineStr">
        <is>
          <t>-512K21.3</t>
        </is>
      </c>
      <c r="E10453" t="inlineStr">
        <is>
          <t>DIL_EM-10-G</t>
        </is>
      </c>
      <c r="F10453" t="inlineStr">
        <is>
          <t>#KALK!</t>
        </is>
      </c>
      <c r="G10453" t="inlineStr">
        <is>
          <t>LASTSCHUETZ</t>
        </is>
      </c>
      <c r="H10453" t="inlineStr">
        <is>
          <t>4kW 1S</t>
        </is>
      </c>
      <c r="I10453">
        <v>822</v>
      </c>
      <c r="J10453">
        <f>GS23/512.6</f>
        <v>0</v>
      </c>
      <c r="M10453" t="inlineStr">
        <is>
          <t>-512K21.3</t>
        </is>
      </c>
    </row>
    <row r="10454">
      <c r="A10454">
        <v>10453</v>
      </c>
      <c r="B10454">
        <f>GS23</f>
        <v>0</v>
      </c>
      <c r="C10454" t="inlineStr">
        <is>
          <t>+LS12</t>
        </is>
      </c>
      <c r="D10454" t="inlineStr">
        <is>
          <t>-512K21.4</t>
        </is>
      </c>
      <c r="E10454" t="inlineStr">
        <is>
          <t>DIL_EM-10-G</t>
        </is>
      </c>
      <c r="F10454" t="inlineStr">
        <is>
          <t>#KALK!</t>
        </is>
      </c>
      <c r="G10454" t="inlineStr">
        <is>
          <t>LASTSCHUETZ</t>
        </is>
      </c>
      <c r="H10454" t="inlineStr">
        <is>
          <t>4kW 1S</t>
        </is>
      </c>
      <c r="I10454">
        <v>822</v>
      </c>
      <c r="J10454">
        <f>GS23/512.6</f>
        <v>0</v>
      </c>
      <c r="M10454" t="inlineStr">
        <is>
          <t>-512K21.4</t>
        </is>
      </c>
    </row>
    <row r="10455">
      <c r="A10455">
        <v>10454</v>
      </c>
      <c r="B10455">
        <f>GS01</f>
        <v>0</v>
      </c>
      <c r="C10455" t="inlineStr">
        <is>
          <t>+LS11</t>
        </is>
      </c>
      <c r="D10455" t="inlineStr">
        <is>
          <t>-512K28.5</t>
        </is>
      </c>
      <c r="E10455" t="inlineStr">
        <is>
          <t>22_DIL-E</t>
        </is>
      </c>
      <c r="F10455" t="inlineStr">
        <is>
          <t>22_DIL-E</t>
        </is>
      </c>
      <c r="G10455" t="inlineStr">
        <is>
          <t>HILFSKONTAKTBLOCK</t>
        </is>
      </c>
      <c r="H10455" t="inlineStr">
        <is>
          <t>2S 2OE Last+Hilfsschuetz</t>
        </is>
      </c>
      <c r="I10455">
        <v>681</v>
      </c>
      <c r="J10455">
        <f>GS01/512.6</f>
        <v>0</v>
      </c>
      <c r="M10455" t="inlineStr">
        <is>
          <t>-512K28.5</t>
        </is>
      </c>
    </row>
    <row r="10456">
      <c r="A10456">
        <v>10455</v>
      </c>
      <c r="B10456">
        <f>GS01</f>
        <v>0</v>
      </c>
      <c r="C10456" t="inlineStr">
        <is>
          <t>+LS11</t>
        </is>
      </c>
      <c r="D10456" t="inlineStr">
        <is>
          <t>-512K28.5</t>
        </is>
      </c>
      <c r="E10456" t="inlineStr">
        <is>
          <t>DIL_EM-10-G</t>
        </is>
      </c>
      <c r="F10456" t="inlineStr">
        <is>
          <t>22_DIL-E</t>
        </is>
      </c>
      <c r="G10456" t="inlineStr">
        <is>
          <t>LASTSCHUETZ</t>
        </is>
      </c>
      <c r="H10456" t="inlineStr">
        <is>
          <t>4kW 1S</t>
        </is>
      </c>
      <c r="I10456">
        <v>681</v>
      </c>
      <c r="J10456">
        <f>GS01/512.6</f>
        <v>0</v>
      </c>
      <c r="M10456" t="inlineStr">
        <is>
          <t>-512K28.5</t>
        </is>
      </c>
    </row>
    <row r="10457">
      <c r="A10457">
        <v>10456</v>
      </c>
      <c r="B10457">
        <f>GS01</f>
        <v>0</v>
      </c>
      <c r="C10457" t="inlineStr">
        <is>
          <t>+LS11</t>
        </is>
      </c>
      <c r="D10457" t="inlineStr">
        <is>
          <t>-512K28.6</t>
        </is>
      </c>
      <c r="E10457" t="inlineStr">
        <is>
          <t>22_DIL-E</t>
        </is>
      </c>
      <c r="F10457" t="inlineStr">
        <is>
          <t>22_DIL-E</t>
        </is>
      </c>
      <c r="G10457" t="inlineStr">
        <is>
          <t>HILFSKONTAKTBLOCK</t>
        </is>
      </c>
      <c r="H10457" t="inlineStr">
        <is>
          <t>2S 2OE Last+Hilfsschuetz</t>
        </is>
      </c>
      <c r="I10457">
        <v>681</v>
      </c>
      <c r="J10457">
        <f>GS01/512.6</f>
        <v>0</v>
      </c>
      <c r="M10457" t="inlineStr">
        <is>
          <t>-512K28.6</t>
        </is>
      </c>
    </row>
    <row r="10458">
      <c r="A10458">
        <v>10457</v>
      </c>
      <c r="B10458">
        <f>GS01</f>
        <v>0</v>
      </c>
      <c r="C10458" t="inlineStr">
        <is>
          <t>+LS11</t>
        </is>
      </c>
      <c r="D10458" t="inlineStr">
        <is>
          <t>-512K28.6</t>
        </is>
      </c>
      <c r="E10458" t="inlineStr">
        <is>
          <t>DIL_EM-10-G</t>
        </is>
      </c>
      <c r="F10458" t="inlineStr">
        <is>
          <t>22_DIL-E</t>
        </is>
      </c>
      <c r="G10458" t="inlineStr">
        <is>
          <t>LASTSCHUETZ</t>
        </is>
      </c>
      <c r="H10458" t="inlineStr">
        <is>
          <t>4kW 1S</t>
        </is>
      </c>
      <c r="I10458">
        <v>681</v>
      </c>
      <c r="J10458">
        <f>GS01/512.6</f>
        <v>0</v>
      </c>
      <c r="M10458" t="inlineStr">
        <is>
          <t>-512K28.6</t>
        </is>
      </c>
    </row>
    <row r="10459">
      <c r="A10459">
        <v>10458</v>
      </c>
      <c r="B10459">
        <f>GS14</f>
        <v>0</v>
      </c>
      <c r="C10459" t="inlineStr">
        <is>
          <t>+LS9</t>
        </is>
      </c>
      <c r="D10459" t="inlineStr">
        <is>
          <t>-512K3516.2</t>
        </is>
      </c>
      <c r="E10459" t="inlineStr">
        <is>
          <t>DIL_EM-10-G</t>
        </is>
      </c>
      <c r="F10459" t="inlineStr">
        <is>
          <t>#KALK!</t>
        </is>
      </c>
      <c r="G10459" t="inlineStr">
        <is>
          <t>LASTSCHUETZ</t>
        </is>
      </c>
      <c r="H10459" t="inlineStr">
        <is>
          <t>4kW 1S</t>
        </is>
      </c>
      <c r="I10459">
        <v>644</v>
      </c>
      <c r="J10459">
        <f>GS14/512.6</f>
        <v>0</v>
      </c>
      <c r="M10459" t="inlineStr">
        <is>
          <t>-512K3516.2</t>
        </is>
      </c>
    </row>
    <row r="10460">
      <c r="A10460">
        <v>10459</v>
      </c>
      <c r="B10460">
        <f>GS14</f>
        <v>0</v>
      </c>
      <c r="C10460" t="inlineStr">
        <is>
          <t>+LS9</t>
        </is>
      </c>
      <c r="D10460" t="inlineStr">
        <is>
          <t>-512K3516.3</t>
        </is>
      </c>
      <c r="E10460" t="inlineStr">
        <is>
          <t>DIL_EM-10-G</t>
        </is>
      </c>
      <c r="F10460" t="inlineStr">
        <is>
          <t>#KALK!</t>
        </is>
      </c>
      <c r="G10460" t="inlineStr">
        <is>
          <t>LASTSCHUETZ</t>
        </is>
      </c>
      <c r="H10460" t="inlineStr">
        <is>
          <t>4kW 1S</t>
        </is>
      </c>
      <c r="I10460">
        <v>644</v>
      </c>
      <c r="J10460">
        <f>GS14/512.7</f>
        <v>0</v>
      </c>
      <c r="M10460" t="inlineStr">
        <is>
          <t>-512K3516.3</t>
        </is>
      </c>
    </row>
    <row r="10461">
      <c r="A10461">
        <v>10460</v>
      </c>
      <c r="B10461">
        <f>GS33</f>
        <v>0</v>
      </c>
      <c r="C10461" t="inlineStr">
        <is>
          <t>+QVW2701</t>
        </is>
      </c>
      <c r="D10461" t="inlineStr">
        <is>
          <t>-512K3809.0</t>
        </is>
      </c>
      <c r="E10461" t="inlineStr">
        <is>
          <t>DIL_EM-10-G</t>
        </is>
      </c>
      <c r="F10461" t="inlineStr">
        <is>
          <t>#KALK!</t>
        </is>
      </c>
      <c r="G10461" t="inlineStr">
        <is>
          <t>LASTSCHUETZ</t>
        </is>
      </c>
      <c r="H10461" t="inlineStr">
        <is>
          <t>4kW 1S</t>
        </is>
      </c>
      <c r="I10461">
        <v>966</v>
      </c>
      <c r="J10461">
        <f>GS33/512.6</f>
        <v>0</v>
      </c>
      <c r="M10461" t="inlineStr">
        <is>
          <t>-512K3809.0</t>
        </is>
      </c>
    </row>
    <row r="10462">
      <c r="A10462">
        <v>10461</v>
      </c>
      <c r="B10462">
        <f>GS31</f>
        <v>0</v>
      </c>
      <c r="C10462" t="inlineStr">
        <is>
          <t>+LS10</t>
        </is>
      </c>
      <c r="D10462" t="inlineStr">
        <is>
          <t>-512K70.7</t>
        </is>
      </c>
      <c r="E10462" t="inlineStr">
        <is>
          <t>DIL_EM-10-G</t>
        </is>
      </c>
      <c r="F10462" t="inlineStr">
        <is>
          <t>#KALK!</t>
        </is>
      </c>
      <c r="G10462" t="inlineStr">
        <is>
          <t>LASTSCHUETZ</t>
        </is>
      </c>
      <c r="H10462" t="inlineStr">
        <is>
          <t>4kW 1S</t>
        </is>
      </c>
      <c r="I10462">
        <v>808</v>
      </c>
      <c r="J10462">
        <f>GS31/512.7</f>
        <v>0</v>
      </c>
      <c r="M10462" t="inlineStr">
        <is>
          <t>-512K70.7</t>
        </is>
      </c>
    </row>
    <row r="10463">
      <c r="A10463">
        <v>10462</v>
      </c>
      <c r="B10463">
        <f>GS93</f>
        <v>0</v>
      </c>
      <c r="C10463" t="inlineStr">
        <is>
          <t>+LS09</t>
        </is>
      </c>
      <c r="D10463" t="inlineStr">
        <is>
          <t>-512Q487.3</t>
        </is>
      </c>
      <c r="E10463" t="inlineStr">
        <is>
          <t>DILM-9-10</t>
        </is>
      </c>
      <c r="F10463" t="inlineStr">
        <is>
          <t>#KALK!</t>
        </is>
      </c>
      <c r="G10463" t="inlineStr">
        <is>
          <t>LASTSCHUETZ</t>
        </is>
      </c>
      <c r="H10463" t="inlineStr">
        <is>
          <t>4kW 1S Federzugkl.</t>
        </is>
      </c>
      <c r="I10463">
        <v>1066</v>
      </c>
      <c r="J10463">
        <f>GS93/512.5</f>
        <v>0</v>
      </c>
      <c r="M10463" t="inlineStr">
        <is>
          <t>-512Q487.3</t>
        </is>
      </c>
    </row>
    <row r="10464">
      <c r="A10464">
        <v>10463</v>
      </c>
      <c r="B10464">
        <f>GS92</f>
        <v>0</v>
      </c>
      <c r="C10464" t="inlineStr">
        <is>
          <t>+LS09</t>
        </is>
      </c>
      <c r="D10464" t="inlineStr">
        <is>
          <t>-512Q764.3</t>
        </is>
      </c>
      <c r="E10464" t="inlineStr">
        <is>
          <t>DILM-9-10</t>
        </is>
      </c>
      <c r="F10464" t="inlineStr">
        <is>
          <t>#KALK!</t>
        </is>
      </c>
      <c r="G10464" t="inlineStr">
        <is>
          <t>LASTSCHUETZ</t>
        </is>
      </c>
      <c r="H10464" t="inlineStr">
        <is>
          <t>4kW 1S Federzugkl.</t>
        </is>
      </c>
      <c r="I10464">
        <v>652</v>
      </c>
      <c r="J10464">
        <f>GS92/512.5</f>
        <v>0</v>
      </c>
      <c r="M10464" t="inlineStr">
        <is>
          <t>-512Q764.3</t>
        </is>
      </c>
    </row>
    <row r="10465">
      <c r="A10465">
        <v>10464</v>
      </c>
      <c r="B10465">
        <f>GS13</f>
        <v>0</v>
      </c>
      <c r="C10465" t="inlineStr">
        <is>
          <t>+LS12</t>
        </is>
      </c>
      <c r="D10465" t="inlineStr">
        <is>
          <t>-51321.5</t>
        </is>
      </c>
      <c r="E10465" t="inlineStr">
        <is>
          <t>DIL_EM-10-G</t>
        </is>
      </c>
      <c r="F10465" t="inlineStr">
        <is>
          <t>#KALK!</t>
        </is>
      </c>
      <c r="G10465" t="inlineStr">
        <is>
          <t>LASTSCHUETZ</t>
        </is>
      </c>
      <c r="H10465" t="inlineStr">
        <is>
          <t>4kW 1S</t>
        </is>
      </c>
      <c r="I10465">
        <v>769</v>
      </c>
      <c r="J10465">
        <f>GS13/513.6</f>
        <v>0</v>
      </c>
      <c r="M10465" t="inlineStr">
        <is>
          <t>-51321.5</t>
        </is>
      </c>
    </row>
    <row r="10466">
      <c r="A10466">
        <v>10465</v>
      </c>
      <c r="B10466">
        <f>GS23</f>
        <v>0</v>
      </c>
      <c r="C10466" t="inlineStr">
        <is>
          <t>+LS12</t>
        </is>
      </c>
      <c r="D10466" t="inlineStr">
        <is>
          <t>-513K21.5</t>
        </is>
      </c>
      <c r="E10466" t="inlineStr">
        <is>
          <t>DIL_EM-10-G</t>
        </is>
      </c>
      <c r="F10466" t="inlineStr">
        <is>
          <t>#KALK!</t>
        </is>
      </c>
      <c r="G10466" t="inlineStr">
        <is>
          <t>LASTSCHUETZ</t>
        </is>
      </c>
      <c r="H10466" t="inlineStr">
        <is>
          <t>4kW 1S</t>
        </is>
      </c>
      <c r="I10466">
        <v>823</v>
      </c>
      <c r="J10466">
        <f>GS23/513.6</f>
        <v>0</v>
      </c>
      <c r="M10466" t="inlineStr">
        <is>
          <t>-513K21.5</t>
        </is>
      </c>
    </row>
    <row r="10467">
      <c r="A10467">
        <v>10466</v>
      </c>
      <c r="B10467">
        <f>GS01</f>
        <v>0</v>
      </c>
      <c r="C10467" t="inlineStr">
        <is>
          <t>+LS11</t>
        </is>
      </c>
      <c r="D10467" t="inlineStr">
        <is>
          <t>-513K28.7</t>
        </is>
      </c>
      <c r="E10467" t="inlineStr">
        <is>
          <t>DIL_EM-10-G</t>
        </is>
      </c>
      <c r="F10467" t="inlineStr">
        <is>
          <t>#KALK!</t>
        </is>
      </c>
      <c r="G10467" t="inlineStr">
        <is>
          <t>LASTSCHUETZ</t>
        </is>
      </c>
      <c r="H10467" t="inlineStr">
        <is>
          <t>4kW 1S</t>
        </is>
      </c>
      <c r="I10467">
        <v>682</v>
      </c>
      <c r="J10467">
        <f>GS01/513.6</f>
        <v>0</v>
      </c>
      <c r="M10467" t="inlineStr">
        <is>
          <t>-513K28.7</t>
        </is>
      </c>
    </row>
    <row r="10468">
      <c r="A10468">
        <v>10467</v>
      </c>
      <c r="B10468">
        <f>GS01</f>
        <v>0</v>
      </c>
      <c r="C10468" t="inlineStr">
        <is>
          <t>+LS11</t>
        </is>
      </c>
      <c r="D10468" t="inlineStr">
        <is>
          <t>-513K29.0</t>
        </is>
      </c>
      <c r="E10468" t="inlineStr">
        <is>
          <t>DIL_EM-10-G</t>
        </is>
      </c>
      <c r="F10468" t="inlineStr">
        <is>
          <t>#KALK!</t>
        </is>
      </c>
      <c r="G10468" t="inlineStr">
        <is>
          <t>LASTSCHUETZ</t>
        </is>
      </c>
      <c r="H10468" t="inlineStr">
        <is>
          <t>4kW 1S</t>
        </is>
      </c>
      <c r="I10468">
        <v>682</v>
      </c>
      <c r="J10468">
        <f>GS01/513.6</f>
        <v>0</v>
      </c>
      <c r="M10468" t="inlineStr">
        <is>
          <t>-513K29.0</t>
        </is>
      </c>
    </row>
    <row r="10469">
      <c r="A10469">
        <v>10468</v>
      </c>
      <c r="B10469">
        <f>GS14</f>
        <v>0</v>
      </c>
      <c r="C10469" t="inlineStr">
        <is>
          <t>+LS9</t>
        </is>
      </c>
      <c r="D10469" t="inlineStr">
        <is>
          <t>-513K3516.4</t>
        </is>
      </c>
      <c r="E10469" t="inlineStr">
        <is>
          <t>DIL_EM-10-G</t>
        </is>
      </c>
      <c r="F10469" t="inlineStr">
        <is>
          <t>#KALK!</t>
        </is>
      </c>
      <c r="G10469" t="inlineStr">
        <is>
          <t>LASTSCHUETZ</t>
        </is>
      </c>
      <c r="H10469" t="inlineStr">
        <is>
          <t>4kW 1S</t>
        </is>
      </c>
      <c r="I10469">
        <v>645</v>
      </c>
      <c r="J10469">
        <f>GS14/513.6</f>
        <v>0</v>
      </c>
      <c r="M10469" t="inlineStr">
        <is>
          <t>-513K3516.4</t>
        </is>
      </c>
    </row>
    <row r="10470">
      <c r="A10470">
        <v>10469</v>
      </c>
      <c r="B10470">
        <f>GS14</f>
        <v>0</v>
      </c>
      <c r="C10470" t="inlineStr">
        <is>
          <t>+LS9</t>
        </is>
      </c>
      <c r="D10470" t="inlineStr">
        <is>
          <t>-513K3516.5</t>
        </is>
      </c>
      <c r="E10470" t="inlineStr">
        <is>
          <t>DIL_EM-10-G</t>
        </is>
      </c>
      <c r="F10470" t="inlineStr">
        <is>
          <t>#KALK!</t>
        </is>
      </c>
      <c r="G10470" t="inlineStr">
        <is>
          <t>LASTSCHUETZ</t>
        </is>
      </c>
      <c r="H10470" t="inlineStr">
        <is>
          <t>4kW 1S</t>
        </is>
      </c>
      <c r="I10470">
        <v>645</v>
      </c>
      <c r="J10470">
        <f>GS14/513.7</f>
        <v>0</v>
      </c>
      <c r="M10470" t="inlineStr">
        <is>
          <t>-513K3516.5</t>
        </is>
      </c>
    </row>
    <row r="10471">
      <c r="A10471">
        <v>10470</v>
      </c>
      <c r="B10471">
        <f>GS24</f>
        <v>0</v>
      </c>
      <c r="C10471" t="inlineStr">
        <is>
          <t>+LS10</t>
        </is>
      </c>
      <c r="D10471" t="inlineStr">
        <is>
          <t>-513K3550.4</t>
        </is>
      </c>
      <c r="E10471" t="inlineStr">
        <is>
          <t>DILM-9-10</t>
        </is>
      </c>
      <c r="F10471" t="inlineStr">
        <is>
          <t>#KALK!</t>
        </is>
      </c>
      <c r="G10471" t="inlineStr">
        <is>
          <t>LASTSCHUETZ</t>
        </is>
      </c>
      <c r="H10471" t="inlineStr">
        <is>
          <t>4kW 1S Federzugkl.</t>
        </is>
      </c>
      <c r="I10471">
        <v>583</v>
      </c>
      <c r="J10471">
        <f>GS24/513.6</f>
        <v>0</v>
      </c>
      <c r="K10471" t="inlineStr">
        <is>
          <t>DIL MC9</t>
        </is>
      </c>
      <c r="M10471" t="inlineStr">
        <is>
          <t>-513K3550.4</t>
        </is>
      </c>
    </row>
    <row r="10472">
      <c r="A10472">
        <v>10471</v>
      </c>
      <c r="B10472">
        <f>GS31</f>
        <v>0</v>
      </c>
      <c r="C10472" t="inlineStr">
        <is>
          <t>+LS10</t>
        </is>
      </c>
      <c r="D10472" t="inlineStr">
        <is>
          <t>-513K71.3</t>
        </is>
      </c>
      <c r="E10472" t="inlineStr">
        <is>
          <t>DIL_EM-10-G</t>
        </is>
      </c>
      <c r="F10472" t="inlineStr">
        <is>
          <t>#KALK!</t>
        </is>
      </c>
      <c r="G10472" t="inlineStr">
        <is>
          <t>LASTSCHUETZ</t>
        </is>
      </c>
      <c r="H10472" t="inlineStr">
        <is>
          <t>4kW 1S</t>
        </is>
      </c>
      <c r="I10472">
        <v>809</v>
      </c>
      <c r="J10472">
        <f>GS31/513.7</f>
        <v>0</v>
      </c>
      <c r="M10472" t="inlineStr">
        <is>
          <t>-513K71.3</t>
        </is>
      </c>
    </row>
    <row r="10473">
      <c r="A10473">
        <v>10472</v>
      </c>
      <c r="B10473">
        <f>GS13</f>
        <v>0</v>
      </c>
      <c r="C10473" t="inlineStr">
        <is>
          <t>+LS12</t>
        </is>
      </c>
      <c r="D10473" t="inlineStr">
        <is>
          <t>-51421.6</t>
        </is>
      </c>
      <c r="E10473" t="inlineStr">
        <is>
          <t>DIL_EM-10-G</t>
        </is>
      </c>
      <c r="F10473" t="inlineStr">
        <is>
          <t>#KALK!</t>
        </is>
      </c>
      <c r="G10473" t="inlineStr">
        <is>
          <t>LASTSCHUETZ</t>
        </is>
      </c>
      <c r="H10473" t="inlineStr">
        <is>
          <t>4kW 1S</t>
        </is>
      </c>
      <c r="I10473">
        <v>770</v>
      </c>
      <c r="J10473">
        <f>GS13/514.6</f>
        <v>0</v>
      </c>
      <c r="M10473" t="inlineStr">
        <is>
          <t>-51421.6</t>
        </is>
      </c>
    </row>
    <row r="10474">
      <c r="A10474">
        <v>10473</v>
      </c>
      <c r="B10474">
        <f>GS13</f>
        <v>0</v>
      </c>
      <c r="C10474" t="inlineStr">
        <is>
          <t>+LS12</t>
        </is>
      </c>
      <c r="D10474" t="inlineStr">
        <is>
          <t>-51421.7</t>
        </is>
      </c>
      <c r="E10474" t="inlineStr">
        <is>
          <t>DIL_EM-10-G</t>
        </is>
      </c>
      <c r="F10474" t="inlineStr">
        <is>
          <t>#KALK!</t>
        </is>
      </c>
      <c r="G10474" t="inlineStr">
        <is>
          <t>LASTSCHUETZ</t>
        </is>
      </c>
      <c r="H10474" t="inlineStr">
        <is>
          <t>4kW 1S</t>
        </is>
      </c>
      <c r="I10474">
        <v>770</v>
      </c>
      <c r="J10474">
        <f>GS13/514.6</f>
        <v>0</v>
      </c>
      <c r="M10474" t="inlineStr">
        <is>
          <t>-51421.7</t>
        </is>
      </c>
    </row>
    <row r="10475">
      <c r="A10475">
        <v>10474</v>
      </c>
      <c r="B10475">
        <f>GS23</f>
        <v>0</v>
      </c>
      <c r="C10475" t="inlineStr">
        <is>
          <t>+LS12</t>
        </is>
      </c>
      <c r="D10475" t="inlineStr">
        <is>
          <t>-514K21.6</t>
        </is>
      </c>
      <c r="E10475" t="inlineStr">
        <is>
          <t>DIL_EM-10-G</t>
        </is>
      </c>
      <c r="F10475" t="inlineStr">
        <is>
          <t>#KALK!</t>
        </is>
      </c>
      <c r="G10475" t="inlineStr">
        <is>
          <t>LASTSCHUETZ</t>
        </is>
      </c>
      <c r="H10475" t="inlineStr">
        <is>
          <t>4kW 1S</t>
        </is>
      </c>
      <c r="I10475">
        <v>824</v>
      </c>
      <c r="J10475">
        <f>GS23/514.6</f>
        <v>0</v>
      </c>
      <c r="M10475" t="inlineStr">
        <is>
          <t>-514K21.6</t>
        </is>
      </c>
    </row>
    <row r="10476">
      <c r="A10476">
        <v>10475</v>
      </c>
      <c r="B10476">
        <f>GS23</f>
        <v>0</v>
      </c>
      <c r="C10476" t="inlineStr">
        <is>
          <t>+LS12</t>
        </is>
      </c>
      <c r="D10476" t="inlineStr">
        <is>
          <t>-514K21.7</t>
        </is>
      </c>
      <c r="E10476" t="inlineStr">
        <is>
          <t>DIL_EM-10-G</t>
        </is>
      </c>
      <c r="F10476" t="inlineStr">
        <is>
          <t>#KALK!</t>
        </is>
      </c>
      <c r="G10476" t="inlineStr">
        <is>
          <t>LASTSCHUETZ</t>
        </is>
      </c>
      <c r="H10476" t="inlineStr">
        <is>
          <t>4kW 1S</t>
        </is>
      </c>
      <c r="I10476">
        <v>824</v>
      </c>
      <c r="J10476">
        <f>GS23/514.6</f>
        <v>0</v>
      </c>
      <c r="M10476" t="inlineStr">
        <is>
          <t>-514K21.7</t>
        </is>
      </c>
    </row>
    <row r="10477">
      <c r="A10477">
        <v>10476</v>
      </c>
      <c r="B10477">
        <f>GS14</f>
        <v>0</v>
      </c>
      <c r="C10477" t="inlineStr">
        <is>
          <t>+LS9</t>
        </is>
      </c>
      <c r="D10477" t="inlineStr">
        <is>
          <t>-514K3516.6</t>
        </is>
      </c>
      <c r="E10477" t="inlineStr">
        <is>
          <t>DIL_EM-10-G</t>
        </is>
      </c>
      <c r="F10477" t="inlineStr">
        <is>
          <t>#KALK!</t>
        </is>
      </c>
      <c r="G10477" t="inlineStr">
        <is>
          <t>LASTSCHUETZ</t>
        </is>
      </c>
      <c r="H10477" t="inlineStr">
        <is>
          <t>4kW 1S</t>
        </is>
      </c>
      <c r="I10477">
        <v>646</v>
      </c>
      <c r="J10477">
        <f>GS14/514.6</f>
        <v>0</v>
      </c>
      <c r="M10477" t="inlineStr">
        <is>
          <t>-514K3516.6</t>
        </is>
      </c>
    </row>
    <row r="10478">
      <c r="A10478">
        <v>10477</v>
      </c>
      <c r="B10478">
        <f>GS14</f>
        <v>0</v>
      </c>
      <c r="C10478" t="inlineStr">
        <is>
          <t>+LS9</t>
        </is>
      </c>
      <c r="D10478" t="inlineStr">
        <is>
          <t>-514K3516.7</t>
        </is>
      </c>
      <c r="E10478" t="inlineStr">
        <is>
          <t>DIL_EM-10-G</t>
        </is>
      </c>
      <c r="F10478" t="inlineStr">
        <is>
          <t>#KALK!</t>
        </is>
      </c>
      <c r="G10478" t="inlineStr">
        <is>
          <t>LASTSCHUETZ</t>
        </is>
      </c>
      <c r="H10478" t="inlineStr">
        <is>
          <t>4kW 1S</t>
        </is>
      </c>
      <c r="I10478">
        <v>646</v>
      </c>
      <c r="J10478">
        <f>GS14/514.7</f>
        <v>0</v>
      </c>
      <c r="M10478" t="inlineStr">
        <is>
          <t>-514K3516.7</t>
        </is>
      </c>
    </row>
    <row r="10479">
      <c r="A10479">
        <v>10478</v>
      </c>
      <c r="B10479">
        <f>GS31</f>
        <v>0</v>
      </c>
      <c r="C10479" t="inlineStr">
        <is>
          <t>+LS10</t>
        </is>
      </c>
      <c r="D10479" t="inlineStr">
        <is>
          <t>-514K72.7</t>
        </is>
      </c>
      <c r="E10479" t="inlineStr">
        <is>
          <t>DIL_EM-10-G</t>
        </is>
      </c>
      <c r="F10479" t="inlineStr">
        <is>
          <t>#KALK!</t>
        </is>
      </c>
      <c r="G10479" t="inlineStr">
        <is>
          <t>LASTSCHUETZ</t>
        </is>
      </c>
      <c r="H10479" t="inlineStr">
        <is>
          <t>4kW 1S</t>
        </is>
      </c>
      <c r="I10479">
        <v>810</v>
      </c>
      <c r="J10479">
        <f>GS31/514.7</f>
        <v>0</v>
      </c>
      <c r="M10479" t="inlineStr">
        <is>
          <t>-514K72.7</t>
        </is>
      </c>
    </row>
    <row r="10480">
      <c r="A10480">
        <v>10479</v>
      </c>
      <c r="B10480">
        <f>GS13</f>
        <v>0</v>
      </c>
      <c r="C10480" t="inlineStr">
        <is>
          <t>+LS12</t>
        </is>
      </c>
      <c r="D10480" t="inlineStr">
        <is>
          <t>-51522.0</t>
        </is>
      </c>
      <c r="E10480" t="inlineStr">
        <is>
          <t>DIL_EM-10-G</t>
        </is>
      </c>
      <c r="F10480" t="inlineStr">
        <is>
          <t>#KALK!</t>
        </is>
      </c>
      <c r="G10480" t="inlineStr">
        <is>
          <t>LASTSCHUETZ</t>
        </is>
      </c>
      <c r="H10480" t="inlineStr">
        <is>
          <t>4kW 1S</t>
        </is>
      </c>
      <c r="I10480">
        <v>771</v>
      </c>
      <c r="J10480">
        <f>GS13/515.6</f>
        <v>0</v>
      </c>
      <c r="M10480" t="inlineStr">
        <is>
          <t>-51522.0</t>
        </is>
      </c>
    </row>
    <row r="10481">
      <c r="A10481">
        <v>10480</v>
      </c>
      <c r="B10481">
        <f>GS13</f>
        <v>0</v>
      </c>
      <c r="C10481" t="inlineStr">
        <is>
          <t>+LS12</t>
        </is>
      </c>
      <c r="D10481" t="inlineStr">
        <is>
          <t>-51522.1</t>
        </is>
      </c>
      <c r="E10481" t="inlineStr">
        <is>
          <t>DIL_EM-10-G</t>
        </is>
      </c>
      <c r="F10481" t="inlineStr">
        <is>
          <t>#KALK!</t>
        </is>
      </c>
      <c r="G10481" t="inlineStr">
        <is>
          <t>LASTSCHUETZ</t>
        </is>
      </c>
      <c r="H10481" t="inlineStr">
        <is>
          <t>4kW 1S</t>
        </is>
      </c>
      <c r="I10481">
        <v>771</v>
      </c>
      <c r="J10481">
        <f>GS13/515.6</f>
        <v>0</v>
      </c>
      <c r="M10481" t="inlineStr">
        <is>
          <t>-51522.1</t>
        </is>
      </c>
    </row>
    <row r="10482">
      <c r="A10482">
        <v>10481</v>
      </c>
      <c r="B10482">
        <f>GS23</f>
        <v>0</v>
      </c>
      <c r="C10482" t="inlineStr">
        <is>
          <t>+LS12</t>
        </is>
      </c>
      <c r="D10482" t="inlineStr">
        <is>
          <t>-515K22.0</t>
        </is>
      </c>
      <c r="E10482" t="inlineStr">
        <is>
          <t>DIL_EM-10-G</t>
        </is>
      </c>
      <c r="F10482" t="inlineStr">
        <is>
          <t>#KALK!</t>
        </is>
      </c>
      <c r="G10482" t="inlineStr">
        <is>
          <t>LASTSCHUETZ</t>
        </is>
      </c>
      <c r="H10482" t="inlineStr">
        <is>
          <t>4kW 1S</t>
        </is>
      </c>
      <c r="I10482">
        <v>825</v>
      </c>
      <c r="J10482">
        <f>GS23/515.6</f>
        <v>0</v>
      </c>
      <c r="M10482" t="inlineStr">
        <is>
          <t>-515K22.0</t>
        </is>
      </c>
    </row>
    <row r="10483">
      <c r="A10483">
        <v>10482</v>
      </c>
      <c r="B10483">
        <f>GS23</f>
        <v>0</v>
      </c>
      <c r="C10483" t="inlineStr">
        <is>
          <t>+LS12</t>
        </is>
      </c>
      <c r="D10483" t="inlineStr">
        <is>
          <t>-515K22.1</t>
        </is>
      </c>
      <c r="E10483" t="inlineStr">
        <is>
          <t>DIL_EM-10-G</t>
        </is>
      </c>
      <c r="F10483" t="inlineStr">
        <is>
          <t>#KALK!</t>
        </is>
      </c>
      <c r="G10483" t="inlineStr">
        <is>
          <t>LASTSCHUETZ</t>
        </is>
      </c>
      <c r="H10483" t="inlineStr">
        <is>
          <t>4kW 1S</t>
        </is>
      </c>
      <c r="I10483">
        <v>825</v>
      </c>
      <c r="J10483">
        <f>GS23/515.6</f>
        <v>0</v>
      </c>
      <c r="M10483" t="inlineStr">
        <is>
          <t>-515K22.1</t>
        </is>
      </c>
    </row>
    <row r="10484">
      <c r="A10484">
        <v>10483</v>
      </c>
      <c r="B10484">
        <f>GS01</f>
        <v>0</v>
      </c>
      <c r="C10484" t="inlineStr">
        <is>
          <t>+LS11</t>
        </is>
      </c>
      <c r="D10484" t="inlineStr">
        <is>
          <t>-515K30.5</t>
        </is>
      </c>
      <c r="E10484" t="inlineStr">
        <is>
          <t>DIL_EM-10-G</t>
        </is>
      </c>
      <c r="F10484" t="inlineStr">
        <is>
          <t>#KALK!</t>
        </is>
      </c>
      <c r="G10484" t="inlineStr">
        <is>
          <t>LASTSCHUETZ</t>
        </is>
      </c>
      <c r="H10484" t="inlineStr">
        <is>
          <t>4kW 1S</t>
        </is>
      </c>
      <c r="I10484">
        <v>684</v>
      </c>
      <c r="J10484">
        <f>GS01/515.5</f>
        <v>0</v>
      </c>
      <c r="M10484" t="inlineStr">
        <is>
          <t>-515K30.5</t>
        </is>
      </c>
    </row>
    <row r="10485">
      <c r="A10485">
        <v>10484</v>
      </c>
      <c r="B10485">
        <f>GS01</f>
        <v>0</v>
      </c>
      <c r="C10485" t="inlineStr">
        <is>
          <t>+LS11</t>
        </is>
      </c>
      <c r="D10485" t="inlineStr">
        <is>
          <t>-515K30.6</t>
        </is>
      </c>
      <c r="E10485" t="inlineStr">
        <is>
          <t>DIL_EM-10-G</t>
        </is>
      </c>
      <c r="F10485" t="inlineStr">
        <is>
          <t>#KALK!</t>
        </is>
      </c>
      <c r="G10485" t="inlineStr">
        <is>
          <t>LASTSCHUETZ</t>
        </is>
      </c>
      <c r="H10485" t="inlineStr">
        <is>
          <t>4kW 1S</t>
        </is>
      </c>
      <c r="I10485">
        <v>684</v>
      </c>
      <c r="J10485">
        <f>GS01/515.6</f>
        <v>0</v>
      </c>
      <c r="M10485" t="inlineStr">
        <is>
          <t>-515K30.6</t>
        </is>
      </c>
    </row>
    <row r="10486">
      <c r="A10486">
        <v>10485</v>
      </c>
      <c r="B10486">
        <f>GS01</f>
        <v>0</v>
      </c>
      <c r="C10486" t="inlineStr">
        <is>
          <t>+LS11</t>
        </is>
      </c>
      <c r="D10486" t="inlineStr">
        <is>
          <t>-515K30.7</t>
        </is>
      </c>
      <c r="E10486" t="inlineStr">
        <is>
          <t>DIL_EM-01-G</t>
        </is>
      </c>
      <c r="F10486" t="inlineStr">
        <is>
          <t>#KALK!</t>
        </is>
      </c>
      <c r="G10486" t="inlineStr">
        <is>
          <t>LASTSCHUETZ</t>
        </is>
      </c>
      <c r="H10486" t="inlineStr">
        <is>
          <t>4kW 1OE</t>
        </is>
      </c>
      <c r="I10486">
        <v>684</v>
      </c>
      <c r="J10486">
        <f>GS01/515.7</f>
        <v>0</v>
      </c>
      <c r="M10486" t="inlineStr">
        <is>
          <t>-515K30.7</t>
        </is>
      </c>
    </row>
    <row r="10487">
      <c r="A10487">
        <v>10486</v>
      </c>
      <c r="B10487">
        <f>GS01</f>
        <v>0</v>
      </c>
      <c r="C10487" t="inlineStr">
        <is>
          <t>+LS11</t>
        </is>
      </c>
      <c r="D10487" t="inlineStr">
        <is>
          <t>-515K31.0</t>
        </is>
      </c>
      <c r="E10487" t="inlineStr">
        <is>
          <t>DIL_EM-01-G</t>
        </is>
      </c>
      <c r="F10487" t="inlineStr">
        <is>
          <t>#KALK!</t>
        </is>
      </c>
      <c r="G10487" t="inlineStr">
        <is>
          <t>LASTSCHUETZ</t>
        </is>
      </c>
      <c r="H10487" t="inlineStr">
        <is>
          <t>4kW 1OE</t>
        </is>
      </c>
      <c r="I10487">
        <v>684</v>
      </c>
      <c r="J10487">
        <f>GS01/515.8</f>
        <v>0</v>
      </c>
      <c r="M10487" t="inlineStr">
        <is>
          <t>-515K31.0</t>
        </is>
      </c>
    </row>
    <row r="10488">
      <c r="A10488">
        <v>10487</v>
      </c>
      <c r="B10488">
        <f>GS91</f>
        <v>0</v>
      </c>
      <c r="C10488" t="inlineStr">
        <is>
          <t>+LS10</t>
        </is>
      </c>
      <c r="D10488" t="inlineStr">
        <is>
          <t>-515K471.4</t>
        </is>
      </c>
      <c r="E10488" t="inlineStr">
        <is>
          <t>DILA-40</t>
        </is>
      </c>
      <c r="F10488" t="inlineStr">
        <is>
          <t>#KALK!</t>
        </is>
      </c>
      <c r="G10488" t="inlineStr">
        <is>
          <t>HILFSSCHUETZ</t>
        </is>
      </c>
      <c r="H10488" t="inlineStr">
        <is>
          <t>4S Federzugkl.</t>
        </is>
      </c>
      <c r="I10488">
        <v>663</v>
      </c>
      <c r="J10488">
        <f>GS91/515.7</f>
        <v>0</v>
      </c>
      <c r="M10488" t="inlineStr">
        <is>
          <t>-515K471.4</t>
        </is>
      </c>
    </row>
    <row r="10489">
      <c r="A10489">
        <v>10488</v>
      </c>
      <c r="B10489">
        <f>GS90</f>
        <v>0</v>
      </c>
      <c r="C10489" t="inlineStr">
        <is>
          <t>+LS10</t>
        </is>
      </c>
      <c r="D10489" t="inlineStr">
        <is>
          <t>-515K477.0</t>
        </is>
      </c>
      <c r="E10489" t="inlineStr">
        <is>
          <t>DILA-40</t>
        </is>
      </c>
      <c r="F10489" t="inlineStr">
        <is>
          <t>#KALK!</t>
        </is>
      </c>
      <c r="G10489" t="inlineStr">
        <is>
          <t>HILFSSCHUETZ</t>
        </is>
      </c>
      <c r="H10489" t="inlineStr">
        <is>
          <t>4S Federzugkl.</t>
        </is>
      </c>
      <c r="I10489">
        <v>739</v>
      </c>
      <c r="J10489">
        <f>GS90/515.7</f>
        <v>0</v>
      </c>
      <c r="M10489" t="inlineStr">
        <is>
          <t>-515K477.0</t>
        </is>
      </c>
    </row>
    <row r="10490">
      <c r="A10490">
        <v>10489</v>
      </c>
      <c r="B10490">
        <f>GS31</f>
        <v>0</v>
      </c>
      <c r="C10490" t="inlineStr">
        <is>
          <t>+LS10</t>
        </is>
      </c>
      <c r="D10490" t="inlineStr">
        <is>
          <t>-515K73.5</t>
        </is>
      </c>
      <c r="E10490" t="inlineStr">
        <is>
          <t>DIL_EM-10-G</t>
        </is>
      </c>
      <c r="F10490" t="inlineStr">
        <is>
          <t>#KALK!</t>
        </is>
      </c>
      <c r="G10490" t="inlineStr">
        <is>
          <t>LASTSCHUETZ</t>
        </is>
      </c>
      <c r="H10490" t="inlineStr">
        <is>
          <t>4kW 1S</t>
        </is>
      </c>
      <c r="I10490">
        <v>811</v>
      </c>
      <c r="J10490">
        <f>GS31/515.7</f>
        <v>0</v>
      </c>
      <c r="M10490" t="inlineStr">
        <is>
          <t>-515K73.5</t>
        </is>
      </c>
    </row>
    <row r="10491">
      <c r="A10491">
        <v>10490</v>
      </c>
      <c r="B10491">
        <f>GS05</f>
        <v>0</v>
      </c>
      <c r="C10491" t="inlineStr">
        <is>
          <t>+LS08</t>
        </is>
      </c>
      <c r="D10491" t="inlineStr">
        <is>
          <t>-515Q1</t>
        </is>
      </c>
      <c r="E10491" t="inlineStr">
        <is>
          <t>DILA-XHI22</t>
        </is>
      </c>
      <c r="F10491" t="inlineStr">
        <is>
          <t>DILA-XHI22</t>
        </is>
      </c>
      <c r="G10491" t="inlineStr">
        <is>
          <t>HILFSKONTAKTBLOCK</t>
        </is>
      </c>
      <c r="H10491" t="inlineStr">
        <is>
          <t>2S 2OE Last+Hilfssch. Cage</t>
        </is>
      </c>
      <c r="I10491">
        <v>2424</v>
      </c>
      <c r="J10491">
        <f>GS05/515.6</f>
        <v>0</v>
      </c>
      <c r="K10491" t="inlineStr">
        <is>
          <t>DIL MC25</t>
        </is>
      </c>
      <c r="M10491" t="inlineStr">
        <is>
          <t>-515Q1</t>
        </is>
      </c>
    </row>
    <row r="10492">
      <c r="A10492">
        <v>10491</v>
      </c>
      <c r="B10492">
        <f>GS05</f>
        <v>0</v>
      </c>
      <c r="C10492" t="inlineStr">
        <is>
          <t>+LS08</t>
        </is>
      </c>
      <c r="D10492" t="inlineStr">
        <is>
          <t>-515Q1</t>
        </is>
      </c>
      <c r="E10492" t="inlineStr">
        <is>
          <t>DILMC25-10(RDC24)</t>
        </is>
      </c>
      <c r="F10492" t="inlineStr">
        <is>
          <t>DILA-XHI22</t>
        </is>
      </c>
      <c r="G10492" t="inlineStr">
        <is>
          <t>LASTSCHUETZ</t>
        </is>
      </c>
      <c r="H10492" t="inlineStr">
        <is>
          <t>11kW 1S Federzugkl.</t>
        </is>
      </c>
      <c r="I10492">
        <v>2424</v>
      </c>
      <c r="J10492">
        <f>GS05/515.6</f>
        <v>0</v>
      </c>
      <c r="K10492" t="inlineStr">
        <is>
          <t>DIL MC25</t>
        </is>
      </c>
      <c r="M10492" t="inlineStr">
        <is>
          <t>-515Q1</t>
        </is>
      </c>
    </row>
    <row r="10493">
      <c r="A10493">
        <v>10492</v>
      </c>
      <c r="B10493">
        <f>GS06</f>
        <v>0</v>
      </c>
      <c r="C10493" t="inlineStr">
        <is>
          <t>+LS08</t>
        </is>
      </c>
      <c r="D10493" t="inlineStr">
        <is>
          <t>-515Q1</t>
        </is>
      </c>
      <c r="E10493" t="inlineStr">
        <is>
          <t>DILA-XHI22</t>
        </is>
      </c>
      <c r="F10493" t="inlineStr">
        <is>
          <t>DILA-XHI22</t>
        </is>
      </c>
      <c r="G10493" t="inlineStr">
        <is>
          <t>HILFSKONTAKTBLOCK</t>
        </is>
      </c>
      <c r="H10493" t="inlineStr">
        <is>
          <t>2S 2OE Last+Hilfssch. Cage</t>
        </is>
      </c>
      <c r="I10493">
        <v>625</v>
      </c>
      <c r="J10493">
        <f>GS06/515.6</f>
        <v>0</v>
      </c>
      <c r="K10493" t="inlineStr">
        <is>
          <t>DIL MC25</t>
        </is>
      </c>
      <c r="M10493" t="inlineStr">
        <is>
          <t>-515Q1</t>
        </is>
      </c>
    </row>
    <row r="10494">
      <c r="A10494">
        <v>10493</v>
      </c>
      <c r="B10494">
        <f>GS06</f>
        <v>0</v>
      </c>
      <c r="C10494" t="inlineStr">
        <is>
          <t>+LS08</t>
        </is>
      </c>
      <c r="D10494" t="inlineStr">
        <is>
          <t>-515Q1</t>
        </is>
      </c>
      <c r="E10494" t="inlineStr">
        <is>
          <t>DILMC25-10(RDC24)</t>
        </is>
      </c>
      <c r="F10494" t="inlineStr">
        <is>
          <t>DILA-XHI22</t>
        </is>
      </c>
      <c r="G10494" t="inlineStr">
        <is>
          <t>LASTSCHUETZ</t>
        </is>
      </c>
      <c r="H10494" t="inlineStr">
        <is>
          <t>11kW 1S Federzugkl.</t>
        </is>
      </c>
      <c r="I10494">
        <v>625</v>
      </c>
      <c r="J10494">
        <f>GS06/515.6</f>
        <v>0</v>
      </c>
      <c r="K10494" t="inlineStr">
        <is>
          <t>DIL MC25</t>
        </is>
      </c>
      <c r="M10494" t="inlineStr">
        <is>
          <t>-515Q1</t>
        </is>
      </c>
    </row>
    <row r="10495">
      <c r="A10495">
        <v>10494</v>
      </c>
      <c r="B10495">
        <f>GS90</f>
        <v>0</v>
      </c>
      <c r="C10495" t="inlineStr">
        <is>
          <t>+LS10</t>
        </is>
      </c>
      <c r="D10495" t="inlineStr">
        <is>
          <t>-515Q1</t>
        </is>
      </c>
      <c r="E10495" t="inlineStr">
        <is>
          <t>DILMC25-10(RDC24)</t>
        </is>
      </c>
      <c r="F10495" t="inlineStr">
        <is>
          <t>DILA-XHI22</t>
        </is>
      </c>
      <c r="G10495" t="inlineStr">
        <is>
          <t>LASTSCHUETZ</t>
        </is>
      </c>
      <c r="H10495" t="inlineStr">
        <is>
          <t>11kW 1S Federzugkl.</t>
        </is>
      </c>
      <c r="I10495">
        <v>739</v>
      </c>
      <c r="J10495">
        <f>GS90/515.4</f>
        <v>0</v>
      </c>
      <c r="K10495" t="inlineStr">
        <is>
          <t>DIL MC25</t>
        </is>
      </c>
      <c r="M10495" t="inlineStr">
        <is>
          <t>-515Q1</t>
        </is>
      </c>
    </row>
    <row r="10496">
      <c r="A10496">
        <v>10495</v>
      </c>
      <c r="B10496">
        <f>GS90</f>
        <v>0</v>
      </c>
      <c r="C10496" t="inlineStr">
        <is>
          <t>+LS10</t>
        </is>
      </c>
      <c r="D10496" t="inlineStr">
        <is>
          <t>-515Q1</t>
        </is>
      </c>
      <c r="E10496" t="inlineStr">
        <is>
          <t>DILA-XHI22</t>
        </is>
      </c>
      <c r="F10496" t="inlineStr">
        <is>
          <t>DILA-XHI22</t>
        </is>
      </c>
      <c r="G10496" t="inlineStr">
        <is>
          <t>HILFSKONTAKTBLOCK</t>
        </is>
      </c>
      <c r="H10496" t="inlineStr">
        <is>
          <t>2S 2OE Last+Hilfssch. Cage</t>
        </is>
      </c>
      <c r="I10496">
        <v>739</v>
      </c>
      <c r="J10496">
        <f>GS90/515.4</f>
        <v>0</v>
      </c>
      <c r="K10496" t="inlineStr">
        <is>
          <t>DIL MC25</t>
        </is>
      </c>
      <c r="M10496" t="inlineStr">
        <is>
          <t>-515Q1</t>
        </is>
      </c>
    </row>
    <row r="10497">
      <c r="A10497">
        <v>10496</v>
      </c>
      <c r="B10497">
        <f>GS91</f>
        <v>0</v>
      </c>
      <c r="C10497" t="inlineStr">
        <is>
          <t>+LS10</t>
        </is>
      </c>
      <c r="D10497" t="inlineStr">
        <is>
          <t>-515Q1</t>
        </is>
      </c>
      <c r="E10497" t="inlineStr">
        <is>
          <t>DILA-XHI22</t>
        </is>
      </c>
      <c r="F10497" t="inlineStr">
        <is>
          <t>DILA-XHI22</t>
        </is>
      </c>
      <c r="G10497" t="inlineStr">
        <is>
          <t>HILFSKONTAKTBLOCK</t>
        </is>
      </c>
      <c r="H10497" t="inlineStr">
        <is>
          <t>2S 2OE Last+Hilfssch. Cage</t>
        </is>
      </c>
      <c r="I10497">
        <v>663</v>
      </c>
      <c r="J10497">
        <f>GS91/515.4</f>
        <v>0</v>
      </c>
      <c r="K10497" t="inlineStr">
        <is>
          <t>DIL MC25</t>
        </is>
      </c>
      <c r="M10497" t="inlineStr">
        <is>
          <t>-515Q1</t>
        </is>
      </c>
    </row>
    <row r="10498">
      <c r="A10498">
        <v>10497</v>
      </c>
      <c r="B10498">
        <f>GS91</f>
        <v>0</v>
      </c>
      <c r="C10498" t="inlineStr">
        <is>
          <t>+LS10</t>
        </is>
      </c>
      <c r="D10498" t="inlineStr">
        <is>
          <t>-515Q1</t>
        </is>
      </c>
      <c r="E10498" t="inlineStr">
        <is>
          <t>DILMC25-10(RDC24)</t>
        </is>
      </c>
      <c r="F10498" t="inlineStr">
        <is>
          <t>DILA-XHI22</t>
        </is>
      </c>
      <c r="G10498" t="inlineStr">
        <is>
          <t>LASTSCHUETZ</t>
        </is>
      </c>
      <c r="H10498" t="inlineStr">
        <is>
          <t>11kW 1S Federzugkl.</t>
        </is>
      </c>
      <c r="I10498">
        <v>663</v>
      </c>
      <c r="J10498">
        <f>GS91/515.4</f>
        <v>0</v>
      </c>
      <c r="K10498" t="inlineStr">
        <is>
          <t>DIL MC25</t>
        </is>
      </c>
      <c r="M10498" t="inlineStr">
        <is>
          <t>-515Q1</t>
        </is>
      </c>
    </row>
    <row r="10499">
      <c r="A10499">
        <v>10498</v>
      </c>
      <c r="B10499">
        <f>GS52</f>
        <v>0</v>
      </c>
      <c r="C10499" t="inlineStr">
        <is>
          <t>+LS08</t>
        </is>
      </c>
      <c r="D10499" t="inlineStr">
        <is>
          <t>-515Q179.3</t>
        </is>
      </c>
      <c r="E10499" t="inlineStr">
        <is>
          <t>DILM-9-10</t>
        </is>
      </c>
      <c r="F10499" t="inlineStr">
        <is>
          <t>#KALK!</t>
        </is>
      </c>
      <c r="G10499" t="inlineStr">
        <is>
          <t>LASTSCHUETZ</t>
        </is>
      </c>
      <c r="H10499" t="inlineStr">
        <is>
          <t>4kW 1S Federzugkl.</t>
        </is>
      </c>
      <c r="I10499">
        <v>1497</v>
      </c>
      <c r="J10499">
        <f>GS52/515.6</f>
        <v>0</v>
      </c>
      <c r="K10499" t="inlineStr">
        <is>
          <t>DIL MC9</t>
        </is>
      </c>
      <c r="M10499" t="inlineStr">
        <is>
          <t>-515Q179.3</t>
        </is>
      </c>
    </row>
    <row r="10500">
      <c r="A10500">
        <v>10499</v>
      </c>
      <c r="B10500">
        <f>GS13</f>
        <v>0</v>
      </c>
      <c r="C10500" t="inlineStr">
        <is>
          <t>+LS12</t>
        </is>
      </c>
      <c r="D10500" t="inlineStr">
        <is>
          <t>-51622.5</t>
        </is>
      </c>
      <c r="E10500" t="inlineStr">
        <is>
          <t>DIL_EM-10-G</t>
        </is>
      </c>
      <c r="F10500" t="inlineStr">
        <is>
          <t>#KALK!</t>
        </is>
      </c>
      <c r="G10500" t="inlineStr">
        <is>
          <t>LASTSCHUETZ</t>
        </is>
      </c>
      <c r="H10500" t="inlineStr">
        <is>
          <t>4kW 1S</t>
        </is>
      </c>
      <c r="I10500">
        <v>772</v>
      </c>
      <c r="J10500">
        <f>GS13/516.7</f>
        <v>0</v>
      </c>
      <c r="M10500" t="inlineStr">
        <is>
          <t>-51622.5</t>
        </is>
      </c>
    </row>
    <row r="10501">
      <c r="A10501">
        <v>10500</v>
      </c>
      <c r="B10501">
        <f>GC22</f>
        <v>0</v>
      </c>
      <c r="C10501" t="inlineStr">
        <is>
          <t>+QVW2301</t>
        </is>
      </c>
      <c r="D10501" t="inlineStr">
        <is>
          <t>-516K1</t>
        </is>
      </c>
      <c r="E10501" t="inlineStr">
        <is>
          <t>DIL_1AM-G</t>
        </is>
      </c>
      <c r="F10501" t="inlineStr">
        <is>
          <t>#KALK!</t>
        </is>
      </c>
      <c r="G10501" t="inlineStr">
        <is>
          <t>LASTSCHUETZ</t>
        </is>
      </c>
      <c r="H10501" t="inlineStr">
        <is>
          <t>18,5kW</t>
        </is>
      </c>
      <c r="I10501">
        <v>2966</v>
      </c>
      <c r="J10501">
        <f>GC22/516.2</f>
        <v>0</v>
      </c>
      <c r="M10501" t="inlineStr">
        <is>
          <t>-516K1</t>
        </is>
      </c>
    </row>
    <row r="10502">
      <c r="A10502">
        <v>10501</v>
      </c>
      <c r="B10502">
        <f>GS12</f>
        <v>0</v>
      </c>
      <c r="C10502" t="inlineStr">
        <is>
          <t>+QVW2301</t>
        </is>
      </c>
      <c r="D10502" t="inlineStr">
        <is>
          <t>-516K1</t>
        </is>
      </c>
      <c r="E10502" t="inlineStr">
        <is>
          <t>DIL_1AM-G</t>
        </is>
      </c>
      <c r="F10502" t="inlineStr">
        <is>
          <t>#KALK!</t>
        </is>
      </c>
      <c r="G10502" t="inlineStr">
        <is>
          <t>LASTSCHUETZ</t>
        </is>
      </c>
      <c r="H10502" t="inlineStr">
        <is>
          <t>18,5kW</t>
        </is>
      </c>
      <c r="I10502">
        <v>648</v>
      </c>
      <c r="J10502">
        <f>GS12/516.2</f>
        <v>0</v>
      </c>
      <c r="M10502" t="inlineStr">
        <is>
          <t>-516K1</t>
        </is>
      </c>
    </row>
    <row r="10503">
      <c r="A10503">
        <v>10502</v>
      </c>
      <c r="B10503">
        <f>GS34</f>
        <v>0</v>
      </c>
      <c r="C10503" t="inlineStr">
        <is>
          <t>+QVW2801</t>
        </is>
      </c>
      <c r="D10503" t="inlineStr">
        <is>
          <t>-516K1</t>
        </is>
      </c>
      <c r="E10503" t="inlineStr">
        <is>
          <t>DIL_1AM-G</t>
        </is>
      </c>
      <c r="F10503" t="inlineStr">
        <is>
          <t>#KALK!</t>
        </is>
      </c>
      <c r="G10503" t="inlineStr">
        <is>
          <t>LASTSCHUETZ</t>
        </is>
      </c>
      <c r="H10503" t="inlineStr">
        <is>
          <t>18,5kW</t>
        </is>
      </c>
      <c r="I10503">
        <v>641</v>
      </c>
      <c r="J10503">
        <f>GS34/516.2</f>
        <v>0</v>
      </c>
      <c r="M10503" t="inlineStr">
        <is>
          <t>-516K1</t>
        </is>
      </c>
    </row>
    <row r="10504">
      <c r="A10504">
        <v>10503</v>
      </c>
      <c r="B10504">
        <f>GS23</f>
        <v>0</v>
      </c>
      <c r="C10504" t="inlineStr">
        <is>
          <t>+LS12</t>
        </is>
      </c>
      <c r="D10504" t="inlineStr">
        <is>
          <t>-516K22.5</t>
        </is>
      </c>
      <c r="E10504" t="inlineStr">
        <is>
          <t>DIL_EM-10-G</t>
        </is>
      </c>
      <c r="F10504" t="inlineStr">
        <is>
          <t>#KALK!</t>
        </is>
      </c>
      <c r="G10504" t="inlineStr">
        <is>
          <t>LASTSCHUETZ</t>
        </is>
      </c>
      <c r="H10504" t="inlineStr">
        <is>
          <t>4kW 1S</t>
        </is>
      </c>
      <c r="I10504">
        <v>826</v>
      </c>
      <c r="J10504">
        <f>GS23/516.7</f>
        <v>0</v>
      </c>
      <c r="M10504" t="inlineStr">
        <is>
          <t>-516K22.5</t>
        </is>
      </c>
    </row>
    <row r="10505">
      <c r="A10505">
        <v>10504</v>
      </c>
      <c r="B10505">
        <f>GS01</f>
        <v>0</v>
      </c>
      <c r="C10505" t="inlineStr">
        <is>
          <t>+LS11</t>
        </is>
      </c>
      <c r="D10505" t="inlineStr">
        <is>
          <t>-516K31.1</t>
        </is>
      </c>
      <c r="E10505" t="inlineStr">
        <is>
          <t>DIL_EM-10-G</t>
        </is>
      </c>
      <c r="F10505" t="inlineStr">
        <is>
          <t>#KALK!</t>
        </is>
      </c>
      <c r="G10505" t="inlineStr">
        <is>
          <t>LASTSCHUETZ</t>
        </is>
      </c>
      <c r="H10505" t="inlineStr">
        <is>
          <t>4kW 1S</t>
        </is>
      </c>
      <c r="I10505">
        <v>685</v>
      </c>
      <c r="J10505">
        <f>GS01/516.6</f>
        <v>0</v>
      </c>
      <c r="M10505" t="inlineStr">
        <is>
          <t>-516K31.1</t>
        </is>
      </c>
    </row>
    <row r="10506">
      <c r="A10506">
        <v>10505</v>
      </c>
      <c r="B10506">
        <f>GS01</f>
        <v>0</v>
      </c>
      <c r="C10506" t="inlineStr">
        <is>
          <t>+LS11</t>
        </is>
      </c>
      <c r="D10506" t="inlineStr">
        <is>
          <t>-516K31.2</t>
        </is>
      </c>
      <c r="E10506" t="inlineStr">
        <is>
          <t>DIL_EM-10-G</t>
        </is>
      </c>
      <c r="F10506" t="inlineStr">
        <is>
          <t>#KALK!</t>
        </is>
      </c>
      <c r="G10506" t="inlineStr">
        <is>
          <t>LASTSCHUETZ</t>
        </is>
      </c>
      <c r="H10506" t="inlineStr">
        <is>
          <t>4kW 1S</t>
        </is>
      </c>
      <c r="I10506">
        <v>685</v>
      </c>
      <c r="J10506">
        <f>GS01/516.6</f>
        <v>0</v>
      </c>
      <c r="M10506" t="inlineStr">
        <is>
          <t>-516K31.2</t>
        </is>
      </c>
    </row>
    <row r="10507">
      <c r="A10507">
        <v>10506</v>
      </c>
      <c r="B10507">
        <f>GS31</f>
        <v>0</v>
      </c>
      <c r="C10507" t="inlineStr">
        <is>
          <t>+LS10</t>
        </is>
      </c>
      <c r="D10507" t="inlineStr">
        <is>
          <t>-516K74.3</t>
        </is>
      </c>
      <c r="E10507" t="inlineStr">
        <is>
          <t>DIL_EM-10-G</t>
        </is>
      </c>
      <c r="F10507" t="inlineStr">
        <is>
          <t>#KALK!</t>
        </is>
      </c>
      <c r="G10507" t="inlineStr">
        <is>
          <t>LASTSCHUETZ</t>
        </is>
      </c>
      <c r="H10507" t="inlineStr">
        <is>
          <t>4kW 1S</t>
        </is>
      </c>
      <c r="I10507">
        <v>812</v>
      </c>
      <c r="J10507">
        <f>GS31/516.7</f>
        <v>0</v>
      </c>
      <c r="M10507" t="inlineStr">
        <is>
          <t>-516K74.3</t>
        </is>
      </c>
    </row>
    <row r="10508">
      <c r="A10508">
        <v>10507</v>
      </c>
      <c r="B10508">
        <f>GS35</f>
        <v>0</v>
      </c>
      <c r="C10508" t="inlineStr">
        <is>
          <t>+LS12</t>
        </is>
      </c>
      <c r="D10508" t="inlineStr">
        <is>
          <t>-516Q470.3</t>
        </is>
      </c>
      <c r="E10508" t="inlineStr">
        <is>
          <t>DILM-9-10</t>
        </is>
      </c>
      <c r="F10508" t="inlineStr">
        <is>
          <t>#KALK!</t>
        </is>
      </c>
      <c r="G10508" t="inlineStr">
        <is>
          <t>LASTSCHUETZ</t>
        </is>
      </c>
      <c r="H10508" t="inlineStr">
        <is>
          <t>4kW 1S Federzugkl.</t>
        </is>
      </c>
      <c r="I10508">
        <v>670</v>
      </c>
      <c r="J10508">
        <f>GS35/516.6</f>
        <v>0</v>
      </c>
      <c r="M10508" t="inlineStr">
        <is>
          <t>-516Q470.3</t>
        </is>
      </c>
    </row>
    <row r="10509">
      <c r="A10509">
        <v>10508</v>
      </c>
      <c r="B10509">
        <f>GS13</f>
        <v>0</v>
      </c>
      <c r="C10509" t="inlineStr">
        <is>
          <t>+LS12</t>
        </is>
      </c>
      <c r="D10509" t="inlineStr">
        <is>
          <t>-51722.6</t>
        </is>
      </c>
      <c r="E10509" t="inlineStr">
        <is>
          <t>DIL_EM-10-G</t>
        </is>
      </c>
      <c r="F10509" t="inlineStr">
        <is>
          <t>#KALK!</t>
        </is>
      </c>
      <c r="G10509" t="inlineStr">
        <is>
          <t>LASTSCHUETZ</t>
        </is>
      </c>
      <c r="H10509" t="inlineStr">
        <is>
          <t>4kW 1S</t>
        </is>
      </c>
      <c r="I10509">
        <v>773</v>
      </c>
      <c r="J10509">
        <f>GS13/517.6</f>
        <v>0</v>
      </c>
      <c r="M10509" t="inlineStr">
        <is>
          <t>-51722.6</t>
        </is>
      </c>
    </row>
    <row r="10510">
      <c r="A10510">
        <v>10509</v>
      </c>
      <c r="B10510">
        <f>GS13</f>
        <v>0</v>
      </c>
      <c r="C10510" t="inlineStr">
        <is>
          <t>+LS12</t>
        </is>
      </c>
      <c r="D10510" t="inlineStr">
        <is>
          <t>-51722.7</t>
        </is>
      </c>
      <c r="E10510" t="inlineStr">
        <is>
          <t>DIL_EM-10-G</t>
        </is>
      </c>
      <c r="F10510" t="inlineStr">
        <is>
          <t>#KALK!</t>
        </is>
      </c>
      <c r="G10510" t="inlineStr">
        <is>
          <t>LASTSCHUETZ</t>
        </is>
      </c>
      <c r="H10510" t="inlineStr">
        <is>
          <t>4kW 1S</t>
        </is>
      </c>
      <c r="I10510">
        <v>773</v>
      </c>
      <c r="J10510">
        <f>GS13/517.6</f>
        <v>0</v>
      </c>
      <c r="M10510" t="inlineStr">
        <is>
          <t>-51722.7</t>
        </is>
      </c>
    </row>
    <row r="10511">
      <c r="A10511">
        <v>10510</v>
      </c>
      <c r="B10511">
        <f>GS23</f>
        <v>0</v>
      </c>
      <c r="C10511" t="inlineStr">
        <is>
          <t>+LS12</t>
        </is>
      </c>
      <c r="D10511" t="inlineStr">
        <is>
          <t>-517K22.6</t>
        </is>
      </c>
      <c r="E10511" t="inlineStr">
        <is>
          <t>DIL_EM-10-G</t>
        </is>
      </c>
      <c r="F10511" t="inlineStr">
        <is>
          <t>#KALK!</t>
        </is>
      </c>
      <c r="G10511" t="inlineStr">
        <is>
          <t>LASTSCHUETZ</t>
        </is>
      </c>
      <c r="H10511" t="inlineStr">
        <is>
          <t>4kW 1S</t>
        </is>
      </c>
      <c r="I10511">
        <v>827</v>
      </c>
      <c r="J10511">
        <f>GS23/517.6</f>
        <v>0</v>
      </c>
      <c r="M10511" t="inlineStr">
        <is>
          <t>-517K22.6</t>
        </is>
      </c>
    </row>
    <row r="10512">
      <c r="A10512">
        <v>10511</v>
      </c>
      <c r="B10512">
        <f>GS23</f>
        <v>0</v>
      </c>
      <c r="C10512" t="inlineStr">
        <is>
          <t>+LS12</t>
        </is>
      </c>
      <c r="D10512" t="inlineStr">
        <is>
          <t>-517K22.7</t>
        </is>
      </c>
      <c r="E10512" t="inlineStr">
        <is>
          <t>DIL_EM-10-G</t>
        </is>
      </c>
      <c r="F10512" t="inlineStr">
        <is>
          <t>#KALK!</t>
        </is>
      </c>
      <c r="G10512" t="inlineStr">
        <is>
          <t>LASTSCHUETZ</t>
        </is>
      </c>
      <c r="H10512" t="inlineStr">
        <is>
          <t>4kW 1S</t>
        </is>
      </c>
      <c r="I10512">
        <v>827</v>
      </c>
      <c r="J10512">
        <f>GS23/517.6</f>
        <v>0</v>
      </c>
      <c r="M10512" t="inlineStr">
        <is>
          <t>-517K22.7</t>
        </is>
      </c>
    </row>
    <row r="10513">
      <c r="A10513">
        <v>10512</v>
      </c>
      <c r="B10513">
        <f>GS01</f>
        <v>0</v>
      </c>
      <c r="C10513" t="inlineStr">
        <is>
          <t>+LS11</t>
        </is>
      </c>
      <c r="D10513" t="inlineStr">
        <is>
          <t>-517K29.1</t>
        </is>
      </c>
      <c r="E10513" t="inlineStr">
        <is>
          <t>DIL_EM-10-G</t>
        </is>
      </c>
      <c r="F10513" t="inlineStr">
        <is>
          <t>#KALK!</t>
        </is>
      </c>
      <c r="G10513" t="inlineStr">
        <is>
          <t>LASTSCHUETZ</t>
        </is>
      </c>
      <c r="H10513" t="inlineStr">
        <is>
          <t>4kW 1S</t>
        </is>
      </c>
      <c r="I10513">
        <v>686</v>
      </c>
      <c r="J10513">
        <f>GS01/517.6</f>
        <v>0</v>
      </c>
      <c r="M10513" t="inlineStr">
        <is>
          <t>-517K29.1</t>
        </is>
      </c>
    </row>
    <row r="10514">
      <c r="A10514">
        <v>10513</v>
      </c>
      <c r="B10514">
        <f>GS01</f>
        <v>0</v>
      </c>
      <c r="C10514" t="inlineStr">
        <is>
          <t>+LS11</t>
        </is>
      </c>
      <c r="D10514" t="inlineStr">
        <is>
          <t>-517K29.2</t>
        </is>
      </c>
      <c r="E10514" t="inlineStr">
        <is>
          <t>DIL_EM-10-G</t>
        </is>
      </c>
      <c r="F10514" t="inlineStr">
        <is>
          <t>#KALK!</t>
        </is>
      </c>
      <c r="G10514" t="inlineStr">
        <is>
          <t>LASTSCHUETZ</t>
        </is>
      </c>
      <c r="H10514" t="inlineStr">
        <is>
          <t>4kW 1S</t>
        </is>
      </c>
      <c r="I10514">
        <v>686</v>
      </c>
      <c r="J10514">
        <f>GS01/517.6</f>
        <v>0</v>
      </c>
      <c r="M10514" t="inlineStr">
        <is>
          <t>-517K29.2</t>
        </is>
      </c>
    </row>
    <row r="10515">
      <c r="A10515">
        <v>10514</v>
      </c>
      <c r="B10515">
        <f>GS13</f>
        <v>0</v>
      </c>
      <c r="C10515" t="inlineStr">
        <is>
          <t>+LS12</t>
        </is>
      </c>
      <c r="D10515" t="inlineStr">
        <is>
          <t>-51823.0</t>
        </is>
      </c>
      <c r="E10515" t="inlineStr">
        <is>
          <t>DIL_EM-10-G</t>
        </is>
      </c>
      <c r="F10515" t="inlineStr">
        <is>
          <t>#KALK!</t>
        </is>
      </c>
      <c r="G10515" t="inlineStr">
        <is>
          <t>LASTSCHUETZ</t>
        </is>
      </c>
      <c r="H10515" t="inlineStr">
        <is>
          <t>4kW 1S</t>
        </is>
      </c>
      <c r="I10515">
        <v>774</v>
      </c>
      <c r="J10515">
        <f>GS13/518.6</f>
        <v>0</v>
      </c>
      <c r="M10515" t="inlineStr">
        <is>
          <t>-51823.0</t>
        </is>
      </c>
    </row>
    <row r="10516">
      <c r="A10516">
        <v>10515</v>
      </c>
      <c r="B10516">
        <f>GS13</f>
        <v>0</v>
      </c>
      <c r="C10516" t="inlineStr">
        <is>
          <t>+LS12</t>
        </is>
      </c>
      <c r="D10516" t="inlineStr">
        <is>
          <t>-51823.1</t>
        </is>
      </c>
      <c r="E10516" t="inlineStr">
        <is>
          <t>DIL_EM-10-G</t>
        </is>
      </c>
      <c r="F10516" t="inlineStr">
        <is>
          <t>#KALK!</t>
        </is>
      </c>
      <c r="G10516" t="inlineStr">
        <is>
          <t>LASTSCHUETZ</t>
        </is>
      </c>
      <c r="H10516" t="inlineStr">
        <is>
          <t>4kW 1S</t>
        </is>
      </c>
      <c r="I10516">
        <v>774</v>
      </c>
      <c r="J10516">
        <f>GS13/518.6</f>
        <v>0</v>
      </c>
      <c r="M10516" t="inlineStr">
        <is>
          <t>-51823.1</t>
        </is>
      </c>
    </row>
    <row r="10517">
      <c r="A10517">
        <v>10516</v>
      </c>
      <c r="B10517">
        <f>GS23</f>
        <v>0</v>
      </c>
      <c r="C10517" t="inlineStr">
        <is>
          <t>+LS12</t>
        </is>
      </c>
      <c r="D10517" t="inlineStr">
        <is>
          <t>-518K23.0</t>
        </is>
      </c>
      <c r="E10517" t="inlineStr">
        <is>
          <t>DIL_EM-10-G</t>
        </is>
      </c>
      <c r="F10517" t="inlineStr">
        <is>
          <t>#KALK!</t>
        </is>
      </c>
      <c r="G10517" t="inlineStr">
        <is>
          <t>LASTSCHUETZ</t>
        </is>
      </c>
      <c r="H10517" t="inlineStr">
        <is>
          <t>4kW 1S</t>
        </is>
      </c>
      <c r="I10517">
        <v>828</v>
      </c>
      <c r="J10517">
        <f>GS23/518.6</f>
        <v>0</v>
      </c>
      <c r="M10517" t="inlineStr">
        <is>
          <t>-518K23.0</t>
        </is>
      </c>
    </row>
    <row r="10518">
      <c r="A10518">
        <v>10517</v>
      </c>
      <c r="B10518">
        <f>GS23</f>
        <v>0</v>
      </c>
      <c r="C10518" t="inlineStr">
        <is>
          <t>+LS12</t>
        </is>
      </c>
      <c r="D10518" t="inlineStr">
        <is>
          <t>-518K23.1</t>
        </is>
      </c>
      <c r="E10518" t="inlineStr">
        <is>
          <t>DIL_EM-10-G</t>
        </is>
      </c>
      <c r="F10518" t="inlineStr">
        <is>
          <t>#KALK!</t>
        </is>
      </c>
      <c r="G10518" t="inlineStr">
        <is>
          <t>LASTSCHUETZ</t>
        </is>
      </c>
      <c r="H10518" t="inlineStr">
        <is>
          <t>4kW 1S</t>
        </is>
      </c>
      <c r="I10518">
        <v>828</v>
      </c>
      <c r="J10518">
        <f>GS23/518.6</f>
        <v>0</v>
      </c>
      <c r="M10518" t="inlineStr">
        <is>
          <t>-518K23.1</t>
        </is>
      </c>
    </row>
    <row r="10519">
      <c r="A10519">
        <v>10518</v>
      </c>
      <c r="B10519">
        <f>GS01</f>
        <v>0</v>
      </c>
      <c r="C10519" t="inlineStr">
        <is>
          <t>+LS11</t>
        </is>
      </c>
      <c r="D10519" t="inlineStr">
        <is>
          <t>-518K31.3</t>
        </is>
      </c>
      <c r="E10519" t="inlineStr">
        <is>
          <t>DIL_EM-10-G</t>
        </is>
      </c>
      <c r="F10519" t="inlineStr">
        <is>
          <t>#KALK!</t>
        </is>
      </c>
      <c r="G10519" t="inlineStr">
        <is>
          <t>LASTSCHUETZ</t>
        </is>
      </c>
      <c r="H10519" t="inlineStr">
        <is>
          <t>4kW 1S</t>
        </is>
      </c>
      <c r="I10519">
        <v>687</v>
      </c>
      <c r="J10519">
        <f>GS01/518.6</f>
        <v>0</v>
      </c>
      <c r="M10519" t="inlineStr">
        <is>
          <t>-518K31.3</t>
        </is>
      </c>
    </row>
    <row r="10520">
      <c r="A10520">
        <v>10519</v>
      </c>
      <c r="B10520">
        <f>GS34</f>
        <v>0</v>
      </c>
      <c r="C10520" t="inlineStr">
        <is>
          <t>+QVW2801</t>
        </is>
      </c>
      <c r="D10520" t="inlineStr">
        <is>
          <t>-518K3908.2</t>
        </is>
      </c>
      <c r="E10520" t="inlineStr">
        <is>
          <t>DIL_ER-22-G</t>
        </is>
      </c>
      <c r="F10520" t="inlineStr">
        <is>
          <t>#KALK!</t>
        </is>
      </c>
      <c r="G10520" t="inlineStr">
        <is>
          <t>HILFSSCHUETZ</t>
        </is>
      </c>
      <c r="H10520" t="inlineStr">
        <is>
          <t>2S 2OE</t>
        </is>
      </c>
      <c r="I10520">
        <v>643</v>
      </c>
      <c r="J10520">
        <f>GS34/518.2</f>
        <v>0</v>
      </c>
      <c r="M10520" t="inlineStr">
        <is>
          <t>-518K3908.2</t>
        </is>
      </c>
    </row>
    <row r="10521">
      <c r="A10521">
        <v>10520</v>
      </c>
      <c r="B10521">
        <f>GS34</f>
        <v>0</v>
      </c>
      <c r="C10521" t="inlineStr">
        <is>
          <t>+QVW2801</t>
        </is>
      </c>
      <c r="D10521" t="inlineStr">
        <is>
          <t>-518K3908.3</t>
        </is>
      </c>
      <c r="E10521" t="inlineStr">
        <is>
          <t>DIL_EM-10-G</t>
        </is>
      </c>
      <c r="F10521" t="inlineStr">
        <is>
          <t>#KALK!</t>
        </is>
      </c>
      <c r="G10521" t="inlineStr">
        <is>
          <t>LASTSCHUETZ</t>
        </is>
      </c>
      <c r="H10521" t="inlineStr">
        <is>
          <t>4kW 1S</t>
        </is>
      </c>
      <c r="I10521">
        <v>643</v>
      </c>
      <c r="J10521">
        <f>GS34/518.5</f>
        <v>0</v>
      </c>
      <c r="M10521" t="inlineStr">
        <is>
          <t>-518K3908.3</t>
        </is>
      </c>
    </row>
    <row r="10522">
      <c r="A10522">
        <v>10521</v>
      </c>
      <c r="B10522">
        <f>GS34</f>
        <v>0</v>
      </c>
      <c r="C10522" t="inlineStr">
        <is>
          <t>+QVW2801</t>
        </is>
      </c>
      <c r="D10522" t="inlineStr">
        <is>
          <t>-518K3911.1</t>
        </is>
      </c>
      <c r="E10522" t="inlineStr">
        <is>
          <t>DIL_ER-22-G</t>
        </is>
      </c>
      <c r="F10522" t="inlineStr">
        <is>
          <t>#KALK!</t>
        </is>
      </c>
      <c r="G10522" t="inlineStr">
        <is>
          <t>HILFSSCHUETZ</t>
        </is>
      </c>
      <c r="H10522" t="inlineStr">
        <is>
          <t>2S 2OE</t>
        </is>
      </c>
      <c r="I10522">
        <v>643</v>
      </c>
      <c r="J10522">
        <f>GS34/518.3</f>
        <v>0</v>
      </c>
      <c r="M10522" t="inlineStr">
        <is>
          <t>-518K3911.1</t>
        </is>
      </c>
    </row>
    <row r="10523">
      <c r="A10523">
        <v>10522</v>
      </c>
      <c r="B10523">
        <f>GS34</f>
        <v>0</v>
      </c>
      <c r="C10523" t="inlineStr">
        <is>
          <t>+QVW2801</t>
        </is>
      </c>
      <c r="D10523" t="inlineStr">
        <is>
          <t>-518K3911.2</t>
        </is>
      </c>
      <c r="E10523" t="inlineStr">
        <is>
          <t>DIL_ER-22-G</t>
        </is>
      </c>
      <c r="F10523" t="inlineStr">
        <is>
          <t>#KALK!</t>
        </is>
      </c>
      <c r="G10523" t="inlineStr">
        <is>
          <t>HILFSSCHUETZ</t>
        </is>
      </c>
      <c r="H10523" t="inlineStr">
        <is>
          <t>2S 2OE</t>
        </is>
      </c>
      <c r="I10523">
        <v>643</v>
      </c>
      <c r="J10523">
        <f>GS34/518.4</f>
        <v>0</v>
      </c>
      <c r="M10523" t="inlineStr">
        <is>
          <t>-518K3911.2</t>
        </is>
      </c>
    </row>
    <row r="10524">
      <c r="A10524">
        <v>10523</v>
      </c>
      <c r="B10524">
        <f>GC22</f>
        <v>0</v>
      </c>
      <c r="C10524" t="inlineStr">
        <is>
          <t>+QVW2301</t>
        </is>
      </c>
      <c r="D10524" t="inlineStr">
        <is>
          <t>-518K72.2</t>
        </is>
      </c>
      <c r="E10524" t="inlineStr">
        <is>
          <t>DIL_ER-22-G</t>
        </is>
      </c>
      <c r="F10524" t="inlineStr">
        <is>
          <t>#KALK!</t>
        </is>
      </c>
      <c r="G10524" t="inlineStr">
        <is>
          <t>HILFSSCHUETZ</t>
        </is>
      </c>
      <c r="H10524" t="inlineStr">
        <is>
          <t>2S 2OE</t>
        </is>
      </c>
      <c r="I10524">
        <v>3334</v>
      </c>
      <c r="J10524">
        <f>GC22/518.2</f>
        <v>0</v>
      </c>
      <c r="M10524" t="inlineStr">
        <is>
          <t>-518K72.2</t>
        </is>
      </c>
    </row>
    <row r="10525">
      <c r="A10525">
        <v>10524</v>
      </c>
      <c r="B10525">
        <f>GS12</f>
        <v>0</v>
      </c>
      <c r="C10525" t="inlineStr">
        <is>
          <t>+QVW2301</t>
        </is>
      </c>
      <c r="D10525" t="inlineStr">
        <is>
          <t>-518K72.2</t>
        </is>
      </c>
      <c r="E10525" t="inlineStr">
        <is>
          <t>DIL_ER-22-G</t>
        </is>
      </c>
      <c r="F10525" t="inlineStr">
        <is>
          <t>#KALK!</t>
        </is>
      </c>
      <c r="G10525" t="inlineStr">
        <is>
          <t>HILFSSCHUETZ</t>
        </is>
      </c>
      <c r="H10525" t="inlineStr">
        <is>
          <t>2S 2OE</t>
        </is>
      </c>
      <c r="I10525">
        <v>650</v>
      </c>
      <c r="J10525">
        <f>GS12/518.2</f>
        <v>0</v>
      </c>
      <c r="M10525" t="inlineStr">
        <is>
          <t>-518K72.2</t>
        </is>
      </c>
    </row>
    <row r="10526">
      <c r="A10526">
        <v>10525</v>
      </c>
      <c r="B10526">
        <f>GC22</f>
        <v>0</v>
      </c>
      <c r="C10526" t="inlineStr">
        <is>
          <t>+QVW2301</t>
        </is>
      </c>
      <c r="D10526" t="inlineStr">
        <is>
          <t>-518K72.5</t>
        </is>
      </c>
      <c r="E10526" t="inlineStr">
        <is>
          <t>DIL_EM-10-G</t>
        </is>
      </c>
      <c r="F10526" t="inlineStr">
        <is>
          <t>#KALK!</t>
        </is>
      </c>
      <c r="G10526" t="inlineStr">
        <is>
          <t>LASTSCHUETZ</t>
        </is>
      </c>
      <c r="H10526" t="inlineStr">
        <is>
          <t>4kW 1S</t>
        </is>
      </c>
      <c r="I10526">
        <v>3334</v>
      </c>
      <c r="J10526">
        <f>GC22/518.5</f>
        <v>0</v>
      </c>
      <c r="M10526" t="inlineStr">
        <is>
          <t>-518K72.5</t>
        </is>
      </c>
    </row>
    <row r="10527">
      <c r="A10527">
        <v>10526</v>
      </c>
      <c r="B10527">
        <f>GS12</f>
        <v>0</v>
      </c>
      <c r="C10527" t="inlineStr">
        <is>
          <t>+QVW2301</t>
        </is>
      </c>
      <c r="D10527" t="inlineStr">
        <is>
          <t>-518K72.5</t>
        </is>
      </c>
      <c r="E10527" t="inlineStr">
        <is>
          <t>DIL_EM-10-G</t>
        </is>
      </c>
      <c r="F10527" t="inlineStr">
        <is>
          <t>#KALK!</t>
        </is>
      </c>
      <c r="G10527" t="inlineStr">
        <is>
          <t>LASTSCHUETZ</t>
        </is>
      </c>
      <c r="H10527" t="inlineStr">
        <is>
          <t>4kW 1S</t>
        </is>
      </c>
      <c r="I10527">
        <v>650</v>
      </c>
      <c r="J10527">
        <f>GS12/518.5</f>
        <v>0</v>
      </c>
      <c r="M10527" t="inlineStr">
        <is>
          <t>-518K72.5</t>
        </is>
      </c>
    </row>
    <row r="10528">
      <c r="A10528">
        <v>10527</v>
      </c>
      <c r="B10528">
        <f>GC22</f>
        <v>0</v>
      </c>
      <c r="C10528" t="inlineStr">
        <is>
          <t>+QVW2301</t>
        </is>
      </c>
      <c r="D10528" t="inlineStr">
        <is>
          <t>-518K75.4</t>
        </is>
      </c>
      <c r="E10528" t="inlineStr">
        <is>
          <t>DIL_ER-22-G</t>
        </is>
      </c>
      <c r="F10528" t="inlineStr">
        <is>
          <t>#KALK!</t>
        </is>
      </c>
      <c r="G10528" t="inlineStr">
        <is>
          <t>HILFSSCHUETZ</t>
        </is>
      </c>
      <c r="H10528" t="inlineStr">
        <is>
          <t>2S 2OE</t>
        </is>
      </c>
      <c r="I10528">
        <v>3334</v>
      </c>
      <c r="J10528">
        <f>GC22/518.3</f>
        <v>0</v>
      </c>
      <c r="M10528" t="inlineStr">
        <is>
          <t>-518K75.4</t>
        </is>
      </c>
    </row>
    <row r="10529">
      <c r="A10529">
        <v>10528</v>
      </c>
      <c r="B10529">
        <f>GS12</f>
        <v>0</v>
      </c>
      <c r="C10529" t="inlineStr">
        <is>
          <t>+QVW2301</t>
        </is>
      </c>
      <c r="D10529" t="inlineStr">
        <is>
          <t>-518K75.4</t>
        </is>
      </c>
      <c r="E10529" t="inlineStr">
        <is>
          <t>DIL_ER-22-G</t>
        </is>
      </c>
      <c r="F10529" t="inlineStr">
        <is>
          <t>#KALK!</t>
        </is>
      </c>
      <c r="G10529" t="inlineStr">
        <is>
          <t>HILFSSCHUETZ</t>
        </is>
      </c>
      <c r="H10529" t="inlineStr">
        <is>
          <t>2S 2OE</t>
        </is>
      </c>
      <c r="I10529">
        <v>650</v>
      </c>
      <c r="J10529">
        <f>GS12/518.3</f>
        <v>0</v>
      </c>
      <c r="M10529" t="inlineStr">
        <is>
          <t>-518K75.4</t>
        </is>
      </c>
    </row>
    <row r="10530">
      <c r="A10530">
        <v>10529</v>
      </c>
      <c r="B10530">
        <f>GC22</f>
        <v>0</v>
      </c>
      <c r="C10530" t="inlineStr">
        <is>
          <t>+QVW2301</t>
        </is>
      </c>
      <c r="D10530" t="inlineStr">
        <is>
          <t>-518K75.5</t>
        </is>
      </c>
      <c r="E10530" t="inlineStr">
        <is>
          <t>DIL_ER-22-G</t>
        </is>
      </c>
      <c r="F10530" t="inlineStr">
        <is>
          <t>#KALK!</t>
        </is>
      </c>
      <c r="G10530" t="inlineStr">
        <is>
          <t>HILFSSCHUETZ</t>
        </is>
      </c>
      <c r="H10530" t="inlineStr">
        <is>
          <t>2S 2OE</t>
        </is>
      </c>
      <c r="I10530">
        <v>3334</v>
      </c>
      <c r="J10530">
        <f>GC22/518.4</f>
        <v>0</v>
      </c>
      <c r="M10530" t="inlineStr">
        <is>
          <t>-518K75.5</t>
        </is>
      </c>
    </row>
    <row r="10531">
      <c r="A10531">
        <v>10530</v>
      </c>
      <c r="B10531">
        <f>GS12</f>
        <v>0</v>
      </c>
      <c r="C10531" t="inlineStr">
        <is>
          <t>+QVW2301</t>
        </is>
      </c>
      <c r="D10531" t="inlineStr">
        <is>
          <t>-518K75.5</t>
        </is>
      </c>
      <c r="E10531" t="inlineStr">
        <is>
          <t>DIL_ER-22-G</t>
        </is>
      </c>
      <c r="F10531" t="inlineStr">
        <is>
          <t>#KALK!</t>
        </is>
      </c>
      <c r="G10531" t="inlineStr">
        <is>
          <t>HILFSSCHUETZ</t>
        </is>
      </c>
      <c r="H10531" t="inlineStr">
        <is>
          <t>2S 2OE</t>
        </is>
      </c>
      <c r="I10531">
        <v>650</v>
      </c>
      <c r="J10531">
        <f>GS12/518.4</f>
        <v>0</v>
      </c>
      <c r="M10531" t="inlineStr">
        <is>
          <t>-518K75.5</t>
        </is>
      </c>
    </row>
    <row r="10532">
      <c r="A10532">
        <v>10531</v>
      </c>
      <c r="B10532">
        <f>GS13</f>
        <v>0</v>
      </c>
      <c r="C10532" t="inlineStr">
        <is>
          <t>+LS12</t>
        </is>
      </c>
      <c r="D10532" t="inlineStr">
        <is>
          <t>-51923.2</t>
        </is>
      </c>
      <c r="E10532" t="inlineStr">
        <is>
          <t>DIL_EM-10-G</t>
        </is>
      </c>
      <c r="F10532" t="inlineStr">
        <is>
          <t>#KALK!</t>
        </is>
      </c>
      <c r="G10532" t="inlineStr">
        <is>
          <t>LASTSCHUETZ</t>
        </is>
      </c>
      <c r="H10532" t="inlineStr">
        <is>
          <t>4kW 1S</t>
        </is>
      </c>
      <c r="I10532">
        <v>775</v>
      </c>
      <c r="J10532">
        <f>GS13/519.6</f>
        <v>0</v>
      </c>
      <c r="M10532" t="inlineStr">
        <is>
          <t>-51923.2</t>
        </is>
      </c>
    </row>
    <row r="10533">
      <c r="A10533">
        <v>10532</v>
      </c>
      <c r="B10533">
        <f>GS13</f>
        <v>0</v>
      </c>
      <c r="C10533" t="inlineStr">
        <is>
          <t>+LS12</t>
        </is>
      </c>
      <c r="D10533" t="inlineStr">
        <is>
          <t>-51923.3</t>
        </is>
      </c>
      <c r="E10533" t="inlineStr">
        <is>
          <t>DIL_EM-10-G</t>
        </is>
      </c>
      <c r="F10533" t="inlineStr">
        <is>
          <t>#KALK!</t>
        </is>
      </c>
      <c r="G10533" t="inlineStr">
        <is>
          <t>LASTSCHUETZ</t>
        </is>
      </c>
      <c r="H10533" t="inlineStr">
        <is>
          <t>4kW 1S</t>
        </is>
      </c>
      <c r="I10533">
        <v>775</v>
      </c>
      <c r="J10533">
        <f>GS13/519.6</f>
        <v>0</v>
      </c>
      <c r="M10533" t="inlineStr">
        <is>
          <t>-51923.3</t>
        </is>
      </c>
    </row>
    <row r="10534">
      <c r="A10534">
        <v>10533</v>
      </c>
      <c r="B10534">
        <f>GS23</f>
        <v>0</v>
      </c>
      <c r="C10534" t="inlineStr">
        <is>
          <t>+LS12</t>
        </is>
      </c>
      <c r="D10534" t="inlineStr">
        <is>
          <t>-519K23.2</t>
        </is>
      </c>
      <c r="E10534" t="inlineStr">
        <is>
          <t>DIL_EM-10-G</t>
        </is>
      </c>
      <c r="F10534" t="inlineStr">
        <is>
          <t>#KALK!</t>
        </is>
      </c>
      <c r="G10534" t="inlineStr">
        <is>
          <t>LASTSCHUETZ</t>
        </is>
      </c>
      <c r="H10534" t="inlineStr">
        <is>
          <t>4kW 1S</t>
        </is>
      </c>
      <c r="I10534">
        <v>829</v>
      </c>
      <c r="J10534">
        <f>GS23/519.6</f>
        <v>0</v>
      </c>
      <c r="M10534" t="inlineStr">
        <is>
          <t>-519K23.2</t>
        </is>
      </c>
    </row>
    <row r="10535">
      <c r="A10535">
        <v>10534</v>
      </c>
      <c r="B10535">
        <f>GS23</f>
        <v>0</v>
      </c>
      <c r="C10535" t="inlineStr">
        <is>
          <t>+LS12</t>
        </is>
      </c>
      <c r="D10535" t="inlineStr">
        <is>
          <t>-519K23.3</t>
        </is>
      </c>
      <c r="E10535" t="inlineStr">
        <is>
          <t>DIL_EM-10-G</t>
        </is>
      </c>
      <c r="F10535" t="inlineStr">
        <is>
          <t>#KALK!</t>
        </is>
      </c>
      <c r="G10535" t="inlineStr">
        <is>
          <t>LASTSCHUETZ</t>
        </is>
      </c>
      <c r="H10535" t="inlineStr">
        <is>
          <t>4kW 1S</t>
        </is>
      </c>
      <c r="I10535">
        <v>829</v>
      </c>
      <c r="J10535">
        <f>GS23/519.6</f>
        <v>0</v>
      </c>
      <c r="M10535" t="inlineStr">
        <is>
          <t>-519K23.3</t>
        </is>
      </c>
    </row>
    <row r="10536">
      <c r="A10536">
        <v>10535</v>
      </c>
      <c r="B10536">
        <f>GS01</f>
        <v>0</v>
      </c>
      <c r="C10536" t="inlineStr">
        <is>
          <t>+LS11</t>
        </is>
      </c>
      <c r="D10536" t="inlineStr">
        <is>
          <t>-519K31.7</t>
        </is>
      </c>
      <c r="E10536" t="inlineStr">
        <is>
          <t>DIL_EM-10-G</t>
        </is>
      </c>
      <c r="F10536" t="inlineStr">
        <is>
          <t>#KALK!</t>
        </is>
      </c>
      <c r="G10536" t="inlineStr">
        <is>
          <t>LASTSCHUETZ</t>
        </is>
      </c>
      <c r="H10536" t="inlineStr">
        <is>
          <t>4kW 1S</t>
        </is>
      </c>
      <c r="I10536">
        <v>688</v>
      </c>
      <c r="J10536">
        <f>GS01/519.7</f>
        <v>0</v>
      </c>
      <c r="M10536" t="inlineStr">
        <is>
          <t>-519K31.7</t>
        </is>
      </c>
    </row>
    <row r="10537">
      <c r="A10537">
        <v>10536</v>
      </c>
      <c r="B10537">
        <f>GS34</f>
        <v>0</v>
      </c>
      <c r="C10537" t="inlineStr">
        <is>
          <t>+QVW2801</t>
        </is>
      </c>
      <c r="D10537" t="inlineStr">
        <is>
          <t>-519K3908.4</t>
        </is>
      </c>
      <c r="E10537" t="inlineStr">
        <is>
          <t>DIL_EM-10-G</t>
        </is>
      </c>
      <c r="F10537" t="inlineStr">
        <is>
          <t>#KALK!</t>
        </is>
      </c>
      <c r="G10537" t="inlineStr">
        <is>
          <t>LASTSCHUETZ</t>
        </is>
      </c>
      <c r="H10537" t="inlineStr">
        <is>
          <t>4kW 1S</t>
        </is>
      </c>
      <c r="I10537">
        <v>644</v>
      </c>
      <c r="J10537">
        <f>GS34/519.7</f>
        <v>0</v>
      </c>
      <c r="M10537" t="inlineStr">
        <is>
          <t>-519K3908.4</t>
        </is>
      </c>
    </row>
    <row r="10538">
      <c r="A10538">
        <v>10537</v>
      </c>
      <c r="B10538">
        <f>GC22</f>
        <v>0</v>
      </c>
      <c r="C10538" t="inlineStr">
        <is>
          <t>+QVW2301</t>
        </is>
      </c>
      <c r="D10538" t="inlineStr">
        <is>
          <t>-519K72.1</t>
        </is>
      </c>
      <c r="E10538" t="inlineStr">
        <is>
          <t>DIL_EM-10-G</t>
        </is>
      </c>
      <c r="F10538" t="inlineStr">
        <is>
          <t>#KALK!</t>
        </is>
      </c>
      <c r="G10538" t="inlineStr">
        <is>
          <t>LASTSCHUETZ</t>
        </is>
      </c>
      <c r="H10538" t="inlineStr">
        <is>
          <t>4kW 1S</t>
        </is>
      </c>
      <c r="I10538">
        <v>3335</v>
      </c>
      <c r="J10538">
        <f>GC22/519.7</f>
        <v>0</v>
      </c>
      <c r="M10538" t="inlineStr">
        <is>
          <t>-519K72.1</t>
        </is>
      </c>
    </row>
    <row r="10539">
      <c r="A10539">
        <v>10538</v>
      </c>
      <c r="B10539">
        <f>GS12</f>
        <v>0</v>
      </c>
      <c r="C10539" t="inlineStr">
        <is>
          <t>+QVW2301</t>
        </is>
      </c>
      <c r="D10539" t="inlineStr">
        <is>
          <t>-519K72.1</t>
        </is>
      </c>
      <c r="E10539" t="inlineStr">
        <is>
          <t>DIL_EM-10-G</t>
        </is>
      </c>
      <c r="F10539" t="inlineStr">
        <is>
          <t>#KALK!</t>
        </is>
      </c>
      <c r="G10539" t="inlineStr">
        <is>
          <t>LASTSCHUETZ</t>
        </is>
      </c>
      <c r="H10539" t="inlineStr">
        <is>
          <t>4kW 1S</t>
        </is>
      </c>
      <c r="I10539">
        <v>651</v>
      </c>
      <c r="J10539">
        <f>GS12/519.7</f>
        <v>0</v>
      </c>
      <c r="M10539" t="inlineStr">
        <is>
          <t>-519K72.1</t>
        </is>
      </c>
    </row>
    <row r="10540">
      <c r="A10540">
        <v>10539</v>
      </c>
      <c r="B10540">
        <f>GS52</f>
        <v>0</v>
      </c>
      <c r="C10540" t="inlineStr">
        <is>
          <t>+LS08</t>
        </is>
      </c>
      <c r="D10540" t="inlineStr">
        <is>
          <t>-519Q179.7</t>
        </is>
      </c>
      <c r="E10540" t="inlineStr">
        <is>
          <t>DILM-9-10</t>
        </is>
      </c>
      <c r="F10540" t="inlineStr">
        <is>
          <t>#KALK!</t>
        </is>
      </c>
      <c r="G10540" t="inlineStr">
        <is>
          <t>LASTSCHUETZ</t>
        </is>
      </c>
      <c r="H10540" t="inlineStr">
        <is>
          <t>4kW 1S Federzugkl.</t>
        </is>
      </c>
      <c r="I10540">
        <v>1493</v>
      </c>
      <c r="J10540">
        <f>GS52/519.6</f>
        <v>0</v>
      </c>
      <c r="K10540" t="inlineStr">
        <is>
          <t>DIL MC9</t>
        </is>
      </c>
      <c r="M10540" t="inlineStr">
        <is>
          <t>-519Q179.7</t>
        </is>
      </c>
    </row>
    <row r="10541">
      <c r="A10541">
        <v>10540</v>
      </c>
      <c r="B10541">
        <f>GS13</f>
        <v>0</v>
      </c>
      <c r="C10541" t="inlineStr">
        <is>
          <t>+LS12</t>
        </is>
      </c>
      <c r="D10541" t="inlineStr">
        <is>
          <t>-52023.7</t>
        </is>
      </c>
      <c r="E10541" t="inlineStr">
        <is>
          <t>DIL_EM-10-G</t>
        </is>
      </c>
      <c r="F10541" t="inlineStr">
        <is>
          <t>#KALK!</t>
        </is>
      </c>
      <c r="G10541" t="inlineStr">
        <is>
          <t>LASTSCHUETZ</t>
        </is>
      </c>
      <c r="H10541" t="inlineStr">
        <is>
          <t>4kW 1S</t>
        </is>
      </c>
      <c r="I10541">
        <v>776</v>
      </c>
      <c r="J10541">
        <f>GS13/520.7</f>
        <v>0</v>
      </c>
      <c r="M10541" t="inlineStr">
        <is>
          <t>-52023.7</t>
        </is>
      </c>
    </row>
    <row r="10542">
      <c r="A10542">
        <v>10541</v>
      </c>
      <c r="B10542">
        <f>GS15</f>
        <v>0</v>
      </c>
      <c r="C10542" t="inlineStr">
        <is>
          <t>+LS10</t>
        </is>
      </c>
      <c r="D10542" t="inlineStr">
        <is>
          <t>-520K1</t>
        </is>
      </c>
      <c r="E10542" t="inlineStr">
        <is>
          <t>22_DIL-M</t>
        </is>
      </c>
      <c r="F10542" t="inlineStr">
        <is>
          <t>22_DIL-M</t>
        </is>
      </c>
      <c r="G10542" t="inlineStr">
        <is>
          <t>HILFSKONTAKTBLOCK</t>
        </is>
      </c>
      <c r="H10542" t="inlineStr">
        <is>
          <t>2S 2OE Lastschuetz DIL M</t>
        </is>
      </c>
      <c r="I10542">
        <v>1030</v>
      </c>
      <c r="J10542">
        <f>GS15/520.2</f>
        <v>0</v>
      </c>
      <c r="K10542" t="inlineStr">
        <is>
          <t>DIL0AM</t>
        </is>
      </c>
      <c r="M10542" t="inlineStr">
        <is>
          <t>-520K1</t>
        </is>
      </c>
    </row>
    <row r="10543">
      <c r="A10543">
        <v>10542</v>
      </c>
      <c r="B10543">
        <f>GS15</f>
        <v>0</v>
      </c>
      <c r="C10543" t="inlineStr">
        <is>
          <t>+LS10</t>
        </is>
      </c>
      <c r="D10543" t="inlineStr">
        <is>
          <t>-520K1</t>
        </is>
      </c>
      <c r="E10543" t="inlineStr">
        <is>
          <t>DIL_0AM</t>
        </is>
      </c>
      <c r="F10543" t="inlineStr">
        <is>
          <t>22_DIL-M</t>
        </is>
      </c>
      <c r="G10543" t="inlineStr">
        <is>
          <t>LASTSCHUETZ</t>
        </is>
      </c>
      <c r="H10543" t="inlineStr">
        <is>
          <t>11 kW</t>
        </is>
      </c>
      <c r="I10543">
        <v>1030</v>
      </c>
      <c r="J10543">
        <f>GS15/520.2</f>
        <v>0</v>
      </c>
      <c r="K10543" t="inlineStr">
        <is>
          <t>DIL0AM</t>
        </is>
      </c>
      <c r="M10543" t="inlineStr">
        <is>
          <t>-520K1</t>
        </is>
      </c>
    </row>
    <row r="10544">
      <c r="A10544">
        <v>10543</v>
      </c>
      <c r="B10544">
        <f>GS23</f>
        <v>0</v>
      </c>
      <c r="C10544" t="inlineStr">
        <is>
          <t>+LS12</t>
        </is>
      </c>
      <c r="D10544" t="inlineStr">
        <is>
          <t>-520K23.7</t>
        </is>
      </c>
      <c r="E10544" t="inlineStr">
        <is>
          <t>DIL_EM-10-G</t>
        </is>
      </c>
      <c r="F10544" t="inlineStr">
        <is>
          <t>#KALK!</t>
        </is>
      </c>
      <c r="G10544" t="inlineStr">
        <is>
          <t>LASTSCHUETZ</t>
        </is>
      </c>
      <c r="H10544" t="inlineStr">
        <is>
          <t>4kW 1S</t>
        </is>
      </c>
      <c r="I10544">
        <v>830</v>
      </c>
      <c r="J10544">
        <f>GS23/520.7</f>
        <v>0</v>
      </c>
      <c r="M10544" t="inlineStr">
        <is>
          <t>-520K23.7</t>
        </is>
      </c>
    </row>
    <row r="10545">
      <c r="A10545">
        <v>10544</v>
      </c>
      <c r="B10545">
        <f>GS90</f>
        <v>0</v>
      </c>
      <c r="C10545" t="inlineStr">
        <is>
          <t>+LS10</t>
        </is>
      </c>
      <c r="D10545" t="inlineStr">
        <is>
          <t>-520K477.4</t>
        </is>
      </c>
      <c r="E10545" t="inlineStr">
        <is>
          <t>DILA-40</t>
        </is>
      </c>
      <c r="F10545" t="inlineStr">
        <is>
          <t>#KALK!</t>
        </is>
      </c>
      <c r="G10545" t="inlineStr">
        <is>
          <t>HILFSSCHUETZ</t>
        </is>
      </c>
      <c r="H10545" t="inlineStr">
        <is>
          <t>4S Federzugkl.</t>
        </is>
      </c>
      <c r="I10545">
        <v>731</v>
      </c>
      <c r="J10545">
        <f>GS90/520.7</f>
        <v>0</v>
      </c>
      <c r="M10545" t="inlineStr">
        <is>
          <t>-520K477.4</t>
        </is>
      </c>
    </row>
    <row r="10546">
      <c r="A10546">
        <v>10545</v>
      </c>
      <c r="B10546">
        <f>GS20</f>
        <v>0</v>
      </c>
      <c r="C10546" t="inlineStr">
        <is>
          <t>+LS14</t>
        </is>
      </c>
      <c r="D10546" t="inlineStr">
        <is>
          <t>-520K710.4</t>
        </is>
      </c>
      <c r="E10546" t="inlineStr">
        <is>
          <t>DILA-40</t>
        </is>
      </c>
      <c r="F10546" t="inlineStr">
        <is>
          <t>#KALK!</t>
        </is>
      </c>
      <c r="G10546" t="inlineStr">
        <is>
          <t>HILFSSCHUETZ</t>
        </is>
      </c>
      <c r="H10546" t="inlineStr">
        <is>
          <t>4S Federzugkl.</t>
        </is>
      </c>
      <c r="I10546">
        <v>1562</v>
      </c>
      <c r="J10546">
        <f>GS20/520.7</f>
        <v>0</v>
      </c>
      <c r="M10546" t="inlineStr">
        <is>
          <t>-520K710.4</t>
        </is>
      </c>
    </row>
    <row r="10547">
      <c r="A10547">
        <v>10546</v>
      </c>
      <c r="B10547">
        <f>GS92</f>
        <v>0</v>
      </c>
      <c r="C10547" t="inlineStr">
        <is>
          <t>+LS09</t>
        </is>
      </c>
      <c r="D10547" t="inlineStr">
        <is>
          <t>-520K767.4</t>
        </is>
      </c>
      <c r="E10547" t="inlineStr">
        <is>
          <t>DILA-40</t>
        </is>
      </c>
      <c r="F10547" t="inlineStr">
        <is>
          <t>#KALK!</t>
        </is>
      </c>
      <c r="G10547" t="inlineStr">
        <is>
          <t>HILFSSCHUETZ</t>
        </is>
      </c>
      <c r="H10547" t="inlineStr">
        <is>
          <t>4S Federzugkl.</t>
        </is>
      </c>
      <c r="I10547">
        <v>660</v>
      </c>
      <c r="J10547">
        <f>GS92/520.7</f>
        <v>0</v>
      </c>
      <c r="M10547" t="inlineStr">
        <is>
          <t>-520K767.4</t>
        </is>
      </c>
    </row>
    <row r="10548">
      <c r="A10548">
        <v>10547</v>
      </c>
      <c r="B10548">
        <f>GS20</f>
        <v>0</v>
      </c>
      <c r="C10548" t="inlineStr">
        <is>
          <t>+LS14</t>
        </is>
      </c>
      <c r="D10548" t="inlineStr">
        <is>
          <t>-520Q1</t>
        </is>
      </c>
      <c r="E10548" t="inlineStr">
        <is>
          <t>DILA-XHI22</t>
        </is>
      </c>
      <c r="F10548" t="inlineStr">
        <is>
          <t>DILA-XHI22</t>
        </is>
      </c>
      <c r="G10548" t="inlineStr">
        <is>
          <t>HILFSKONTAKTBLOCK</t>
        </is>
      </c>
      <c r="H10548" t="inlineStr">
        <is>
          <t>2S 2OE Last+Hilfssch. Cage</t>
        </is>
      </c>
      <c r="I10548">
        <v>1562</v>
      </c>
      <c r="J10548">
        <f>GS20/520.4</f>
        <v>0</v>
      </c>
      <c r="K10548" t="inlineStr">
        <is>
          <t>DIL MC25</t>
        </is>
      </c>
      <c r="M10548" t="inlineStr">
        <is>
          <t>-520Q1</t>
        </is>
      </c>
    </row>
    <row r="10549">
      <c r="A10549">
        <v>10548</v>
      </c>
      <c r="B10549">
        <f>GS20</f>
        <v>0</v>
      </c>
      <c r="C10549" t="inlineStr">
        <is>
          <t>+LS14</t>
        </is>
      </c>
      <c r="D10549" t="inlineStr">
        <is>
          <t>-520Q1</t>
        </is>
      </c>
      <c r="E10549" t="inlineStr">
        <is>
          <t>DILMC25-10(RDC24)</t>
        </is>
      </c>
      <c r="F10549" t="inlineStr">
        <is>
          <t>DILA-XHI22</t>
        </is>
      </c>
      <c r="G10549" t="inlineStr">
        <is>
          <t>LASTSCHUETZ</t>
        </is>
      </c>
      <c r="H10549" t="inlineStr">
        <is>
          <t>11kW 1S Federzugkl.</t>
        </is>
      </c>
      <c r="I10549">
        <v>1562</v>
      </c>
      <c r="J10549">
        <f>GS20/520.4</f>
        <v>0</v>
      </c>
      <c r="K10549" t="inlineStr">
        <is>
          <t>DIL MC25</t>
        </is>
      </c>
      <c r="M10549" t="inlineStr">
        <is>
          <t>-520Q1</t>
        </is>
      </c>
    </row>
    <row r="10550">
      <c r="A10550">
        <v>10549</v>
      </c>
      <c r="B10550">
        <f>GS90</f>
        <v>0</v>
      </c>
      <c r="C10550" t="inlineStr">
        <is>
          <t>+LS10</t>
        </is>
      </c>
      <c r="D10550" t="inlineStr">
        <is>
          <t>-520Q1</t>
        </is>
      </c>
      <c r="E10550" t="inlineStr">
        <is>
          <t>DILMC25-10(RDC24)</t>
        </is>
      </c>
      <c r="F10550" t="inlineStr">
        <is>
          <t>DILA-XHI22</t>
        </is>
      </c>
      <c r="G10550" t="inlineStr">
        <is>
          <t>LASTSCHUETZ</t>
        </is>
      </c>
      <c r="H10550" t="inlineStr">
        <is>
          <t>11kW 1S Federzugkl.</t>
        </is>
      </c>
      <c r="I10550">
        <v>731</v>
      </c>
      <c r="J10550">
        <f>GS90/520.4</f>
        <v>0</v>
      </c>
      <c r="K10550" t="inlineStr">
        <is>
          <t>DIL MC25</t>
        </is>
      </c>
      <c r="M10550" t="inlineStr">
        <is>
          <t>-520Q1</t>
        </is>
      </c>
    </row>
    <row r="10551">
      <c r="A10551">
        <v>10550</v>
      </c>
      <c r="B10551">
        <f>GS90</f>
        <v>0</v>
      </c>
      <c r="C10551" t="inlineStr">
        <is>
          <t>+LS10</t>
        </is>
      </c>
      <c r="D10551" t="inlineStr">
        <is>
          <t>-520Q1</t>
        </is>
      </c>
      <c r="E10551" t="inlineStr">
        <is>
          <t>DILA-XHI22</t>
        </is>
      </c>
      <c r="F10551" t="inlineStr">
        <is>
          <t>DILA-XHI22</t>
        </is>
      </c>
      <c r="G10551" t="inlineStr">
        <is>
          <t>HILFSKONTAKTBLOCK</t>
        </is>
      </c>
      <c r="H10551" t="inlineStr">
        <is>
          <t>2S 2OE Last+Hilfssch. Cage</t>
        </is>
      </c>
      <c r="I10551">
        <v>731</v>
      </c>
      <c r="J10551">
        <f>GS90/520.4</f>
        <v>0</v>
      </c>
      <c r="K10551" t="inlineStr">
        <is>
          <t>DIL MC25</t>
        </is>
      </c>
      <c r="M10551" t="inlineStr">
        <is>
          <t>-520Q1</t>
        </is>
      </c>
    </row>
    <row r="10552">
      <c r="A10552">
        <v>10551</v>
      </c>
      <c r="B10552">
        <f>GS92</f>
        <v>0</v>
      </c>
      <c r="C10552" t="inlineStr">
        <is>
          <t>+LS09</t>
        </is>
      </c>
      <c r="D10552" t="inlineStr">
        <is>
          <t>-520Q1</t>
        </is>
      </c>
      <c r="E10552" t="inlineStr">
        <is>
          <t>DILMC25-10(RDC24)</t>
        </is>
      </c>
      <c r="F10552" t="inlineStr">
        <is>
          <t>DILA-XHI22</t>
        </is>
      </c>
      <c r="G10552" t="inlineStr">
        <is>
          <t>LASTSCHUETZ</t>
        </is>
      </c>
      <c r="H10552" t="inlineStr">
        <is>
          <t>11kW 1S Federzugkl.</t>
        </is>
      </c>
      <c r="I10552">
        <v>660</v>
      </c>
      <c r="J10552">
        <f>GS92/520.4</f>
        <v>0</v>
      </c>
      <c r="K10552" t="inlineStr">
        <is>
          <t>DIL MC25</t>
        </is>
      </c>
      <c r="M10552" t="inlineStr">
        <is>
          <t>-520Q1</t>
        </is>
      </c>
    </row>
    <row r="10553">
      <c r="A10553">
        <v>10552</v>
      </c>
      <c r="B10553">
        <f>GS92</f>
        <v>0</v>
      </c>
      <c r="C10553" t="inlineStr">
        <is>
          <t>+LS09</t>
        </is>
      </c>
      <c r="D10553" t="inlineStr">
        <is>
          <t>-520Q1</t>
        </is>
      </c>
      <c r="E10553" t="inlineStr">
        <is>
          <t>DILA-XHI22</t>
        </is>
      </c>
      <c r="F10553" t="inlineStr">
        <is>
          <t>DILA-XHI22</t>
        </is>
      </c>
      <c r="G10553" t="inlineStr">
        <is>
          <t>HILFSKONTAKTBLOCK</t>
        </is>
      </c>
      <c r="H10553" t="inlineStr">
        <is>
          <t>2S 2OE Last+Hilfssch. Cage</t>
        </is>
      </c>
      <c r="I10553">
        <v>660</v>
      </c>
      <c r="J10553">
        <f>GS92/520.4</f>
        <v>0</v>
      </c>
      <c r="K10553" t="inlineStr">
        <is>
          <t>DIL MC25</t>
        </is>
      </c>
      <c r="M10553" t="inlineStr">
        <is>
          <t>-520Q1</t>
        </is>
      </c>
    </row>
    <row r="10554">
      <c r="A10554">
        <v>10553</v>
      </c>
      <c r="B10554">
        <f>GS52</f>
        <v>0</v>
      </c>
      <c r="C10554" t="inlineStr">
        <is>
          <t>+LS08</t>
        </is>
      </c>
      <c r="D10554" t="inlineStr">
        <is>
          <t>-520Q180.0</t>
        </is>
      </c>
      <c r="E10554" t="inlineStr">
        <is>
          <t>DILM-9-10</t>
        </is>
      </c>
      <c r="F10554" t="inlineStr">
        <is>
          <t>#KALK!</t>
        </is>
      </c>
      <c r="G10554" t="inlineStr">
        <is>
          <t>LASTSCHUETZ</t>
        </is>
      </c>
      <c r="H10554" t="inlineStr">
        <is>
          <t>4kW 1S Federzugkl.</t>
        </is>
      </c>
      <c r="I10554">
        <v>1492</v>
      </c>
      <c r="J10554">
        <f>GS52/520.6</f>
        <v>0</v>
      </c>
      <c r="K10554" t="inlineStr">
        <is>
          <t>DIL MC9</t>
        </is>
      </c>
      <c r="M10554" t="inlineStr">
        <is>
          <t>-520Q180.0</t>
        </is>
      </c>
    </row>
    <row r="10555">
      <c r="A10555">
        <v>10554</v>
      </c>
      <c r="B10555">
        <f>GS06</f>
        <v>0</v>
      </c>
      <c r="C10555" t="inlineStr">
        <is>
          <t>+LS08</t>
        </is>
      </c>
      <c r="D10555" t="inlineStr">
        <is>
          <t>-520Q408.1</t>
        </is>
      </c>
      <c r="E10555" t="inlineStr">
        <is>
          <t>DILM-9-10</t>
        </is>
      </c>
      <c r="F10555" t="inlineStr">
        <is>
          <t>#KALK!</t>
        </is>
      </c>
      <c r="G10555" t="inlineStr">
        <is>
          <t>LASTSCHUETZ</t>
        </is>
      </c>
      <c r="H10555" t="inlineStr">
        <is>
          <t>4kW 1S Federzugkl.</t>
        </is>
      </c>
      <c r="I10555">
        <v>1818</v>
      </c>
      <c r="J10555">
        <f>GS06/520.6</f>
        <v>0</v>
      </c>
      <c r="K10555" t="inlineStr">
        <is>
          <t>DIL MC9</t>
        </is>
      </c>
      <c r="M10555" t="inlineStr">
        <is>
          <t>-520Q408.1</t>
        </is>
      </c>
    </row>
    <row r="10556">
      <c r="A10556">
        <v>10555</v>
      </c>
      <c r="B10556">
        <f>GS05</f>
        <v>0</v>
      </c>
      <c r="C10556" t="inlineStr">
        <is>
          <t>+LS08</t>
        </is>
      </c>
      <c r="D10556" t="inlineStr">
        <is>
          <t>-520Q411.5</t>
        </is>
      </c>
      <c r="E10556" t="inlineStr">
        <is>
          <t>DILM-9-10</t>
        </is>
      </c>
      <c r="F10556" t="inlineStr">
        <is>
          <t>#KALK!</t>
        </is>
      </c>
      <c r="G10556" t="inlineStr">
        <is>
          <t>LASTSCHUETZ</t>
        </is>
      </c>
      <c r="H10556" t="inlineStr">
        <is>
          <t>4kW 1S Federzugkl.</t>
        </is>
      </c>
      <c r="I10556">
        <v>2427</v>
      </c>
      <c r="J10556">
        <f>GS05/520.6</f>
        <v>0</v>
      </c>
      <c r="K10556" t="inlineStr">
        <is>
          <t>DIL MC9</t>
        </is>
      </c>
      <c r="M10556" t="inlineStr">
        <is>
          <t>-520Q411.5</t>
        </is>
      </c>
    </row>
    <row r="10557">
      <c r="A10557">
        <v>10556</v>
      </c>
      <c r="B10557">
        <f>GS13</f>
        <v>0</v>
      </c>
      <c r="C10557" t="inlineStr">
        <is>
          <t>+LS12</t>
        </is>
      </c>
      <c r="D10557" t="inlineStr">
        <is>
          <t>-521104.0</t>
        </is>
      </c>
      <c r="E10557" t="inlineStr">
        <is>
          <t>DIL_EM-10-G</t>
        </is>
      </c>
      <c r="F10557" t="inlineStr">
        <is>
          <t>#KALK!</t>
        </is>
      </c>
      <c r="G10557" t="inlineStr">
        <is>
          <t>LASTSCHUETZ</t>
        </is>
      </c>
      <c r="H10557" t="inlineStr">
        <is>
          <t>4kW 1S</t>
        </is>
      </c>
      <c r="I10557">
        <v>777</v>
      </c>
      <c r="J10557">
        <f>GS13/521.6</f>
        <v>0</v>
      </c>
      <c r="M10557" t="inlineStr">
        <is>
          <t>-521104.0</t>
        </is>
      </c>
    </row>
    <row r="10558">
      <c r="A10558">
        <v>10557</v>
      </c>
      <c r="B10558">
        <f>GS13</f>
        <v>0</v>
      </c>
      <c r="C10558" t="inlineStr">
        <is>
          <t>+LS12</t>
        </is>
      </c>
      <c r="D10558" t="inlineStr">
        <is>
          <t>-521104.1</t>
        </is>
      </c>
      <c r="E10558" t="inlineStr">
        <is>
          <t>DIL_EM-10-G</t>
        </is>
      </c>
      <c r="F10558" t="inlineStr">
        <is>
          <t>#KALK!</t>
        </is>
      </c>
      <c r="G10558" t="inlineStr">
        <is>
          <t>LASTSCHUETZ</t>
        </is>
      </c>
      <c r="H10558" t="inlineStr">
        <is>
          <t>4kW 1S</t>
        </is>
      </c>
      <c r="I10558">
        <v>777</v>
      </c>
      <c r="J10558">
        <f>GS13/521.6</f>
        <v>0</v>
      </c>
      <c r="M10558" t="inlineStr">
        <is>
          <t>-521104.1</t>
        </is>
      </c>
    </row>
    <row r="10559">
      <c r="A10559">
        <v>10558</v>
      </c>
      <c r="B10559">
        <f>GS25</f>
        <v>0</v>
      </c>
      <c r="C10559" t="inlineStr">
        <is>
          <t>+LS12</t>
        </is>
      </c>
      <c r="D10559" t="inlineStr">
        <is>
          <t>-521K1</t>
        </is>
      </c>
      <c r="E10559" t="inlineStr">
        <is>
          <t>DIL_0AM</t>
        </is>
      </c>
      <c r="F10559" t="inlineStr">
        <is>
          <t>22_DIL-M</t>
        </is>
      </c>
      <c r="G10559" t="inlineStr">
        <is>
          <t>LASTSCHUETZ</t>
        </is>
      </c>
      <c r="H10559" t="inlineStr">
        <is>
          <t>11 kW</t>
        </is>
      </c>
      <c r="I10559">
        <v>648</v>
      </c>
      <c r="J10559">
        <f>GS25/521.2</f>
        <v>0</v>
      </c>
      <c r="K10559" t="inlineStr">
        <is>
          <t>DIL0AM</t>
        </is>
      </c>
      <c r="M10559" t="inlineStr">
        <is>
          <t>-521K1</t>
        </is>
      </c>
    </row>
    <row r="10560">
      <c r="A10560">
        <v>10559</v>
      </c>
      <c r="B10560">
        <f>GS25</f>
        <v>0</v>
      </c>
      <c r="C10560" t="inlineStr">
        <is>
          <t>+LS12</t>
        </is>
      </c>
      <c r="D10560" t="inlineStr">
        <is>
          <t>-521K1</t>
        </is>
      </c>
      <c r="E10560" t="inlineStr">
        <is>
          <t>22_DIL-M</t>
        </is>
      </c>
      <c r="F10560" t="inlineStr">
        <is>
          <t>22_DIL-M</t>
        </is>
      </c>
      <c r="G10560" t="inlineStr">
        <is>
          <t>HILFSKONTAKTBLOCK</t>
        </is>
      </c>
      <c r="H10560" t="inlineStr">
        <is>
          <t>2S 2OE Lastschuetz DIL M</t>
        </is>
      </c>
      <c r="I10560">
        <v>648</v>
      </c>
      <c r="J10560">
        <f>GS25/521.2</f>
        <v>0</v>
      </c>
      <c r="K10560" t="inlineStr">
        <is>
          <t>DIL0AM</t>
        </is>
      </c>
      <c r="M10560" t="inlineStr">
        <is>
          <t>-521K1</t>
        </is>
      </c>
    </row>
    <row r="10561">
      <c r="A10561">
        <v>10560</v>
      </c>
      <c r="B10561">
        <f>GS23</f>
        <v>0</v>
      </c>
      <c r="C10561" t="inlineStr">
        <is>
          <t>+LS12</t>
        </is>
      </c>
      <c r="D10561" t="inlineStr">
        <is>
          <t>-521K104.0</t>
        </is>
      </c>
      <c r="E10561" t="inlineStr">
        <is>
          <t>DIL_EM-10-G</t>
        </is>
      </c>
      <c r="F10561" t="inlineStr">
        <is>
          <t>#KALK!</t>
        </is>
      </c>
      <c r="G10561" t="inlineStr">
        <is>
          <t>LASTSCHUETZ</t>
        </is>
      </c>
      <c r="H10561" t="inlineStr">
        <is>
          <t>4kW 1S</t>
        </is>
      </c>
      <c r="I10561">
        <v>831</v>
      </c>
      <c r="J10561">
        <f>GS23/521.6</f>
        <v>0</v>
      </c>
      <c r="M10561" t="inlineStr">
        <is>
          <t>-521K104.0</t>
        </is>
      </c>
    </row>
    <row r="10562">
      <c r="A10562">
        <v>10561</v>
      </c>
      <c r="B10562">
        <f>GS23</f>
        <v>0</v>
      </c>
      <c r="C10562" t="inlineStr">
        <is>
          <t>+LS12</t>
        </is>
      </c>
      <c r="D10562" t="inlineStr">
        <is>
          <t>-521K104.1</t>
        </is>
      </c>
      <c r="E10562" t="inlineStr">
        <is>
          <t>DIL_EM-10-G</t>
        </is>
      </c>
      <c r="F10562" t="inlineStr">
        <is>
          <t>#KALK!</t>
        </is>
      </c>
      <c r="G10562" t="inlineStr">
        <is>
          <t>LASTSCHUETZ</t>
        </is>
      </c>
      <c r="H10562" t="inlineStr">
        <is>
          <t>4kW 1S</t>
        </is>
      </c>
      <c r="I10562">
        <v>831</v>
      </c>
      <c r="J10562">
        <f>GS23/521.6</f>
        <v>0</v>
      </c>
      <c r="M10562" t="inlineStr">
        <is>
          <t>-521K104.1</t>
        </is>
      </c>
    </row>
    <row r="10563">
      <c r="A10563">
        <v>10562</v>
      </c>
      <c r="B10563">
        <f>GS34</f>
        <v>0</v>
      </c>
      <c r="C10563" t="inlineStr">
        <is>
          <t>+QVW2801</t>
        </is>
      </c>
      <c r="D10563" t="inlineStr">
        <is>
          <t>-521K3809.1</t>
        </is>
      </c>
      <c r="E10563" t="inlineStr">
        <is>
          <t>3RT1016-1BB41</t>
        </is>
      </c>
      <c r="F10563" t="inlineStr">
        <is>
          <t>#KALK!</t>
        </is>
      </c>
      <c r="G10563" t="inlineStr">
        <is>
          <t>LASTSCHUETZ</t>
        </is>
      </c>
      <c r="H10563" t="inlineStr">
        <is>
          <t>3H/1S/0OE</t>
        </is>
      </c>
      <c r="I10563">
        <v>646</v>
      </c>
      <c r="J10563">
        <f>GS34/521.2</f>
        <v>0</v>
      </c>
      <c r="M10563" t="inlineStr">
        <is>
          <t>-521K3809.1</t>
        </is>
      </c>
    </row>
    <row r="10564">
      <c r="A10564">
        <v>10563</v>
      </c>
      <c r="B10564">
        <f>GS34</f>
        <v>0</v>
      </c>
      <c r="C10564" t="inlineStr">
        <is>
          <t>+QVW2801</t>
        </is>
      </c>
      <c r="D10564" t="inlineStr">
        <is>
          <t>-521K3909.7</t>
        </is>
      </c>
      <c r="E10564" t="inlineStr">
        <is>
          <t>DIL_EM-10-G</t>
        </is>
      </c>
      <c r="F10564" t="inlineStr">
        <is>
          <t>#KALK!</t>
        </is>
      </c>
      <c r="G10564" t="inlineStr">
        <is>
          <t>LASTSCHUETZ</t>
        </is>
      </c>
      <c r="H10564" t="inlineStr">
        <is>
          <t>4kW 1S</t>
        </is>
      </c>
      <c r="I10564">
        <v>646</v>
      </c>
      <c r="J10564">
        <f>GS34/521.3</f>
        <v>0</v>
      </c>
      <c r="M10564" t="inlineStr">
        <is>
          <t>-521K3909.7</t>
        </is>
      </c>
    </row>
    <row r="10565">
      <c r="A10565">
        <v>10564</v>
      </c>
      <c r="B10565">
        <f>GC22</f>
        <v>0</v>
      </c>
      <c r="C10565" t="inlineStr">
        <is>
          <t>+QVW2301</t>
        </is>
      </c>
      <c r="D10565" t="inlineStr">
        <is>
          <t>-521K73.1</t>
        </is>
      </c>
      <c r="E10565" t="inlineStr">
        <is>
          <t>3RT1016-1BB41</t>
        </is>
      </c>
      <c r="F10565" t="inlineStr">
        <is>
          <t>#KALK!</t>
        </is>
      </c>
      <c r="G10565" t="inlineStr">
        <is>
          <t>LASTSCHUETZ</t>
        </is>
      </c>
      <c r="H10565" t="inlineStr">
        <is>
          <t>3H/1S/0OE</t>
        </is>
      </c>
      <c r="I10565">
        <v>2965</v>
      </c>
      <c r="J10565">
        <f>GC22/521.2</f>
        <v>0</v>
      </c>
      <c r="M10565" t="inlineStr">
        <is>
          <t>-521K73.1</t>
        </is>
      </c>
    </row>
    <row r="10566">
      <c r="A10566">
        <v>10565</v>
      </c>
      <c r="B10566">
        <f>GS12</f>
        <v>0</v>
      </c>
      <c r="C10566" t="inlineStr">
        <is>
          <t>+QVW2301</t>
        </is>
      </c>
      <c r="D10566" t="inlineStr">
        <is>
          <t>-521K73.1</t>
        </is>
      </c>
      <c r="E10566" t="inlineStr">
        <is>
          <t>3RT1016-1BB41</t>
        </is>
      </c>
      <c r="F10566" t="inlineStr">
        <is>
          <t>#KALK!</t>
        </is>
      </c>
      <c r="G10566" t="inlineStr">
        <is>
          <t>LASTSCHUETZ</t>
        </is>
      </c>
      <c r="H10566" t="inlineStr">
        <is>
          <t>3H/1S/0OE</t>
        </is>
      </c>
      <c r="I10566">
        <v>653</v>
      </c>
      <c r="J10566">
        <f>GS12/521.2</f>
        <v>0</v>
      </c>
      <c r="M10566" t="inlineStr">
        <is>
          <t>-521K73.1</t>
        </is>
      </c>
    </row>
    <row r="10567">
      <c r="A10567">
        <v>10566</v>
      </c>
      <c r="B10567">
        <f>GC22</f>
        <v>0</v>
      </c>
      <c r="C10567" t="inlineStr">
        <is>
          <t>+QVW2301</t>
        </is>
      </c>
      <c r="D10567" t="inlineStr">
        <is>
          <t>-521K73.7</t>
        </is>
      </c>
      <c r="E10567" t="inlineStr">
        <is>
          <t>DIL_EM-10-G</t>
        </is>
      </c>
      <c r="F10567" t="inlineStr">
        <is>
          <t>#KALK!</t>
        </is>
      </c>
      <c r="G10567" t="inlineStr">
        <is>
          <t>LASTSCHUETZ</t>
        </is>
      </c>
      <c r="H10567" t="inlineStr">
        <is>
          <t>4kW 1S</t>
        </is>
      </c>
      <c r="I10567">
        <v>2965</v>
      </c>
      <c r="J10567">
        <f>GC22/521.3</f>
        <v>0</v>
      </c>
      <c r="M10567" t="inlineStr">
        <is>
          <t>-521K73.7</t>
        </is>
      </c>
    </row>
    <row r="10568">
      <c r="A10568">
        <v>10567</v>
      </c>
      <c r="B10568">
        <f>GS12</f>
        <v>0</v>
      </c>
      <c r="C10568" t="inlineStr">
        <is>
          <t>+QVW2301</t>
        </is>
      </c>
      <c r="D10568" t="inlineStr">
        <is>
          <t>-521K73.7</t>
        </is>
      </c>
      <c r="E10568" t="inlineStr">
        <is>
          <t>DIL_EM-10-G</t>
        </is>
      </c>
      <c r="F10568" t="inlineStr">
        <is>
          <t>#KALK!</t>
        </is>
      </c>
      <c r="G10568" t="inlineStr">
        <is>
          <t>LASTSCHUETZ</t>
        </is>
      </c>
      <c r="H10568" t="inlineStr">
        <is>
          <t>4kW 1S</t>
        </is>
      </c>
      <c r="I10568">
        <v>653</v>
      </c>
      <c r="J10568">
        <f>GS12/521.3</f>
        <v>0</v>
      </c>
      <c r="M10568" t="inlineStr">
        <is>
          <t>-521K73.7</t>
        </is>
      </c>
    </row>
    <row r="10569">
      <c r="A10569">
        <v>10568</v>
      </c>
      <c r="B10569">
        <f>GS13</f>
        <v>0</v>
      </c>
      <c r="C10569" t="inlineStr">
        <is>
          <t>+LS12</t>
        </is>
      </c>
      <c r="D10569" t="inlineStr">
        <is>
          <t>-522.1104.6</t>
        </is>
      </c>
      <c r="E10569" t="inlineStr">
        <is>
          <t>DIL_EM-10-G</t>
        </is>
      </c>
      <c r="F10569" t="inlineStr">
        <is>
          <t>#KALK!</t>
        </is>
      </c>
      <c r="G10569" t="inlineStr">
        <is>
          <t>LASTSCHUETZ</t>
        </is>
      </c>
      <c r="H10569" t="inlineStr">
        <is>
          <t>4kW 1S</t>
        </is>
      </c>
      <c r="I10569">
        <v>779</v>
      </c>
      <c r="J10569">
        <f>GS13/522.1.6</f>
        <v>0</v>
      </c>
      <c r="M10569" t="inlineStr">
        <is>
          <t>-522.1104.6</t>
        </is>
      </c>
    </row>
    <row r="10570">
      <c r="A10570">
        <v>10569</v>
      </c>
      <c r="B10570">
        <f>GS23</f>
        <v>0</v>
      </c>
      <c r="C10570" t="inlineStr">
        <is>
          <t>+LS12</t>
        </is>
      </c>
      <c r="D10570" t="inlineStr">
        <is>
          <t>-522.1K104.6</t>
        </is>
      </c>
      <c r="E10570" t="inlineStr">
        <is>
          <t>DIL_EM-10-G</t>
        </is>
      </c>
      <c r="F10570" t="inlineStr">
        <is>
          <t>#KALK!</t>
        </is>
      </c>
      <c r="G10570" t="inlineStr">
        <is>
          <t>LASTSCHUETZ</t>
        </is>
      </c>
      <c r="H10570" t="inlineStr">
        <is>
          <t>4kW 1S</t>
        </is>
      </c>
      <c r="I10570">
        <v>833</v>
      </c>
      <c r="J10570">
        <f>GS23/522.1.6</f>
        <v>0</v>
      </c>
      <c r="M10570" t="inlineStr">
        <is>
          <t>-522.1K104.6</t>
        </is>
      </c>
    </row>
    <row r="10571">
      <c r="A10571">
        <v>10570</v>
      </c>
      <c r="B10571">
        <f>GS13</f>
        <v>0</v>
      </c>
      <c r="C10571" t="inlineStr">
        <is>
          <t>+LS12</t>
        </is>
      </c>
      <c r="D10571" t="inlineStr">
        <is>
          <t>-522.2105.0</t>
        </is>
      </c>
      <c r="E10571" t="inlineStr">
        <is>
          <t>DIL_EM-10-G</t>
        </is>
      </c>
      <c r="F10571" t="inlineStr">
        <is>
          <t>#KALK!</t>
        </is>
      </c>
      <c r="G10571" t="inlineStr">
        <is>
          <t>LASTSCHUETZ</t>
        </is>
      </c>
      <c r="H10571" t="inlineStr">
        <is>
          <t>4kW 1S</t>
        </is>
      </c>
      <c r="I10571">
        <v>780</v>
      </c>
      <c r="J10571">
        <f>GS13/522.2.6</f>
        <v>0</v>
      </c>
      <c r="M10571" t="inlineStr">
        <is>
          <t>-522.2105.0</t>
        </is>
      </c>
    </row>
    <row r="10572">
      <c r="A10572">
        <v>10571</v>
      </c>
      <c r="B10572">
        <f>GS13</f>
        <v>0</v>
      </c>
      <c r="C10572" t="inlineStr">
        <is>
          <t>+LS12</t>
        </is>
      </c>
      <c r="D10572" t="inlineStr">
        <is>
          <t>-522.2105.1</t>
        </is>
      </c>
      <c r="E10572" t="inlineStr">
        <is>
          <t>DIL_EM-10-G</t>
        </is>
      </c>
      <c r="F10572" t="inlineStr">
        <is>
          <t>#KALK!</t>
        </is>
      </c>
      <c r="G10572" t="inlineStr">
        <is>
          <t>LASTSCHUETZ</t>
        </is>
      </c>
      <c r="H10572" t="inlineStr">
        <is>
          <t>4kW 1S</t>
        </is>
      </c>
      <c r="I10572">
        <v>780</v>
      </c>
      <c r="J10572">
        <f>GS13/522.2.6</f>
        <v>0</v>
      </c>
      <c r="M10572" t="inlineStr">
        <is>
          <t>-522.2105.1</t>
        </is>
      </c>
    </row>
    <row r="10573">
      <c r="A10573">
        <v>10572</v>
      </c>
      <c r="B10573">
        <f>GS23</f>
        <v>0</v>
      </c>
      <c r="C10573" t="inlineStr">
        <is>
          <t>+LS12</t>
        </is>
      </c>
      <c r="D10573" t="inlineStr">
        <is>
          <t>-522.2K105.0</t>
        </is>
      </c>
      <c r="E10573" t="inlineStr">
        <is>
          <t>DIL_EM-10-G</t>
        </is>
      </c>
      <c r="F10573" t="inlineStr">
        <is>
          <t>#KALK!</t>
        </is>
      </c>
      <c r="G10573" t="inlineStr">
        <is>
          <t>LASTSCHUETZ</t>
        </is>
      </c>
      <c r="H10573" t="inlineStr">
        <is>
          <t>4kW 1S</t>
        </is>
      </c>
      <c r="I10573">
        <v>834</v>
      </c>
      <c r="J10573">
        <f>GS23/522.2.6</f>
        <v>0</v>
      </c>
      <c r="M10573" t="inlineStr">
        <is>
          <t>-522.2K105.0</t>
        </is>
      </c>
    </row>
    <row r="10574">
      <c r="A10574">
        <v>10573</v>
      </c>
      <c r="B10574">
        <f>GS23</f>
        <v>0</v>
      </c>
      <c r="C10574" t="inlineStr">
        <is>
          <t>+LS12</t>
        </is>
      </c>
      <c r="D10574" t="inlineStr">
        <is>
          <t>-522.2K105.1</t>
        </is>
      </c>
      <c r="E10574" t="inlineStr">
        <is>
          <t>DIL_EM-10-G</t>
        </is>
      </c>
      <c r="F10574" t="inlineStr">
        <is>
          <t>#KALK!</t>
        </is>
      </c>
      <c r="G10574" t="inlineStr">
        <is>
          <t>LASTSCHUETZ</t>
        </is>
      </c>
      <c r="H10574" t="inlineStr">
        <is>
          <t>4kW 1S</t>
        </is>
      </c>
      <c r="I10574">
        <v>834</v>
      </c>
      <c r="J10574">
        <f>GS23/522.2.6</f>
        <v>0</v>
      </c>
      <c r="M10574" t="inlineStr">
        <is>
          <t>-522.2K105.1</t>
        </is>
      </c>
    </row>
    <row r="10575">
      <c r="A10575">
        <v>10574</v>
      </c>
      <c r="B10575">
        <f>GS13</f>
        <v>0</v>
      </c>
      <c r="C10575" t="inlineStr">
        <is>
          <t>+LS12</t>
        </is>
      </c>
      <c r="D10575" t="inlineStr">
        <is>
          <t>-522104.5</t>
        </is>
      </c>
      <c r="E10575" t="inlineStr">
        <is>
          <t>DIL_EM-10-G</t>
        </is>
      </c>
      <c r="F10575" t="inlineStr">
        <is>
          <t>#KALK!</t>
        </is>
      </c>
      <c r="G10575" t="inlineStr">
        <is>
          <t>LASTSCHUETZ</t>
        </is>
      </c>
      <c r="H10575" t="inlineStr">
        <is>
          <t>4kW 1S</t>
        </is>
      </c>
      <c r="I10575">
        <v>778</v>
      </c>
      <c r="J10575">
        <f>GS13/522.7</f>
        <v>0</v>
      </c>
      <c r="M10575" t="inlineStr">
        <is>
          <t>-522104.5</t>
        </is>
      </c>
    </row>
    <row r="10576">
      <c r="A10576">
        <v>10575</v>
      </c>
      <c r="B10576">
        <f>GS23</f>
        <v>0</v>
      </c>
      <c r="C10576" t="inlineStr">
        <is>
          <t>+LS12</t>
        </is>
      </c>
      <c r="D10576" t="inlineStr">
        <is>
          <t>-522K104.5</t>
        </is>
      </c>
      <c r="E10576" t="inlineStr">
        <is>
          <t>DIL_EM-10-G</t>
        </is>
      </c>
      <c r="F10576" t="inlineStr">
        <is>
          <t>#KALK!</t>
        </is>
      </c>
      <c r="G10576" t="inlineStr">
        <is>
          <t>LASTSCHUETZ</t>
        </is>
      </c>
      <c r="H10576" t="inlineStr">
        <is>
          <t>4kW 1S</t>
        </is>
      </c>
      <c r="I10576">
        <v>832</v>
      </c>
      <c r="J10576">
        <f>GS23/522.7</f>
        <v>0</v>
      </c>
      <c r="M10576" t="inlineStr">
        <is>
          <t>-522K104.5</t>
        </is>
      </c>
    </row>
    <row r="10577">
      <c r="A10577">
        <v>10576</v>
      </c>
      <c r="B10577">
        <f>GS15</f>
        <v>0</v>
      </c>
      <c r="C10577" t="inlineStr">
        <is>
          <t>+LS10</t>
        </is>
      </c>
      <c r="D10577" t="inlineStr">
        <is>
          <t>-522K3502.0</t>
        </is>
      </c>
      <c r="E10577" t="inlineStr">
        <is>
          <t>DIL_EM-10-G</t>
        </is>
      </c>
      <c r="F10577" t="inlineStr">
        <is>
          <t>#KALK!</t>
        </is>
      </c>
      <c r="G10577" t="inlineStr">
        <is>
          <t>LASTSCHUETZ</t>
        </is>
      </c>
      <c r="H10577" t="inlineStr">
        <is>
          <t>4kW 1S</t>
        </is>
      </c>
      <c r="I10577">
        <v>1032</v>
      </c>
      <c r="J10577">
        <f>GS15/522.6</f>
        <v>0</v>
      </c>
      <c r="M10577" t="inlineStr">
        <is>
          <t>-522K3502.0</t>
        </is>
      </c>
    </row>
    <row r="10578">
      <c r="A10578">
        <v>10577</v>
      </c>
      <c r="B10578">
        <f>GS15</f>
        <v>0</v>
      </c>
      <c r="C10578" t="inlineStr">
        <is>
          <t>+LS10</t>
        </is>
      </c>
      <c r="D10578" t="inlineStr">
        <is>
          <t>-522K3502.1</t>
        </is>
      </c>
      <c r="E10578" t="inlineStr">
        <is>
          <t>DIL_EM-10-G</t>
        </is>
      </c>
      <c r="F10578" t="inlineStr">
        <is>
          <t>#KALK!</t>
        </is>
      </c>
      <c r="G10578" t="inlineStr">
        <is>
          <t>LASTSCHUETZ</t>
        </is>
      </c>
      <c r="H10578" t="inlineStr">
        <is>
          <t>4kW 1S</t>
        </is>
      </c>
      <c r="I10578">
        <v>1032</v>
      </c>
      <c r="J10578">
        <f>GS15/522.7</f>
        <v>0</v>
      </c>
      <c r="M10578" t="inlineStr">
        <is>
          <t>-522K3502.1</t>
        </is>
      </c>
    </row>
    <row r="10579">
      <c r="A10579">
        <v>10578</v>
      </c>
      <c r="B10579">
        <f>GS34</f>
        <v>0</v>
      </c>
      <c r="C10579" t="inlineStr">
        <is>
          <t>+QVW2801</t>
        </is>
      </c>
      <c r="D10579" t="inlineStr">
        <is>
          <t>-522K3909.0</t>
        </is>
      </c>
      <c r="E10579" t="inlineStr">
        <is>
          <t>DIL_EM-10-G</t>
        </is>
      </c>
      <c r="F10579" t="inlineStr">
        <is>
          <t>#KALK!</t>
        </is>
      </c>
      <c r="G10579" t="inlineStr">
        <is>
          <t>LASTSCHUETZ</t>
        </is>
      </c>
      <c r="H10579" t="inlineStr">
        <is>
          <t>4kW 1S</t>
        </is>
      </c>
      <c r="I10579">
        <v>647</v>
      </c>
      <c r="J10579">
        <f>GS34/522.6</f>
        <v>0</v>
      </c>
      <c r="M10579" t="inlineStr">
        <is>
          <t>-522K3909.0</t>
        </is>
      </c>
    </row>
    <row r="10580">
      <c r="A10580">
        <v>10579</v>
      </c>
      <c r="B10580">
        <f>GS15</f>
        <v>0</v>
      </c>
      <c r="C10580" t="inlineStr">
        <is>
          <t>+LS10</t>
        </is>
      </c>
      <c r="D10580" t="inlineStr">
        <is>
          <t>-523K3502.2</t>
        </is>
      </c>
      <c r="E10580" t="inlineStr">
        <is>
          <t>DIL_EM-10-G</t>
        </is>
      </c>
      <c r="F10580" t="inlineStr">
        <is>
          <t>#KALK!</t>
        </is>
      </c>
      <c r="G10580" t="inlineStr">
        <is>
          <t>LASTSCHUETZ</t>
        </is>
      </c>
      <c r="H10580" t="inlineStr">
        <is>
          <t>4kW 1S</t>
        </is>
      </c>
      <c r="I10580">
        <v>1033</v>
      </c>
      <c r="J10580">
        <f>GS15/523.6</f>
        <v>0</v>
      </c>
      <c r="M10580" t="inlineStr">
        <is>
          <t>-523K3502.2</t>
        </is>
      </c>
    </row>
    <row r="10581">
      <c r="A10581">
        <v>10580</v>
      </c>
      <c r="B10581">
        <f>GS15</f>
        <v>0</v>
      </c>
      <c r="C10581" t="inlineStr">
        <is>
          <t>+LS10</t>
        </is>
      </c>
      <c r="D10581" t="inlineStr">
        <is>
          <t>-523K3502.3</t>
        </is>
      </c>
      <c r="E10581" t="inlineStr">
        <is>
          <t>DIL_EM-10-G</t>
        </is>
      </c>
      <c r="F10581" t="inlineStr">
        <is>
          <t>#KALK!</t>
        </is>
      </c>
      <c r="G10581" t="inlineStr">
        <is>
          <t>LASTSCHUETZ</t>
        </is>
      </c>
      <c r="H10581" t="inlineStr">
        <is>
          <t>4kW 1S</t>
        </is>
      </c>
      <c r="I10581">
        <v>1033</v>
      </c>
      <c r="J10581">
        <f>GS15/523.7</f>
        <v>0</v>
      </c>
      <c r="M10581" t="inlineStr">
        <is>
          <t>-523K3502.3</t>
        </is>
      </c>
    </row>
    <row r="10582">
      <c r="A10582">
        <v>10581</v>
      </c>
      <c r="B10582">
        <f>GS25</f>
        <v>0</v>
      </c>
      <c r="C10582" t="inlineStr">
        <is>
          <t>+LS12</t>
        </is>
      </c>
      <c r="D10582" t="inlineStr">
        <is>
          <t>-523K3530.3</t>
        </is>
      </c>
      <c r="E10582" t="inlineStr">
        <is>
          <t>DIL_EM-10-G</t>
        </is>
      </c>
      <c r="F10582" t="inlineStr">
        <is>
          <t>#KALK!</t>
        </is>
      </c>
      <c r="G10582" t="inlineStr">
        <is>
          <t>LASTSCHUETZ</t>
        </is>
      </c>
      <c r="H10582" t="inlineStr">
        <is>
          <t>4kW 1S</t>
        </is>
      </c>
      <c r="I10582">
        <v>650</v>
      </c>
      <c r="J10582">
        <f>GS25/523.7</f>
        <v>0</v>
      </c>
      <c r="M10582" t="inlineStr">
        <is>
          <t>-523K3530.3</t>
        </is>
      </c>
    </row>
    <row r="10583">
      <c r="A10583">
        <v>10582</v>
      </c>
      <c r="B10583">
        <f>GC22</f>
        <v>0</v>
      </c>
      <c r="C10583" t="inlineStr">
        <is>
          <t>+QVW2301</t>
        </is>
      </c>
      <c r="D10583" t="inlineStr">
        <is>
          <t>-523K74.1</t>
        </is>
      </c>
      <c r="E10583" t="inlineStr">
        <is>
          <t>3RT1016-1BB41</t>
        </is>
      </c>
      <c r="F10583" t="inlineStr">
        <is>
          <t>#KALK!</t>
        </is>
      </c>
      <c r="G10583" t="inlineStr">
        <is>
          <t>LASTSCHUETZ</t>
        </is>
      </c>
      <c r="H10583" t="inlineStr">
        <is>
          <t>3H/1S/0OE</t>
        </is>
      </c>
      <c r="I10583">
        <v>3508</v>
      </c>
      <c r="J10583">
        <f>GC22/523.2</f>
        <v>0</v>
      </c>
      <c r="M10583" t="inlineStr">
        <is>
          <t>-523K74.1</t>
        </is>
      </c>
    </row>
    <row r="10584">
      <c r="A10584">
        <v>10583</v>
      </c>
      <c r="B10584">
        <f>GS12</f>
        <v>0</v>
      </c>
      <c r="C10584" t="inlineStr">
        <is>
          <t>+QVW2301</t>
        </is>
      </c>
      <c r="D10584" t="inlineStr">
        <is>
          <t>-523K74.1</t>
        </is>
      </c>
      <c r="E10584" t="inlineStr">
        <is>
          <t>3RT1016-1BB41</t>
        </is>
      </c>
      <c r="F10584" t="inlineStr">
        <is>
          <t>#KALK!</t>
        </is>
      </c>
      <c r="G10584" t="inlineStr">
        <is>
          <t>LASTSCHUETZ</t>
        </is>
      </c>
      <c r="H10584" t="inlineStr">
        <is>
          <t>3H/1S/0OE</t>
        </is>
      </c>
      <c r="I10584">
        <v>655</v>
      </c>
      <c r="J10584">
        <f>GS12/523.2</f>
        <v>0</v>
      </c>
      <c r="M10584" t="inlineStr">
        <is>
          <t>-523K74.1</t>
        </is>
      </c>
    </row>
    <row r="10585">
      <c r="A10585">
        <v>10584</v>
      </c>
      <c r="B10585">
        <f>GC22</f>
        <v>0</v>
      </c>
      <c r="C10585" t="inlineStr">
        <is>
          <t>+QVW2301</t>
        </is>
      </c>
      <c r="D10585" t="inlineStr">
        <is>
          <t>-523K74.7</t>
        </is>
      </c>
      <c r="E10585" t="inlineStr">
        <is>
          <t>DIL_EM-10-G</t>
        </is>
      </c>
      <c r="F10585" t="inlineStr">
        <is>
          <t>#KALK!</t>
        </is>
      </c>
      <c r="G10585" t="inlineStr">
        <is>
          <t>LASTSCHUETZ</t>
        </is>
      </c>
      <c r="H10585" t="inlineStr">
        <is>
          <t>4kW 1S</t>
        </is>
      </c>
      <c r="I10585">
        <v>3508</v>
      </c>
      <c r="J10585">
        <f>GC22/523.3</f>
        <v>0</v>
      </c>
      <c r="M10585" t="inlineStr">
        <is>
          <t>-523K74.7</t>
        </is>
      </c>
    </row>
    <row r="10586">
      <c r="A10586">
        <v>10585</v>
      </c>
      <c r="B10586">
        <f>GS12</f>
        <v>0</v>
      </c>
      <c r="C10586" t="inlineStr">
        <is>
          <t>+QVW2301</t>
        </is>
      </c>
      <c r="D10586" t="inlineStr">
        <is>
          <t>-523K74.7</t>
        </is>
      </c>
      <c r="E10586" t="inlineStr">
        <is>
          <t>DIL_EM-10-G</t>
        </is>
      </c>
      <c r="F10586" t="inlineStr">
        <is>
          <t>#KALK!</t>
        </is>
      </c>
      <c r="G10586" t="inlineStr">
        <is>
          <t>LASTSCHUETZ</t>
        </is>
      </c>
      <c r="H10586" t="inlineStr">
        <is>
          <t>4kW 1S</t>
        </is>
      </c>
      <c r="I10586">
        <v>655</v>
      </c>
      <c r="J10586">
        <f>GS12/523.3</f>
        <v>0</v>
      </c>
      <c r="M10586" t="inlineStr">
        <is>
          <t>-523K74.7</t>
        </is>
      </c>
    </row>
    <row r="10587">
      <c r="A10587">
        <v>10586</v>
      </c>
      <c r="B10587">
        <f>GS05</f>
        <v>0</v>
      </c>
      <c r="C10587" t="inlineStr">
        <is>
          <t>+LS08</t>
        </is>
      </c>
      <c r="D10587" t="inlineStr">
        <is>
          <t>-523Q411.6</t>
        </is>
      </c>
      <c r="E10587" t="inlineStr">
        <is>
          <t>DILM-9-10</t>
        </is>
      </c>
      <c r="F10587" t="inlineStr">
        <is>
          <t>#KALK!</t>
        </is>
      </c>
      <c r="G10587" t="inlineStr">
        <is>
          <t>LASTSCHUETZ</t>
        </is>
      </c>
      <c r="H10587" t="inlineStr">
        <is>
          <t>4kW 1S Federzugkl.</t>
        </is>
      </c>
      <c r="I10587">
        <v>2430</v>
      </c>
      <c r="J10587">
        <f>GS05/523.6</f>
        <v>0</v>
      </c>
      <c r="K10587" t="inlineStr">
        <is>
          <t>DIL MC9</t>
        </is>
      </c>
      <c r="M10587" t="inlineStr">
        <is>
          <t>-523Q411.6</t>
        </is>
      </c>
    </row>
    <row r="10588">
      <c r="A10588">
        <v>10587</v>
      </c>
      <c r="B10588">
        <f>GS15</f>
        <v>0</v>
      </c>
      <c r="C10588" t="inlineStr">
        <is>
          <t>+LS10</t>
        </is>
      </c>
      <c r="D10588" t="inlineStr">
        <is>
          <t>-524K3503.3</t>
        </is>
      </c>
      <c r="E10588" t="inlineStr">
        <is>
          <t>DIL_EM-10-G</t>
        </is>
      </c>
      <c r="F10588" t="inlineStr">
        <is>
          <t>#KALK!</t>
        </is>
      </c>
      <c r="G10588" t="inlineStr">
        <is>
          <t>LASTSCHUETZ</t>
        </is>
      </c>
      <c r="H10588" t="inlineStr">
        <is>
          <t>4kW 1S</t>
        </is>
      </c>
      <c r="I10588">
        <v>1034</v>
      </c>
      <c r="J10588">
        <f>GS15/524.7</f>
        <v>0</v>
      </c>
      <c r="M10588" t="inlineStr">
        <is>
          <t>-524K3503.3</t>
        </is>
      </c>
    </row>
    <row r="10589">
      <c r="A10589">
        <v>10588</v>
      </c>
      <c r="B10589">
        <f>GS25</f>
        <v>0</v>
      </c>
      <c r="C10589" t="inlineStr">
        <is>
          <t>+LS12</t>
        </is>
      </c>
      <c r="D10589" t="inlineStr">
        <is>
          <t>-524K3530.4</t>
        </is>
      </c>
      <c r="E10589" t="inlineStr">
        <is>
          <t>DIL_EM-10-G</t>
        </is>
      </c>
      <c r="F10589" t="inlineStr">
        <is>
          <t>#KALK!</t>
        </is>
      </c>
      <c r="G10589" t="inlineStr">
        <is>
          <t>LASTSCHUETZ</t>
        </is>
      </c>
      <c r="H10589" t="inlineStr">
        <is>
          <t>4kW 1S</t>
        </is>
      </c>
      <c r="I10589">
        <v>651</v>
      </c>
      <c r="J10589">
        <f>GS25/524.6</f>
        <v>0</v>
      </c>
      <c r="M10589" t="inlineStr">
        <is>
          <t>-524K3530.4</t>
        </is>
      </c>
    </row>
    <row r="10590">
      <c r="A10590">
        <v>10589</v>
      </c>
      <c r="B10590">
        <f>GS92</f>
        <v>0</v>
      </c>
      <c r="C10590" t="inlineStr">
        <is>
          <t>+LS09</t>
        </is>
      </c>
      <c r="D10590" t="inlineStr">
        <is>
          <t>-524Q767.6</t>
        </is>
      </c>
      <c r="E10590" t="inlineStr">
        <is>
          <t>DILM-9-10</t>
        </is>
      </c>
      <c r="F10590" t="inlineStr">
        <is>
          <t>#KALK!</t>
        </is>
      </c>
      <c r="G10590" t="inlineStr">
        <is>
          <t>LASTSCHUETZ</t>
        </is>
      </c>
      <c r="H10590" t="inlineStr">
        <is>
          <t>4kW 1S Federzugkl.</t>
        </is>
      </c>
      <c r="I10590">
        <v>664</v>
      </c>
      <c r="J10590">
        <f>GS92/524.5</f>
        <v>0</v>
      </c>
      <c r="M10590" t="inlineStr">
        <is>
          <t>-524Q767.6</t>
        </is>
      </c>
    </row>
    <row r="10591">
      <c r="A10591">
        <v>10590</v>
      </c>
      <c r="B10591">
        <f>GS14</f>
        <v>0</v>
      </c>
      <c r="C10591" t="inlineStr">
        <is>
          <t>+LS10</t>
        </is>
      </c>
      <c r="D10591" t="inlineStr">
        <is>
          <t>-525K1</t>
        </is>
      </c>
      <c r="E10591" t="inlineStr">
        <is>
          <t>DIL_0AM</t>
        </is>
      </c>
      <c r="F10591" t="inlineStr">
        <is>
          <t>22_DIL-M</t>
        </is>
      </c>
      <c r="G10591" t="inlineStr">
        <is>
          <t>LASTSCHUETZ</t>
        </is>
      </c>
      <c r="H10591" t="inlineStr">
        <is>
          <t>11 kW</t>
        </is>
      </c>
      <c r="I10591">
        <v>657</v>
      </c>
      <c r="J10591">
        <f>GS14/525.2</f>
        <v>0</v>
      </c>
      <c r="K10591" t="inlineStr">
        <is>
          <t>DIL0AM</t>
        </is>
      </c>
      <c r="M10591" t="inlineStr">
        <is>
          <t>-525K1</t>
        </is>
      </c>
    </row>
    <row r="10592">
      <c r="A10592">
        <v>10591</v>
      </c>
      <c r="B10592">
        <f>GS14</f>
        <v>0</v>
      </c>
      <c r="C10592" t="inlineStr">
        <is>
          <t>+LS10</t>
        </is>
      </c>
      <c r="D10592" t="inlineStr">
        <is>
          <t>-525K1</t>
        </is>
      </c>
      <c r="E10592" t="inlineStr">
        <is>
          <t>22_DIL-M</t>
        </is>
      </c>
      <c r="F10592" t="inlineStr">
        <is>
          <t>22_DIL-M</t>
        </is>
      </c>
      <c r="G10592" t="inlineStr">
        <is>
          <t>HILFSKONTAKTBLOCK</t>
        </is>
      </c>
      <c r="H10592" t="inlineStr">
        <is>
          <t>2S 2OE Lastschuetz DIL M</t>
        </is>
      </c>
      <c r="I10592">
        <v>657</v>
      </c>
      <c r="J10592">
        <f>GS14/525.2</f>
        <v>0</v>
      </c>
      <c r="K10592" t="inlineStr">
        <is>
          <t>DIL0AM</t>
        </is>
      </c>
      <c r="M10592" t="inlineStr">
        <is>
          <t>-525K1</t>
        </is>
      </c>
    </row>
    <row r="10593">
      <c r="A10593">
        <v>10592</v>
      </c>
      <c r="B10593">
        <f>GS16</f>
        <v>0</v>
      </c>
      <c r="C10593" t="inlineStr">
        <is>
          <t>+LS10</t>
        </is>
      </c>
      <c r="D10593" t="inlineStr">
        <is>
          <t>-525K1</t>
        </is>
      </c>
      <c r="E10593" t="inlineStr">
        <is>
          <t>DIL_M-820-XHI11-SI</t>
        </is>
      </c>
      <c r="F10593" t="inlineStr">
        <is>
          <t>#ÜBERLAUF!</t>
        </is>
      </c>
      <c r="G10593" t="inlineStr">
        <is>
          <t>HILFSKONTAKTBLOCK</t>
        </is>
      </c>
      <c r="H10593" t="inlineStr">
        <is>
          <t>1S 1OE Lastschuetz DIL M</t>
        </is>
      </c>
      <c r="J10593">
        <f>GS16/525.2</f>
        <v>0</v>
      </c>
      <c r="K10593" t="inlineStr">
        <is>
          <t>DIL4M115</t>
        </is>
      </c>
      <c r="M10593" t="inlineStr">
        <is>
          <t>-525K1</t>
        </is>
      </c>
    </row>
    <row r="10594">
      <c r="A10594">
        <v>10593</v>
      </c>
      <c r="B10594">
        <f>GS16</f>
        <v>0</v>
      </c>
      <c r="C10594" t="inlineStr">
        <is>
          <t>+LS10</t>
        </is>
      </c>
      <c r="D10594" t="inlineStr">
        <is>
          <t>-525K1</t>
        </is>
      </c>
      <c r="E10594" t="inlineStr">
        <is>
          <t>DIL_4M115 (230V AC)</t>
        </is>
      </c>
      <c r="F10594" t="inlineStr">
        <is>
          <t>#ÜBERLAUF!</t>
        </is>
      </c>
      <c r="G10594" t="inlineStr">
        <is>
          <t>LASTSCHUETZ</t>
        </is>
      </c>
      <c r="H10594" t="inlineStr">
        <is>
          <t>55 kW</t>
        </is>
      </c>
      <c r="I10594">
        <v>770</v>
      </c>
      <c r="J10594">
        <f>GS16/525.2</f>
        <v>0</v>
      </c>
      <c r="K10594" t="inlineStr">
        <is>
          <t>DIL4M115</t>
        </is>
      </c>
      <c r="M10594" t="inlineStr">
        <is>
          <t>-525K1</t>
        </is>
      </c>
    </row>
    <row r="10595">
      <c r="A10595">
        <v>10594</v>
      </c>
      <c r="B10595">
        <f>GS16</f>
        <v>0</v>
      </c>
      <c r="C10595" t="inlineStr">
        <is>
          <t>+LS10</t>
        </is>
      </c>
      <c r="D10595" t="inlineStr">
        <is>
          <t>-525K1</t>
        </is>
      </c>
      <c r="E10595" t="inlineStr">
        <is>
          <t>22_DIL-M</t>
        </is>
      </c>
      <c r="F10595" t="inlineStr">
        <is>
          <t>#ÜBERLAUF!</t>
        </is>
      </c>
      <c r="G10595" t="inlineStr">
        <is>
          <t>HILFSKONTAKTBLOCK</t>
        </is>
      </c>
      <c r="H10595" t="inlineStr">
        <is>
          <t>2S 2OE Lastschuetz DIL M</t>
        </is>
      </c>
      <c r="I10595">
        <v>770</v>
      </c>
      <c r="J10595">
        <f>GS16/525.2</f>
        <v>0</v>
      </c>
      <c r="K10595" t="inlineStr">
        <is>
          <t>DIL4M115</t>
        </is>
      </c>
      <c r="M10595" t="inlineStr">
        <is>
          <t>-525K1</t>
        </is>
      </c>
    </row>
    <row r="10596">
      <c r="A10596">
        <v>10595</v>
      </c>
      <c r="B10596">
        <f>GS24</f>
        <v>0</v>
      </c>
      <c r="C10596" t="inlineStr">
        <is>
          <t>+LS11</t>
        </is>
      </c>
      <c r="D10596" t="inlineStr">
        <is>
          <t>-525K1</t>
        </is>
      </c>
      <c r="E10596" t="inlineStr">
        <is>
          <t>22_DIL-M</t>
        </is>
      </c>
      <c r="F10596" t="inlineStr">
        <is>
          <t>22_DIL-M</t>
        </is>
      </c>
      <c r="G10596" t="inlineStr">
        <is>
          <t>HILFSKONTAKTBLOCK</t>
        </is>
      </c>
      <c r="H10596" t="inlineStr">
        <is>
          <t>2S 2OE Lastschuetz DIL M</t>
        </is>
      </c>
      <c r="I10596">
        <v>571</v>
      </c>
      <c r="J10596">
        <f>GS24/525.2</f>
        <v>0</v>
      </c>
      <c r="K10596" t="inlineStr">
        <is>
          <t>DIL0AM</t>
        </is>
      </c>
      <c r="M10596" t="inlineStr">
        <is>
          <t>-525K1</t>
        </is>
      </c>
    </row>
    <row r="10597">
      <c r="A10597">
        <v>10596</v>
      </c>
      <c r="B10597">
        <f>GS24</f>
        <v>0</v>
      </c>
      <c r="C10597" t="inlineStr">
        <is>
          <t>+LS11</t>
        </is>
      </c>
      <c r="D10597" t="inlineStr">
        <is>
          <t>-525K1</t>
        </is>
      </c>
      <c r="E10597" t="inlineStr">
        <is>
          <t>DIL_0AM</t>
        </is>
      </c>
      <c r="F10597" t="inlineStr">
        <is>
          <t>22_DIL-M</t>
        </is>
      </c>
      <c r="G10597" t="inlineStr">
        <is>
          <t>LASTSCHUETZ</t>
        </is>
      </c>
      <c r="H10597" t="inlineStr">
        <is>
          <t>11 kW</t>
        </is>
      </c>
      <c r="I10597">
        <v>571</v>
      </c>
      <c r="J10597">
        <f>GS24/525.2</f>
        <v>0</v>
      </c>
      <c r="K10597" t="inlineStr">
        <is>
          <t>DIL0AM</t>
        </is>
      </c>
      <c r="M10597" t="inlineStr">
        <is>
          <t>-525K1</t>
        </is>
      </c>
    </row>
    <row r="10598">
      <c r="A10598">
        <v>10597</v>
      </c>
      <c r="B10598">
        <f>GS30</f>
        <v>0</v>
      </c>
      <c r="C10598" t="inlineStr">
        <is>
          <t>+LS18</t>
        </is>
      </c>
      <c r="D10598" t="inlineStr">
        <is>
          <t>-525K1310.4</t>
        </is>
      </c>
      <c r="E10598" t="inlineStr">
        <is>
          <t>DILA-40</t>
        </is>
      </c>
      <c r="F10598" t="inlineStr">
        <is>
          <t>#KALK!</t>
        </is>
      </c>
      <c r="G10598" t="inlineStr">
        <is>
          <t>HILFSSCHUETZ</t>
        </is>
      </c>
      <c r="H10598" t="inlineStr">
        <is>
          <t>4S Federzugkl.</t>
        </is>
      </c>
      <c r="I10598">
        <v>1533</v>
      </c>
      <c r="J10598">
        <f>GS30/525.7</f>
        <v>0</v>
      </c>
      <c r="M10598" t="inlineStr">
        <is>
          <t>-525K1310.4</t>
        </is>
      </c>
    </row>
    <row r="10599">
      <c r="A10599">
        <v>10598</v>
      </c>
      <c r="B10599">
        <f>GS16</f>
        <v>0</v>
      </c>
      <c r="C10599" t="inlineStr">
        <is>
          <t>+LS10</t>
        </is>
      </c>
      <c r="D10599" t="inlineStr">
        <is>
          <t>-525K2</t>
        </is>
      </c>
      <c r="E10599" t="inlineStr">
        <is>
          <t>DIL_M-820-XHI11-SI</t>
        </is>
      </c>
      <c r="F10599" t="inlineStr">
        <is>
          <t>#ÜBERLAUF!</t>
        </is>
      </c>
      <c r="G10599" t="inlineStr">
        <is>
          <t>HILFSKONTAKTBLOCK</t>
        </is>
      </c>
      <c r="H10599" t="inlineStr">
        <is>
          <t>1S 1OE Lastschuetz DIL M</t>
        </is>
      </c>
      <c r="J10599">
        <f>GS16/525.3</f>
        <v>0</v>
      </c>
      <c r="K10599" t="inlineStr">
        <is>
          <t>DIL4M115</t>
        </is>
      </c>
      <c r="M10599" t="inlineStr">
        <is>
          <t>-525K2</t>
        </is>
      </c>
    </row>
    <row r="10600">
      <c r="A10600">
        <v>10599</v>
      </c>
      <c r="B10600">
        <f>GS16</f>
        <v>0</v>
      </c>
      <c r="C10600" t="inlineStr">
        <is>
          <t>+LS10</t>
        </is>
      </c>
      <c r="D10600" t="inlineStr">
        <is>
          <t>-525K2</t>
        </is>
      </c>
      <c r="E10600" t="inlineStr">
        <is>
          <t>DIL_4M115 (230V AC)</t>
        </is>
      </c>
      <c r="F10600" t="inlineStr">
        <is>
          <t>#ÜBERLAUF!</t>
        </is>
      </c>
      <c r="G10600" t="inlineStr">
        <is>
          <t>LASTSCHUETZ</t>
        </is>
      </c>
      <c r="H10600" t="inlineStr">
        <is>
          <t>55 kW</t>
        </is>
      </c>
      <c r="I10600">
        <v>770</v>
      </c>
      <c r="J10600">
        <f>GS16/525.3</f>
        <v>0</v>
      </c>
      <c r="K10600" t="inlineStr">
        <is>
          <t>DIL4M115</t>
        </is>
      </c>
      <c r="M10600" t="inlineStr">
        <is>
          <t>-525K2</t>
        </is>
      </c>
    </row>
    <row r="10601">
      <c r="A10601">
        <v>10600</v>
      </c>
      <c r="B10601">
        <f>GS16</f>
        <v>0</v>
      </c>
      <c r="C10601" t="inlineStr">
        <is>
          <t>+LS10</t>
        </is>
      </c>
      <c r="D10601" t="inlineStr">
        <is>
          <t>-525K2</t>
        </is>
      </c>
      <c r="E10601" t="inlineStr">
        <is>
          <t>22_DIL-M</t>
        </is>
      </c>
      <c r="F10601" t="inlineStr">
        <is>
          <t>#ÜBERLAUF!</t>
        </is>
      </c>
      <c r="G10601" t="inlineStr">
        <is>
          <t>HILFSKONTAKTBLOCK</t>
        </is>
      </c>
      <c r="H10601" t="inlineStr">
        <is>
          <t>2S 2OE Lastschuetz DIL M</t>
        </is>
      </c>
      <c r="I10601">
        <v>770</v>
      </c>
      <c r="J10601">
        <f>GS16/525.3</f>
        <v>0</v>
      </c>
      <c r="K10601" t="inlineStr">
        <is>
          <t>DIL4M115</t>
        </is>
      </c>
      <c r="M10601" t="inlineStr">
        <is>
          <t>-525K2</t>
        </is>
      </c>
    </row>
    <row r="10602">
      <c r="A10602">
        <v>10601</v>
      </c>
      <c r="B10602">
        <f>GS16</f>
        <v>0</v>
      </c>
      <c r="C10602" t="inlineStr">
        <is>
          <t>+LS10</t>
        </is>
      </c>
      <c r="D10602" t="inlineStr">
        <is>
          <t>-525K3</t>
        </is>
      </c>
      <c r="E10602" t="inlineStr">
        <is>
          <t>22_DIL-M</t>
        </is>
      </c>
      <c r="F10602" t="inlineStr">
        <is>
          <t>22_DIL-M</t>
        </is>
      </c>
      <c r="G10602" t="inlineStr">
        <is>
          <t>HILFSKONTAKTBLOCK</t>
        </is>
      </c>
      <c r="H10602" t="inlineStr">
        <is>
          <t>2S 2OE Lastschuetz DIL M</t>
        </is>
      </c>
      <c r="I10602">
        <v>770</v>
      </c>
      <c r="J10602">
        <f>GS16/525.4</f>
        <v>0</v>
      </c>
      <c r="K10602" t="inlineStr">
        <is>
          <t>DIL0AM</t>
        </is>
      </c>
      <c r="M10602" t="inlineStr">
        <is>
          <t>-525K3</t>
        </is>
      </c>
    </row>
    <row r="10603">
      <c r="A10603">
        <v>10602</v>
      </c>
      <c r="B10603">
        <f>GS16</f>
        <v>0</v>
      </c>
      <c r="C10603" t="inlineStr">
        <is>
          <t>+LS10</t>
        </is>
      </c>
      <c r="D10603" t="inlineStr">
        <is>
          <t>-525K3</t>
        </is>
      </c>
      <c r="E10603" t="inlineStr">
        <is>
          <t>DIL_0AM</t>
        </is>
      </c>
      <c r="F10603" t="inlineStr">
        <is>
          <t>22_DIL-M</t>
        </is>
      </c>
      <c r="G10603" t="inlineStr">
        <is>
          <t>LASTSCHUETZ</t>
        </is>
      </c>
      <c r="H10603" t="inlineStr">
        <is>
          <t>11 kW</t>
        </is>
      </c>
      <c r="I10603">
        <v>770</v>
      </c>
      <c r="J10603">
        <f>GS16/525.4</f>
        <v>0</v>
      </c>
      <c r="K10603" t="inlineStr">
        <is>
          <t>DIL0AM</t>
        </is>
      </c>
      <c r="M10603" t="inlineStr">
        <is>
          <t>-525K3</t>
        </is>
      </c>
    </row>
    <row r="10604">
      <c r="A10604">
        <v>10603</v>
      </c>
      <c r="B10604">
        <f>GS15</f>
        <v>0</v>
      </c>
      <c r="C10604" t="inlineStr">
        <is>
          <t>+LS10</t>
        </is>
      </c>
      <c r="D10604" t="inlineStr">
        <is>
          <t>-525K3503.4</t>
        </is>
      </c>
      <c r="E10604" t="inlineStr">
        <is>
          <t>DIL_EM-10-G</t>
        </is>
      </c>
      <c r="F10604" t="inlineStr">
        <is>
          <t>#KALK!</t>
        </is>
      </c>
      <c r="G10604" t="inlineStr">
        <is>
          <t>LASTSCHUETZ</t>
        </is>
      </c>
      <c r="H10604" t="inlineStr">
        <is>
          <t>4kW 1S</t>
        </is>
      </c>
      <c r="I10604">
        <v>1035</v>
      </c>
      <c r="J10604">
        <f>GS15/525.6</f>
        <v>0</v>
      </c>
      <c r="M10604" t="inlineStr">
        <is>
          <t>-525K3503.4</t>
        </is>
      </c>
    </row>
    <row r="10605">
      <c r="A10605">
        <v>10604</v>
      </c>
      <c r="B10605">
        <f>GS25</f>
        <v>0</v>
      </c>
      <c r="C10605" t="inlineStr">
        <is>
          <t>+LS12</t>
        </is>
      </c>
      <c r="D10605" t="inlineStr">
        <is>
          <t>-525K3530.5</t>
        </is>
      </c>
      <c r="E10605" t="inlineStr">
        <is>
          <t>DIL_EM-10-G</t>
        </is>
      </c>
      <c r="F10605" t="inlineStr">
        <is>
          <t>#KALK!</t>
        </is>
      </c>
      <c r="G10605" t="inlineStr">
        <is>
          <t>LASTSCHUETZ</t>
        </is>
      </c>
      <c r="H10605" t="inlineStr">
        <is>
          <t>4kW 1S</t>
        </is>
      </c>
      <c r="I10605">
        <v>652</v>
      </c>
      <c r="J10605">
        <f>GS25/525.6</f>
        <v>0</v>
      </c>
      <c r="M10605" t="inlineStr">
        <is>
          <t>-525K3530.5</t>
        </is>
      </c>
    </row>
    <row r="10606">
      <c r="A10606">
        <v>10605</v>
      </c>
      <c r="B10606">
        <f>GS25</f>
        <v>0</v>
      </c>
      <c r="C10606" t="inlineStr">
        <is>
          <t>+LS12</t>
        </is>
      </c>
      <c r="D10606" t="inlineStr">
        <is>
          <t>-525K3530.6</t>
        </is>
      </c>
      <c r="E10606" t="inlineStr">
        <is>
          <t>DIL_EM-10-G</t>
        </is>
      </c>
      <c r="F10606" t="inlineStr">
        <is>
          <t>#KALK!</t>
        </is>
      </c>
      <c r="G10606" t="inlineStr">
        <is>
          <t>LASTSCHUETZ</t>
        </is>
      </c>
      <c r="H10606" t="inlineStr">
        <is>
          <t>4kW 1S</t>
        </is>
      </c>
      <c r="I10606">
        <v>652</v>
      </c>
      <c r="J10606">
        <f>GS25/525.7</f>
        <v>0</v>
      </c>
      <c r="M10606" t="inlineStr">
        <is>
          <t>-525K3530.6</t>
        </is>
      </c>
    </row>
    <row r="10607">
      <c r="A10607">
        <v>10606</v>
      </c>
      <c r="B10607">
        <f>GS16</f>
        <v>0</v>
      </c>
      <c r="C10607" t="inlineStr">
        <is>
          <t>+LS10</t>
        </is>
      </c>
      <c r="D10607" t="inlineStr">
        <is>
          <t>-525K4</t>
        </is>
      </c>
      <c r="E10607" t="inlineStr">
        <is>
          <t>22_DIL-M</t>
        </is>
      </c>
      <c r="F10607" t="inlineStr">
        <is>
          <t>22_DIL-M</t>
        </is>
      </c>
      <c r="G10607" t="inlineStr">
        <is>
          <t>HILFSKONTAKTBLOCK</t>
        </is>
      </c>
      <c r="H10607" t="inlineStr">
        <is>
          <t>2S 2OE Lastschuetz DIL M</t>
        </is>
      </c>
      <c r="I10607">
        <v>770</v>
      </c>
      <c r="J10607">
        <f>GS16/525.5</f>
        <v>0</v>
      </c>
      <c r="K10607" t="inlineStr">
        <is>
          <t>DIL0AM</t>
        </is>
      </c>
      <c r="M10607" t="inlineStr">
        <is>
          <t>-525K4</t>
        </is>
      </c>
    </row>
    <row r="10608">
      <c r="A10608">
        <v>10607</v>
      </c>
      <c r="B10608">
        <f>GS16</f>
        <v>0</v>
      </c>
      <c r="C10608" t="inlineStr">
        <is>
          <t>+LS10</t>
        </is>
      </c>
      <c r="D10608" t="inlineStr">
        <is>
          <t>-525K4</t>
        </is>
      </c>
      <c r="E10608" t="inlineStr">
        <is>
          <t>DIL_0AM</t>
        </is>
      </c>
      <c r="F10608" t="inlineStr">
        <is>
          <t>22_DIL-M</t>
        </is>
      </c>
      <c r="G10608" t="inlineStr">
        <is>
          <t>LASTSCHUETZ</t>
        </is>
      </c>
      <c r="H10608" t="inlineStr">
        <is>
          <t>11 kW</t>
        </is>
      </c>
      <c r="I10608">
        <v>770</v>
      </c>
      <c r="J10608">
        <f>GS16/525.5</f>
        <v>0</v>
      </c>
      <c r="K10608" t="inlineStr">
        <is>
          <t>DIL0AM</t>
        </is>
      </c>
      <c r="M10608" t="inlineStr">
        <is>
          <t>-525K4</t>
        </is>
      </c>
    </row>
    <row r="10609">
      <c r="A10609">
        <v>10608</v>
      </c>
      <c r="B10609">
        <f>GS91</f>
        <v>0</v>
      </c>
      <c r="C10609" t="inlineStr">
        <is>
          <t>+LS10</t>
        </is>
      </c>
      <c r="D10609" t="inlineStr">
        <is>
          <t>-525K473.4</t>
        </is>
      </c>
      <c r="E10609" t="inlineStr">
        <is>
          <t>DILA-40</t>
        </is>
      </c>
      <c r="F10609" t="inlineStr">
        <is>
          <t>#KALK!</t>
        </is>
      </c>
      <c r="G10609" t="inlineStr">
        <is>
          <t>HILFSSCHUETZ</t>
        </is>
      </c>
      <c r="H10609" t="inlineStr">
        <is>
          <t>4S Federzugkl.</t>
        </is>
      </c>
      <c r="I10609">
        <v>673</v>
      </c>
      <c r="J10609">
        <f>GS91/525.7</f>
        <v>0</v>
      </c>
      <c r="M10609" t="inlineStr">
        <is>
          <t>-525K473.4</t>
        </is>
      </c>
    </row>
    <row r="10610">
      <c r="A10610">
        <v>10609</v>
      </c>
      <c r="B10610">
        <f>GS90</f>
        <v>0</v>
      </c>
      <c r="C10610" t="inlineStr">
        <is>
          <t>+LS10</t>
        </is>
      </c>
      <c r="D10610" t="inlineStr">
        <is>
          <t>-525K479.0</t>
        </is>
      </c>
      <c r="E10610" t="inlineStr">
        <is>
          <t>DILA-40</t>
        </is>
      </c>
      <c r="F10610" t="inlineStr">
        <is>
          <t>#KALK!</t>
        </is>
      </c>
      <c r="G10610" t="inlineStr">
        <is>
          <t>HILFSSCHUETZ</t>
        </is>
      </c>
      <c r="H10610" t="inlineStr">
        <is>
          <t>4S Federzugkl.</t>
        </is>
      </c>
      <c r="I10610">
        <v>729</v>
      </c>
      <c r="J10610">
        <f>GS90/525.7</f>
        <v>0</v>
      </c>
      <c r="M10610" t="inlineStr">
        <is>
          <t>-525K479.0</t>
        </is>
      </c>
    </row>
    <row r="10611">
      <c r="A10611">
        <v>10610</v>
      </c>
      <c r="B10611">
        <f>GS93</f>
        <v>0</v>
      </c>
      <c r="C10611" t="inlineStr">
        <is>
          <t>+LS10</t>
        </is>
      </c>
      <c r="D10611" t="inlineStr">
        <is>
          <t>-525K750.4</t>
        </is>
      </c>
      <c r="E10611" t="inlineStr">
        <is>
          <t>DILA-40</t>
        </is>
      </c>
      <c r="F10611" t="inlineStr">
        <is>
          <t>#KALK!</t>
        </is>
      </c>
      <c r="G10611" t="inlineStr">
        <is>
          <t>HILFSSCHUETZ</t>
        </is>
      </c>
      <c r="H10611" t="inlineStr">
        <is>
          <t>4S Federzugkl.</t>
        </is>
      </c>
      <c r="I10611">
        <v>1079</v>
      </c>
      <c r="J10611">
        <f>GS93/525.7</f>
        <v>0</v>
      </c>
      <c r="M10611" t="inlineStr">
        <is>
          <t>-525K750.4</t>
        </is>
      </c>
    </row>
    <row r="10612">
      <c r="A10612">
        <v>10611</v>
      </c>
      <c r="B10612">
        <f>GS07</f>
        <v>0</v>
      </c>
      <c r="C10612" t="inlineStr">
        <is>
          <t>+LS08</t>
        </is>
      </c>
      <c r="D10612" t="inlineStr">
        <is>
          <t>-525Q1</t>
        </is>
      </c>
      <c r="E10612" t="inlineStr">
        <is>
          <t>DILMC25-10(RDC24)</t>
        </is>
      </c>
      <c r="F10612" t="inlineStr">
        <is>
          <t>DILA-XHI22</t>
        </is>
      </c>
      <c r="G10612" t="inlineStr">
        <is>
          <t>LASTSCHUETZ</t>
        </is>
      </c>
      <c r="H10612" t="inlineStr">
        <is>
          <t>11kW 1S Federzugkl.</t>
        </is>
      </c>
      <c r="I10612">
        <v>610</v>
      </c>
      <c r="J10612">
        <f>GS07/525.6</f>
        <v>0</v>
      </c>
      <c r="K10612" t="inlineStr">
        <is>
          <t>DIL MC25</t>
        </is>
      </c>
      <c r="M10612" t="inlineStr">
        <is>
          <t>-525Q1</t>
        </is>
      </c>
    </row>
    <row r="10613">
      <c r="A10613">
        <v>10612</v>
      </c>
      <c r="B10613">
        <f>GS07</f>
        <v>0</v>
      </c>
      <c r="C10613" t="inlineStr">
        <is>
          <t>+LS08</t>
        </is>
      </c>
      <c r="D10613" t="inlineStr">
        <is>
          <t>-525Q1</t>
        </is>
      </c>
      <c r="E10613" t="inlineStr">
        <is>
          <t>DILA-XHI22</t>
        </is>
      </c>
      <c r="F10613" t="inlineStr">
        <is>
          <t>DILA-XHI22</t>
        </is>
      </c>
      <c r="G10613" t="inlineStr">
        <is>
          <t>HILFSKONTAKTBLOCK</t>
        </is>
      </c>
      <c r="H10613" t="inlineStr">
        <is>
          <t>2S 2OE Last+Hilfssch. Cage</t>
        </is>
      </c>
      <c r="I10613">
        <v>610</v>
      </c>
      <c r="J10613">
        <f>GS07/525.6</f>
        <v>0</v>
      </c>
      <c r="K10613" t="inlineStr">
        <is>
          <t>DIL MC25</t>
        </is>
      </c>
      <c r="M10613" t="inlineStr">
        <is>
          <t>-525Q1</t>
        </is>
      </c>
    </row>
    <row r="10614">
      <c r="A10614">
        <v>10613</v>
      </c>
      <c r="B10614">
        <f>GS30</f>
        <v>0</v>
      </c>
      <c r="C10614" t="inlineStr">
        <is>
          <t>+LS18</t>
        </is>
      </c>
      <c r="D10614" t="inlineStr">
        <is>
          <t>-525Q1</t>
        </is>
      </c>
      <c r="E10614" t="inlineStr">
        <is>
          <t>DILMC25-10(RDC24)</t>
        </is>
      </c>
      <c r="F10614" t="inlineStr">
        <is>
          <t>DILA-XHI22</t>
        </is>
      </c>
      <c r="G10614" t="inlineStr">
        <is>
          <t>LASTSCHUETZ</t>
        </is>
      </c>
      <c r="H10614" t="inlineStr">
        <is>
          <t>11kW 1S Federzugkl.</t>
        </is>
      </c>
      <c r="I10614">
        <v>1533</v>
      </c>
      <c r="J10614">
        <f>GS30/525.4</f>
        <v>0</v>
      </c>
      <c r="K10614" t="inlineStr">
        <is>
          <t>DIL MC25</t>
        </is>
      </c>
      <c r="M10614" t="inlineStr">
        <is>
          <t>-525Q1</t>
        </is>
      </c>
    </row>
    <row r="10615">
      <c r="A10615">
        <v>10614</v>
      </c>
      <c r="B10615">
        <f>GS30</f>
        <v>0</v>
      </c>
      <c r="C10615" t="inlineStr">
        <is>
          <t>+LS18</t>
        </is>
      </c>
      <c r="D10615" t="inlineStr">
        <is>
          <t>-525Q1</t>
        </is>
      </c>
      <c r="E10615" t="inlineStr">
        <is>
          <t>DILA-XHI22</t>
        </is>
      </c>
      <c r="F10615" t="inlineStr">
        <is>
          <t>DILA-XHI22</t>
        </is>
      </c>
      <c r="G10615" t="inlineStr">
        <is>
          <t>HILFSKONTAKTBLOCK</t>
        </is>
      </c>
      <c r="H10615" t="inlineStr">
        <is>
          <t>2S 2OE Last+Hilfssch. Cage</t>
        </is>
      </c>
      <c r="I10615">
        <v>1533</v>
      </c>
      <c r="J10615">
        <f>GS30/525.4</f>
        <v>0</v>
      </c>
      <c r="K10615" t="inlineStr">
        <is>
          <t>DIL MC25</t>
        </is>
      </c>
      <c r="M10615" t="inlineStr">
        <is>
          <t>-525Q1</t>
        </is>
      </c>
    </row>
    <row r="10616">
      <c r="A10616">
        <v>10615</v>
      </c>
      <c r="B10616">
        <f>GS51</f>
        <v>0</v>
      </c>
      <c r="C10616" t="inlineStr">
        <is>
          <t>+LS08</t>
        </is>
      </c>
      <c r="D10616" t="inlineStr">
        <is>
          <t>-525Q1</t>
        </is>
      </c>
      <c r="E10616" t="inlineStr">
        <is>
          <t>DILA-XHI22</t>
        </is>
      </c>
      <c r="F10616" t="inlineStr">
        <is>
          <t>DILA-XHI22</t>
        </is>
      </c>
      <c r="G10616" t="inlineStr">
        <is>
          <t>HILFSKONTAKTBLOCK</t>
        </is>
      </c>
      <c r="H10616" t="inlineStr">
        <is>
          <t>2S 2OE Last+Hilfssch. Cage</t>
        </is>
      </c>
      <c r="I10616">
        <v>688</v>
      </c>
      <c r="J10616">
        <f>GS51/525.6</f>
        <v>0</v>
      </c>
      <c r="K10616" t="inlineStr">
        <is>
          <t>DIL MC25</t>
        </is>
      </c>
      <c r="M10616" t="inlineStr">
        <is>
          <t>-525Q1</t>
        </is>
      </c>
    </row>
    <row r="10617">
      <c r="A10617">
        <v>10616</v>
      </c>
      <c r="B10617">
        <f>GS51</f>
        <v>0</v>
      </c>
      <c r="C10617" t="inlineStr">
        <is>
          <t>+LS08</t>
        </is>
      </c>
      <c r="D10617" t="inlineStr">
        <is>
          <t>-525Q1</t>
        </is>
      </c>
      <c r="E10617" t="inlineStr">
        <is>
          <t>DILMC25-10(RDC24)</t>
        </is>
      </c>
      <c r="F10617" t="inlineStr">
        <is>
          <t>DILA-XHI22</t>
        </is>
      </c>
      <c r="G10617" t="inlineStr">
        <is>
          <t>LASTSCHUETZ</t>
        </is>
      </c>
      <c r="H10617" t="inlineStr">
        <is>
          <t>11kW 1S Federzugkl.</t>
        </is>
      </c>
      <c r="I10617">
        <v>688</v>
      </c>
      <c r="J10617">
        <f>GS51/525.6</f>
        <v>0</v>
      </c>
      <c r="K10617" t="inlineStr">
        <is>
          <t>DIL MC25</t>
        </is>
      </c>
      <c r="M10617" t="inlineStr">
        <is>
          <t>-525Q1</t>
        </is>
      </c>
    </row>
    <row r="10618">
      <c r="A10618">
        <v>10617</v>
      </c>
      <c r="B10618">
        <f>GS90</f>
        <v>0</v>
      </c>
      <c r="C10618" t="inlineStr">
        <is>
          <t>+LS10</t>
        </is>
      </c>
      <c r="D10618" t="inlineStr">
        <is>
          <t>-525Q1</t>
        </is>
      </c>
      <c r="E10618" t="inlineStr">
        <is>
          <t>DILMC25-10(RDC24)</t>
        </is>
      </c>
      <c r="F10618" t="inlineStr">
        <is>
          <t>DILA-XHI22</t>
        </is>
      </c>
      <c r="G10618" t="inlineStr">
        <is>
          <t>LASTSCHUETZ</t>
        </is>
      </c>
      <c r="H10618" t="inlineStr">
        <is>
          <t>11kW 1S Federzugkl.</t>
        </is>
      </c>
      <c r="I10618">
        <v>729</v>
      </c>
      <c r="J10618">
        <f>GS90/525.4</f>
        <v>0</v>
      </c>
      <c r="K10618" t="inlineStr">
        <is>
          <t>DIL MC25</t>
        </is>
      </c>
      <c r="M10618" t="inlineStr">
        <is>
          <t>-525Q1</t>
        </is>
      </c>
    </row>
    <row r="10619">
      <c r="A10619">
        <v>10618</v>
      </c>
      <c r="B10619">
        <f>GS90</f>
        <v>0</v>
      </c>
      <c r="C10619" t="inlineStr">
        <is>
          <t>+LS10</t>
        </is>
      </c>
      <c r="D10619" t="inlineStr">
        <is>
          <t>-525Q1</t>
        </is>
      </c>
      <c r="E10619" t="inlineStr">
        <is>
          <t>DILA-XHI22</t>
        </is>
      </c>
      <c r="F10619" t="inlineStr">
        <is>
          <t>DILA-XHI22</t>
        </is>
      </c>
      <c r="G10619" t="inlineStr">
        <is>
          <t>HILFSKONTAKTBLOCK</t>
        </is>
      </c>
      <c r="H10619" t="inlineStr">
        <is>
          <t>2S 2OE Last+Hilfssch. Cage</t>
        </is>
      </c>
      <c r="I10619">
        <v>729</v>
      </c>
      <c r="J10619">
        <f>GS90/525.4</f>
        <v>0</v>
      </c>
      <c r="K10619" t="inlineStr">
        <is>
          <t>DIL MC25</t>
        </is>
      </c>
      <c r="M10619" t="inlineStr">
        <is>
          <t>-525Q1</t>
        </is>
      </c>
    </row>
    <row r="10620">
      <c r="A10620">
        <v>10619</v>
      </c>
      <c r="B10620">
        <f>GS91</f>
        <v>0</v>
      </c>
      <c r="C10620" t="inlineStr">
        <is>
          <t>+LS10</t>
        </is>
      </c>
      <c r="D10620" t="inlineStr">
        <is>
          <t>-525Q1</t>
        </is>
      </c>
      <c r="E10620" t="inlineStr">
        <is>
          <t>DILA-XHI22</t>
        </is>
      </c>
      <c r="F10620" t="inlineStr">
        <is>
          <t>DILA-XHI22</t>
        </is>
      </c>
      <c r="G10620" t="inlineStr">
        <is>
          <t>HILFSKONTAKTBLOCK</t>
        </is>
      </c>
      <c r="H10620" t="inlineStr">
        <is>
          <t>2S 2OE Last+Hilfssch. Cage</t>
        </is>
      </c>
      <c r="I10620">
        <v>673</v>
      </c>
      <c r="J10620">
        <f>GS91/525.4</f>
        <v>0</v>
      </c>
      <c r="K10620" t="inlineStr">
        <is>
          <t>DIL MC25</t>
        </is>
      </c>
      <c r="M10620" t="inlineStr">
        <is>
          <t>-525Q1</t>
        </is>
      </c>
    </row>
    <row r="10621">
      <c r="A10621">
        <v>10620</v>
      </c>
      <c r="B10621">
        <f>GS91</f>
        <v>0</v>
      </c>
      <c r="C10621" t="inlineStr">
        <is>
          <t>+LS10</t>
        </is>
      </c>
      <c r="D10621" t="inlineStr">
        <is>
          <t>-525Q1</t>
        </is>
      </c>
      <c r="E10621" t="inlineStr">
        <is>
          <t>DILMC25-10(RDC24)</t>
        </is>
      </c>
      <c r="F10621" t="inlineStr">
        <is>
          <t>DILA-XHI22</t>
        </is>
      </c>
      <c r="G10621" t="inlineStr">
        <is>
          <t>LASTSCHUETZ</t>
        </is>
      </c>
      <c r="H10621" t="inlineStr">
        <is>
          <t>11kW 1S Federzugkl.</t>
        </is>
      </c>
      <c r="I10621">
        <v>673</v>
      </c>
      <c r="J10621">
        <f>GS91/525.4</f>
        <v>0</v>
      </c>
      <c r="K10621" t="inlineStr">
        <is>
          <t>DIL MC25</t>
        </is>
      </c>
      <c r="M10621" t="inlineStr">
        <is>
          <t>-525Q1</t>
        </is>
      </c>
    </row>
    <row r="10622">
      <c r="A10622">
        <v>10621</v>
      </c>
      <c r="B10622">
        <f>GS93</f>
        <v>0</v>
      </c>
      <c r="C10622" t="inlineStr">
        <is>
          <t>+LS10</t>
        </is>
      </c>
      <c r="D10622" t="inlineStr">
        <is>
          <t>-525Q1</t>
        </is>
      </c>
      <c r="E10622" t="inlineStr">
        <is>
          <t>DILMC25-10(RDC24)</t>
        </is>
      </c>
      <c r="F10622" t="inlineStr">
        <is>
          <t>DILA-XHI22</t>
        </is>
      </c>
      <c r="G10622" t="inlineStr">
        <is>
          <t>LASTSCHUETZ</t>
        </is>
      </c>
      <c r="H10622" t="inlineStr">
        <is>
          <t>11kW 1S Federzugkl.</t>
        </is>
      </c>
      <c r="I10622">
        <v>1079</v>
      </c>
      <c r="J10622">
        <f>GS93/525.4</f>
        <v>0</v>
      </c>
      <c r="K10622" t="inlineStr">
        <is>
          <t>DIL MC25</t>
        </is>
      </c>
      <c r="M10622" t="inlineStr">
        <is>
          <t>-525Q1</t>
        </is>
      </c>
    </row>
    <row r="10623">
      <c r="A10623">
        <v>10622</v>
      </c>
      <c r="B10623">
        <f>GS93</f>
        <v>0</v>
      </c>
      <c r="C10623" t="inlineStr">
        <is>
          <t>+LS10</t>
        </is>
      </c>
      <c r="D10623" t="inlineStr">
        <is>
          <t>-525Q1</t>
        </is>
      </c>
      <c r="E10623" t="inlineStr">
        <is>
          <t>DILA-XHI22</t>
        </is>
      </c>
      <c r="F10623" t="inlineStr">
        <is>
          <t>DILA-XHI22</t>
        </is>
      </c>
      <c r="G10623" t="inlineStr">
        <is>
          <t>HILFSKONTAKTBLOCK</t>
        </is>
      </c>
      <c r="H10623" t="inlineStr">
        <is>
          <t>2S 2OE Last+Hilfssch. Cage</t>
        </is>
      </c>
      <c r="I10623">
        <v>1079</v>
      </c>
      <c r="J10623">
        <f>GS93/525.4</f>
        <v>0</v>
      </c>
      <c r="K10623" t="inlineStr">
        <is>
          <t>DIL MC25</t>
        </is>
      </c>
      <c r="M10623" t="inlineStr">
        <is>
          <t>-525Q1</t>
        </is>
      </c>
    </row>
    <row r="10624">
      <c r="A10624">
        <v>10623</v>
      </c>
      <c r="B10624">
        <f>GS92</f>
        <v>0</v>
      </c>
      <c r="C10624" t="inlineStr">
        <is>
          <t>+LS09</t>
        </is>
      </c>
      <c r="D10624" t="inlineStr">
        <is>
          <t>-525Q767.7</t>
        </is>
      </c>
      <c r="E10624" t="inlineStr">
        <is>
          <t>DILM-9-10</t>
        </is>
      </c>
      <c r="F10624" t="inlineStr">
        <is>
          <t>#KALK!</t>
        </is>
      </c>
      <c r="G10624" t="inlineStr">
        <is>
          <t>LASTSCHUETZ</t>
        </is>
      </c>
      <c r="H10624" t="inlineStr">
        <is>
          <t>4kW 1S Federzugkl.</t>
        </is>
      </c>
      <c r="I10624">
        <v>665</v>
      </c>
      <c r="J10624">
        <f>GS92/525.5</f>
        <v>0</v>
      </c>
      <c r="M10624" t="inlineStr">
        <is>
          <t>-525Q767.7</t>
        </is>
      </c>
    </row>
    <row r="10625">
      <c r="A10625">
        <v>10624</v>
      </c>
      <c r="B10625">
        <f>GS15</f>
        <v>0</v>
      </c>
      <c r="C10625" t="inlineStr">
        <is>
          <t>+LS10</t>
        </is>
      </c>
      <c r="D10625" t="inlineStr">
        <is>
          <t>-526K3503.5</t>
        </is>
      </c>
      <c r="E10625" t="inlineStr">
        <is>
          <t>DIL_EM-10-G</t>
        </is>
      </c>
      <c r="F10625" t="inlineStr">
        <is>
          <t>#KALK!</t>
        </is>
      </c>
      <c r="G10625" t="inlineStr">
        <is>
          <t>LASTSCHUETZ</t>
        </is>
      </c>
      <c r="H10625" t="inlineStr">
        <is>
          <t>4kW 1S</t>
        </is>
      </c>
      <c r="I10625">
        <v>1036</v>
      </c>
      <c r="J10625">
        <f>GS15/526.6</f>
        <v>0</v>
      </c>
      <c r="M10625" t="inlineStr">
        <is>
          <t>-526K3503.5</t>
        </is>
      </c>
    </row>
    <row r="10626">
      <c r="A10626">
        <v>10625</v>
      </c>
      <c r="B10626">
        <f>GS15</f>
        <v>0</v>
      </c>
      <c r="C10626" t="inlineStr">
        <is>
          <t>+LS10</t>
        </is>
      </c>
      <c r="D10626" t="inlineStr">
        <is>
          <t>-526K3504.0</t>
        </is>
      </c>
      <c r="E10626" t="inlineStr">
        <is>
          <t>DIL_EM-10-G</t>
        </is>
      </c>
      <c r="F10626" t="inlineStr">
        <is>
          <t>#KALK!</t>
        </is>
      </c>
      <c r="G10626" t="inlineStr">
        <is>
          <t>LASTSCHUETZ</t>
        </is>
      </c>
      <c r="H10626" t="inlineStr">
        <is>
          <t>4kW 1S</t>
        </is>
      </c>
      <c r="I10626">
        <v>1036</v>
      </c>
      <c r="J10626">
        <f>GS15/526.7</f>
        <v>0</v>
      </c>
      <c r="M10626" t="inlineStr">
        <is>
          <t>-526K3504.0</t>
        </is>
      </c>
    </row>
    <row r="10627">
      <c r="A10627">
        <v>10626</v>
      </c>
      <c r="B10627">
        <f>GS25</f>
        <v>0</v>
      </c>
      <c r="C10627" t="inlineStr">
        <is>
          <t>+LS12</t>
        </is>
      </c>
      <c r="D10627" t="inlineStr">
        <is>
          <t>-526K3531.2</t>
        </is>
      </c>
      <c r="E10627" t="inlineStr">
        <is>
          <t>DIL_EM-10-G</t>
        </is>
      </c>
      <c r="F10627" t="inlineStr">
        <is>
          <t>#KALK!</t>
        </is>
      </c>
      <c r="G10627" t="inlineStr">
        <is>
          <t>LASTSCHUETZ</t>
        </is>
      </c>
      <c r="H10627" t="inlineStr">
        <is>
          <t>4kW 1S</t>
        </is>
      </c>
      <c r="I10627">
        <v>653</v>
      </c>
      <c r="J10627">
        <f>GS25/526.7</f>
        <v>0</v>
      </c>
      <c r="M10627" t="inlineStr">
        <is>
          <t>-526K3531.2</t>
        </is>
      </c>
    </row>
    <row r="10628">
      <c r="A10628">
        <v>10627</v>
      </c>
      <c r="B10628">
        <f>GS31</f>
        <v>0</v>
      </c>
      <c r="C10628" t="inlineStr">
        <is>
          <t>+LS11</t>
        </is>
      </c>
      <c r="D10628" t="inlineStr">
        <is>
          <t>-526K71.4</t>
        </is>
      </c>
      <c r="E10628" t="inlineStr">
        <is>
          <t>DIL_EM-10-G</t>
        </is>
      </c>
      <c r="F10628" t="inlineStr">
        <is>
          <t>#KALK!</t>
        </is>
      </c>
      <c r="G10628" t="inlineStr">
        <is>
          <t>LASTSCHUETZ</t>
        </is>
      </c>
      <c r="H10628" t="inlineStr">
        <is>
          <t>4kW 1S</t>
        </is>
      </c>
      <c r="I10628">
        <v>822</v>
      </c>
      <c r="J10628">
        <f>GS31/526.6</f>
        <v>0</v>
      </c>
      <c r="M10628" t="inlineStr">
        <is>
          <t>-526K71.4</t>
        </is>
      </c>
    </row>
    <row r="10629">
      <c r="A10629">
        <v>10628</v>
      </c>
      <c r="B10629">
        <f>GS31</f>
        <v>0</v>
      </c>
      <c r="C10629" t="inlineStr">
        <is>
          <t>+LS11</t>
        </is>
      </c>
      <c r="D10629" t="inlineStr">
        <is>
          <t>-526K71.5</t>
        </is>
      </c>
      <c r="E10629" t="inlineStr">
        <is>
          <t>DIL_EM-10-G</t>
        </is>
      </c>
      <c r="F10629" t="inlineStr">
        <is>
          <t>#KALK!</t>
        </is>
      </c>
      <c r="G10629" t="inlineStr">
        <is>
          <t>LASTSCHUETZ</t>
        </is>
      </c>
      <c r="H10629" t="inlineStr">
        <is>
          <t>4kW 1S</t>
        </is>
      </c>
      <c r="I10629">
        <v>822</v>
      </c>
      <c r="J10629">
        <f>GS31/526.6</f>
        <v>0</v>
      </c>
      <c r="M10629" t="inlineStr">
        <is>
          <t>-526K71.5</t>
        </is>
      </c>
    </row>
    <row r="10630">
      <c r="A10630">
        <v>10629</v>
      </c>
      <c r="B10630">
        <f>GS51</f>
        <v>0</v>
      </c>
      <c r="C10630" t="inlineStr">
        <is>
          <t>+LS08</t>
        </is>
      </c>
      <c r="D10630" t="inlineStr">
        <is>
          <t>-526Q714.1</t>
        </is>
      </c>
      <c r="E10630" t="inlineStr">
        <is>
          <t>DILM-9-10</t>
        </is>
      </c>
      <c r="F10630" t="inlineStr">
        <is>
          <t>#KALK!</t>
        </is>
      </c>
      <c r="G10630" t="inlineStr">
        <is>
          <t>LASTSCHUETZ</t>
        </is>
      </c>
      <c r="H10630" t="inlineStr">
        <is>
          <t>4kW 1S Federzugkl.</t>
        </is>
      </c>
      <c r="I10630">
        <v>689</v>
      </c>
      <c r="J10630">
        <f>GS51/526.6</f>
        <v>0</v>
      </c>
      <c r="K10630" t="inlineStr">
        <is>
          <t>DIL MC9</t>
        </is>
      </c>
      <c r="M10630" t="inlineStr">
        <is>
          <t>-526Q714.1</t>
        </is>
      </c>
    </row>
    <row r="10631">
      <c r="A10631">
        <v>10630</v>
      </c>
      <c r="B10631">
        <f>GS93</f>
        <v>0</v>
      </c>
      <c r="C10631" t="inlineStr">
        <is>
          <t>+LS10</t>
        </is>
      </c>
      <c r="D10631" t="inlineStr">
        <is>
          <t>-526Q750.5</t>
        </is>
      </c>
      <c r="E10631" t="inlineStr">
        <is>
          <t>DILM-9-10</t>
        </is>
      </c>
      <c r="F10631" t="inlineStr">
        <is>
          <t>#KALK!</t>
        </is>
      </c>
      <c r="G10631" t="inlineStr">
        <is>
          <t>LASTSCHUETZ</t>
        </is>
      </c>
      <c r="H10631" t="inlineStr">
        <is>
          <t>4kW 1S Federzugkl.</t>
        </is>
      </c>
      <c r="I10631">
        <v>1080</v>
      </c>
      <c r="J10631">
        <f>GS93/526.5</f>
        <v>0</v>
      </c>
      <c r="M10631" t="inlineStr">
        <is>
          <t>-526Q750.5</t>
        </is>
      </c>
    </row>
    <row r="10632">
      <c r="A10632">
        <v>10631</v>
      </c>
      <c r="B10632">
        <f>GS13</f>
        <v>0</v>
      </c>
      <c r="C10632" t="inlineStr">
        <is>
          <t>+LS12</t>
        </is>
      </c>
      <c r="D10632" t="inlineStr">
        <is>
          <t>-527K1</t>
        </is>
      </c>
      <c r="E10632" t="inlineStr">
        <is>
          <t>DIL_0AM</t>
        </is>
      </c>
      <c r="F10632" t="inlineStr">
        <is>
          <t>22_DIL-M</t>
        </is>
      </c>
      <c r="G10632" t="inlineStr">
        <is>
          <t>LASTSCHUETZ</t>
        </is>
      </c>
      <c r="H10632" t="inlineStr">
        <is>
          <t>11 kW</t>
        </is>
      </c>
      <c r="I10632">
        <v>785</v>
      </c>
      <c r="J10632">
        <f>GS13/527.2</f>
        <v>0</v>
      </c>
      <c r="K10632" t="inlineStr">
        <is>
          <t>DIL0AM</t>
        </is>
      </c>
      <c r="M10632" t="inlineStr">
        <is>
          <t>-527K1</t>
        </is>
      </c>
    </row>
    <row r="10633">
      <c r="A10633">
        <v>10632</v>
      </c>
      <c r="B10633">
        <f>GS13</f>
        <v>0</v>
      </c>
      <c r="C10633" t="inlineStr">
        <is>
          <t>+LS12</t>
        </is>
      </c>
      <c r="D10633" t="inlineStr">
        <is>
          <t>-527K1</t>
        </is>
      </c>
      <c r="E10633" t="inlineStr">
        <is>
          <t>22_DIL-M</t>
        </is>
      </c>
      <c r="F10633" t="inlineStr">
        <is>
          <t>22_DIL-M</t>
        </is>
      </c>
      <c r="G10633" t="inlineStr">
        <is>
          <t>HILFSKONTAKTBLOCK</t>
        </is>
      </c>
      <c r="H10633" t="inlineStr">
        <is>
          <t>2S 2OE Lastschuetz DIL M</t>
        </is>
      </c>
      <c r="I10633">
        <v>785</v>
      </c>
      <c r="J10633">
        <f>GS13/527.2</f>
        <v>0</v>
      </c>
      <c r="K10633" t="inlineStr">
        <is>
          <t>DIL0AM</t>
        </is>
      </c>
      <c r="M10633" t="inlineStr">
        <is>
          <t>-527K1</t>
        </is>
      </c>
    </row>
    <row r="10634">
      <c r="A10634">
        <v>10633</v>
      </c>
      <c r="B10634">
        <f>GS23</f>
        <v>0</v>
      </c>
      <c r="C10634" t="inlineStr">
        <is>
          <t>+LS12</t>
        </is>
      </c>
      <c r="D10634" t="inlineStr">
        <is>
          <t>-527K1</t>
        </is>
      </c>
      <c r="E10634" t="inlineStr">
        <is>
          <t>22_DIL-M</t>
        </is>
      </c>
      <c r="F10634" t="inlineStr">
        <is>
          <t>22_DIL-M</t>
        </is>
      </c>
      <c r="G10634" t="inlineStr">
        <is>
          <t>HILFSKONTAKTBLOCK</t>
        </is>
      </c>
      <c r="H10634" t="inlineStr">
        <is>
          <t>2S 2OE Lastschuetz DIL M</t>
        </is>
      </c>
      <c r="I10634">
        <v>839</v>
      </c>
      <c r="J10634">
        <f>GS23/527.2</f>
        <v>0</v>
      </c>
      <c r="K10634" t="inlineStr">
        <is>
          <t>DIL0AM</t>
        </is>
      </c>
      <c r="M10634" t="inlineStr">
        <is>
          <t>-527K1</t>
        </is>
      </c>
    </row>
    <row r="10635">
      <c r="A10635">
        <v>10634</v>
      </c>
      <c r="B10635">
        <f>GS23</f>
        <v>0</v>
      </c>
      <c r="C10635" t="inlineStr">
        <is>
          <t>+LS12</t>
        </is>
      </c>
      <c r="D10635" t="inlineStr">
        <is>
          <t>-527K1</t>
        </is>
      </c>
      <c r="E10635" t="inlineStr">
        <is>
          <t>DIL_0AM</t>
        </is>
      </c>
      <c r="F10635" t="inlineStr">
        <is>
          <t>22_DIL-M</t>
        </is>
      </c>
      <c r="G10635" t="inlineStr">
        <is>
          <t>LASTSCHUETZ</t>
        </is>
      </c>
      <c r="H10635" t="inlineStr">
        <is>
          <t>11 kW</t>
        </is>
      </c>
      <c r="I10635">
        <v>839</v>
      </c>
      <c r="J10635">
        <f>GS23/527.2</f>
        <v>0</v>
      </c>
      <c r="K10635" t="inlineStr">
        <is>
          <t>DIL0AM</t>
        </is>
      </c>
      <c r="M10635" t="inlineStr">
        <is>
          <t>-527K1</t>
        </is>
      </c>
    </row>
    <row r="10636">
      <c r="A10636">
        <v>10635</v>
      </c>
      <c r="B10636">
        <f>GS16</f>
        <v>0</v>
      </c>
      <c r="C10636" t="inlineStr">
        <is>
          <t>+LS10</t>
        </is>
      </c>
      <c r="D10636" t="inlineStr">
        <is>
          <t>-527K3500.4</t>
        </is>
      </c>
      <c r="E10636" t="inlineStr">
        <is>
          <t>DIL_EM-01-G</t>
        </is>
      </c>
      <c r="F10636" t="inlineStr">
        <is>
          <t>#KALK!</t>
        </is>
      </c>
      <c r="G10636" t="inlineStr">
        <is>
          <t>LASTSCHUETZ</t>
        </is>
      </c>
      <c r="H10636" t="inlineStr">
        <is>
          <t>4kW 1OE</t>
        </is>
      </c>
      <c r="I10636">
        <v>772</v>
      </c>
      <c r="J10636">
        <f>GS16/527.1</f>
        <v>0</v>
      </c>
      <c r="M10636" t="inlineStr">
        <is>
          <t>-527K3500.4</t>
        </is>
      </c>
    </row>
    <row r="10637">
      <c r="A10637">
        <v>10636</v>
      </c>
      <c r="B10637">
        <f>GS16</f>
        <v>0</v>
      </c>
      <c r="C10637" t="inlineStr">
        <is>
          <t>+LS10</t>
        </is>
      </c>
      <c r="D10637" t="inlineStr">
        <is>
          <t>-527K3500.4.1</t>
        </is>
      </c>
      <c r="E10637" t="inlineStr">
        <is>
          <t>22_DIL-M</t>
        </is>
      </c>
      <c r="F10637" t="inlineStr">
        <is>
          <t>22_DIL-M</t>
        </is>
      </c>
      <c r="G10637" t="inlineStr">
        <is>
          <t>HILFSKONTAKTBLOCK</t>
        </is>
      </c>
      <c r="H10637" t="inlineStr">
        <is>
          <t>2S 2OE Lastschuetz DIL M</t>
        </is>
      </c>
      <c r="I10637">
        <v>772</v>
      </c>
      <c r="J10637">
        <f>GS16/527.2</f>
        <v>0</v>
      </c>
      <c r="K10637" t="inlineStr">
        <is>
          <t>DIL00AM</t>
        </is>
      </c>
      <c r="M10637" t="inlineStr">
        <is>
          <t>-527K3500.4.1</t>
        </is>
      </c>
    </row>
    <row r="10638">
      <c r="A10638">
        <v>10637</v>
      </c>
      <c r="B10638">
        <f>GS16</f>
        <v>0</v>
      </c>
      <c r="C10638" t="inlineStr">
        <is>
          <t>+LS10</t>
        </is>
      </c>
      <c r="D10638" t="inlineStr">
        <is>
          <t>-527K3500.4.1</t>
        </is>
      </c>
      <c r="E10638" t="inlineStr">
        <is>
          <t>DIL_00AM-G</t>
        </is>
      </c>
      <c r="F10638" t="inlineStr">
        <is>
          <t>22_DIL-M</t>
        </is>
      </c>
      <c r="G10638" t="inlineStr">
        <is>
          <t>LASTSCHUETZ</t>
        </is>
      </c>
      <c r="H10638" t="inlineStr">
        <is>
          <t>5,5kW</t>
        </is>
      </c>
      <c r="I10638">
        <v>772</v>
      </c>
      <c r="J10638">
        <f>GS16/527.2</f>
        <v>0</v>
      </c>
      <c r="K10638" t="inlineStr">
        <is>
          <t>DIL00AM</t>
        </is>
      </c>
      <c r="M10638" t="inlineStr">
        <is>
          <t>-527K3500.4.1</t>
        </is>
      </c>
    </row>
    <row r="10639">
      <c r="A10639">
        <v>10638</v>
      </c>
      <c r="B10639">
        <f>GS16</f>
        <v>0</v>
      </c>
      <c r="C10639" t="inlineStr">
        <is>
          <t>+LS10</t>
        </is>
      </c>
      <c r="D10639" t="inlineStr">
        <is>
          <t>-527K3500.7</t>
        </is>
      </c>
      <c r="E10639" t="inlineStr">
        <is>
          <t>DIL_EM-10-G</t>
        </is>
      </c>
      <c r="F10639" t="inlineStr">
        <is>
          <t>#KALK!</t>
        </is>
      </c>
      <c r="G10639" t="inlineStr">
        <is>
          <t>LASTSCHUETZ</t>
        </is>
      </c>
      <c r="H10639" t="inlineStr">
        <is>
          <t>4kW 1S</t>
        </is>
      </c>
      <c r="I10639">
        <v>772</v>
      </c>
      <c r="J10639">
        <f>GS16/527.3</f>
        <v>0</v>
      </c>
      <c r="M10639" t="inlineStr">
        <is>
          <t>-527K3500.7</t>
        </is>
      </c>
    </row>
    <row r="10640">
      <c r="A10640">
        <v>10639</v>
      </c>
      <c r="B10640">
        <f>GS15</f>
        <v>0</v>
      </c>
      <c r="C10640" t="inlineStr">
        <is>
          <t>+LS10</t>
        </is>
      </c>
      <c r="D10640" t="inlineStr">
        <is>
          <t>-527K3504.1</t>
        </is>
      </c>
      <c r="E10640" t="inlineStr">
        <is>
          <t>DIL_EM-10-G</t>
        </is>
      </c>
      <c r="F10640" t="inlineStr">
        <is>
          <t>#KALK!</t>
        </is>
      </c>
      <c r="G10640" t="inlineStr">
        <is>
          <t>LASTSCHUETZ</t>
        </is>
      </c>
      <c r="H10640" t="inlineStr">
        <is>
          <t>4kW 1S</t>
        </is>
      </c>
      <c r="I10640">
        <v>1037</v>
      </c>
      <c r="J10640">
        <f>GS15/527.6</f>
        <v>0</v>
      </c>
      <c r="M10640" t="inlineStr">
        <is>
          <t>-527K3504.1</t>
        </is>
      </c>
    </row>
    <row r="10641">
      <c r="A10641">
        <v>10640</v>
      </c>
      <c r="B10641">
        <f>GS15</f>
        <v>0</v>
      </c>
      <c r="C10641" t="inlineStr">
        <is>
          <t>+LS10</t>
        </is>
      </c>
      <c r="D10641" t="inlineStr">
        <is>
          <t>-527K3504.2</t>
        </is>
      </c>
      <c r="E10641" t="inlineStr">
        <is>
          <t>DIL_EM-10-G</t>
        </is>
      </c>
      <c r="F10641" t="inlineStr">
        <is>
          <t>#KALK!</t>
        </is>
      </c>
      <c r="G10641" t="inlineStr">
        <is>
          <t>LASTSCHUETZ</t>
        </is>
      </c>
      <c r="H10641" t="inlineStr">
        <is>
          <t>4kW 1S</t>
        </is>
      </c>
      <c r="I10641">
        <v>1037</v>
      </c>
      <c r="J10641">
        <f>GS15/527.7</f>
        <v>0</v>
      </c>
      <c r="M10641" t="inlineStr">
        <is>
          <t>-527K3504.2</t>
        </is>
      </c>
    </row>
    <row r="10642">
      <c r="A10642">
        <v>10641</v>
      </c>
      <c r="B10642">
        <f>GS24</f>
        <v>0</v>
      </c>
      <c r="C10642" t="inlineStr">
        <is>
          <t>+LS11</t>
        </is>
      </c>
      <c r="D10642" t="inlineStr">
        <is>
          <t>-527K3510.0</t>
        </is>
      </c>
      <c r="E10642" t="inlineStr">
        <is>
          <t>DIL_EM-10-G</t>
        </is>
      </c>
      <c r="F10642" t="inlineStr">
        <is>
          <t>#KALK!</t>
        </is>
      </c>
      <c r="G10642" t="inlineStr">
        <is>
          <t>LASTSCHUETZ</t>
        </is>
      </c>
      <c r="H10642" t="inlineStr">
        <is>
          <t>4kW 1S</t>
        </is>
      </c>
      <c r="I10642">
        <v>569</v>
      </c>
      <c r="J10642">
        <f>GS24/527.6</f>
        <v>0</v>
      </c>
      <c r="M10642" t="inlineStr">
        <is>
          <t>-527K3510.0</t>
        </is>
      </c>
    </row>
    <row r="10643">
      <c r="A10643">
        <v>10642</v>
      </c>
      <c r="B10643">
        <f>GS24</f>
        <v>0</v>
      </c>
      <c r="C10643" t="inlineStr">
        <is>
          <t>+LS11</t>
        </is>
      </c>
      <c r="D10643" t="inlineStr">
        <is>
          <t>-527K3510.1</t>
        </is>
      </c>
      <c r="E10643" t="inlineStr">
        <is>
          <t>DIL_EM-10-G</t>
        </is>
      </c>
      <c r="F10643" t="inlineStr">
        <is>
          <t>#KALK!</t>
        </is>
      </c>
      <c r="G10643" t="inlineStr">
        <is>
          <t>LASTSCHUETZ</t>
        </is>
      </c>
      <c r="H10643" t="inlineStr">
        <is>
          <t>4kW 1S</t>
        </is>
      </c>
      <c r="I10643">
        <v>569</v>
      </c>
      <c r="J10643">
        <f>GS24/527.7</f>
        <v>0</v>
      </c>
      <c r="M10643" t="inlineStr">
        <is>
          <t>-527K3510.1</t>
        </is>
      </c>
    </row>
    <row r="10644">
      <c r="A10644">
        <v>10643</v>
      </c>
      <c r="B10644">
        <f>GS14</f>
        <v>0</v>
      </c>
      <c r="C10644" t="inlineStr">
        <is>
          <t>+LS10</t>
        </is>
      </c>
      <c r="D10644" t="inlineStr">
        <is>
          <t>-527K3530.0</t>
        </is>
      </c>
      <c r="E10644" t="inlineStr">
        <is>
          <t>DIL_EM-10-G</t>
        </is>
      </c>
      <c r="F10644" t="inlineStr">
        <is>
          <t>#KALK!</t>
        </is>
      </c>
      <c r="G10644" t="inlineStr">
        <is>
          <t>LASTSCHUETZ</t>
        </is>
      </c>
      <c r="H10644" t="inlineStr">
        <is>
          <t>4kW 1S</t>
        </is>
      </c>
      <c r="I10644">
        <v>659</v>
      </c>
      <c r="J10644">
        <f>GS14/527.6</f>
        <v>0</v>
      </c>
      <c r="M10644" t="inlineStr">
        <is>
          <t>-527K3530.0</t>
        </is>
      </c>
    </row>
    <row r="10645">
      <c r="A10645">
        <v>10644</v>
      </c>
      <c r="B10645">
        <f>GS14</f>
        <v>0</v>
      </c>
      <c r="C10645" t="inlineStr">
        <is>
          <t>+LS10</t>
        </is>
      </c>
      <c r="D10645" t="inlineStr">
        <is>
          <t>-527K3530.1</t>
        </is>
      </c>
      <c r="E10645" t="inlineStr">
        <is>
          <t>DIL_EM-10-G</t>
        </is>
      </c>
      <c r="F10645" t="inlineStr">
        <is>
          <t>#KALK!</t>
        </is>
      </c>
      <c r="G10645" t="inlineStr">
        <is>
          <t>LASTSCHUETZ</t>
        </is>
      </c>
      <c r="H10645" t="inlineStr">
        <is>
          <t>4kW 1S</t>
        </is>
      </c>
      <c r="I10645">
        <v>659</v>
      </c>
      <c r="J10645">
        <f>GS14/527.7</f>
        <v>0</v>
      </c>
      <c r="M10645" t="inlineStr">
        <is>
          <t>-527K3530.1</t>
        </is>
      </c>
    </row>
    <row r="10646">
      <c r="A10646">
        <v>10645</v>
      </c>
      <c r="B10646">
        <f>GS25</f>
        <v>0</v>
      </c>
      <c r="C10646" t="inlineStr">
        <is>
          <t>+LS12</t>
        </is>
      </c>
      <c r="D10646" t="inlineStr">
        <is>
          <t>-527K3531.3</t>
        </is>
      </c>
      <c r="E10646" t="inlineStr">
        <is>
          <t>DIL_EM-10-G</t>
        </is>
      </c>
      <c r="F10646" t="inlineStr">
        <is>
          <t>#KALK!</t>
        </is>
      </c>
      <c r="G10646" t="inlineStr">
        <is>
          <t>LASTSCHUETZ</t>
        </is>
      </c>
      <c r="H10646" t="inlineStr">
        <is>
          <t>4kW 1S</t>
        </is>
      </c>
      <c r="I10646">
        <v>654</v>
      </c>
      <c r="J10646">
        <f>GS25/527.6</f>
        <v>0</v>
      </c>
      <c r="M10646" t="inlineStr">
        <is>
          <t>-527K3531.3</t>
        </is>
      </c>
    </row>
    <row r="10647">
      <c r="A10647">
        <v>10646</v>
      </c>
      <c r="B10647">
        <f>GS31</f>
        <v>0</v>
      </c>
      <c r="C10647" t="inlineStr">
        <is>
          <t>+LS11</t>
        </is>
      </c>
      <c r="D10647" t="inlineStr">
        <is>
          <t>-527K71.6</t>
        </is>
      </c>
      <c r="E10647" t="inlineStr">
        <is>
          <t>DIL_EM-10-G</t>
        </is>
      </c>
      <c r="F10647" t="inlineStr">
        <is>
          <t>#KALK!</t>
        </is>
      </c>
      <c r="G10647" t="inlineStr">
        <is>
          <t>LASTSCHUETZ</t>
        </is>
      </c>
      <c r="H10647" t="inlineStr">
        <is>
          <t>4kW 1S</t>
        </is>
      </c>
      <c r="I10647">
        <v>823</v>
      </c>
      <c r="J10647">
        <f>GS31/527.6</f>
        <v>0</v>
      </c>
      <c r="M10647" t="inlineStr">
        <is>
          <t>-527K71.6</t>
        </is>
      </c>
    </row>
    <row r="10648">
      <c r="A10648">
        <v>10647</v>
      </c>
      <c r="B10648">
        <f>GS31</f>
        <v>0</v>
      </c>
      <c r="C10648" t="inlineStr">
        <is>
          <t>+LS11</t>
        </is>
      </c>
      <c r="D10648" t="inlineStr">
        <is>
          <t>-527K71.7</t>
        </is>
      </c>
      <c r="E10648" t="inlineStr">
        <is>
          <t>DIL_EM-10-G</t>
        </is>
      </c>
      <c r="F10648" t="inlineStr">
        <is>
          <t>#KALK!</t>
        </is>
      </c>
      <c r="G10648" t="inlineStr">
        <is>
          <t>LASTSCHUETZ</t>
        </is>
      </c>
      <c r="H10648" t="inlineStr">
        <is>
          <t>4kW 1S</t>
        </is>
      </c>
      <c r="I10648">
        <v>823</v>
      </c>
      <c r="J10648">
        <f>GS31/527.6</f>
        <v>0</v>
      </c>
      <c r="M10648" t="inlineStr">
        <is>
          <t>-527K71.7</t>
        </is>
      </c>
    </row>
    <row r="10649">
      <c r="A10649">
        <v>10648</v>
      </c>
      <c r="B10649">
        <f>GS92</f>
        <v>0</v>
      </c>
      <c r="C10649" t="inlineStr">
        <is>
          <t>+LS09</t>
        </is>
      </c>
      <c r="D10649" t="inlineStr">
        <is>
          <t>-527K769.4</t>
        </is>
      </c>
      <c r="E10649" t="inlineStr">
        <is>
          <t>DILA-22</t>
        </is>
      </c>
      <c r="F10649" t="inlineStr">
        <is>
          <t>#KALK!</t>
        </is>
      </c>
      <c r="G10649" t="inlineStr">
        <is>
          <t>HILFSSCHUETZ</t>
        </is>
      </c>
      <c r="H10649" t="inlineStr">
        <is>
          <t>2S 2Oe Federzugkl.</t>
        </is>
      </c>
      <c r="I10649">
        <v>668</v>
      </c>
      <c r="J10649">
        <f>GS92/527.6</f>
        <v>0</v>
      </c>
      <c r="M10649" t="inlineStr">
        <is>
          <t>-527K769.4</t>
        </is>
      </c>
    </row>
    <row r="10650">
      <c r="A10650">
        <v>10649</v>
      </c>
      <c r="B10650">
        <f>GS92</f>
        <v>0</v>
      </c>
      <c r="C10650" t="inlineStr">
        <is>
          <t>+LS09</t>
        </is>
      </c>
      <c r="D10650" t="inlineStr">
        <is>
          <t>-527Q1</t>
        </is>
      </c>
      <c r="E10650" t="inlineStr">
        <is>
          <t>DILMC25-10(RDC24)</t>
        </is>
      </c>
      <c r="F10650" t="inlineStr">
        <is>
          <t>DILA-XHIC31</t>
        </is>
      </c>
      <c r="G10650" t="inlineStr">
        <is>
          <t>LASTSCHUETZ</t>
        </is>
      </c>
      <c r="H10650" t="inlineStr">
        <is>
          <t>11kW 1S Federzugkl.</t>
        </is>
      </c>
      <c r="I10650">
        <v>668</v>
      </c>
      <c r="J10650">
        <f>GS92/527.2</f>
        <v>0</v>
      </c>
      <c r="M10650" t="inlineStr">
        <is>
          <t>-527Q1</t>
        </is>
      </c>
    </row>
    <row r="10651">
      <c r="A10651">
        <v>10650</v>
      </c>
      <c r="B10651">
        <f>GS92</f>
        <v>0</v>
      </c>
      <c r="C10651" t="inlineStr">
        <is>
          <t>+LS09</t>
        </is>
      </c>
      <c r="D10651" t="inlineStr">
        <is>
          <t>-527Q1</t>
        </is>
      </c>
      <c r="E10651" t="inlineStr">
        <is>
          <t>DILA-XHIC31</t>
        </is>
      </c>
      <c r="F10651" t="inlineStr">
        <is>
          <t>DILA-XHIC31</t>
        </is>
      </c>
      <c r="G10651" t="inlineStr">
        <is>
          <t>HILFSKONTAKTBLOCK</t>
        </is>
      </c>
      <c r="H10651" t="inlineStr">
        <is>
          <t>3S 1OE Last+Hilfssch. Cage</t>
        </is>
      </c>
      <c r="I10651">
        <v>668</v>
      </c>
      <c r="J10651">
        <f>GS92/527.2</f>
        <v>0</v>
      </c>
      <c r="M10651" t="inlineStr">
        <is>
          <t>-527Q1</t>
        </is>
      </c>
    </row>
    <row r="10652">
      <c r="A10652">
        <v>10651</v>
      </c>
      <c r="B10652">
        <f>GS51</f>
        <v>0</v>
      </c>
      <c r="C10652" t="inlineStr">
        <is>
          <t>+LS08</t>
        </is>
      </c>
      <c r="D10652" t="inlineStr">
        <is>
          <t>-527Q714.2</t>
        </is>
      </c>
      <c r="E10652" t="inlineStr">
        <is>
          <t>DILM-9-10</t>
        </is>
      </c>
      <c r="F10652" t="inlineStr">
        <is>
          <t>#KALK!</t>
        </is>
      </c>
      <c r="G10652" t="inlineStr">
        <is>
          <t>LASTSCHUETZ</t>
        </is>
      </c>
      <c r="H10652" t="inlineStr">
        <is>
          <t>4kW 1S Federzugkl.</t>
        </is>
      </c>
      <c r="I10652">
        <v>690</v>
      </c>
      <c r="J10652">
        <f>GS51/527.6</f>
        <v>0</v>
      </c>
      <c r="K10652" t="inlineStr">
        <is>
          <t>DIL MC9</t>
        </is>
      </c>
      <c r="M10652" t="inlineStr">
        <is>
          <t>-527Q714.2</t>
        </is>
      </c>
    </row>
    <row r="10653">
      <c r="A10653">
        <v>10652</v>
      </c>
      <c r="B10653">
        <f>GS93</f>
        <v>0</v>
      </c>
      <c r="C10653" t="inlineStr">
        <is>
          <t>+LS10</t>
        </is>
      </c>
      <c r="D10653" t="inlineStr">
        <is>
          <t>-527Q750.6</t>
        </is>
      </c>
      <c r="E10653" t="inlineStr">
        <is>
          <t>DILM-9-10</t>
        </is>
      </c>
      <c r="F10653" t="inlineStr">
        <is>
          <t>#KALK!</t>
        </is>
      </c>
      <c r="G10653" t="inlineStr">
        <is>
          <t>LASTSCHUETZ</t>
        </is>
      </c>
      <c r="H10653" t="inlineStr">
        <is>
          <t>4kW 1S Federzugkl.</t>
        </is>
      </c>
      <c r="I10653">
        <v>1081</v>
      </c>
      <c r="J10653">
        <f>GS93/527.5</f>
        <v>0</v>
      </c>
      <c r="M10653" t="inlineStr">
        <is>
          <t>-527Q750.6</t>
        </is>
      </c>
    </row>
    <row r="10654">
      <c r="A10654">
        <v>10653</v>
      </c>
      <c r="B10654">
        <f>GS16</f>
        <v>0</v>
      </c>
      <c r="C10654" t="inlineStr">
        <is>
          <t>+LS10</t>
        </is>
      </c>
      <c r="D10654" t="inlineStr">
        <is>
          <t>-528K1</t>
        </is>
      </c>
      <c r="E10654" t="inlineStr">
        <is>
          <t>DIL_ER-40-G</t>
        </is>
      </c>
      <c r="F10654" t="inlineStr">
        <is>
          <t>#KALK!</t>
        </is>
      </c>
      <c r="G10654" t="inlineStr">
        <is>
          <t>HILFSSCHUETZ</t>
        </is>
      </c>
      <c r="H10654" t="inlineStr">
        <is>
          <t>4S</t>
        </is>
      </c>
      <c r="I10654">
        <v>773</v>
      </c>
      <c r="J10654">
        <f>GS16/528.6</f>
        <v>0</v>
      </c>
      <c r="M10654" t="inlineStr">
        <is>
          <t>-528K1</t>
        </is>
      </c>
    </row>
    <row r="10655">
      <c r="A10655">
        <v>10654</v>
      </c>
      <c r="B10655">
        <f>GS16</f>
        <v>0</v>
      </c>
      <c r="C10655" t="inlineStr">
        <is>
          <t>+LS10</t>
        </is>
      </c>
      <c r="D10655" t="inlineStr">
        <is>
          <t>-528K2</t>
        </is>
      </c>
      <c r="E10655" t="inlineStr">
        <is>
          <t>DIL_ER-22-G</t>
        </is>
      </c>
      <c r="F10655" t="inlineStr">
        <is>
          <t>#KALK!</t>
        </is>
      </c>
      <c r="G10655" t="inlineStr">
        <is>
          <t>HILFSSCHUETZ</t>
        </is>
      </c>
      <c r="H10655" t="inlineStr">
        <is>
          <t>2S 2OE</t>
        </is>
      </c>
      <c r="I10655">
        <v>773</v>
      </c>
      <c r="J10655">
        <f>GS16/528.7</f>
        <v>0</v>
      </c>
      <c r="M10655" t="inlineStr">
        <is>
          <t>-528K2</t>
        </is>
      </c>
    </row>
    <row r="10656">
      <c r="A10656">
        <v>10655</v>
      </c>
      <c r="B10656">
        <f>GS15</f>
        <v>0</v>
      </c>
      <c r="C10656" t="inlineStr">
        <is>
          <t>+LS10</t>
        </is>
      </c>
      <c r="D10656" t="inlineStr">
        <is>
          <t>-528K3504.3</t>
        </is>
      </c>
      <c r="E10656" t="inlineStr">
        <is>
          <t>DIL_EM-10-G</t>
        </is>
      </c>
      <c r="F10656" t="inlineStr">
        <is>
          <t>#KALK!</t>
        </is>
      </c>
      <c r="G10656" t="inlineStr">
        <is>
          <t>LASTSCHUETZ</t>
        </is>
      </c>
      <c r="H10656" t="inlineStr">
        <is>
          <t>4kW 1S</t>
        </is>
      </c>
      <c r="I10656">
        <v>1038</v>
      </c>
      <c r="J10656">
        <f>GS15/528.6</f>
        <v>0</v>
      </c>
      <c r="M10656" t="inlineStr">
        <is>
          <t>-528K3504.3</t>
        </is>
      </c>
    </row>
    <row r="10657">
      <c r="A10657">
        <v>10656</v>
      </c>
      <c r="B10657">
        <f>GS15</f>
        <v>0</v>
      </c>
      <c r="C10657" t="inlineStr">
        <is>
          <t>+LS10</t>
        </is>
      </c>
      <c r="D10657" t="inlineStr">
        <is>
          <t>-528K3504.6</t>
        </is>
      </c>
      <c r="E10657" t="inlineStr">
        <is>
          <t>DIL_EM-10-G</t>
        </is>
      </c>
      <c r="F10657" t="inlineStr">
        <is>
          <t>#KALK!</t>
        </is>
      </c>
      <c r="G10657" t="inlineStr">
        <is>
          <t>LASTSCHUETZ</t>
        </is>
      </c>
      <c r="H10657" t="inlineStr">
        <is>
          <t>4kW 1S</t>
        </is>
      </c>
      <c r="I10657">
        <v>1038</v>
      </c>
      <c r="J10657">
        <f>GS15/528.7</f>
        <v>0</v>
      </c>
      <c r="M10657" t="inlineStr">
        <is>
          <t>-528K3504.6</t>
        </is>
      </c>
    </row>
    <row r="10658">
      <c r="A10658">
        <v>10657</v>
      </c>
      <c r="B10658">
        <f>GS24</f>
        <v>0</v>
      </c>
      <c r="C10658" t="inlineStr">
        <is>
          <t>+LS11</t>
        </is>
      </c>
      <c r="D10658" t="inlineStr">
        <is>
          <t>-528K3510.2</t>
        </is>
      </c>
      <c r="E10658" t="inlineStr">
        <is>
          <t>DIL_EM-10-G</t>
        </is>
      </c>
      <c r="F10658" t="inlineStr">
        <is>
          <t>#KALK!</t>
        </is>
      </c>
      <c r="G10658" t="inlineStr">
        <is>
          <t>LASTSCHUETZ</t>
        </is>
      </c>
      <c r="H10658" t="inlineStr">
        <is>
          <t>4kW 1S</t>
        </is>
      </c>
      <c r="I10658">
        <v>568</v>
      </c>
      <c r="J10658">
        <f>GS24/528.6</f>
        <v>0</v>
      </c>
      <c r="M10658" t="inlineStr">
        <is>
          <t>-528K3510.2</t>
        </is>
      </c>
    </row>
    <row r="10659">
      <c r="A10659">
        <v>10658</v>
      </c>
      <c r="B10659">
        <f>GS24</f>
        <v>0</v>
      </c>
      <c r="C10659" t="inlineStr">
        <is>
          <t>+LS11</t>
        </is>
      </c>
      <c r="D10659" t="inlineStr">
        <is>
          <t>-528K3510.3</t>
        </is>
      </c>
      <c r="E10659" t="inlineStr">
        <is>
          <t>DIL_EM-10-G</t>
        </is>
      </c>
      <c r="F10659" t="inlineStr">
        <is>
          <t>#KALK!</t>
        </is>
      </c>
      <c r="G10659" t="inlineStr">
        <is>
          <t>LASTSCHUETZ</t>
        </is>
      </c>
      <c r="H10659" t="inlineStr">
        <is>
          <t>4kW 1S</t>
        </is>
      </c>
      <c r="I10659">
        <v>568</v>
      </c>
      <c r="J10659">
        <f>GS24/528.7</f>
        <v>0</v>
      </c>
      <c r="M10659" t="inlineStr">
        <is>
          <t>-528K3510.3</t>
        </is>
      </c>
    </row>
    <row r="10660">
      <c r="A10660">
        <v>10659</v>
      </c>
      <c r="B10660">
        <f>GS14</f>
        <v>0</v>
      </c>
      <c r="C10660" t="inlineStr">
        <is>
          <t>+LS10</t>
        </is>
      </c>
      <c r="D10660" t="inlineStr">
        <is>
          <t>-528K3530.2</t>
        </is>
      </c>
      <c r="E10660" t="inlineStr">
        <is>
          <t>DIL_EM-10-G</t>
        </is>
      </c>
      <c r="F10660" t="inlineStr">
        <is>
          <t>#KALK!</t>
        </is>
      </c>
      <c r="G10660" t="inlineStr">
        <is>
          <t>LASTSCHUETZ</t>
        </is>
      </c>
      <c r="H10660" t="inlineStr">
        <is>
          <t>4kW 1S</t>
        </is>
      </c>
      <c r="I10660">
        <v>660</v>
      </c>
      <c r="J10660">
        <f>GS14/528.6</f>
        <v>0</v>
      </c>
      <c r="M10660" t="inlineStr">
        <is>
          <t>-528K3530.2</t>
        </is>
      </c>
    </row>
    <row r="10661">
      <c r="A10661">
        <v>10660</v>
      </c>
      <c r="B10661">
        <f>GS14</f>
        <v>0</v>
      </c>
      <c r="C10661" t="inlineStr">
        <is>
          <t>+LS10</t>
        </is>
      </c>
      <c r="D10661" t="inlineStr">
        <is>
          <t>-528K3530.3</t>
        </is>
      </c>
      <c r="E10661" t="inlineStr">
        <is>
          <t>DIL_EM-10-G</t>
        </is>
      </c>
      <c r="F10661" t="inlineStr">
        <is>
          <t>#KALK!</t>
        </is>
      </c>
      <c r="G10661" t="inlineStr">
        <is>
          <t>LASTSCHUETZ</t>
        </is>
      </c>
      <c r="H10661" t="inlineStr">
        <is>
          <t>4kW 1S</t>
        </is>
      </c>
      <c r="I10661">
        <v>660</v>
      </c>
      <c r="J10661">
        <f>GS14/528.7</f>
        <v>0</v>
      </c>
      <c r="M10661" t="inlineStr">
        <is>
          <t>-528K3530.3</t>
        </is>
      </c>
    </row>
    <row r="10662">
      <c r="A10662">
        <v>10661</v>
      </c>
      <c r="B10662">
        <f>GS25</f>
        <v>0</v>
      </c>
      <c r="C10662" t="inlineStr">
        <is>
          <t>+LS12</t>
        </is>
      </c>
      <c r="D10662" t="inlineStr">
        <is>
          <t>-528K3531.4</t>
        </is>
      </c>
      <c r="E10662" t="inlineStr">
        <is>
          <t>DIL_EM-10-G</t>
        </is>
      </c>
      <c r="F10662" t="inlineStr">
        <is>
          <t>#KALK!</t>
        </is>
      </c>
      <c r="G10662" t="inlineStr">
        <is>
          <t>LASTSCHUETZ</t>
        </is>
      </c>
      <c r="H10662" t="inlineStr">
        <is>
          <t>4kW 1S</t>
        </is>
      </c>
      <c r="I10662">
        <v>655</v>
      </c>
      <c r="J10662">
        <f>GS25/528.6</f>
        <v>0</v>
      </c>
      <c r="M10662" t="inlineStr">
        <is>
          <t>-528K3531.4</t>
        </is>
      </c>
    </row>
    <row r="10663">
      <c r="A10663">
        <v>10662</v>
      </c>
      <c r="B10663">
        <f>GS25</f>
        <v>0</v>
      </c>
      <c r="C10663" t="inlineStr">
        <is>
          <t>+LS12</t>
        </is>
      </c>
      <c r="D10663" t="inlineStr">
        <is>
          <t>-528K3531.5</t>
        </is>
      </c>
      <c r="E10663" t="inlineStr">
        <is>
          <t>DIL_EM-10-G</t>
        </is>
      </c>
      <c r="F10663" t="inlineStr">
        <is>
          <t>#KALK!</t>
        </is>
      </c>
      <c r="G10663" t="inlineStr">
        <is>
          <t>LASTSCHUETZ</t>
        </is>
      </c>
      <c r="H10663" t="inlineStr">
        <is>
          <t>4kW 1S</t>
        </is>
      </c>
      <c r="I10663">
        <v>655</v>
      </c>
      <c r="J10663">
        <f>GS25/528.7</f>
        <v>0</v>
      </c>
      <c r="M10663" t="inlineStr">
        <is>
          <t>-528K3531.5</t>
        </is>
      </c>
    </row>
    <row r="10664">
      <c r="A10664">
        <v>10663</v>
      </c>
      <c r="B10664">
        <f>GS31</f>
        <v>0</v>
      </c>
      <c r="C10664" t="inlineStr">
        <is>
          <t>+LS11</t>
        </is>
      </c>
      <c r="D10664" t="inlineStr">
        <is>
          <t>-528K73.6</t>
        </is>
      </c>
      <c r="E10664" t="inlineStr">
        <is>
          <t>DIL_EM-10-G</t>
        </is>
      </c>
      <c r="F10664" t="inlineStr">
        <is>
          <t>#KALK!</t>
        </is>
      </c>
      <c r="G10664" t="inlineStr">
        <is>
          <t>LASTSCHUETZ</t>
        </is>
      </c>
      <c r="H10664" t="inlineStr">
        <is>
          <t>4kW 1S</t>
        </is>
      </c>
      <c r="I10664">
        <v>824</v>
      </c>
      <c r="J10664">
        <f>GS31/528.6</f>
        <v>0</v>
      </c>
      <c r="M10664" t="inlineStr">
        <is>
          <t>-528K73.6</t>
        </is>
      </c>
    </row>
    <row r="10665">
      <c r="A10665">
        <v>10664</v>
      </c>
      <c r="B10665">
        <f>GS31</f>
        <v>0</v>
      </c>
      <c r="C10665" t="inlineStr">
        <is>
          <t>+LS11</t>
        </is>
      </c>
      <c r="D10665" t="inlineStr">
        <is>
          <t>-528K73.7</t>
        </is>
      </c>
      <c r="E10665" t="inlineStr">
        <is>
          <t>DIL_EM-10-G</t>
        </is>
      </c>
      <c r="F10665" t="inlineStr">
        <is>
          <t>#KALK!</t>
        </is>
      </c>
      <c r="G10665" t="inlineStr">
        <is>
          <t>LASTSCHUETZ</t>
        </is>
      </c>
      <c r="H10665" t="inlineStr">
        <is>
          <t>4kW 1S</t>
        </is>
      </c>
      <c r="I10665">
        <v>824</v>
      </c>
      <c r="J10665">
        <f>GS31/528.6</f>
        <v>0</v>
      </c>
      <c r="M10665" t="inlineStr">
        <is>
          <t>-528K73.7</t>
        </is>
      </c>
    </row>
    <row r="10666">
      <c r="A10666">
        <v>10665</v>
      </c>
      <c r="B10666">
        <f>GS90</f>
        <v>0</v>
      </c>
      <c r="C10666" t="inlineStr">
        <is>
          <t>+LS10</t>
        </is>
      </c>
      <c r="D10666" t="inlineStr">
        <is>
          <t>-528Q479.2</t>
        </is>
      </c>
      <c r="E10666" t="inlineStr">
        <is>
          <t>DILM-9-10</t>
        </is>
      </c>
      <c r="F10666" t="inlineStr">
        <is>
          <t>#KALK!</t>
        </is>
      </c>
      <c r="G10666" t="inlineStr">
        <is>
          <t>LASTSCHUETZ</t>
        </is>
      </c>
      <c r="H10666" t="inlineStr">
        <is>
          <t>4kW 1S Federzugkl.</t>
        </is>
      </c>
      <c r="I10666">
        <v>745</v>
      </c>
      <c r="J10666">
        <f>GS90/528.5</f>
        <v>0</v>
      </c>
      <c r="M10666" t="inlineStr">
        <is>
          <t>-528Q479.2</t>
        </is>
      </c>
    </row>
    <row r="10667">
      <c r="A10667">
        <v>10666</v>
      </c>
      <c r="B10667">
        <f>GS13</f>
        <v>0</v>
      </c>
      <c r="C10667" t="inlineStr">
        <is>
          <t>+LS12</t>
        </is>
      </c>
      <c r="D10667" t="inlineStr">
        <is>
          <t>-52924.0</t>
        </is>
      </c>
      <c r="E10667" t="inlineStr">
        <is>
          <t>DIL_EM-10-G</t>
        </is>
      </c>
      <c r="F10667" t="inlineStr">
        <is>
          <t>#KALK!</t>
        </is>
      </c>
      <c r="G10667" t="inlineStr">
        <is>
          <t>LASTSCHUETZ</t>
        </is>
      </c>
      <c r="H10667" t="inlineStr">
        <is>
          <t>4kW 1S</t>
        </is>
      </c>
      <c r="I10667">
        <v>787</v>
      </c>
      <c r="J10667">
        <f>GS13/529.6</f>
        <v>0</v>
      </c>
      <c r="M10667" t="inlineStr">
        <is>
          <t>-52924.0</t>
        </is>
      </c>
    </row>
    <row r="10668">
      <c r="A10668">
        <v>10667</v>
      </c>
      <c r="B10668">
        <f>GS23</f>
        <v>0</v>
      </c>
      <c r="C10668" t="inlineStr">
        <is>
          <t>+LS12</t>
        </is>
      </c>
      <c r="D10668" t="inlineStr">
        <is>
          <t>-529K24.0</t>
        </is>
      </c>
      <c r="E10668" t="inlineStr">
        <is>
          <t>DIL_EM-10-G</t>
        </is>
      </c>
      <c r="F10668" t="inlineStr">
        <is>
          <t>#KALK!</t>
        </is>
      </c>
      <c r="G10668" t="inlineStr">
        <is>
          <t>LASTSCHUETZ</t>
        </is>
      </c>
      <c r="H10668" t="inlineStr">
        <is>
          <t>4kW 1S</t>
        </is>
      </c>
      <c r="I10668">
        <v>841</v>
      </c>
      <c r="J10668">
        <f>GS23/529.6</f>
        <v>0</v>
      </c>
      <c r="M10668" t="inlineStr">
        <is>
          <t>-529K24.0</t>
        </is>
      </c>
    </row>
    <row r="10669">
      <c r="A10669">
        <v>10668</v>
      </c>
      <c r="B10669">
        <f>GS15</f>
        <v>0</v>
      </c>
      <c r="C10669" t="inlineStr">
        <is>
          <t>+LS10</t>
        </is>
      </c>
      <c r="D10669" t="inlineStr">
        <is>
          <t>-529K3504.7</t>
        </is>
      </c>
      <c r="E10669" t="inlineStr">
        <is>
          <t>DIL_EM-10-G</t>
        </is>
      </c>
      <c r="F10669" t="inlineStr">
        <is>
          <t>#KALK!</t>
        </is>
      </c>
      <c r="G10669" t="inlineStr">
        <is>
          <t>LASTSCHUETZ</t>
        </is>
      </c>
      <c r="H10669" t="inlineStr">
        <is>
          <t>4kW 1S</t>
        </is>
      </c>
      <c r="I10669">
        <v>1039</v>
      </c>
      <c r="J10669">
        <f>GS15/529.6</f>
        <v>0</v>
      </c>
      <c r="M10669" t="inlineStr">
        <is>
          <t>-529K3504.7</t>
        </is>
      </c>
    </row>
    <row r="10670">
      <c r="A10670">
        <v>10669</v>
      </c>
      <c r="B10670">
        <f>GS24</f>
        <v>0</v>
      </c>
      <c r="C10670" t="inlineStr">
        <is>
          <t>+LS11</t>
        </is>
      </c>
      <c r="D10670" t="inlineStr">
        <is>
          <t>-529K3511.3</t>
        </is>
      </c>
      <c r="E10670" t="inlineStr">
        <is>
          <t>DIL_EM-10-G</t>
        </is>
      </c>
      <c r="F10670" t="inlineStr">
        <is>
          <t>#KALK!</t>
        </is>
      </c>
      <c r="G10670" t="inlineStr">
        <is>
          <t>LASTSCHUETZ</t>
        </is>
      </c>
      <c r="H10670" t="inlineStr">
        <is>
          <t>4kW 1S</t>
        </is>
      </c>
      <c r="I10670">
        <v>567</v>
      </c>
      <c r="J10670">
        <f>GS24/529.7</f>
        <v>0</v>
      </c>
      <c r="M10670" t="inlineStr">
        <is>
          <t>-529K3511.3</t>
        </is>
      </c>
    </row>
    <row r="10671">
      <c r="A10671">
        <v>10670</v>
      </c>
      <c r="B10671">
        <f>GS14</f>
        <v>0</v>
      </c>
      <c r="C10671" t="inlineStr">
        <is>
          <t>+LS10</t>
        </is>
      </c>
      <c r="D10671" t="inlineStr">
        <is>
          <t>-529K3530.4</t>
        </is>
      </c>
      <c r="E10671" t="inlineStr">
        <is>
          <t>DIL_EM-10-G</t>
        </is>
      </c>
      <c r="F10671" t="inlineStr">
        <is>
          <t>#KALK!</t>
        </is>
      </c>
      <c r="G10671" t="inlineStr">
        <is>
          <t>LASTSCHUETZ</t>
        </is>
      </c>
      <c r="H10671" t="inlineStr">
        <is>
          <t>4kW 1S</t>
        </is>
      </c>
      <c r="I10671">
        <v>661</v>
      </c>
      <c r="J10671">
        <f>GS14/529.6</f>
        <v>0</v>
      </c>
      <c r="M10671" t="inlineStr">
        <is>
          <t>-529K3530.4</t>
        </is>
      </c>
    </row>
    <row r="10672">
      <c r="A10672">
        <v>10671</v>
      </c>
      <c r="B10672">
        <f>GS14</f>
        <v>0</v>
      </c>
      <c r="C10672" t="inlineStr">
        <is>
          <t>+LS10</t>
        </is>
      </c>
      <c r="D10672" t="inlineStr">
        <is>
          <t>-529K3530.5</t>
        </is>
      </c>
      <c r="E10672" t="inlineStr">
        <is>
          <t>DIL_EM-10-G</t>
        </is>
      </c>
      <c r="F10672" t="inlineStr">
        <is>
          <t>#KALK!</t>
        </is>
      </c>
      <c r="G10672" t="inlineStr">
        <is>
          <t>LASTSCHUETZ</t>
        </is>
      </c>
      <c r="H10672" t="inlineStr">
        <is>
          <t>4kW 1S</t>
        </is>
      </c>
      <c r="I10672">
        <v>661</v>
      </c>
      <c r="J10672">
        <f>GS14/529.7</f>
        <v>0</v>
      </c>
      <c r="M10672" t="inlineStr">
        <is>
          <t>-529K3530.5</t>
        </is>
      </c>
    </row>
    <row r="10673">
      <c r="A10673">
        <v>10672</v>
      </c>
      <c r="B10673">
        <f>GS25</f>
        <v>0</v>
      </c>
      <c r="C10673" t="inlineStr">
        <is>
          <t>+LS12</t>
        </is>
      </c>
      <c r="D10673" t="inlineStr">
        <is>
          <t>-529K3531.6</t>
        </is>
      </c>
      <c r="E10673" t="inlineStr">
        <is>
          <t>DIL_EM-10-G</t>
        </is>
      </c>
      <c r="F10673" t="inlineStr">
        <is>
          <t>#KALK!</t>
        </is>
      </c>
      <c r="G10673" t="inlineStr">
        <is>
          <t>LASTSCHUETZ</t>
        </is>
      </c>
      <c r="H10673" t="inlineStr">
        <is>
          <t>4kW 1S</t>
        </is>
      </c>
      <c r="I10673">
        <v>656</v>
      </c>
      <c r="J10673">
        <f>GS25/529.6</f>
        <v>0</v>
      </c>
      <c r="M10673" t="inlineStr">
        <is>
          <t>-529K3531.6</t>
        </is>
      </c>
    </row>
    <row r="10674">
      <c r="A10674">
        <v>10673</v>
      </c>
      <c r="B10674">
        <f>GS25</f>
        <v>0</v>
      </c>
      <c r="C10674" t="inlineStr">
        <is>
          <t>+LS12</t>
        </is>
      </c>
      <c r="D10674" t="inlineStr">
        <is>
          <t>-529K3531.7</t>
        </is>
      </c>
      <c r="E10674" t="inlineStr">
        <is>
          <t>DIL_EM-10-G</t>
        </is>
      </c>
      <c r="F10674" t="inlineStr">
        <is>
          <t>#KALK!</t>
        </is>
      </c>
      <c r="G10674" t="inlineStr">
        <is>
          <t>LASTSCHUETZ</t>
        </is>
      </c>
      <c r="H10674" t="inlineStr">
        <is>
          <t>4kW 1S</t>
        </is>
      </c>
      <c r="I10674">
        <v>656</v>
      </c>
      <c r="J10674">
        <f>GS25/529.7</f>
        <v>0</v>
      </c>
      <c r="M10674" t="inlineStr">
        <is>
          <t>-529K3531.7</t>
        </is>
      </c>
    </row>
    <row r="10675">
      <c r="A10675">
        <v>10674</v>
      </c>
      <c r="B10675">
        <f>GS31</f>
        <v>0</v>
      </c>
      <c r="C10675" t="inlineStr">
        <is>
          <t>+LS11</t>
        </is>
      </c>
      <c r="D10675" t="inlineStr">
        <is>
          <t>-529K74.7</t>
        </is>
      </c>
      <c r="E10675" t="inlineStr">
        <is>
          <t>DIL_EM-10-G</t>
        </is>
      </c>
      <c r="F10675" t="inlineStr">
        <is>
          <t>#KALK!</t>
        </is>
      </c>
      <c r="G10675" t="inlineStr">
        <is>
          <t>LASTSCHUETZ</t>
        </is>
      </c>
      <c r="H10675" t="inlineStr">
        <is>
          <t>4kW 1S</t>
        </is>
      </c>
      <c r="I10675">
        <v>825</v>
      </c>
      <c r="J10675">
        <f>GS31/529.7</f>
        <v>0</v>
      </c>
      <c r="M10675" t="inlineStr">
        <is>
          <t>-529K74.7</t>
        </is>
      </c>
    </row>
    <row r="10676">
      <c r="A10676">
        <v>10675</v>
      </c>
      <c r="B10676">
        <f>GS93</f>
        <v>0</v>
      </c>
      <c r="C10676" t="inlineStr">
        <is>
          <t>+LS10</t>
        </is>
      </c>
      <c r="D10676" t="inlineStr">
        <is>
          <t>-529Q751.0</t>
        </is>
      </c>
      <c r="E10676" t="inlineStr">
        <is>
          <t>DILM-9-10</t>
        </is>
      </c>
      <c r="F10676" t="inlineStr">
        <is>
          <t>#KALK!</t>
        </is>
      </c>
      <c r="G10676" t="inlineStr">
        <is>
          <t>LASTSCHUETZ</t>
        </is>
      </c>
      <c r="H10676" t="inlineStr">
        <is>
          <t>4kW 1S Federzugkl.</t>
        </is>
      </c>
      <c r="I10676">
        <v>1083</v>
      </c>
      <c r="J10676">
        <f>GS93/529.5</f>
        <v>0</v>
      </c>
      <c r="M10676" t="inlineStr">
        <is>
          <t>-529Q751.0</t>
        </is>
      </c>
    </row>
    <row r="10677">
      <c r="A10677">
        <v>10676</v>
      </c>
      <c r="B10677">
        <f>GS13</f>
        <v>0</v>
      </c>
      <c r="C10677" t="inlineStr">
        <is>
          <t>+LS12</t>
        </is>
      </c>
      <c r="D10677" t="inlineStr">
        <is>
          <t>-53025.6</t>
        </is>
      </c>
      <c r="E10677" t="inlineStr">
        <is>
          <t>DIL_EM-10-G</t>
        </is>
      </c>
      <c r="F10677" t="inlineStr">
        <is>
          <t>#KALK!</t>
        </is>
      </c>
      <c r="G10677" t="inlineStr">
        <is>
          <t>LASTSCHUETZ</t>
        </is>
      </c>
      <c r="H10677" t="inlineStr">
        <is>
          <t>4kW 1S</t>
        </is>
      </c>
      <c r="I10677">
        <v>788</v>
      </c>
      <c r="J10677">
        <f>GS13/530.6</f>
        <v>0</v>
      </c>
      <c r="M10677" t="inlineStr">
        <is>
          <t>-53025.6</t>
        </is>
      </c>
    </row>
    <row r="10678">
      <c r="A10678">
        <v>10677</v>
      </c>
      <c r="B10678">
        <f>GS23</f>
        <v>0</v>
      </c>
      <c r="C10678" t="inlineStr">
        <is>
          <t>+LS12</t>
        </is>
      </c>
      <c r="D10678" t="inlineStr">
        <is>
          <t>-530K25.6</t>
        </is>
      </c>
      <c r="E10678" t="inlineStr">
        <is>
          <t>DIL_EM-10-G</t>
        </is>
      </c>
      <c r="F10678" t="inlineStr">
        <is>
          <t>#KALK!</t>
        </is>
      </c>
      <c r="G10678" t="inlineStr">
        <is>
          <t>LASTSCHUETZ</t>
        </is>
      </c>
      <c r="H10678" t="inlineStr">
        <is>
          <t>4kW 1S</t>
        </is>
      </c>
      <c r="I10678">
        <v>842</v>
      </c>
      <c r="J10678">
        <f>GS23/530.6</f>
        <v>0</v>
      </c>
      <c r="M10678" t="inlineStr">
        <is>
          <t>-530K25.6</t>
        </is>
      </c>
    </row>
    <row r="10679">
      <c r="A10679">
        <v>10678</v>
      </c>
      <c r="B10679">
        <f>GS15</f>
        <v>0</v>
      </c>
      <c r="C10679" t="inlineStr">
        <is>
          <t>+LS10</t>
        </is>
      </c>
      <c r="D10679" t="inlineStr">
        <is>
          <t>-530K3505.3</t>
        </is>
      </c>
      <c r="E10679" t="inlineStr">
        <is>
          <t>DIL_EM-10-G</t>
        </is>
      </c>
      <c r="F10679" t="inlineStr">
        <is>
          <t>#KALK!</t>
        </is>
      </c>
      <c r="G10679" t="inlineStr">
        <is>
          <t>LASTSCHUETZ</t>
        </is>
      </c>
      <c r="H10679" t="inlineStr">
        <is>
          <t>4kW 1S</t>
        </is>
      </c>
      <c r="I10679">
        <v>1040</v>
      </c>
      <c r="J10679">
        <f>GS15/530.7</f>
        <v>0</v>
      </c>
      <c r="M10679" t="inlineStr">
        <is>
          <t>-530K3505.3</t>
        </is>
      </c>
    </row>
    <row r="10680">
      <c r="A10680">
        <v>10679</v>
      </c>
      <c r="B10680">
        <f>GS24</f>
        <v>0</v>
      </c>
      <c r="C10680" t="inlineStr">
        <is>
          <t>+LS11</t>
        </is>
      </c>
      <c r="D10680" t="inlineStr">
        <is>
          <t>-530K3511.4</t>
        </is>
      </c>
      <c r="E10680" t="inlineStr">
        <is>
          <t>DIL_EM-10-G</t>
        </is>
      </c>
      <c r="F10680" t="inlineStr">
        <is>
          <t>#KALK!</t>
        </is>
      </c>
      <c r="G10680" t="inlineStr">
        <is>
          <t>LASTSCHUETZ</t>
        </is>
      </c>
      <c r="H10680" t="inlineStr">
        <is>
          <t>4kW 1S</t>
        </is>
      </c>
      <c r="I10680">
        <v>566</v>
      </c>
      <c r="J10680">
        <f>GS24/530.6</f>
        <v>0</v>
      </c>
      <c r="M10680" t="inlineStr">
        <is>
          <t>-530K3511.4</t>
        </is>
      </c>
    </row>
    <row r="10681">
      <c r="A10681">
        <v>10680</v>
      </c>
      <c r="B10681">
        <f>GS14</f>
        <v>0</v>
      </c>
      <c r="C10681" t="inlineStr">
        <is>
          <t>+LS10</t>
        </is>
      </c>
      <c r="D10681" t="inlineStr">
        <is>
          <t>-530K3530.6</t>
        </is>
      </c>
      <c r="E10681" t="inlineStr">
        <is>
          <t>DIL_EM-10-G</t>
        </is>
      </c>
      <c r="F10681" t="inlineStr">
        <is>
          <t>#KALK!</t>
        </is>
      </c>
      <c r="G10681" t="inlineStr">
        <is>
          <t>LASTSCHUETZ</t>
        </is>
      </c>
      <c r="H10681" t="inlineStr">
        <is>
          <t>4kW 1S</t>
        </is>
      </c>
      <c r="I10681">
        <v>662</v>
      </c>
      <c r="J10681">
        <f>GS14/530.6</f>
        <v>0</v>
      </c>
      <c r="M10681" t="inlineStr">
        <is>
          <t>-530K3530.6</t>
        </is>
      </c>
    </row>
    <row r="10682">
      <c r="A10682">
        <v>10681</v>
      </c>
      <c r="B10682">
        <f>GS25</f>
        <v>0</v>
      </c>
      <c r="C10682" t="inlineStr">
        <is>
          <t>+LS12</t>
        </is>
      </c>
      <c r="D10682" t="inlineStr">
        <is>
          <t>-530K3532.3</t>
        </is>
      </c>
      <c r="E10682" t="inlineStr">
        <is>
          <t>DIL_EM-10-G</t>
        </is>
      </c>
      <c r="F10682" t="inlineStr">
        <is>
          <t>#KALK!</t>
        </is>
      </c>
      <c r="G10682" t="inlineStr">
        <is>
          <t>LASTSCHUETZ</t>
        </is>
      </c>
      <c r="H10682" t="inlineStr">
        <is>
          <t>4kW 1S</t>
        </is>
      </c>
      <c r="I10682">
        <v>657</v>
      </c>
      <c r="J10682">
        <f>GS25/530.7</f>
        <v>0</v>
      </c>
      <c r="M10682" t="inlineStr">
        <is>
          <t>-530K3532.3</t>
        </is>
      </c>
    </row>
    <row r="10683">
      <c r="A10683">
        <v>10682</v>
      </c>
      <c r="B10683">
        <f>GS20</f>
        <v>0</v>
      </c>
      <c r="C10683" t="inlineStr">
        <is>
          <t>+LS14</t>
        </is>
      </c>
      <c r="D10683" t="inlineStr">
        <is>
          <t>-530K714.4</t>
        </is>
      </c>
      <c r="E10683" t="inlineStr">
        <is>
          <t>DILA-40</t>
        </is>
      </c>
      <c r="F10683" t="inlineStr">
        <is>
          <t>#KALK!</t>
        </is>
      </c>
      <c r="G10683" t="inlineStr">
        <is>
          <t>HILFSSCHUETZ</t>
        </is>
      </c>
      <c r="H10683" t="inlineStr">
        <is>
          <t>4S Federzugkl.</t>
        </is>
      </c>
      <c r="I10683">
        <v>2754</v>
      </c>
      <c r="J10683">
        <f>GS20/530.7</f>
        <v>0</v>
      </c>
      <c r="M10683" t="inlineStr">
        <is>
          <t>-530K714.4</t>
        </is>
      </c>
    </row>
    <row r="10684">
      <c r="A10684">
        <v>10683</v>
      </c>
      <c r="B10684">
        <f>GS92</f>
        <v>0</v>
      </c>
      <c r="C10684" t="inlineStr">
        <is>
          <t>+LS09</t>
        </is>
      </c>
      <c r="D10684" t="inlineStr">
        <is>
          <t>-530K768.0</t>
        </is>
      </c>
      <c r="E10684" t="inlineStr">
        <is>
          <t>DILA-40</t>
        </is>
      </c>
      <c r="F10684" t="inlineStr">
        <is>
          <t>#KALK!</t>
        </is>
      </c>
      <c r="G10684" t="inlineStr">
        <is>
          <t>HILFSSCHUETZ</t>
        </is>
      </c>
      <c r="H10684" t="inlineStr">
        <is>
          <t>4S Federzugkl.</t>
        </is>
      </c>
      <c r="I10684">
        <v>670</v>
      </c>
      <c r="J10684">
        <f>GS92/530.7</f>
        <v>0</v>
      </c>
      <c r="M10684" t="inlineStr">
        <is>
          <t>-530K768.0</t>
        </is>
      </c>
    </row>
    <row r="10685">
      <c r="A10685">
        <v>10684</v>
      </c>
      <c r="B10685">
        <f>GS20</f>
        <v>0</v>
      </c>
      <c r="C10685" t="inlineStr">
        <is>
          <t>+LS14</t>
        </is>
      </c>
      <c r="D10685" t="inlineStr">
        <is>
          <t>-530Q1</t>
        </is>
      </c>
      <c r="E10685" t="inlineStr">
        <is>
          <t>DILA-XHI22</t>
        </is>
      </c>
      <c r="F10685" t="inlineStr">
        <is>
          <t>DILA-XHI22</t>
        </is>
      </c>
      <c r="G10685" t="inlineStr">
        <is>
          <t>HILFSKONTAKTBLOCK</t>
        </is>
      </c>
      <c r="H10685" t="inlineStr">
        <is>
          <t>2S 2OE Last+Hilfssch. Cage</t>
        </is>
      </c>
      <c r="I10685">
        <v>2754</v>
      </c>
      <c r="J10685">
        <f>GS20/530.4</f>
        <v>0</v>
      </c>
      <c r="K10685" t="inlineStr">
        <is>
          <t>DIL MC25</t>
        </is>
      </c>
      <c r="M10685" t="inlineStr">
        <is>
          <t>-530Q1</t>
        </is>
      </c>
    </row>
    <row r="10686">
      <c r="A10686">
        <v>10685</v>
      </c>
      <c r="B10686">
        <f>GS20</f>
        <v>0</v>
      </c>
      <c r="C10686" t="inlineStr">
        <is>
          <t>+LS14</t>
        </is>
      </c>
      <c r="D10686" t="inlineStr">
        <is>
          <t>-530Q1</t>
        </is>
      </c>
      <c r="E10686" t="inlineStr">
        <is>
          <t>DILMC25-10(RDC24)</t>
        </is>
      </c>
      <c r="F10686" t="inlineStr">
        <is>
          <t>DILA-XHI22</t>
        </is>
      </c>
      <c r="G10686" t="inlineStr">
        <is>
          <t>LASTSCHUETZ</t>
        </is>
      </c>
      <c r="H10686" t="inlineStr">
        <is>
          <t>11kW 1S Federzugkl.</t>
        </is>
      </c>
      <c r="I10686">
        <v>2754</v>
      </c>
      <c r="J10686">
        <f>GS20/530.4</f>
        <v>0</v>
      </c>
      <c r="K10686" t="inlineStr">
        <is>
          <t>DIL MC25</t>
        </is>
      </c>
      <c r="M10686" t="inlineStr">
        <is>
          <t>-530Q1</t>
        </is>
      </c>
    </row>
    <row r="10687">
      <c r="A10687">
        <v>10686</v>
      </c>
      <c r="B10687">
        <f>GS92</f>
        <v>0</v>
      </c>
      <c r="C10687" t="inlineStr">
        <is>
          <t>+LS09</t>
        </is>
      </c>
      <c r="D10687" t="inlineStr">
        <is>
          <t>-530Q1</t>
        </is>
      </c>
      <c r="E10687" t="inlineStr">
        <is>
          <t>DILMC25-10(RDC24)</t>
        </is>
      </c>
      <c r="F10687" t="inlineStr">
        <is>
          <t>DILA-XHI22</t>
        </is>
      </c>
      <c r="G10687" t="inlineStr">
        <is>
          <t>LASTSCHUETZ</t>
        </is>
      </c>
      <c r="H10687" t="inlineStr">
        <is>
          <t>11kW 1S Federzugkl.</t>
        </is>
      </c>
      <c r="I10687">
        <v>670</v>
      </c>
      <c r="J10687">
        <f>GS92/530.4</f>
        <v>0</v>
      </c>
      <c r="K10687" t="inlineStr">
        <is>
          <t>DIL MC25</t>
        </is>
      </c>
      <c r="M10687" t="inlineStr">
        <is>
          <t>-530Q1</t>
        </is>
      </c>
    </row>
    <row r="10688">
      <c r="A10688">
        <v>10687</v>
      </c>
      <c r="B10688">
        <f>GS92</f>
        <v>0</v>
      </c>
      <c r="C10688" t="inlineStr">
        <is>
          <t>+LS09</t>
        </is>
      </c>
      <c r="D10688" t="inlineStr">
        <is>
          <t>-530Q1</t>
        </is>
      </c>
      <c r="E10688" t="inlineStr">
        <is>
          <t>DILA-XHI22</t>
        </is>
      </c>
      <c r="F10688" t="inlineStr">
        <is>
          <t>DILA-XHI22</t>
        </is>
      </c>
      <c r="G10688" t="inlineStr">
        <is>
          <t>HILFSKONTAKTBLOCK</t>
        </is>
      </c>
      <c r="H10688" t="inlineStr">
        <is>
          <t>2S 2OE Last+Hilfssch. Cage</t>
        </is>
      </c>
      <c r="I10688">
        <v>670</v>
      </c>
      <c r="J10688">
        <f>GS92/530.4</f>
        <v>0</v>
      </c>
      <c r="K10688" t="inlineStr">
        <is>
          <t>DIL MC25</t>
        </is>
      </c>
      <c r="M10688" t="inlineStr">
        <is>
          <t>-530Q1</t>
        </is>
      </c>
    </row>
    <row r="10689">
      <c r="A10689">
        <v>10688</v>
      </c>
      <c r="B10689">
        <f>GS93</f>
        <v>0</v>
      </c>
      <c r="C10689" t="inlineStr">
        <is>
          <t>+LS10</t>
        </is>
      </c>
      <c r="D10689" t="inlineStr">
        <is>
          <t>-530Q751.1</t>
        </is>
      </c>
      <c r="E10689" t="inlineStr">
        <is>
          <t>DILM-9-10</t>
        </is>
      </c>
      <c r="F10689" t="inlineStr">
        <is>
          <t>#KALK!</t>
        </is>
      </c>
      <c r="G10689" t="inlineStr">
        <is>
          <t>LASTSCHUETZ</t>
        </is>
      </c>
      <c r="H10689" t="inlineStr">
        <is>
          <t>4kW 1S Federzugkl.</t>
        </is>
      </c>
      <c r="I10689">
        <v>1084</v>
      </c>
      <c r="J10689">
        <f>GS93/530.5</f>
        <v>0</v>
      </c>
      <c r="M10689" t="inlineStr">
        <is>
          <t>-530Q751.1</t>
        </is>
      </c>
    </row>
    <row r="10690">
      <c r="A10690">
        <v>10689</v>
      </c>
      <c r="B10690">
        <f>GS13</f>
        <v>0</v>
      </c>
      <c r="C10690" t="inlineStr">
        <is>
          <t>+LS12</t>
        </is>
      </c>
      <c r="D10690" t="inlineStr">
        <is>
          <t>-53126.4</t>
        </is>
      </c>
      <c r="E10690" t="inlineStr">
        <is>
          <t>DIL_EM-10-G</t>
        </is>
      </c>
      <c r="F10690" t="inlineStr">
        <is>
          <t>#KALK!</t>
        </is>
      </c>
      <c r="G10690" t="inlineStr">
        <is>
          <t>LASTSCHUETZ</t>
        </is>
      </c>
      <c r="H10690" t="inlineStr">
        <is>
          <t>4kW 1S</t>
        </is>
      </c>
      <c r="I10690">
        <v>789</v>
      </c>
      <c r="J10690">
        <f>GS13/531.6</f>
        <v>0</v>
      </c>
      <c r="M10690" t="inlineStr">
        <is>
          <t>-53126.4</t>
        </is>
      </c>
    </row>
    <row r="10691">
      <c r="A10691">
        <v>10690</v>
      </c>
      <c r="B10691">
        <f>GS13</f>
        <v>0</v>
      </c>
      <c r="C10691" t="inlineStr">
        <is>
          <t>+LS12</t>
        </is>
      </c>
      <c r="D10691" t="inlineStr">
        <is>
          <t>-53126.5</t>
        </is>
      </c>
      <c r="E10691" t="inlineStr">
        <is>
          <t>DIL_EM-10-G</t>
        </is>
      </c>
      <c r="F10691" t="inlineStr">
        <is>
          <t>#KALK!</t>
        </is>
      </c>
      <c r="G10691" t="inlineStr">
        <is>
          <t>LASTSCHUETZ</t>
        </is>
      </c>
      <c r="H10691" t="inlineStr">
        <is>
          <t>4kW 1S</t>
        </is>
      </c>
      <c r="I10691">
        <v>789</v>
      </c>
      <c r="J10691">
        <f>GS13/531.6</f>
        <v>0</v>
      </c>
      <c r="M10691" t="inlineStr">
        <is>
          <t>-53126.5</t>
        </is>
      </c>
    </row>
    <row r="10692">
      <c r="A10692">
        <v>10691</v>
      </c>
      <c r="B10692">
        <f>GS23</f>
        <v>0</v>
      </c>
      <c r="C10692" t="inlineStr">
        <is>
          <t>+LS12</t>
        </is>
      </c>
      <c r="D10692" t="inlineStr">
        <is>
          <t>-531K26.4</t>
        </is>
      </c>
      <c r="E10692" t="inlineStr">
        <is>
          <t>DIL_EM-10-G</t>
        </is>
      </c>
      <c r="F10692" t="inlineStr">
        <is>
          <t>#KALK!</t>
        </is>
      </c>
      <c r="G10692" t="inlineStr">
        <is>
          <t>LASTSCHUETZ</t>
        </is>
      </c>
      <c r="H10692" t="inlineStr">
        <is>
          <t>4kW 1S</t>
        </is>
      </c>
      <c r="I10692">
        <v>843</v>
      </c>
      <c r="J10692">
        <f>GS23/531.6</f>
        <v>0</v>
      </c>
      <c r="M10692" t="inlineStr">
        <is>
          <t>-531K26.4</t>
        </is>
      </c>
    </row>
    <row r="10693">
      <c r="A10693">
        <v>10692</v>
      </c>
      <c r="B10693">
        <f>GS23</f>
        <v>0</v>
      </c>
      <c r="C10693" t="inlineStr">
        <is>
          <t>+LS12</t>
        </is>
      </c>
      <c r="D10693" t="inlineStr">
        <is>
          <t>-531K26.5</t>
        </is>
      </c>
      <c r="E10693" t="inlineStr">
        <is>
          <t>DIL_EM-10-G</t>
        </is>
      </c>
      <c r="F10693" t="inlineStr">
        <is>
          <t>#KALK!</t>
        </is>
      </c>
      <c r="G10693" t="inlineStr">
        <is>
          <t>LASTSCHUETZ</t>
        </is>
      </c>
      <c r="H10693" t="inlineStr">
        <is>
          <t>4kW 1S</t>
        </is>
      </c>
      <c r="I10693">
        <v>843</v>
      </c>
      <c r="J10693">
        <f>GS23/531.6</f>
        <v>0</v>
      </c>
      <c r="M10693" t="inlineStr">
        <is>
          <t>-531K26.5</t>
        </is>
      </c>
    </row>
    <row r="10694">
      <c r="A10694">
        <v>10693</v>
      </c>
      <c r="B10694">
        <f>GS15</f>
        <v>0</v>
      </c>
      <c r="C10694" t="inlineStr">
        <is>
          <t>+LS10</t>
        </is>
      </c>
      <c r="D10694" t="inlineStr">
        <is>
          <t>-531K3505.4</t>
        </is>
      </c>
      <c r="E10694" t="inlineStr">
        <is>
          <t>DIL_EM-10-G</t>
        </is>
      </c>
      <c r="F10694" t="inlineStr">
        <is>
          <t>#KALK!</t>
        </is>
      </c>
      <c r="G10694" t="inlineStr">
        <is>
          <t>LASTSCHUETZ</t>
        </is>
      </c>
      <c r="H10694" t="inlineStr">
        <is>
          <t>4kW 1S</t>
        </is>
      </c>
      <c r="I10694">
        <v>1041</v>
      </c>
      <c r="J10694">
        <f>GS15/531.6</f>
        <v>0</v>
      </c>
      <c r="M10694" t="inlineStr">
        <is>
          <t>-531K3505.4</t>
        </is>
      </c>
    </row>
    <row r="10695">
      <c r="A10695">
        <v>10694</v>
      </c>
      <c r="B10695">
        <f>GS15</f>
        <v>0</v>
      </c>
      <c r="C10695" t="inlineStr">
        <is>
          <t>+LS10</t>
        </is>
      </c>
      <c r="D10695" t="inlineStr">
        <is>
          <t>-531K3505.5</t>
        </is>
      </c>
      <c r="E10695" t="inlineStr">
        <is>
          <t>DIL_EM-10-G</t>
        </is>
      </c>
      <c r="F10695" t="inlineStr">
        <is>
          <t>#KALK!</t>
        </is>
      </c>
      <c r="G10695" t="inlineStr">
        <is>
          <t>LASTSCHUETZ</t>
        </is>
      </c>
      <c r="H10695" t="inlineStr">
        <is>
          <t>4kW 1S</t>
        </is>
      </c>
      <c r="I10695">
        <v>1041</v>
      </c>
      <c r="J10695">
        <f>GS15/531.7</f>
        <v>0</v>
      </c>
      <c r="M10695" t="inlineStr">
        <is>
          <t>-531K3505.5</t>
        </is>
      </c>
    </row>
    <row r="10696">
      <c r="A10696">
        <v>10695</v>
      </c>
      <c r="B10696">
        <f>GS24</f>
        <v>0</v>
      </c>
      <c r="C10696" t="inlineStr">
        <is>
          <t>+LS11</t>
        </is>
      </c>
      <c r="D10696" t="inlineStr">
        <is>
          <t>-531K3511.5</t>
        </is>
      </c>
      <c r="E10696" t="inlineStr">
        <is>
          <t>DIL_EM-10-G</t>
        </is>
      </c>
      <c r="F10696" t="inlineStr">
        <is>
          <t>#KALK!</t>
        </is>
      </c>
      <c r="G10696" t="inlineStr">
        <is>
          <t>LASTSCHUETZ</t>
        </is>
      </c>
      <c r="H10696" t="inlineStr">
        <is>
          <t>4kW 1S</t>
        </is>
      </c>
      <c r="I10696">
        <v>565</v>
      </c>
      <c r="J10696">
        <f>GS24/531.6</f>
        <v>0</v>
      </c>
      <c r="M10696" t="inlineStr">
        <is>
          <t>-531K3511.5</t>
        </is>
      </c>
    </row>
    <row r="10697">
      <c r="A10697">
        <v>10696</v>
      </c>
      <c r="B10697">
        <f>GS24</f>
        <v>0</v>
      </c>
      <c r="C10697" t="inlineStr">
        <is>
          <t>+LS11</t>
        </is>
      </c>
      <c r="D10697" t="inlineStr">
        <is>
          <t>-531K3511.6</t>
        </is>
      </c>
      <c r="E10697" t="inlineStr">
        <is>
          <t>DIL_EM-10-G</t>
        </is>
      </c>
      <c r="F10697" t="inlineStr">
        <is>
          <t>#KALK!</t>
        </is>
      </c>
      <c r="G10697" t="inlineStr">
        <is>
          <t>LASTSCHUETZ</t>
        </is>
      </c>
      <c r="H10697" t="inlineStr">
        <is>
          <t>4kW 1S</t>
        </is>
      </c>
      <c r="I10697">
        <v>565</v>
      </c>
      <c r="J10697">
        <f>GS24/531.7</f>
        <v>0</v>
      </c>
      <c r="M10697" t="inlineStr">
        <is>
          <t>-531K3511.6</t>
        </is>
      </c>
    </row>
    <row r="10698">
      <c r="A10698">
        <v>10697</v>
      </c>
      <c r="B10698">
        <f>GS14</f>
        <v>0</v>
      </c>
      <c r="C10698" t="inlineStr">
        <is>
          <t>+LS10</t>
        </is>
      </c>
      <c r="D10698" t="inlineStr">
        <is>
          <t>-531K3531.2</t>
        </is>
      </c>
      <c r="E10698" t="inlineStr">
        <is>
          <t>DIL_EM-10-G</t>
        </is>
      </c>
      <c r="F10698" t="inlineStr">
        <is>
          <t>#KALK!</t>
        </is>
      </c>
      <c r="G10698" t="inlineStr">
        <is>
          <t>LASTSCHUETZ</t>
        </is>
      </c>
      <c r="H10698" t="inlineStr">
        <is>
          <t>4kW 1S</t>
        </is>
      </c>
      <c r="I10698">
        <v>663</v>
      </c>
      <c r="J10698">
        <f>GS14/531.7</f>
        <v>0</v>
      </c>
      <c r="M10698" t="inlineStr">
        <is>
          <t>-531K3531.2</t>
        </is>
      </c>
    </row>
    <row r="10699">
      <c r="A10699">
        <v>10698</v>
      </c>
      <c r="B10699">
        <f>GS25</f>
        <v>0</v>
      </c>
      <c r="C10699" t="inlineStr">
        <is>
          <t>+LS12</t>
        </is>
      </c>
      <c r="D10699" t="inlineStr">
        <is>
          <t>-531K3532.4</t>
        </is>
      </c>
      <c r="E10699" t="inlineStr">
        <is>
          <t>DIL_EM-10-G</t>
        </is>
      </c>
      <c r="F10699" t="inlineStr">
        <is>
          <t>#KALK!</t>
        </is>
      </c>
      <c r="G10699" t="inlineStr">
        <is>
          <t>LASTSCHUETZ</t>
        </is>
      </c>
      <c r="H10699" t="inlineStr">
        <is>
          <t>4kW 1S</t>
        </is>
      </c>
      <c r="I10699">
        <v>658</v>
      </c>
      <c r="J10699">
        <f>GS25/531.6</f>
        <v>0</v>
      </c>
      <c r="M10699" t="inlineStr">
        <is>
          <t>-531K3532.4</t>
        </is>
      </c>
    </row>
    <row r="10700">
      <c r="A10700">
        <v>10699</v>
      </c>
      <c r="B10700">
        <f>GS13</f>
        <v>0</v>
      </c>
      <c r="C10700" t="inlineStr">
        <is>
          <t>+LS12</t>
        </is>
      </c>
      <c r="D10700" t="inlineStr">
        <is>
          <t>-53227.6</t>
        </is>
      </c>
      <c r="E10700" t="inlineStr">
        <is>
          <t>DIL_EM-10-G</t>
        </is>
      </c>
      <c r="F10700" t="inlineStr">
        <is>
          <t>#KALK!</t>
        </is>
      </c>
      <c r="G10700" t="inlineStr">
        <is>
          <t>LASTSCHUETZ</t>
        </is>
      </c>
      <c r="H10700" t="inlineStr">
        <is>
          <t>4kW 1S</t>
        </is>
      </c>
      <c r="I10700">
        <v>790</v>
      </c>
      <c r="J10700">
        <f>GS13/532.6</f>
        <v>0</v>
      </c>
      <c r="M10700" t="inlineStr">
        <is>
          <t>-53227.6</t>
        </is>
      </c>
    </row>
    <row r="10701">
      <c r="A10701">
        <v>10700</v>
      </c>
      <c r="B10701">
        <f>GS23</f>
        <v>0</v>
      </c>
      <c r="C10701" t="inlineStr">
        <is>
          <t>+LS12</t>
        </is>
      </c>
      <c r="D10701" t="inlineStr">
        <is>
          <t>-532K27.6</t>
        </is>
      </c>
      <c r="E10701" t="inlineStr">
        <is>
          <t>DIL_EM-10-G</t>
        </is>
      </c>
      <c r="F10701" t="inlineStr">
        <is>
          <t>#KALK!</t>
        </is>
      </c>
      <c r="G10701" t="inlineStr">
        <is>
          <t>LASTSCHUETZ</t>
        </is>
      </c>
      <c r="H10701" t="inlineStr">
        <is>
          <t>4kW 1S</t>
        </is>
      </c>
      <c r="I10701">
        <v>844</v>
      </c>
      <c r="J10701">
        <f>GS23/532.6</f>
        <v>0</v>
      </c>
      <c r="M10701" t="inlineStr">
        <is>
          <t>-532K27.6</t>
        </is>
      </c>
    </row>
    <row r="10702">
      <c r="A10702">
        <v>10701</v>
      </c>
      <c r="B10702">
        <f>GS15</f>
        <v>0</v>
      </c>
      <c r="C10702" t="inlineStr">
        <is>
          <t>+LS10</t>
        </is>
      </c>
      <c r="D10702" t="inlineStr">
        <is>
          <t>-532K3505.6</t>
        </is>
      </c>
      <c r="E10702" t="inlineStr">
        <is>
          <t>DIL_EM-10-G</t>
        </is>
      </c>
      <c r="F10702" t="inlineStr">
        <is>
          <t>#KALK!</t>
        </is>
      </c>
      <c r="G10702" t="inlineStr">
        <is>
          <t>LASTSCHUETZ</t>
        </is>
      </c>
      <c r="H10702" t="inlineStr">
        <is>
          <t>4kW 1S</t>
        </is>
      </c>
      <c r="I10702">
        <v>1042</v>
      </c>
      <c r="J10702">
        <f>GS15/532.6</f>
        <v>0</v>
      </c>
      <c r="M10702" t="inlineStr">
        <is>
          <t>-532K3505.6</t>
        </is>
      </c>
    </row>
    <row r="10703">
      <c r="A10703">
        <v>10702</v>
      </c>
      <c r="B10703">
        <f>GS15</f>
        <v>0</v>
      </c>
      <c r="C10703" t="inlineStr">
        <is>
          <t>+LS10</t>
        </is>
      </c>
      <c r="D10703" t="inlineStr">
        <is>
          <t>-532K3505.7</t>
        </is>
      </c>
      <c r="E10703" t="inlineStr">
        <is>
          <t>DIL_EM-10-G</t>
        </is>
      </c>
      <c r="F10703" t="inlineStr">
        <is>
          <t>#KALK!</t>
        </is>
      </c>
      <c r="G10703" t="inlineStr">
        <is>
          <t>LASTSCHUETZ</t>
        </is>
      </c>
      <c r="H10703" t="inlineStr">
        <is>
          <t>4kW 1S</t>
        </is>
      </c>
      <c r="I10703">
        <v>1042</v>
      </c>
      <c r="J10703">
        <f>GS15/532.7</f>
        <v>0</v>
      </c>
      <c r="M10703" t="inlineStr">
        <is>
          <t>-532K3505.7</t>
        </is>
      </c>
    </row>
    <row r="10704">
      <c r="A10704">
        <v>10703</v>
      </c>
      <c r="B10704">
        <f>GS24</f>
        <v>0</v>
      </c>
      <c r="C10704" t="inlineStr">
        <is>
          <t>+LS11</t>
        </is>
      </c>
      <c r="D10704" t="inlineStr">
        <is>
          <t>-532K3512.6</t>
        </is>
      </c>
      <c r="E10704" t="inlineStr">
        <is>
          <t>DIL_EM-10-G</t>
        </is>
      </c>
      <c r="F10704" t="inlineStr">
        <is>
          <t>#KALK!</t>
        </is>
      </c>
      <c r="G10704" t="inlineStr">
        <is>
          <t>LASTSCHUETZ</t>
        </is>
      </c>
      <c r="H10704" t="inlineStr">
        <is>
          <t>4kW 1S</t>
        </is>
      </c>
      <c r="I10704">
        <v>564</v>
      </c>
      <c r="J10704">
        <f>GS24/532.7</f>
        <v>0</v>
      </c>
      <c r="M10704" t="inlineStr">
        <is>
          <t>-532K3512.6</t>
        </is>
      </c>
    </row>
    <row r="10705">
      <c r="A10705">
        <v>10704</v>
      </c>
      <c r="B10705">
        <f>GS14</f>
        <v>0</v>
      </c>
      <c r="C10705" t="inlineStr">
        <is>
          <t>+LS10</t>
        </is>
      </c>
      <c r="D10705" t="inlineStr">
        <is>
          <t>-532K3531.3</t>
        </is>
      </c>
      <c r="E10705" t="inlineStr">
        <is>
          <t>DIL_EM-10-G</t>
        </is>
      </c>
      <c r="F10705" t="inlineStr">
        <is>
          <t>#KALK!</t>
        </is>
      </c>
      <c r="G10705" t="inlineStr">
        <is>
          <t>LASTSCHUETZ</t>
        </is>
      </c>
      <c r="H10705" t="inlineStr">
        <is>
          <t>4kW 1S</t>
        </is>
      </c>
      <c r="I10705">
        <v>664</v>
      </c>
      <c r="J10705">
        <f>GS14/532.6</f>
        <v>0</v>
      </c>
      <c r="M10705" t="inlineStr">
        <is>
          <t>-532K3531.3</t>
        </is>
      </c>
    </row>
    <row r="10706">
      <c r="A10706">
        <v>10705</v>
      </c>
      <c r="B10706">
        <f>GS14</f>
        <v>0</v>
      </c>
      <c r="C10706" t="inlineStr">
        <is>
          <t>+LS10</t>
        </is>
      </c>
      <c r="D10706" t="inlineStr">
        <is>
          <t>-532K3531.4</t>
        </is>
      </c>
      <c r="E10706" t="inlineStr">
        <is>
          <t>DIL_EM-10-G</t>
        </is>
      </c>
      <c r="F10706" t="inlineStr">
        <is>
          <t>#KALK!</t>
        </is>
      </c>
      <c r="G10706" t="inlineStr">
        <is>
          <t>LASTSCHUETZ</t>
        </is>
      </c>
      <c r="H10706" t="inlineStr">
        <is>
          <t>4kW 1S</t>
        </is>
      </c>
      <c r="I10706">
        <v>664</v>
      </c>
      <c r="J10706">
        <f>GS14/532.7</f>
        <v>0</v>
      </c>
      <c r="M10706" t="inlineStr">
        <is>
          <t>-532K3531.4</t>
        </is>
      </c>
    </row>
    <row r="10707">
      <c r="A10707">
        <v>10706</v>
      </c>
      <c r="B10707">
        <f>GS25</f>
        <v>0</v>
      </c>
      <c r="C10707" t="inlineStr">
        <is>
          <t>+LS12</t>
        </is>
      </c>
      <c r="D10707" t="inlineStr">
        <is>
          <t>-532K3532.5</t>
        </is>
      </c>
      <c r="E10707" t="inlineStr">
        <is>
          <t>DIL_EM-10-G</t>
        </is>
      </c>
      <c r="F10707" t="inlineStr">
        <is>
          <t>#KALK!</t>
        </is>
      </c>
      <c r="G10707" t="inlineStr">
        <is>
          <t>LASTSCHUETZ</t>
        </is>
      </c>
      <c r="H10707" t="inlineStr">
        <is>
          <t>4kW 1S</t>
        </is>
      </c>
      <c r="I10707">
        <v>659</v>
      </c>
      <c r="J10707">
        <f>GS25/532.6</f>
        <v>0</v>
      </c>
      <c r="M10707" t="inlineStr">
        <is>
          <t>-532K3532.5</t>
        </is>
      </c>
    </row>
    <row r="10708">
      <c r="A10708">
        <v>10707</v>
      </c>
      <c r="B10708">
        <f>GS25</f>
        <v>0</v>
      </c>
      <c r="C10708" t="inlineStr">
        <is>
          <t>+LS12</t>
        </is>
      </c>
      <c r="D10708" t="inlineStr">
        <is>
          <t>-532K3532.6</t>
        </is>
      </c>
      <c r="E10708" t="inlineStr">
        <is>
          <t>DIL_EM-10-G</t>
        </is>
      </c>
      <c r="F10708" t="inlineStr">
        <is>
          <t>#KALK!</t>
        </is>
      </c>
      <c r="G10708" t="inlineStr">
        <is>
          <t>LASTSCHUETZ</t>
        </is>
      </c>
      <c r="H10708" t="inlineStr">
        <is>
          <t>4kW 1S</t>
        </is>
      </c>
      <c r="I10708">
        <v>659</v>
      </c>
      <c r="J10708">
        <f>GS25/532.7</f>
        <v>0</v>
      </c>
      <c r="M10708" t="inlineStr">
        <is>
          <t>-532K3532.6</t>
        </is>
      </c>
    </row>
    <row r="10709">
      <c r="A10709">
        <v>10708</v>
      </c>
      <c r="B10709">
        <f>GS51</f>
        <v>0</v>
      </c>
      <c r="C10709" t="inlineStr">
        <is>
          <t>+LS08</t>
        </is>
      </c>
      <c r="D10709" t="inlineStr">
        <is>
          <t>-532Q714.5</t>
        </is>
      </c>
      <c r="E10709" t="inlineStr">
        <is>
          <t>DILM-9-10</t>
        </is>
      </c>
      <c r="F10709" t="inlineStr">
        <is>
          <t>#KALK!</t>
        </is>
      </c>
      <c r="G10709" t="inlineStr">
        <is>
          <t>LASTSCHUETZ</t>
        </is>
      </c>
      <c r="H10709" t="inlineStr">
        <is>
          <t>4kW 1S Federzugkl.</t>
        </is>
      </c>
      <c r="I10709">
        <v>696</v>
      </c>
      <c r="J10709">
        <f>GS51/532.6</f>
        <v>0</v>
      </c>
      <c r="K10709" t="inlineStr">
        <is>
          <t>DIL MC9</t>
        </is>
      </c>
      <c r="M10709" t="inlineStr">
        <is>
          <t>-532Q714.5</t>
        </is>
      </c>
    </row>
    <row r="10710">
      <c r="A10710">
        <v>10709</v>
      </c>
      <c r="B10710">
        <f>GS92</f>
        <v>0</v>
      </c>
      <c r="C10710" t="inlineStr">
        <is>
          <t>+LS09</t>
        </is>
      </c>
      <c r="D10710" t="inlineStr">
        <is>
          <t>-532Q768.2</t>
        </is>
      </c>
      <c r="E10710" t="inlineStr">
        <is>
          <t>DILM-9-10</t>
        </is>
      </c>
      <c r="F10710" t="inlineStr">
        <is>
          <t>#KALK!</t>
        </is>
      </c>
      <c r="G10710" t="inlineStr">
        <is>
          <t>LASTSCHUETZ</t>
        </is>
      </c>
      <c r="H10710" t="inlineStr">
        <is>
          <t>4kW 1S Federzugkl.</t>
        </is>
      </c>
      <c r="I10710">
        <v>672</v>
      </c>
      <c r="J10710">
        <f>GS92/532.5</f>
        <v>0</v>
      </c>
      <c r="M10710" t="inlineStr">
        <is>
          <t>-532Q768.2</t>
        </is>
      </c>
    </row>
    <row r="10711">
      <c r="A10711">
        <v>10710</v>
      </c>
      <c r="B10711">
        <f>GS13</f>
        <v>0</v>
      </c>
      <c r="C10711" t="inlineStr">
        <is>
          <t>+LS12</t>
        </is>
      </c>
      <c r="D10711" t="inlineStr">
        <is>
          <t>-53328.0</t>
        </is>
      </c>
      <c r="E10711" t="inlineStr">
        <is>
          <t>DIL_EM-10-G</t>
        </is>
      </c>
      <c r="F10711" t="inlineStr">
        <is>
          <t>#KALK!</t>
        </is>
      </c>
      <c r="G10711" t="inlineStr">
        <is>
          <t>LASTSCHUETZ</t>
        </is>
      </c>
      <c r="H10711" t="inlineStr">
        <is>
          <t>4kW 1S</t>
        </is>
      </c>
      <c r="I10711">
        <v>791</v>
      </c>
      <c r="J10711">
        <f>GS13/533.6</f>
        <v>0</v>
      </c>
      <c r="M10711" t="inlineStr">
        <is>
          <t>-53328.0</t>
        </is>
      </c>
    </row>
    <row r="10712">
      <c r="A10712">
        <v>10711</v>
      </c>
      <c r="B10712">
        <f>GS13</f>
        <v>0</v>
      </c>
      <c r="C10712" t="inlineStr">
        <is>
          <t>+LS12</t>
        </is>
      </c>
      <c r="D10712" t="inlineStr">
        <is>
          <t>-53328.1</t>
        </is>
      </c>
      <c r="E10712" t="inlineStr">
        <is>
          <t>DIL_EM-10-G</t>
        </is>
      </c>
      <c r="F10712" t="inlineStr">
        <is>
          <t>#KALK!</t>
        </is>
      </c>
      <c r="G10712" t="inlineStr">
        <is>
          <t>LASTSCHUETZ</t>
        </is>
      </c>
      <c r="H10712" t="inlineStr">
        <is>
          <t>4kW 1S</t>
        </is>
      </c>
      <c r="I10712">
        <v>791</v>
      </c>
      <c r="J10712">
        <f>GS13/533.6</f>
        <v>0</v>
      </c>
      <c r="M10712" t="inlineStr">
        <is>
          <t>-53328.1</t>
        </is>
      </c>
    </row>
    <row r="10713">
      <c r="A10713">
        <v>10712</v>
      </c>
      <c r="B10713">
        <f>GS08</f>
        <v>0</v>
      </c>
      <c r="C10713" t="inlineStr">
        <is>
          <t>+LS08</t>
        </is>
      </c>
      <c r="D10713" t="inlineStr">
        <is>
          <t>-533K1</t>
        </is>
      </c>
      <c r="E10713" t="inlineStr">
        <is>
          <t>DILM-9-01</t>
        </is>
      </c>
      <c r="F10713" t="inlineStr">
        <is>
          <t>#KALK!</t>
        </is>
      </c>
      <c r="G10713" t="inlineStr">
        <is>
          <t>LASTSCHUETZ</t>
        </is>
      </c>
      <c r="H10713" t="inlineStr">
        <is>
          <t>4kW 1Oe Federzugkl.</t>
        </is>
      </c>
      <c r="I10713">
        <v>926</v>
      </c>
      <c r="J10713">
        <f>GS08/533.6</f>
        <v>0</v>
      </c>
      <c r="M10713" t="inlineStr">
        <is>
          <t>-533K1</t>
        </is>
      </c>
    </row>
    <row r="10714">
      <c r="A10714">
        <v>10713</v>
      </c>
      <c r="B10714">
        <f>GS08</f>
        <v>0</v>
      </c>
      <c r="C10714" t="inlineStr">
        <is>
          <t>+LS08</t>
        </is>
      </c>
      <c r="D10714" t="inlineStr">
        <is>
          <t>-533K2</t>
        </is>
      </c>
      <c r="E10714" t="inlineStr">
        <is>
          <t>DILM-9-01</t>
        </is>
      </c>
      <c r="F10714" t="inlineStr">
        <is>
          <t>#KALK!</t>
        </is>
      </c>
      <c r="G10714" t="inlineStr">
        <is>
          <t>LASTSCHUETZ</t>
        </is>
      </c>
      <c r="H10714" t="inlineStr">
        <is>
          <t>4kW 1Oe Federzugkl.</t>
        </is>
      </c>
      <c r="I10714">
        <v>926</v>
      </c>
      <c r="J10714">
        <f>GS08/533.7</f>
        <v>0</v>
      </c>
      <c r="M10714" t="inlineStr">
        <is>
          <t>-533K2</t>
        </is>
      </c>
    </row>
    <row r="10715">
      <c r="A10715">
        <v>10714</v>
      </c>
      <c r="B10715">
        <f>GS23</f>
        <v>0</v>
      </c>
      <c r="C10715" t="inlineStr">
        <is>
          <t>+LS12</t>
        </is>
      </c>
      <c r="D10715" t="inlineStr">
        <is>
          <t>-533K28.0</t>
        </is>
      </c>
      <c r="E10715" t="inlineStr">
        <is>
          <t>DIL_EM-10-G</t>
        </is>
      </c>
      <c r="F10715" t="inlineStr">
        <is>
          <t>#KALK!</t>
        </is>
      </c>
      <c r="G10715" t="inlineStr">
        <is>
          <t>LASTSCHUETZ</t>
        </is>
      </c>
      <c r="H10715" t="inlineStr">
        <is>
          <t>4kW 1S</t>
        </is>
      </c>
      <c r="I10715">
        <v>845</v>
      </c>
      <c r="J10715">
        <f>GS23/533.6</f>
        <v>0</v>
      </c>
      <c r="M10715" t="inlineStr">
        <is>
          <t>-533K28.0</t>
        </is>
      </c>
    </row>
    <row r="10716">
      <c r="A10716">
        <v>10715</v>
      </c>
      <c r="B10716">
        <f>GS23</f>
        <v>0</v>
      </c>
      <c r="C10716" t="inlineStr">
        <is>
          <t>+LS12</t>
        </is>
      </c>
      <c r="D10716" t="inlineStr">
        <is>
          <t>-533K28.1</t>
        </is>
      </c>
      <c r="E10716" t="inlineStr">
        <is>
          <t>DIL_EM-10-G</t>
        </is>
      </c>
      <c r="F10716" t="inlineStr">
        <is>
          <t>#KALK!</t>
        </is>
      </c>
      <c r="G10716" t="inlineStr">
        <is>
          <t>LASTSCHUETZ</t>
        </is>
      </c>
      <c r="H10716" t="inlineStr">
        <is>
          <t>4kW 1S</t>
        </is>
      </c>
      <c r="I10716">
        <v>845</v>
      </c>
      <c r="J10716">
        <f>GS23/533.6</f>
        <v>0</v>
      </c>
      <c r="M10716" t="inlineStr">
        <is>
          <t>-533K28.1</t>
        </is>
      </c>
    </row>
    <row r="10717">
      <c r="A10717">
        <v>10716</v>
      </c>
      <c r="B10717">
        <f>GS24</f>
        <v>0</v>
      </c>
      <c r="C10717" t="inlineStr">
        <is>
          <t>+LS11</t>
        </is>
      </c>
      <c r="D10717" t="inlineStr">
        <is>
          <t>-533K3512.7</t>
        </is>
      </c>
      <c r="E10717" t="inlineStr">
        <is>
          <t>DIL_EM-10-G</t>
        </is>
      </c>
      <c r="F10717" t="inlineStr">
        <is>
          <t>#KALK!</t>
        </is>
      </c>
      <c r="G10717" t="inlineStr">
        <is>
          <t>LASTSCHUETZ</t>
        </is>
      </c>
      <c r="H10717" t="inlineStr">
        <is>
          <t>4kW 1S</t>
        </is>
      </c>
      <c r="I10717">
        <v>563</v>
      </c>
      <c r="J10717">
        <f>GS24/533.6</f>
        <v>0</v>
      </c>
      <c r="M10717" t="inlineStr">
        <is>
          <t>-533K3512.7</t>
        </is>
      </c>
    </row>
    <row r="10718">
      <c r="A10718">
        <v>10717</v>
      </c>
      <c r="B10718">
        <f>GS14</f>
        <v>0</v>
      </c>
      <c r="C10718" t="inlineStr">
        <is>
          <t>+LS10</t>
        </is>
      </c>
      <c r="D10718" t="inlineStr">
        <is>
          <t>-533K3531.5</t>
        </is>
      </c>
      <c r="E10718" t="inlineStr">
        <is>
          <t>DIL_EM-10-G</t>
        </is>
      </c>
      <c r="F10718" t="inlineStr">
        <is>
          <t>#KALK!</t>
        </is>
      </c>
      <c r="G10718" t="inlineStr">
        <is>
          <t>LASTSCHUETZ</t>
        </is>
      </c>
      <c r="H10718" t="inlineStr">
        <is>
          <t>4kW 1S</t>
        </is>
      </c>
      <c r="I10718">
        <v>665</v>
      </c>
      <c r="J10718">
        <f>GS14/533.6</f>
        <v>0</v>
      </c>
      <c r="M10718" t="inlineStr">
        <is>
          <t>-533K3531.5</t>
        </is>
      </c>
    </row>
    <row r="10719">
      <c r="A10719">
        <v>10718</v>
      </c>
      <c r="B10719">
        <f>GS14</f>
        <v>0</v>
      </c>
      <c r="C10719" t="inlineStr">
        <is>
          <t>+LS10</t>
        </is>
      </c>
      <c r="D10719" t="inlineStr">
        <is>
          <t>-533K3531.6</t>
        </is>
      </c>
      <c r="E10719" t="inlineStr">
        <is>
          <t>DIL_EM-10-G</t>
        </is>
      </c>
      <c r="F10719" t="inlineStr">
        <is>
          <t>#KALK!</t>
        </is>
      </c>
      <c r="G10719" t="inlineStr">
        <is>
          <t>LASTSCHUETZ</t>
        </is>
      </c>
      <c r="H10719" t="inlineStr">
        <is>
          <t>4kW 1S</t>
        </is>
      </c>
      <c r="I10719">
        <v>665</v>
      </c>
      <c r="J10719">
        <f>GS14/533.7</f>
        <v>0</v>
      </c>
      <c r="M10719" t="inlineStr">
        <is>
          <t>-533K3531.6</t>
        </is>
      </c>
    </row>
    <row r="10720">
      <c r="A10720">
        <v>10719</v>
      </c>
      <c r="B10720">
        <f>GS07</f>
        <v>0</v>
      </c>
      <c r="C10720" t="inlineStr">
        <is>
          <t>+LS08</t>
        </is>
      </c>
      <c r="D10720" t="inlineStr">
        <is>
          <t>-533Q430.5</t>
        </is>
      </c>
      <c r="E10720" t="inlineStr">
        <is>
          <t>DILM-9-10</t>
        </is>
      </c>
      <c r="F10720" t="inlineStr">
        <is>
          <t>#KALK!</t>
        </is>
      </c>
      <c r="G10720" t="inlineStr">
        <is>
          <t>LASTSCHUETZ</t>
        </is>
      </c>
      <c r="H10720" t="inlineStr">
        <is>
          <t>4kW 1S Federzugkl.</t>
        </is>
      </c>
      <c r="I10720">
        <v>618</v>
      </c>
      <c r="J10720">
        <f>GS07/533.6</f>
        <v>0</v>
      </c>
      <c r="K10720" t="inlineStr">
        <is>
          <t>DIL MC9</t>
        </is>
      </c>
      <c r="M10720" t="inlineStr">
        <is>
          <t>-533Q430.5</t>
        </is>
      </c>
    </row>
    <row r="10721">
      <c r="A10721">
        <v>10720</v>
      </c>
      <c r="B10721">
        <f>GS13</f>
        <v>0</v>
      </c>
      <c r="C10721" t="inlineStr">
        <is>
          <t>+LS12</t>
        </is>
      </c>
      <c r="D10721" t="inlineStr">
        <is>
          <t>-53428.2</t>
        </is>
      </c>
      <c r="E10721" t="inlineStr">
        <is>
          <t>DIL_EM-10-G</t>
        </is>
      </c>
      <c r="F10721" t="inlineStr">
        <is>
          <t>#KALK!</t>
        </is>
      </c>
      <c r="G10721" t="inlineStr">
        <is>
          <t>LASTSCHUETZ</t>
        </is>
      </c>
      <c r="H10721" t="inlineStr">
        <is>
          <t>4kW 1S</t>
        </is>
      </c>
      <c r="I10721">
        <v>792</v>
      </c>
      <c r="J10721">
        <f>GS13/534.6</f>
        <v>0</v>
      </c>
      <c r="M10721" t="inlineStr">
        <is>
          <t>-53428.2</t>
        </is>
      </c>
    </row>
    <row r="10722">
      <c r="A10722">
        <v>10721</v>
      </c>
      <c r="B10722">
        <f>GS13</f>
        <v>0</v>
      </c>
      <c r="C10722" t="inlineStr">
        <is>
          <t>+LS12</t>
        </is>
      </c>
      <c r="D10722" t="inlineStr">
        <is>
          <t>-53428.3</t>
        </is>
      </c>
      <c r="E10722" t="inlineStr">
        <is>
          <t>DIL_EM-10-G</t>
        </is>
      </c>
      <c r="F10722" t="inlineStr">
        <is>
          <t>#KALK!</t>
        </is>
      </c>
      <c r="G10722" t="inlineStr">
        <is>
          <t>LASTSCHUETZ</t>
        </is>
      </c>
      <c r="H10722" t="inlineStr">
        <is>
          <t>4kW 1S</t>
        </is>
      </c>
      <c r="I10722">
        <v>792</v>
      </c>
      <c r="J10722">
        <f>GS13/534.6</f>
        <v>0</v>
      </c>
      <c r="M10722" t="inlineStr">
        <is>
          <t>-53428.3</t>
        </is>
      </c>
    </row>
    <row r="10723">
      <c r="A10723">
        <v>10722</v>
      </c>
      <c r="B10723">
        <f>GS23</f>
        <v>0</v>
      </c>
      <c r="C10723" t="inlineStr">
        <is>
          <t>+LS12</t>
        </is>
      </c>
      <c r="D10723" t="inlineStr">
        <is>
          <t>-534K28.2</t>
        </is>
      </c>
      <c r="E10723" t="inlineStr">
        <is>
          <t>DIL_EM-10-G</t>
        </is>
      </c>
      <c r="F10723" t="inlineStr">
        <is>
          <t>#KALK!</t>
        </is>
      </c>
      <c r="G10723" t="inlineStr">
        <is>
          <t>LASTSCHUETZ</t>
        </is>
      </c>
      <c r="H10723" t="inlineStr">
        <is>
          <t>4kW 1S</t>
        </is>
      </c>
      <c r="I10723">
        <v>846</v>
      </c>
      <c r="J10723">
        <f>GS23/534.6</f>
        <v>0</v>
      </c>
      <c r="M10723" t="inlineStr">
        <is>
          <t>-534K28.2</t>
        </is>
      </c>
    </row>
    <row r="10724">
      <c r="A10724">
        <v>10723</v>
      </c>
      <c r="B10724">
        <f>GS23</f>
        <v>0</v>
      </c>
      <c r="C10724" t="inlineStr">
        <is>
          <t>+LS12</t>
        </is>
      </c>
      <c r="D10724" t="inlineStr">
        <is>
          <t>-534K28.3</t>
        </is>
      </c>
      <c r="E10724" t="inlineStr">
        <is>
          <t>DIL_EM-10-G</t>
        </is>
      </c>
      <c r="F10724" t="inlineStr">
        <is>
          <t>#KALK!</t>
        </is>
      </c>
      <c r="G10724" t="inlineStr">
        <is>
          <t>LASTSCHUETZ</t>
        </is>
      </c>
      <c r="H10724" t="inlineStr">
        <is>
          <t>4kW 1S</t>
        </is>
      </c>
      <c r="I10724">
        <v>846</v>
      </c>
      <c r="J10724">
        <f>GS23/534.6</f>
        <v>0</v>
      </c>
      <c r="M10724" t="inlineStr">
        <is>
          <t>-534K28.3</t>
        </is>
      </c>
    </row>
    <row r="10725">
      <c r="A10725">
        <v>10724</v>
      </c>
      <c r="B10725">
        <f>GS24</f>
        <v>0</v>
      </c>
      <c r="C10725" t="inlineStr">
        <is>
          <t>+LS11</t>
        </is>
      </c>
      <c r="D10725" t="inlineStr">
        <is>
          <t>-534K3513.3</t>
        </is>
      </c>
      <c r="E10725" t="inlineStr">
        <is>
          <t>DIL_EM-10-G</t>
        </is>
      </c>
      <c r="F10725" t="inlineStr">
        <is>
          <t>#KALK!</t>
        </is>
      </c>
      <c r="G10725" t="inlineStr">
        <is>
          <t>LASTSCHUETZ</t>
        </is>
      </c>
      <c r="H10725" t="inlineStr">
        <is>
          <t>4kW 1S</t>
        </is>
      </c>
      <c r="I10725">
        <v>562</v>
      </c>
      <c r="J10725">
        <f>GS24/534.7</f>
        <v>0</v>
      </c>
      <c r="M10725" t="inlineStr">
        <is>
          <t>-534K3513.3</t>
        </is>
      </c>
    </row>
    <row r="10726">
      <c r="A10726">
        <v>10725</v>
      </c>
      <c r="B10726">
        <f>GS01</f>
        <v>0</v>
      </c>
      <c r="C10726" t="inlineStr">
        <is>
          <t>+LS12</t>
        </is>
      </c>
      <c r="D10726" t="inlineStr">
        <is>
          <t>-535K1</t>
        </is>
      </c>
      <c r="E10726" t="inlineStr">
        <is>
          <t>DIL_2AM</t>
        </is>
      </c>
      <c r="F10726" t="inlineStr">
        <is>
          <t>22_DIL-M</t>
        </is>
      </c>
      <c r="G10726" t="inlineStr">
        <is>
          <t>LASTSCHUETZ</t>
        </is>
      </c>
      <c r="H10726" t="inlineStr">
        <is>
          <t>30 kW</t>
        </is>
      </c>
      <c r="I10726">
        <v>704</v>
      </c>
      <c r="J10726">
        <f>GS01/535.2</f>
        <v>0</v>
      </c>
      <c r="K10726" t="inlineStr">
        <is>
          <t>DIL2AM</t>
        </is>
      </c>
      <c r="M10726" t="inlineStr">
        <is>
          <t>-535K1</t>
        </is>
      </c>
    </row>
    <row r="10727">
      <c r="A10727">
        <v>10726</v>
      </c>
      <c r="B10727">
        <f>GS01</f>
        <v>0</v>
      </c>
      <c r="C10727" t="inlineStr">
        <is>
          <t>+LS12</t>
        </is>
      </c>
      <c r="D10727" t="inlineStr">
        <is>
          <t>-535K1</t>
        </is>
      </c>
      <c r="E10727" t="inlineStr">
        <is>
          <t>22_DIL-M</t>
        </is>
      </c>
      <c r="F10727" t="inlineStr">
        <is>
          <t>22_DIL-M</t>
        </is>
      </c>
      <c r="G10727" t="inlineStr">
        <is>
          <t>HILFSKONTAKTBLOCK</t>
        </is>
      </c>
      <c r="H10727" t="inlineStr">
        <is>
          <t>2S 2OE Lastschuetz DIL M</t>
        </is>
      </c>
      <c r="I10727">
        <v>704</v>
      </c>
      <c r="J10727">
        <f>GS01/535.2</f>
        <v>0</v>
      </c>
      <c r="K10727" t="inlineStr">
        <is>
          <t>DIL2AM</t>
        </is>
      </c>
      <c r="M10727" t="inlineStr">
        <is>
          <t>-535K1</t>
        </is>
      </c>
    </row>
    <row r="10728">
      <c r="A10728">
        <v>10727</v>
      </c>
      <c r="B10728">
        <f>GS30</f>
        <v>0</v>
      </c>
      <c r="C10728" t="inlineStr">
        <is>
          <t>+LS18</t>
        </is>
      </c>
      <c r="D10728" t="inlineStr">
        <is>
          <t>-535K1314.4</t>
        </is>
      </c>
      <c r="E10728" t="inlineStr">
        <is>
          <t>DILA-40</t>
        </is>
      </c>
      <c r="F10728" t="inlineStr">
        <is>
          <t>#KALK!</t>
        </is>
      </c>
      <c r="G10728" t="inlineStr">
        <is>
          <t>HILFSSCHUETZ</t>
        </is>
      </c>
      <c r="H10728" t="inlineStr">
        <is>
          <t>4S Federzugkl.</t>
        </is>
      </c>
      <c r="I10728">
        <v>1187</v>
      </c>
      <c r="J10728">
        <f>GS30/535.7</f>
        <v>0</v>
      </c>
      <c r="M10728" t="inlineStr">
        <is>
          <t>-535K1314.4</t>
        </is>
      </c>
    </row>
    <row r="10729">
      <c r="A10729">
        <v>10728</v>
      </c>
      <c r="B10729">
        <f>GS91</f>
        <v>0</v>
      </c>
      <c r="C10729" t="inlineStr">
        <is>
          <t>+LS10</t>
        </is>
      </c>
      <c r="D10729" t="inlineStr">
        <is>
          <t>-535K474.4</t>
        </is>
      </c>
      <c r="E10729" t="inlineStr">
        <is>
          <t>DILA-40</t>
        </is>
      </c>
      <c r="F10729" t="inlineStr">
        <is>
          <t>#KALK!</t>
        </is>
      </c>
      <c r="G10729" t="inlineStr">
        <is>
          <t>HILFSSCHUETZ</t>
        </is>
      </c>
      <c r="H10729" t="inlineStr">
        <is>
          <t>4S Federzugkl.</t>
        </is>
      </c>
      <c r="I10729">
        <v>683</v>
      </c>
      <c r="J10729">
        <f>GS91/535.7</f>
        <v>0</v>
      </c>
      <c r="M10729" t="inlineStr">
        <is>
          <t>-535K474.4</t>
        </is>
      </c>
    </row>
    <row r="10730">
      <c r="A10730">
        <v>10729</v>
      </c>
      <c r="B10730">
        <f>GS35</f>
        <v>0</v>
      </c>
      <c r="C10730" t="inlineStr">
        <is>
          <t>+LS13</t>
        </is>
      </c>
      <c r="D10730" t="inlineStr">
        <is>
          <t>-535K475.0</t>
        </is>
      </c>
      <c r="E10730" t="inlineStr">
        <is>
          <t>DILA-40</t>
        </is>
      </c>
      <c r="F10730" t="inlineStr">
        <is>
          <t>#KALK!</t>
        </is>
      </c>
      <c r="G10730" t="inlineStr">
        <is>
          <t>HILFSSCHUETZ</t>
        </is>
      </c>
      <c r="H10730" t="inlineStr">
        <is>
          <t>4S Federzugkl.</t>
        </is>
      </c>
      <c r="I10730">
        <v>689</v>
      </c>
      <c r="J10730">
        <f>GS35/535.7</f>
        <v>0</v>
      </c>
      <c r="M10730" t="inlineStr">
        <is>
          <t>-535K475.0</t>
        </is>
      </c>
    </row>
    <row r="10731">
      <c r="A10731">
        <v>10730</v>
      </c>
      <c r="B10731">
        <f>GS93</f>
        <v>0</v>
      </c>
      <c r="C10731" t="inlineStr">
        <is>
          <t>+LS10</t>
        </is>
      </c>
      <c r="D10731" t="inlineStr">
        <is>
          <t>-535K752.0</t>
        </is>
      </c>
      <c r="E10731" t="inlineStr">
        <is>
          <t>DILA-40</t>
        </is>
      </c>
      <c r="F10731" t="inlineStr">
        <is>
          <t>#KALK!</t>
        </is>
      </c>
      <c r="G10731" t="inlineStr">
        <is>
          <t>HILFSSCHUETZ</t>
        </is>
      </c>
      <c r="H10731" t="inlineStr">
        <is>
          <t>4S Federzugkl.</t>
        </is>
      </c>
      <c r="I10731">
        <v>1089</v>
      </c>
      <c r="J10731">
        <f>GS93/535.7</f>
        <v>0</v>
      </c>
      <c r="M10731" t="inlineStr">
        <is>
          <t>-535K752.0</t>
        </is>
      </c>
    </row>
    <row r="10732">
      <c r="A10732">
        <v>10731</v>
      </c>
      <c r="B10732">
        <f>GS46</f>
        <v>0</v>
      </c>
      <c r="C10732" t="inlineStr">
        <is>
          <t>+LS09</t>
        </is>
      </c>
      <c r="D10732" t="inlineStr">
        <is>
          <t>-535K754.0</t>
        </is>
      </c>
      <c r="E10732" t="inlineStr">
        <is>
          <t>DILA-40</t>
        </is>
      </c>
      <c r="F10732" t="inlineStr">
        <is>
          <t>#KALK!</t>
        </is>
      </c>
      <c r="G10732" t="inlineStr">
        <is>
          <t>HILFSSCHUETZ</t>
        </is>
      </c>
      <c r="H10732" t="inlineStr">
        <is>
          <t>4S Federzugkl.</t>
        </is>
      </c>
      <c r="I10732">
        <v>421</v>
      </c>
      <c r="J10732">
        <f>GS46/535.7</f>
        <v>0</v>
      </c>
      <c r="M10732" t="inlineStr">
        <is>
          <t>-535K754.0</t>
        </is>
      </c>
    </row>
    <row r="10733">
      <c r="A10733">
        <v>10732</v>
      </c>
      <c r="B10733">
        <f>GS47</f>
        <v>0</v>
      </c>
      <c r="C10733" t="inlineStr">
        <is>
          <t>+LS09</t>
        </is>
      </c>
      <c r="D10733" t="inlineStr">
        <is>
          <t>-535K754.0</t>
        </is>
      </c>
      <c r="E10733" t="inlineStr">
        <is>
          <t>DILA-40</t>
        </is>
      </c>
      <c r="F10733" t="inlineStr">
        <is>
          <t>#KALK!</t>
        </is>
      </c>
      <c r="G10733" t="inlineStr">
        <is>
          <t>HILFSSCHUETZ</t>
        </is>
      </c>
      <c r="H10733" t="inlineStr">
        <is>
          <t>4S Federzugkl.</t>
        </is>
      </c>
      <c r="I10733">
        <v>421</v>
      </c>
      <c r="J10733">
        <f>GS47/535.7</f>
        <v>0</v>
      </c>
      <c r="M10733" t="inlineStr">
        <is>
          <t>-535K754.0</t>
        </is>
      </c>
    </row>
    <row r="10734">
      <c r="A10734">
        <v>10733</v>
      </c>
      <c r="B10734">
        <f>GS48</f>
        <v>0</v>
      </c>
      <c r="C10734" t="inlineStr">
        <is>
          <t>+LS09</t>
        </is>
      </c>
      <c r="D10734" t="inlineStr">
        <is>
          <t>-535K754.0</t>
        </is>
      </c>
      <c r="E10734" t="inlineStr">
        <is>
          <t>DILA-40</t>
        </is>
      </c>
      <c r="F10734" t="inlineStr">
        <is>
          <t>#KALK!</t>
        </is>
      </c>
      <c r="G10734" t="inlineStr">
        <is>
          <t>HILFSSCHUETZ</t>
        </is>
      </c>
      <c r="H10734" t="inlineStr">
        <is>
          <t>4S Federzugkl.</t>
        </is>
      </c>
      <c r="I10734">
        <v>647</v>
      </c>
      <c r="J10734">
        <f>GS48/535.7</f>
        <v>0</v>
      </c>
      <c r="M10734" t="inlineStr">
        <is>
          <t>-535K754.0</t>
        </is>
      </c>
    </row>
    <row r="10735">
      <c r="A10735">
        <v>10734</v>
      </c>
      <c r="B10735">
        <f>GS49</f>
        <v>0</v>
      </c>
      <c r="C10735" t="inlineStr">
        <is>
          <t>+LS09</t>
        </is>
      </c>
      <c r="D10735" t="inlineStr">
        <is>
          <t>-535K754.0</t>
        </is>
      </c>
      <c r="E10735" t="inlineStr">
        <is>
          <t>DILA-40</t>
        </is>
      </c>
      <c r="F10735" t="inlineStr">
        <is>
          <t>#KALK!</t>
        </is>
      </c>
      <c r="G10735" t="inlineStr">
        <is>
          <t>HILFSSCHUETZ</t>
        </is>
      </c>
      <c r="H10735" t="inlineStr">
        <is>
          <t>4S Federzugkl.</t>
        </is>
      </c>
      <c r="I10735">
        <v>646</v>
      </c>
      <c r="J10735">
        <f>GS49/535.7</f>
        <v>0</v>
      </c>
      <c r="M10735" t="inlineStr">
        <is>
          <t>-535K754.0</t>
        </is>
      </c>
    </row>
    <row r="10736">
      <c r="A10736">
        <v>10735</v>
      </c>
      <c r="B10736">
        <f>GS30</f>
        <v>0</v>
      </c>
      <c r="C10736" t="inlineStr">
        <is>
          <t>+LS18</t>
        </is>
      </c>
      <c r="D10736" t="inlineStr">
        <is>
          <t>-535Q1</t>
        </is>
      </c>
      <c r="E10736" t="inlineStr">
        <is>
          <t>DILA-XHI22</t>
        </is>
      </c>
      <c r="F10736" t="inlineStr">
        <is>
          <t>DILA-XHI22</t>
        </is>
      </c>
      <c r="G10736" t="inlineStr">
        <is>
          <t>HILFSKONTAKTBLOCK</t>
        </is>
      </c>
      <c r="H10736" t="inlineStr">
        <is>
          <t>2S 2OE Last+Hilfssch. Cage</t>
        </is>
      </c>
      <c r="I10736">
        <v>1187</v>
      </c>
      <c r="J10736">
        <f>GS30/535.4</f>
        <v>0</v>
      </c>
      <c r="K10736" t="inlineStr">
        <is>
          <t>DIL MC25</t>
        </is>
      </c>
      <c r="M10736" t="inlineStr">
        <is>
          <t>-535Q1</t>
        </is>
      </c>
    </row>
    <row r="10737">
      <c r="A10737">
        <v>10736</v>
      </c>
      <c r="B10737">
        <f>GS30</f>
        <v>0</v>
      </c>
      <c r="C10737" t="inlineStr">
        <is>
          <t>+LS18</t>
        </is>
      </c>
      <c r="D10737" t="inlineStr">
        <is>
          <t>-535Q1</t>
        </is>
      </c>
      <c r="E10737" t="inlineStr">
        <is>
          <t>DILMC25-10(RDC24)</t>
        </is>
      </c>
      <c r="F10737" t="inlineStr">
        <is>
          <t>DILA-XHI22</t>
        </is>
      </c>
      <c r="G10737" t="inlineStr">
        <is>
          <t>LASTSCHUETZ</t>
        </is>
      </c>
      <c r="H10737" t="inlineStr">
        <is>
          <t>11kW 1S Federzugkl.</t>
        </is>
      </c>
      <c r="I10737">
        <v>1187</v>
      </c>
      <c r="J10737">
        <f>GS30/535.4</f>
        <v>0</v>
      </c>
      <c r="K10737" t="inlineStr">
        <is>
          <t>DIL MC25</t>
        </is>
      </c>
      <c r="M10737" t="inlineStr">
        <is>
          <t>-535Q1</t>
        </is>
      </c>
    </row>
    <row r="10738">
      <c r="A10738">
        <v>10737</v>
      </c>
      <c r="B10738">
        <f>GS35</f>
        <v>0</v>
      </c>
      <c r="C10738" t="inlineStr">
        <is>
          <t>+LS13</t>
        </is>
      </c>
      <c r="D10738" t="inlineStr">
        <is>
          <t>-535Q1</t>
        </is>
      </c>
      <c r="E10738" t="inlineStr">
        <is>
          <t>DILA-XHI22</t>
        </is>
      </c>
      <c r="F10738" t="inlineStr">
        <is>
          <t>DILA-XHI22</t>
        </is>
      </c>
      <c r="G10738" t="inlineStr">
        <is>
          <t>HILFSKONTAKTBLOCK</t>
        </is>
      </c>
      <c r="H10738" t="inlineStr">
        <is>
          <t>2S 2OE Last+Hilfssch. Cage</t>
        </is>
      </c>
      <c r="I10738">
        <v>689</v>
      </c>
      <c r="J10738">
        <f>GS35/535.4</f>
        <v>0</v>
      </c>
      <c r="K10738" t="inlineStr">
        <is>
          <t>DIL MC25</t>
        </is>
      </c>
      <c r="M10738" t="inlineStr">
        <is>
          <t>-535Q1</t>
        </is>
      </c>
    </row>
    <row r="10739">
      <c r="A10739">
        <v>10738</v>
      </c>
      <c r="B10739">
        <f>GS35</f>
        <v>0</v>
      </c>
      <c r="C10739" t="inlineStr">
        <is>
          <t>+LS13</t>
        </is>
      </c>
      <c r="D10739" t="inlineStr">
        <is>
          <t>-535Q1</t>
        </is>
      </c>
      <c r="E10739" t="inlineStr">
        <is>
          <t>DILM-25-10</t>
        </is>
      </c>
      <c r="F10739" t="inlineStr">
        <is>
          <t>DILA-XHI22</t>
        </is>
      </c>
      <c r="G10739" t="inlineStr">
        <is>
          <t>LASTSCHUETZ</t>
        </is>
      </c>
      <c r="H10739" t="inlineStr">
        <is>
          <t>11kW 1S Federzugkl.</t>
        </is>
      </c>
      <c r="I10739">
        <v>689</v>
      </c>
      <c r="J10739">
        <f>GS35/535.4</f>
        <v>0</v>
      </c>
      <c r="K10739" t="inlineStr">
        <is>
          <t>DIL MC25</t>
        </is>
      </c>
      <c r="M10739" t="inlineStr">
        <is>
          <t>-535Q1</t>
        </is>
      </c>
    </row>
    <row r="10740">
      <c r="A10740">
        <v>10739</v>
      </c>
      <c r="B10740">
        <f>GS46</f>
        <v>0</v>
      </c>
      <c r="C10740" t="inlineStr">
        <is>
          <t>+LS09</t>
        </is>
      </c>
      <c r="D10740" t="inlineStr">
        <is>
          <t>-535Q1</t>
        </is>
      </c>
      <c r="E10740" t="inlineStr">
        <is>
          <t>DILA-XHI22</t>
        </is>
      </c>
      <c r="F10740" t="inlineStr">
        <is>
          <t>DILA-XHI22</t>
        </is>
      </c>
      <c r="G10740" t="inlineStr">
        <is>
          <t>HILFSKONTAKTBLOCK</t>
        </is>
      </c>
      <c r="H10740" t="inlineStr">
        <is>
          <t>2S 2OE Last+Hilfssch. Cage</t>
        </is>
      </c>
      <c r="I10740">
        <v>421</v>
      </c>
      <c r="J10740">
        <f>GS46/535.4</f>
        <v>0</v>
      </c>
      <c r="K10740" t="inlineStr">
        <is>
          <t>DIL MC25</t>
        </is>
      </c>
      <c r="M10740" t="inlineStr">
        <is>
          <t>-535Q1</t>
        </is>
      </c>
    </row>
    <row r="10741">
      <c r="A10741">
        <v>10740</v>
      </c>
      <c r="B10741">
        <f>GS46</f>
        <v>0</v>
      </c>
      <c r="C10741" t="inlineStr">
        <is>
          <t>+LS09</t>
        </is>
      </c>
      <c r="D10741" t="inlineStr">
        <is>
          <t>-535Q1</t>
        </is>
      </c>
      <c r="E10741" t="inlineStr">
        <is>
          <t>DILMC25-10(RDC24)</t>
        </is>
      </c>
      <c r="F10741" t="inlineStr">
        <is>
          <t>DILA-XHI22</t>
        </is>
      </c>
      <c r="G10741" t="inlineStr">
        <is>
          <t>LASTSCHUETZ</t>
        </is>
      </c>
      <c r="H10741" t="inlineStr">
        <is>
          <t>11kW 1S Federzugkl.</t>
        </is>
      </c>
      <c r="I10741">
        <v>421</v>
      </c>
      <c r="J10741">
        <f>GS46/535.4</f>
        <v>0</v>
      </c>
      <c r="K10741" t="inlineStr">
        <is>
          <t>DIL MC25</t>
        </is>
      </c>
      <c r="M10741" t="inlineStr">
        <is>
          <t>-535Q1</t>
        </is>
      </c>
    </row>
    <row r="10742">
      <c r="A10742">
        <v>10741</v>
      </c>
      <c r="B10742">
        <f>GS47</f>
        <v>0</v>
      </c>
      <c r="C10742" t="inlineStr">
        <is>
          <t>+LS09</t>
        </is>
      </c>
      <c r="D10742" t="inlineStr">
        <is>
          <t>-535Q1</t>
        </is>
      </c>
      <c r="E10742" t="inlineStr">
        <is>
          <t>DILMC25-10(RDC24)</t>
        </is>
      </c>
      <c r="F10742" t="inlineStr">
        <is>
          <t>DILA-XHI22</t>
        </is>
      </c>
      <c r="G10742" t="inlineStr">
        <is>
          <t>LASTSCHUETZ</t>
        </is>
      </c>
      <c r="H10742" t="inlineStr">
        <is>
          <t>11kW 1S Federzugkl.</t>
        </is>
      </c>
      <c r="I10742">
        <v>421</v>
      </c>
      <c r="J10742">
        <f>GS47/535.4</f>
        <v>0</v>
      </c>
      <c r="K10742" t="inlineStr">
        <is>
          <t>DIL MC25</t>
        </is>
      </c>
      <c r="M10742" t="inlineStr">
        <is>
          <t>-535Q1</t>
        </is>
      </c>
    </row>
    <row r="10743">
      <c r="A10743">
        <v>10742</v>
      </c>
      <c r="B10743">
        <f>GS47</f>
        <v>0</v>
      </c>
      <c r="C10743" t="inlineStr">
        <is>
          <t>+LS09</t>
        </is>
      </c>
      <c r="D10743" t="inlineStr">
        <is>
          <t>-535Q1</t>
        </is>
      </c>
      <c r="E10743" t="inlineStr">
        <is>
          <t>DILA-XHI22</t>
        </is>
      </c>
      <c r="F10743" t="inlineStr">
        <is>
          <t>DILA-XHI22</t>
        </is>
      </c>
      <c r="G10743" t="inlineStr">
        <is>
          <t>HILFSKONTAKTBLOCK</t>
        </is>
      </c>
      <c r="H10743" t="inlineStr">
        <is>
          <t>2S 2OE Last+Hilfssch. Cage</t>
        </is>
      </c>
      <c r="I10743">
        <v>421</v>
      </c>
      <c r="J10743">
        <f>GS47/535.4</f>
        <v>0</v>
      </c>
      <c r="K10743" t="inlineStr">
        <is>
          <t>DIL MC25</t>
        </is>
      </c>
      <c r="M10743" t="inlineStr">
        <is>
          <t>-535Q1</t>
        </is>
      </c>
    </row>
    <row r="10744">
      <c r="A10744">
        <v>10743</v>
      </c>
      <c r="B10744">
        <f>GS48</f>
        <v>0</v>
      </c>
      <c r="C10744" t="inlineStr">
        <is>
          <t>+LS09</t>
        </is>
      </c>
      <c r="D10744" t="inlineStr">
        <is>
          <t>-535Q1</t>
        </is>
      </c>
      <c r="E10744" t="inlineStr">
        <is>
          <t>DILA-XHI22</t>
        </is>
      </c>
      <c r="F10744" t="inlineStr">
        <is>
          <t>DILA-XHI22</t>
        </is>
      </c>
      <c r="G10744" t="inlineStr">
        <is>
          <t>HILFSKONTAKTBLOCK</t>
        </is>
      </c>
      <c r="H10744" t="inlineStr">
        <is>
          <t>2S 2OE Last+Hilfssch. Cage</t>
        </is>
      </c>
      <c r="I10744">
        <v>647</v>
      </c>
      <c r="J10744">
        <f>GS48/535.4</f>
        <v>0</v>
      </c>
      <c r="K10744" t="inlineStr">
        <is>
          <t>DIL MC25</t>
        </is>
      </c>
      <c r="M10744" t="inlineStr">
        <is>
          <t>-535Q1</t>
        </is>
      </c>
    </row>
    <row r="10745">
      <c r="A10745">
        <v>10744</v>
      </c>
      <c r="B10745">
        <f>GS48</f>
        <v>0</v>
      </c>
      <c r="C10745" t="inlineStr">
        <is>
          <t>+LS09</t>
        </is>
      </c>
      <c r="D10745" t="inlineStr">
        <is>
          <t>-535Q1</t>
        </is>
      </c>
      <c r="E10745" t="inlineStr">
        <is>
          <t>DILMC25-10(RDC24)</t>
        </is>
      </c>
      <c r="F10745" t="inlineStr">
        <is>
          <t>DILA-XHI22</t>
        </is>
      </c>
      <c r="G10745" t="inlineStr">
        <is>
          <t>LASTSCHUETZ</t>
        </is>
      </c>
      <c r="H10745" t="inlineStr">
        <is>
          <t>11kW 1S Federzugkl.</t>
        </is>
      </c>
      <c r="I10745">
        <v>647</v>
      </c>
      <c r="J10745">
        <f>GS48/535.4</f>
        <v>0</v>
      </c>
      <c r="K10745" t="inlineStr">
        <is>
          <t>DIL MC25</t>
        </is>
      </c>
      <c r="M10745" t="inlineStr">
        <is>
          <t>-535Q1</t>
        </is>
      </c>
    </row>
    <row r="10746">
      <c r="A10746">
        <v>10745</v>
      </c>
      <c r="B10746">
        <f>GS49</f>
        <v>0</v>
      </c>
      <c r="C10746" t="inlineStr">
        <is>
          <t>+LS09</t>
        </is>
      </c>
      <c r="D10746" t="inlineStr">
        <is>
          <t>-535Q1</t>
        </is>
      </c>
      <c r="E10746" t="inlineStr">
        <is>
          <t>DILMC25-10(RDC24)</t>
        </is>
      </c>
      <c r="F10746" t="inlineStr">
        <is>
          <t>DILA-XHI22</t>
        </is>
      </c>
      <c r="G10746" t="inlineStr">
        <is>
          <t>LASTSCHUETZ</t>
        </is>
      </c>
      <c r="H10746" t="inlineStr">
        <is>
          <t>11kW 1S Federzugkl.</t>
        </is>
      </c>
      <c r="I10746">
        <v>646</v>
      </c>
      <c r="J10746">
        <f>GS49/535.4</f>
        <v>0</v>
      </c>
      <c r="K10746" t="inlineStr">
        <is>
          <t>DIL MC25</t>
        </is>
      </c>
      <c r="M10746" t="inlineStr">
        <is>
          <t>-535Q1</t>
        </is>
      </c>
    </row>
    <row r="10747">
      <c r="A10747">
        <v>10746</v>
      </c>
      <c r="B10747">
        <f>GS49</f>
        <v>0</v>
      </c>
      <c r="C10747" t="inlineStr">
        <is>
          <t>+LS09</t>
        </is>
      </c>
      <c r="D10747" t="inlineStr">
        <is>
          <t>-535Q1</t>
        </is>
      </c>
      <c r="E10747" t="inlineStr">
        <is>
          <t>DILA-XHI22</t>
        </is>
      </c>
      <c r="F10747" t="inlineStr">
        <is>
          <t>DILA-XHI22</t>
        </is>
      </c>
      <c r="G10747" t="inlineStr">
        <is>
          <t>HILFSKONTAKTBLOCK</t>
        </is>
      </c>
      <c r="H10747" t="inlineStr">
        <is>
          <t>2S 2OE Last+Hilfssch. Cage</t>
        </is>
      </c>
      <c r="I10747">
        <v>646</v>
      </c>
      <c r="J10747">
        <f>GS49/535.4</f>
        <v>0</v>
      </c>
      <c r="K10747" t="inlineStr">
        <is>
          <t>DIL MC25</t>
        </is>
      </c>
      <c r="M10747" t="inlineStr">
        <is>
          <t>-535Q1</t>
        </is>
      </c>
    </row>
    <row r="10748">
      <c r="A10748">
        <v>10747</v>
      </c>
      <c r="B10748">
        <f>GS91</f>
        <v>0</v>
      </c>
      <c r="C10748" t="inlineStr">
        <is>
          <t>+LS10</t>
        </is>
      </c>
      <c r="D10748" t="inlineStr">
        <is>
          <t>-535Q1</t>
        </is>
      </c>
      <c r="E10748" t="inlineStr">
        <is>
          <t>DILA-XHI22</t>
        </is>
      </c>
      <c r="F10748" t="inlineStr">
        <is>
          <t>DILA-XHI22</t>
        </is>
      </c>
      <c r="G10748" t="inlineStr">
        <is>
          <t>HILFSKONTAKTBLOCK</t>
        </is>
      </c>
      <c r="H10748" t="inlineStr">
        <is>
          <t>2S 2OE Last+Hilfssch. Cage</t>
        </is>
      </c>
      <c r="I10748">
        <v>683</v>
      </c>
      <c r="J10748">
        <f>GS91/535.4</f>
        <v>0</v>
      </c>
      <c r="K10748" t="inlineStr">
        <is>
          <t>DIL MC25</t>
        </is>
      </c>
      <c r="M10748" t="inlineStr">
        <is>
          <t>-535Q1</t>
        </is>
      </c>
    </row>
    <row r="10749">
      <c r="A10749">
        <v>10748</v>
      </c>
      <c r="B10749">
        <f>GS91</f>
        <v>0</v>
      </c>
      <c r="C10749" t="inlineStr">
        <is>
          <t>+LS10</t>
        </is>
      </c>
      <c r="D10749" t="inlineStr">
        <is>
          <t>-535Q1</t>
        </is>
      </c>
      <c r="E10749" t="inlineStr">
        <is>
          <t>DILMC25-10(RDC24)</t>
        </is>
      </c>
      <c r="F10749" t="inlineStr">
        <is>
          <t>DILA-XHI22</t>
        </is>
      </c>
      <c r="G10749" t="inlineStr">
        <is>
          <t>LASTSCHUETZ</t>
        </is>
      </c>
      <c r="H10749" t="inlineStr">
        <is>
          <t>11kW 1S Federzugkl.</t>
        </is>
      </c>
      <c r="I10749">
        <v>683</v>
      </c>
      <c r="J10749">
        <f>GS91/535.4</f>
        <v>0</v>
      </c>
      <c r="K10749" t="inlineStr">
        <is>
          <t>DIL MC25</t>
        </is>
      </c>
      <c r="M10749" t="inlineStr">
        <is>
          <t>-535Q1</t>
        </is>
      </c>
    </row>
    <row r="10750">
      <c r="A10750">
        <v>10749</v>
      </c>
      <c r="B10750">
        <f>GS93</f>
        <v>0</v>
      </c>
      <c r="C10750" t="inlineStr">
        <is>
          <t>+LS10</t>
        </is>
      </c>
      <c r="D10750" t="inlineStr">
        <is>
          <t>-535Q1</t>
        </is>
      </c>
      <c r="E10750" t="inlineStr">
        <is>
          <t>DILMC25-10(RDC24)</t>
        </is>
      </c>
      <c r="F10750" t="inlineStr">
        <is>
          <t>DILA-XHI22</t>
        </is>
      </c>
      <c r="G10750" t="inlineStr">
        <is>
          <t>LASTSCHUETZ</t>
        </is>
      </c>
      <c r="H10750" t="inlineStr">
        <is>
          <t>11kW 1S Federzugkl.</t>
        </is>
      </c>
      <c r="I10750">
        <v>1089</v>
      </c>
      <c r="J10750">
        <f>GS93/535.4</f>
        <v>0</v>
      </c>
      <c r="K10750" t="inlineStr">
        <is>
          <t>DIL MC25</t>
        </is>
      </c>
      <c r="M10750" t="inlineStr">
        <is>
          <t>-535Q1</t>
        </is>
      </c>
    </row>
    <row r="10751">
      <c r="A10751">
        <v>10750</v>
      </c>
      <c r="B10751">
        <f>GS93</f>
        <v>0</v>
      </c>
      <c r="C10751" t="inlineStr">
        <is>
          <t>+LS10</t>
        </is>
      </c>
      <c r="D10751" t="inlineStr">
        <is>
          <t>-535Q1</t>
        </is>
      </c>
      <c r="E10751" t="inlineStr">
        <is>
          <t>DILA-XHI22</t>
        </is>
      </c>
      <c r="F10751" t="inlineStr">
        <is>
          <t>DILA-XHI22</t>
        </is>
      </c>
      <c r="G10751" t="inlineStr">
        <is>
          <t>HILFSKONTAKTBLOCK</t>
        </is>
      </c>
      <c r="H10751" t="inlineStr">
        <is>
          <t>2S 2OE Last+Hilfssch. Cage</t>
        </is>
      </c>
      <c r="I10751">
        <v>1089</v>
      </c>
      <c r="J10751">
        <f>GS93/535.4</f>
        <v>0</v>
      </c>
      <c r="K10751" t="inlineStr">
        <is>
          <t>DIL MC25</t>
        </is>
      </c>
      <c r="M10751" t="inlineStr">
        <is>
          <t>-535Q1</t>
        </is>
      </c>
    </row>
    <row r="10752">
      <c r="A10752">
        <v>10751</v>
      </c>
      <c r="B10752">
        <f>GS33</f>
        <v>0</v>
      </c>
      <c r="C10752" t="inlineStr">
        <is>
          <t>+QVW2801</t>
        </is>
      </c>
      <c r="D10752" t="inlineStr">
        <is>
          <t>-536K1</t>
        </is>
      </c>
      <c r="E10752" t="inlineStr">
        <is>
          <t>DIL_0AM</t>
        </is>
      </c>
      <c r="F10752" t="inlineStr">
        <is>
          <t>22_DIL-M</t>
        </is>
      </c>
      <c r="G10752" t="inlineStr">
        <is>
          <t>LASTSCHUETZ</t>
        </is>
      </c>
      <c r="H10752" t="inlineStr">
        <is>
          <t>11 kW</t>
        </is>
      </c>
      <c r="I10752">
        <v>990</v>
      </c>
      <c r="J10752">
        <f>GS33/536.2</f>
        <v>0</v>
      </c>
      <c r="M10752" t="inlineStr">
        <is>
          <t>-536K1</t>
        </is>
      </c>
    </row>
    <row r="10753">
      <c r="A10753">
        <v>10752</v>
      </c>
      <c r="B10753">
        <f>GS33</f>
        <v>0</v>
      </c>
      <c r="C10753" t="inlineStr">
        <is>
          <t>+QVW2801</t>
        </is>
      </c>
      <c r="D10753" t="inlineStr">
        <is>
          <t>-536K1</t>
        </is>
      </c>
      <c r="E10753" t="inlineStr">
        <is>
          <t>22_DIL-M</t>
        </is>
      </c>
      <c r="F10753" t="inlineStr">
        <is>
          <t>22_DIL-M</t>
        </is>
      </c>
      <c r="G10753" t="inlineStr">
        <is>
          <t>HILFSKONTAKTBLOCK</t>
        </is>
      </c>
      <c r="H10753" t="inlineStr">
        <is>
          <t>2S 2OE Lastschuetz DIL M</t>
        </is>
      </c>
      <c r="I10753">
        <v>990</v>
      </c>
      <c r="J10753">
        <f>GS33/536.2</f>
        <v>0</v>
      </c>
      <c r="M10753" t="inlineStr">
        <is>
          <t>-536K1</t>
        </is>
      </c>
    </row>
    <row r="10754">
      <c r="A10754">
        <v>10753</v>
      </c>
      <c r="B10754">
        <f>GS07</f>
        <v>0</v>
      </c>
      <c r="C10754" t="inlineStr">
        <is>
          <t>+LS08</t>
        </is>
      </c>
      <c r="D10754" t="inlineStr">
        <is>
          <t>-536Q436.6</t>
        </is>
      </c>
      <c r="E10754" t="inlineStr">
        <is>
          <t>DILMC12-10(24VDC)</t>
        </is>
      </c>
      <c r="F10754" t="inlineStr">
        <is>
          <t>#KALK!</t>
        </is>
      </c>
      <c r="G10754" t="inlineStr">
        <is>
          <t>LASTSCHUETZ</t>
        </is>
      </c>
      <c r="H10754" t="inlineStr">
        <is>
          <t>5,5kW 1S Federzugkl.</t>
        </is>
      </c>
      <c r="I10754">
        <v>623</v>
      </c>
      <c r="J10754">
        <f>GS07/536.5</f>
        <v>0</v>
      </c>
      <c r="K10754" t="inlineStr">
        <is>
          <t>DIL MC12</t>
        </is>
      </c>
      <c r="M10754" t="inlineStr">
        <is>
          <t>-536Q436.6</t>
        </is>
      </c>
    </row>
    <row r="10755">
      <c r="A10755">
        <v>10754</v>
      </c>
      <c r="B10755">
        <f>GS35</f>
        <v>0</v>
      </c>
      <c r="C10755" t="inlineStr">
        <is>
          <t>+LS13</t>
        </is>
      </c>
      <c r="D10755" t="inlineStr">
        <is>
          <t>-536Q475.2</t>
        </is>
      </c>
      <c r="E10755" t="inlineStr">
        <is>
          <t>DILM-9-10</t>
        </is>
      </c>
      <c r="F10755" t="inlineStr">
        <is>
          <t>#KALK!</t>
        </is>
      </c>
      <c r="G10755" t="inlineStr">
        <is>
          <t>LASTSCHUETZ</t>
        </is>
      </c>
      <c r="H10755" t="inlineStr">
        <is>
          <t>4kW 1S Federzugkl.</t>
        </is>
      </c>
      <c r="I10755">
        <v>690</v>
      </c>
      <c r="J10755">
        <f>GS35/536.6</f>
        <v>0</v>
      </c>
      <c r="M10755" t="inlineStr">
        <is>
          <t>-536Q475.2</t>
        </is>
      </c>
    </row>
    <row r="10756">
      <c r="A10756">
        <v>10755</v>
      </c>
      <c r="B10756">
        <f>GS93</f>
        <v>0</v>
      </c>
      <c r="C10756" t="inlineStr">
        <is>
          <t>+LS10</t>
        </is>
      </c>
      <c r="D10756" t="inlineStr">
        <is>
          <t>-536Q752.1</t>
        </is>
      </c>
      <c r="E10756" t="inlineStr">
        <is>
          <t>DILM-9-10</t>
        </is>
      </c>
      <c r="F10756" t="inlineStr">
        <is>
          <t>DILA-XHI22</t>
        </is>
      </c>
      <c r="G10756" t="inlineStr">
        <is>
          <t>LASTSCHUETZ</t>
        </is>
      </c>
      <c r="H10756" t="inlineStr">
        <is>
          <t>4kW 1S Federzugkl.</t>
        </is>
      </c>
      <c r="I10756">
        <v>1090</v>
      </c>
      <c r="J10756">
        <f>GS93/536.5</f>
        <v>0</v>
      </c>
      <c r="M10756" t="inlineStr">
        <is>
          <t>-536Q752.1</t>
        </is>
      </c>
    </row>
    <row r="10757">
      <c r="A10757">
        <v>10756</v>
      </c>
      <c r="B10757">
        <f>GS93</f>
        <v>0</v>
      </c>
      <c r="C10757" t="inlineStr">
        <is>
          <t>+LS10</t>
        </is>
      </c>
      <c r="D10757" t="inlineStr">
        <is>
          <t>-536Q752.1</t>
        </is>
      </c>
      <c r="E10757" t="inlineStr">
        <is>
          <t>DILA-XHI22</t>
        </is>
      </c>
      <c r="F10757" t="inlineStr">
        <is>
          <t>DILA-XHI22</t>
        </is>
      </c>
      <c r="G10757" t="inlineStr">
        <is>
          <t>HILFSKONTAKTBLOCK</t>
        </is>
      </c>
      <c r="H10757" t="inlineStr">
        <is>
          <t>2S 2OE Last+Hilfssch. Cage</t>
        </is>
      </c>
      <c r="I10757">
        <v>1090</v>
      </c>
      <c r="J10757">
        <f>GS93/536.5</f>
        <v>0</v>
      </c>
      <c r="M10757" t="inlineStr">
        <is>
          <t>-536Q752.1</t>
        </is>
      </c>
    </row>
    <row r="10758">
      <c r="A10758">
        <v>10757</v>
      </c>
      <c r="B10758">
        <f>GS93</f>
        <v>0</v>
      </c>
      <c r="C10758" t="inlineStr">
        <is>
          <t>+LS10</t>
        </is>
      </c>
      <c r="D10758" t="inlineStr">
        <is>
          <t>-536Q752.2</t>
        </is>
      </c>
      <c r="E10758" t="inlineStr">
        <is>
          <t>DILM-9-10</t>
        </is>
      </c>
      <c r="F10758" t="inlineStr">
        <is>
          <t>DILA-XHI22</t>
        </is>
      </c>
      <c r="G10758" t="inlineStr">
        <is>
          <t>LASTSCHUETZ</t>
        </is>
      </c>
      <c r="H10758" t="inlineStr">
        <is>
          <t>4kW 1S Federzugkl.</t>
        </is>
      </c>
      <c r="I10758">
        <v>1090</v>
      </c>
      <c r="J10758">
        <f>GS93/536.6</f>
        <v>0</v>
      </c>
      <c r="M10758" t="inlineStr">
        <is>
          <t>-536Q752.2</t>
        </is>
      </c>
    </row>
    <row r="10759">
      <c r="A10759">
        <v>10758</v>
      </c>
      <c r="B10759">
        <f>GS93</f>
        <v>0</v>
      </c>
      <c r="C10759" t="inlineStr">
        <is>
          <t>+LS10</t>
        </is>
      </c>
      <c r="D10759" t="inlineStr">
        <is>
          <t>-536Q752.2</t>
        </is>
      </c>
      <c r="E10759" t="inlineStr">
        <is>
          <t>DILA-XHI22</t>
        </is>
      </c>
      <c r="F10759" t="inlineStr">
        <is>
          <t>DILA-XHI22</t>
        </is>
      </c>
      <c r="G10759" t="inlineStr">
        <is>
          <t>HILFSKONTAKTBLOCK</t>
        </is>
      </c>
      <c r="H10759" t="inlineStr">
        <is>
          <t>2S 2OE Last+Hilfssch. Cage</t>
        </is>
      </c>
      <c r="I10759">
        <v>1090</v>
      </c>
      <c r="J10759">
        <f>GS93/536.6</f>
        <v>0</v>
      </c>
      <c r="M10759" t="inlineStr">
        <is>
          <t>-536Q752.2</t>
        </is>
      </c>
    </row>
    <row r="10760">
      <c r="A10760">
        <v>10759</v>
      </c>
      <c r="B10760">
        <f>GS93</f>
        <v>0</v>
      </c>
      <c r="C10760" t="inlineStr">
        <is>
          <t>+LS10</t>
        </is>
      </c>
      <c r="D10760" t="inlineStr">
        <is>
          <t>-537Q752.3</t>
        </is>
      </c>
      <c r="E10760" t="inlineStr">
        <is>
          <t>DILM-9-10</t>
        </is>
      </c>
      <c r="F10760" t="inlineStr">
        <is>
          <t>#KALK!</t>
        </is>
      </c>
      <c r="G10760" t="inlineStr">
        <is>
          <t>LASTSCHUETZ</t>
        </is>
      </c>
      <c r="H10760" t="inlineStr">
        <is>
          <t>4kW 1S Federzugkl.</t>
        </is>
      </c>
      <c r="I10760">
        <v>1091</v>
      </c>
      <c r="J10760">
        <f>GS93/537.5</f>
        <v>0</v>
      </c>
      <c r="M10760" t="inlineStr">
        <is>
          <t>-537Q752.3</t>
        </is>
      </c>
    </row>
    <row r="10761">
      <c r="A10761">
        <v>10760</v>
      </c>
      <c r="B10761">
        <f>GS16</f>
        <v>0</v>
      </c>
      <c r="C10761" t="inlineStr">
        <is>
          <t>+LS10</t>
        </is>
      </c>
      <c r="D10761" t="inlineStr">
        <is>
          <t>-538K1</t>
        </is>
      </c>
      <c r="E10761" t="inlineStr">
        <is>
          <t>DIL_ER-40-G</t>
        </is>
      </c>
      <c r="F10761" t="inlineStr">
        <is>
          <t>04_DIL-E</t>
        </is>
      </c>
      <c r="G10761" t="inlineStr">
        <is>
          <t>HILFSSCHUETZ</t>
        </is>
      </c>
      <c r="H10761" t="inlineStr">
        <is>
          <t>4S</t>
        </is>
      </c>
      <c r="I10761">
        <v>783</v>
      </c>
      <c r="J10761">
        <f>GS16/538.6</f>
        <v>0</v>
      </c>
      <c r="M10761" t="inlineStr">
        <is>
          <t>-538K1</t>
        </is>
      </c>
    </row>
    <row r="10762">
      <c r="A10762">
        <v>10761</v>
      </c>
      <c r="B10762">
        <f>GS16</f>
        <v>0</v>
      </c>
      <c r="C10762" t="inlineStr">
        <is>
          <t>+LS10</t>
        </is>
      </c>
      <c r="D10762" t="inlineStr">
        <is>
          <t>-538K1</t>
        </is>
      </c>
      <c r="E10762" t="inlineStr">
        <is>
          <t>04_DIL-E</t>
        </is>
      </c>
      <c r="F10762" t="inlineStr">
        <is>
          <t>04_DIL-E</t>
        </is>
      </c>
      <c r="G10762" t="inlineStr">
        <is>
          <t>HILFSKONTAKTBLOCK</t>
        </is>
      </c>
      <c r="H10762" t="inlineStr">
        <is>
          <t>4Oe Last+Hilfsschuetz</t>
        </is>
      </c>
      <c r="I10762">
        <v>783</v>
      </c>
      <c r="J10762">
        <f>GS16/538.6</f>
        <v>0</v>
      </c>
      <c r="M10762" t="inlineStr">
        <is>
          <t>-538K1</t>
        </is>
      </c>
    </row>
    <row r="10763">
      <c r="A10763">
        <v>10762</v>
      </c>
      <c r="B10763">
        <f>GS01</f>
        <v>0</v>
      </c>
      <c r="C10763" t="inlineStr">
        <is>
          <t>+LS12</t>
        </is>
      </c>
      <c r="D10763" t="inlineStr">
        <is>
          <t>-538K32.0</t>
        </is>
      </c>
      <c r="E10763" t="inlineStr">
        <is>
          <t>DIL_EM-10-G</t>
        </is>
      </c>
      <c r="F10763" t="inlineStr">
        <is>
          <t>#KALK!</t>
        </is>
      </c>
      <c r="G10763" t="inlineStr">
        <is>
          <t>LASTSCHUETZ</t>
        </is>
      </c>
      <c r="H10763" t="inlineStr">
        <is>
          <t>4kW 1S</t>
        </is>
      </c>
      <c r="I10763">
        <v>707</v>
      </c>
      <c r="J10763">
        <f>GS01/538.6</f>
        <v>0</v>
      </c>
      <c r="M10763" t="inlineStr">
        <is>
          <t>-538K32.0</t>
        </is>
      </c>
    </row>
    <row r="10764">
      <c r="A10764">
        <v>10763</v>
      </c>
      <c r="B10764">
        <f>GS01</f>
        <v>0</v>
      </c>
      <c r="C10764" t="inlineStr">
        <is>
          <t>+LS12</t>
        </is>
      </c>
      <c r="D10764" t="inlineStr">
        <is>
          <t>-538K32.1</t>
        </is>
      </c>
      <c r="E10764" t="inlineStr">
        <is>
          <t>DIL_EM-10-G</t>
        </is>
      </c>
      <c r="F10764" t="inlineStr">
        <is>
          <t>#KALK!</t>
        </is>
      </c>
      <c r="G10764" t="inlineStr">
        <is>
          <t>LASTSCHUETZ</t>
        </is>
      </c>
      <c r="H10764" t="inlineStr">
        <is>
          <t>4kW 1S</t>
        </is>
      </c>
      <c r="I10764">
        <v>707</v>
      </c>
      <c r="J10764">
        <f>GS01/538.6</f>
        <v>0</v>
      </c>
      <c r="M10764" t="inlineStr">
        <is>
          <t>-538K32.1</t>
        </is>
      </c>
    </row>
    <row r="10765">
      <c r="A10765">
        <v>10764</v>
      </c>
      <c r="B10765">
        <f>GS33</f>
        <v>0</v>
      </c>
      <c r="C10765" t="inlineStr">
        <is>
          <t>+QVW2801</t>
        </is>
      </c>
      <c r="D10765" t="inlineStr">
        <is>
          <t>-538K3908.2</t>
        </is>
      </c>
      <c r="E10765" t="inlineStr">
        <is>
          <t>DIL_ER-22-G</t>
        </is>
      </c>
      <c r="F10765" t="inlineStr">
        <is>
          <t>#KALK!</t>
        </is>
      </c>
      <c r="G10765" t="inlineStr">
        <is>
          <t>HILFSSCHUETZ</t>
        </is>
      </c>
      <c r="H10765" t="inlineStr">
        <is>
          <t>2S 2OE</t>
        </is>
      </c>
      <c r="I10765">
        <v>992</v>
      </c>
      <c r="J10765">
        <f>GS33/538.2</f>
        <v>0</v>
      </c>
      <c r="M10765" t="inlineStr">
        <is>
          <t>-538K3908.2</t>
        </is>
      </c>
    </row>
    <row r="10766">
      <c r="A10766">
        <v>10765</v>
      </c>
      <c r="B10766">
        <f>GS33</f>
        <v>0</v>
      </c>
      <c r="C10766" t="inlineStr">
        <is>
          <t>+QVW2801</t>
        </is>
      </c>
      <c r="D10766" t="inlineStr">
        <is>
          <t>-538K3908.3</t>
        </is>
      </c>
      <c r="E10766" t="inlineStr">
        <is>
          <t>DIL_EM-10-G</t>
        </is>
      </c>
      <c r="F10766" t="inlineStr">
        <is>
          <t>#KALK!</t>
        </is>
      </c>
      <c r="G10766" t="inlineStr">
        <is>
          <t>LASTSCHUETZ</t>
        </is>
      </c>
      <c r="H10766" t="inlineStr">
        <is>
          <t>4kW 1S</t>
        </is>
      </c>
      <c r="I10766">
        <v>992</v>
      </c>
      <c r="J10766">
        <f>GS33/538.5</f>
        <v>0</v>
      </c>
      <c r="M10766" t="inlineStr">
        <is>
          <t>-538K3908.3</t>
        </is>
      </c>
    </row>
    <row r="10767">
      <c r="A10767">
        <v>10766</v>
      </c>
      <c r="B10767">
        <f>GS33</f>
        <v>0</v>
      </c>
      <c r="C10767" t="inlineStr">
        <is>
          <t>+QVW2801</t>
        </is>
      </c>
      <c r="D10767" t="inlineStr">
        <is>
          <t>-538K3911.1</t>
        </is>
      </c>
      <c r="E10767" t="inlineStr">
        <is>
          <t>DIL_ER-22-G</t>
        </is>
      </c>
      <c r="F10767" t="inlineStr">
        <is>
          <t>#KALK!</t>
        </is>
      </c>
      <c r="G10767" t="inlineStr">
        <is>
          <t>HILFSSCHUETZ</t>
        </is>
      </c>
      <c r="H10767" t="inlineStr">
        <is>
          <t>2S 2OE</t>
        </is>
      </c>
      <c r="I10767">
        <v>992</v>
      </c>
      <c r="J10767">
        <f>GS33/538.3</f>
        <v>0</v>
      </c>
      <c r="M10767" t="inlineStr">
        <is>
          <t>-538K3911.1</t>
        </is>
      </c>
    </row>
    <row r="10768">
      <c r="A10768">
        <v>10767</v>
      </c>
      <c r="B10768">
        <f>GS33</f>
        <v>0</v>
      </c>
      <c r="C10768" t="inlineStr">
        <is>
          <t>+QVW2801</t>
        </is>
      </c>
      <c r="D10768" t="inlineStr">
        <is>
          <t>-538K3911.2</t>
        </is>
      </c>
      <c r="E10768" t="inlineStr">
        <is>
          <t>DIL_ER-22-G</t>
        </is>
      </c>
      <c r="F10768" t="inlineStr">
        <is>
          <t>#KALK!</t>
        </is>
      </c>
      <c r="G10768" t="inlineStr">
        <is>
          <t>HILFSSCHUETZ</t>
        </is>
      </c>
      <c r="H10768" t="inlineStr">
        <is>
          <t>2S 2OE</t>
        </is>
      </c>
      <c r="I10768">
        <v>992</v>
      </c>
      <c r="J10768">
        <f>GS33/538.4</f>
        <v>0</v>
      </c>
      <c r="M10768" t="inlineStr">
        <is>
          <t>-538K3911.2</t>
        </is>
      </c>
    </row>
    <row r="10769">
      <c r="A10769">
        <v>10768</v>
      </c>
      <c r="B10769">
        <f>GS93</f>
        <v>0</v>
      </c>
      <c r="C10769" t="inlineStr">
        <is>
          <t>+LS10</t>
        </is>
      </c>
      <c r="D10769" t="inlineStr">
        <is>
          <t>-538Q752.4</t>
        </is>
      </c>
      <c r="E10769" t="inlineStr">
        <is>
          <t>DILM-9-10</t>
        </is>
      </c>
      <c r="F10769" t="inlineStr">
        <is>
          <t>#KALK!</t>
        </is>
      </c>
      <c r="G10769" t="inlineStr">
        <is>
          <t>LASTSCHUETZ</t>
        </is>
      </c>
      <c r="H10769" t="inlineStr">
        <is>
          <t>4kW 1S Federzugkl.</t>
        </is>
      </c>
      <c r="I10769">
        <v>1092</v>
      </c>
      <c r="J10769">
        <f>GS93/538.5</f>
        <v>0</v>
      </c>
      <c r="M10769" t="inlineStr">
        <is>
          <t>-538Q752.4</t>
        </is>
      </c>
    </row>
    <row r="10770">
      <c r="A10770">
        <v>10769</v>
      </c>
      <c r="B10770">
        <f>GS15</f>
        <v>0</v>
      </c>
      <c r="C10770" t="inlineStr">
        <is>
          <t>+LS10</t>
        </is>
      </c>
      <c r="D10770" t="inlineStr">
        <is>
          <t>-539K1</t>
        </is>
      </c>
      <c r="E10770" t="inlineStr">
        <is>
          <t>22_DIL-M</t>
        </is>
      </c>
      <c r="F10770" t="inlineStr">
        <is>
          <t>22_DIL-M</t>
        </is>
      </c>
      <c r="G10770" t="inlineStr">
        <is>
          <t>HILFSKONTAKTBLOCK</t>
        </is>
      </c>
      <c r="H10770" t="inlineStr">
        <is>
          <t>2S 2OE Lastschuetz DIL M</t>
        </is>
      </c>
      <c r="I10770">
        <v>1049</v>
      </c>
      <c r="J10770">
        <f>GS15/539.2</f>
        <v>0</v>
      </c>
      <c r="K10770" t="inlineStr">
        <is>
          <t>DIL0AM</t>
        </is>
      </c>
      <c r="M10770" t="inlineStr">
        <is>
          <t>-539K1</t>
        </is>
      </c>
    </row>
    <row r="10771">
      <c r="A10771">
        <v>10770</v>
      </c>
      <c r="B10771">
        <f>GS15</f>
        <v>0</v>
      </c>
      <c r="C10771" t="inlineStr">
        <is>
          <t>+LS10</t>
        </is>
      </c>
      <c r="D10771" t="inlineStr">
        <is>
          <t>-539K1</t>
        </is>
      </c>
      <c r="E10771" t="inlineStr">
        <is>
          <t>DIL_0AM</t>
        </is>
      </c>
      <c r="F10771" t="inlineStr">
        <is>
          <t>22_DIL-M</t>
        </is>
      </c>
      <c r="G10771" t="inlineStr">
        <is>
          <t>LASTSCHUETZ</t>
        </is>
      </c>
      <c r="H10771" t="inlineStr">
        <is>
          <t>11 kW</t>
        </is>
      </c>
      <c r="I10771">
        <v>1049</v>
      </c>
      <c r="J10771">
        <f>GS15/539.2</f>
        <v>0</v>
      </c>
      <c r="K10771" t="inlineStr">
        <is>
          <t>DIL0AM</t>
        </is>
      </c>
      <c r="M10771" t="inlineStr">
        <is>
          <t>-539K1</t>
        </is>
      </c>
    </row>
    <row r="10772">
      <c r="A10772">
        <v>10771</v>
      </c>
      <c r="B10772">
        <f>GS01</f>
        <v>0</v>
      </c>
      <c r="C10772" t="inlineStr">
        <is>
          <t>+LS12</t>
        </is>
      </c>
      <c r="D10772" t="inlineStr">
        <is>
          <t>-539K32.2</t>
        </is>
      </c>
      <c r="E10772" t="inlineStr">
        <is>
          <t>DIL_EM-10-G</t>
        </is>
      </c>
      <c r="F10772" t="inlineStr">
        <is>
          <t>#KALK!</t>
        </is>
      </c>
      <c r="G10772" t="inlineStr">
        <is>
          <t>LASTSCHUETZ</t>
        </is>
      </c>
      <c r="H10772" t="inlineStr">
        <is>
          <t>4kW 1S</t>
        </is>
      </c>
      <c r="I10772">
        <v>708</v>
      </c>
      <c r="J10772">
        <f>GS01/539.6</f>
        <v>0</v>
      </c>
      <c r="M10772" t="inlineStr">
        <is>
          <t>-539K32.2</t>
        </is>
      </c>
    </row>
    <row r="10773">
      <c r="A10773">
        <v>10772</v>
      </c>
      <c r="B10773">
        <f>GS01</f>
        <v>0</v>
      </c>
      <c r="C10773" t="inlineStr">
        <is>
          <t>+LS12</t>
        </is>
      </c>
      <c r="D10773" t="inlineStr">
        <is>
          <t>-539K32.3</t>
        </is>
      </c>
      <c r="E10773" t="inlineStr">
        <is>
          <t>DIL_EM-10-G</t>
        </is>
      </c>
      <c r="F10773" t="inlineStr">
        <is>
          <t>#KALK!</t>
        </is>
      </c>
      <c r="G10773" t="inlineStr">
        <is>
          <t>LASTSCHUETZ</t>
        </is>
      </c>
      <c r="H10773" t="inlineStr">
        <is>
          <t>4kW 1S</t>
        </is>
      </c>
      <c r="I10773">
        <v>708</v>
      </c>
      <c r="J10773">
        <f>GS01/539.6</f>
        <v>0</v>
      </c>
      <c r="M10773" t="inlineStr">
        <is>
          <t>-539K32.3</t>
        </is>
      </c>
    </row>
    <row r="10774">
      <c r="A10774">
        <v>10773</v>
      </c>
      <c r="B10774">
        <f>GS33</f>
        <v>0</v>
      </c>
      <c r="C10774" t="inlineStr">
        <is>
          <t>+QVW2801</t>
        </is>
      </c>
      <c r="D10774" t="inlineStr">
        <is>
          <t>-539K3908.4</t>
        </is>
      </c>
      <c r="E10774" t="inlineStr">
        <is>
          <t>DIL_EM-10-G</t>
        </is>
      </c>
      <c r="F10774" t="inlineStr">
        <is>
          <t>#KALK!</t>
        </is>
      </c>
      <c r="G10774" t="inlineStr">
        <is>
          <t>LASTSCHUETZ</t>
        </is>
      </c>
      <c r="H10774" t="inlineStr">
        <is>
          <t>4kW 1S</t>
        </is>
      </c>
      <c r="I10774">
        <v>993</v>
      </c>
      <c r="J10774">
        <f>GS33/539.7</f>
        <v>0</v>
      </c>
      <c r="M10774" t="inlineStr">
        <is>
          <t>-539K3908.4</t>
        </is>
      </c>
    </row>
    <row r="10775">
      <c r="A10775">
        <v>10774</v>
      </c>
      <c r="B10775">
        <f>GS35</f>
        <v>0</v>
      </c>
      <c r="C10775" t="inlineStr">
        <is>
          <t>+LS13</t>
        </is>
      </c>
      <c r="D10775" t="inlineStr">
        <is>
          <t>-539Q475.5</t>
        </is>
      </c>
      <c r="E10775" t="inlineStr">
        <is>
          <t>DILM-12-10</t>
        </is>
      </c>
      <c r="F10775" t="inlineStr">
        <is>
          <t>#KALK!</t>
        </is>
      </c>
      <c r="G10775" t="inlineStr">
        <is>
          <t>LASTSCHUETZ</t>
        </is>
      </c>
      <c r="H10775" t="inlineStr">
        <is>
          <t>5,5kW 1S Federzugkl.</t>
        </is>
      </c>
      <c r="I10775">
        <v>695</v>
      </c>
      <c r="J10775">
        <f>GS35/539.5</f>
        <v>0</v>
      </c>
      <c r="K10775" t="inlineStr">
        <is>
          <t>DIL MC12</t>
        </is>
      </c>
      <c r="M10775" t="inlineStr">
        <is>
          <t>-539Q475.5</t>
        </is>
      </c>
    </row>
    <row r="10776">
      <c r="A10776">
        <v>10775</v>
      </c>
      <c r="B10776">
        <f>GS65</f>
        <v>0</v>
      </c>
      <c r="C10776" t="inlineStr">
        <is>
          <t>+KKHW[ll]</t>
        </is>
      </c>
      <c r="D10776" t="inlineStr">
        <is>
          <t>-53Q2</t>
        </is>
      </c>
      <c r="E10776" t="inlineStr">
        <is>
          <t>DILM-9-10</t>
        </is>
      </c>
      <c r="F10776" t="inlineStr">
        <is>
          <t>#KALK!</t>
        </is>
      </c>
      <c r="G10776" t="inlineStr">
        <is>
          <t>LASTSCHUETZ</t>
        </is>
      </c>
      <c r="H10776" t="inlineStr">
        <is>
          <t>4kW 1S Federzugkl.</t>
        </is>
      </c>
      <c r="I10776">
        <v>191</v>
      </c>
      <c r="J10776">
        <f>GS65/53.7</f>
        <v>0</v>
      </c>
      <c r="M10776" t="inlineStr">
        <is>
          <t>-53Q2</t>
        </is>
      </c>
    </row>
    <row r="10777">
      <c r="A10777">
        <v>10776</v>
      </c>
      <c r="B10777">
        <f>GS67</f>
        <v>0</v>
      </c>
      <c r="C10777" t="inlineStr">
        <is>
          <t>+KKHW[ll]</t>
        </is>
      </c>
      <c r="D10777" t="inlineStr">
        <is>
          <t>-53Q2</t>
        </is>
      </c>
      <c r="E10777" t="inlineStr">
        <is>
          <t>DILM-9-10</t>
        </is>
      </c>
      <c r="F10777" t="inlineStr">
        <is>
          <t>#KALK!</t>
        </is>
      </c>
      <c r="G10777" t="inlineStr">
        <is>
          <t>LASTSCHUETZ</t>
        </is>
      </c>
      <c r="H10777" t="inlineStr">
        <is>
          <t>4kW 1S Federzugkl.</t>
        </is>
      </c>
      <c r="I10777">
        <v>191</v>
      </c>
      <c r="J10777">
        <f>GS67/53.7</f>
        <v>0</v>
      </c>
      <c r="M10777" t="inlineStr">
        <is>
          <t>-53Q2</t>
        </is>
      </c>
    </row>
    <row r="10778">
      <c r="A10778">
        <v>10777</v>
      </c>
      <c r="B10778">
        <f>GS14</f>
        <v>0</v>
      </c>
      <c r="C10778" t="inlineStr">
        <is>
          <t>+LS10</t>
        </is>
      </c>
      <c r="D10778" t="inlineStr">
        <is>
          <t>-540K1</t>
        </is>
      </c>
      <c r="E10778" t="inlineStr">
        <is>
          <t>DIL_0AM</t>
        </is>
      </c>
      <c r="F10778" t="inlineStr">
        <is>
          <t>22_DIL-M</t>
        </is>
      </c>
      <c r="G10778" t="inlineStr">
        <is>
          <t>LASTSCHUETZ</t>
        </is>
      </c>
      <c r="H10778" t="inlineStr">
        <is>
          <t>11 kW</t>
        </is>
      </c>
      <c r="I10778">
        <v>672</v>
      </c>
      <c r="J10778">
        <f>GS14/540.2</f>
        <v>0</v>
      </c>
      <c r="K10778" t="inlineStr">
        <is>
          <t>DIL0AM</t>
        </is>
      </c>
      <c r="M10778" t="inlineStr">
        <is>
          <t>-540K1</t>
        </is>
      </c>
    </row>
    <row r="10779">
      <c r="A10779">
        <v>10778</v>
      </c>
      <c r="B10779">
        <f>GS14</f>
        <v>0</v>
      </c>
      <c r="C10779" t="inlineStr">
        <is>
          <t>+LS10</t>
        </is>
      </c>
      <c r="D10779" t="inlineStr">
        <is>
          <t>-540K1</t>
        </is>
      </c>
      <c r="E10779" t="inlineStr">
        <is>
          <t>22_DIL-M</t>
        </is>
      </c>
      <c r="F10779" t="inlineStr">
        <is>
          <t>22_DIL-M</t>
        </is>
      </c>
      <c r="G10779" t="inlineStr">
        <is>
          <t>HILFSKONTAKTBLOCK</t>
        </is>
      </c>
      <c r="H10779" t="inlineStr">
        <is>
          <t>2S 2OE Lastschuetz DIL M</t>
        </is>
      </c>
      <c r="I10779">
        <v>672</v>
      </c>
      <c r="J10779">
        <f>GS14/540.2</f>
        <v>0</v>
      </c>
      <c r="K10779" t="inlineStr">
        <is>
          <t>DIL0AM</t>
        </is>
      </c>
      <c r="M10779" t="inlineStr">
        <is>
          <t>-540K1</t>
        </is>
      </c>
    </row>
    <row r="10780">
      <c r="A10780">
        <v>10779</v>
      </c>
      <c r="B10780">
        <f>GS16</f>
        <v>0</v>
      </c>
      <c r="C10780" t="inlineStr">
        <is>
          <t>+LS10</t>
        </is>
      </c>
      <c r="D10780" t="inlineStr">
        <is>
          <t>-540K1</t>
        </is>
      </c>
      <c r="E10780" t="inlineStr">
        <is>
          <t>DIL_ER-31-G</t>
        </is>
      </c>
      <c r="F10780" t="inlineStr">
        <is>
          <t>#KALK!</t>
        </is>
      </c>
      <c r="G10780" t="inlineStr">
        <is>
          <t>HILFSSCHUETZ</t>
        </is>
      </c>
      <c r="H10780" t="inlineStr">
        <is>
          <t>3S 1OE</t>
        </is>
      </c>
      <c r="I10780">
        <v>785</v>
      </c>
      <c r="J10780">
        <f>GS16/540.7</f>
        <v>0</v>
      </c>
      <c r="M10780" t="inlineStr">
        <is>
          <t>-540K1</t>
        </is>
      </c>
    </row>
    <row r="10781">
      <c r="A10781">
        <v>10780</v>
      </c>
      <c r="B10781">
        <f>GS16</f>
        <v>0</v>
      </c>
      <c r="C10781" t="inlineStr">
        <is>
          <t>+LS10</t>
        </is>
      </c>
      <c r="D10781" t="inlineStr">
        <is>
          <t>-540K2</t>
        </is>
      </c>
      <c r="E10781" t="inlineStr">
        <is>
          <t>DIL_ER-31-G</t>
        </is>
      </c>
      <c r="F10781" t="inlineStr">
        <is>
          <t>#KALK!</t>
        </is>
      </c>
      <c r="G10781" t="inlineStr">
        <is>
          <t>HILFSSCHUETZ</t>
        </is>
      </c>
      <c r="H10781" t="inlineStr">
        <is>
          <t>3S 1OE</t>
        </is>
      </c>
      <c r="I10781">
        <v>785</v>
      </c>
      <c r="J10781">
        <f>GS16/540.7</f>
        <v>0</v>
      </c>
      <c r="M10781" t="inlineStr">
        <is>
          <t>-540K2</t>
        </is>
      </c>
    </row>
    <row r="10782">
      <c r="A10782">
        <v>10781</v>
      </c>
      <c r="B10782">
        <f>GS16</f>
        <v>0</v>
      </c>
      <c r="C10782" t="inlineStr">
        <is>
          <t>+LS10</t>
        </is>
      </c>
      <c r="D10782" t="inlineStr">
        <is>
          <t>-540K3</t>
        </is>
      </c>
      <c r="E10782" t="inlineStr">
        <is>
          <t>DIL_ER-40-G</t>
        </is>
      </c>
      <c r="F10782" t="inlineStr">
        <is>
          <t>#KALK!</t>
        </is>
      </c>
      <c r="G10782" t="inlineStr">
        <is>
          <t>HILFSSCHUETZ</t>
        </is>
      </c>
      <c r="H10782" t="inlineStr">
        <is>
          <t>4S</t>
        </is>
      </c>
      <c r="I10782">
        <v>785</v>
      </c>
      <c r="J10782">
        <f>GS16/540.8</f>
        <v>0</v>
      </c>
      <c r="M10782" t="inlineStr">
        <is>
          <t>-540K3</t>
        </is>
      </c>
    </row>
    <row r="10783">
      <c r="A10783">
        <v>10782</v>
      </c>
      <c r="B10783">
        <f>GS01</f>
        <v>0</v>
      </c>
      <c r="C10783" t="inlineStr">
        <is>
          <t>+LS12</t>
        </is>
      </c>
      <c r="D10783" t="inlineStr">
        <is>
          <t>-540K32.7</t>
        </is>
      </c>
      <c r="E10783" t="inlineStr">
        <is>
          <t>DIL_EM-10-G</t>
        </is>
      </c>
      <c r="F10783" t="inlineStr">
        <is>
          <t>#KALK!</t>
        </is>
      </c>
      <c r="G10783" t="inlineStr">
        <is>
          <t>LASTSCHUETZ</t>
        </is>
      </c>
      <c r="H10783" t="inlineStr">
        <is>
          <t>4kW 1S</t>
        </is>
      </c>
      <c r="I10783">
        <v>709</v>
      </c>
      <c r="J10783">
        <f>GS01/540.7</f>
        <v>0</v>
      </c>
      <c r="M10783" t="inlineStr">
        <is>
          <t>-540K32.7</t>
        </is>
      </c>
    </row>
    <row r="10784">
      <c r="A10784">
        <v>10783</v>
      </c>
      <c r="B10784">
        <f>GS16</f>
        <v>0</v>
      </c>
      <c r="C10784" t="inlineStr">
        <is>
          <t>+LS10</t>
        </is>
      </c>
      <c r="D10784" t="inlineStr">
        <is>
          <t>-540K3500.0</t>
        </is>
      </c>
      <c r="E10784" t="inlineStr">
        <is>
          <t>DIL_EM-10-G</t>
        </is>
      </c>
      <c r="F10784" t="inlineStr">
        <is>
          <t>#KALK!</t>
        </is>
      </c>
      <c r="G10784" t="inlineStr">
        <is>
          <t>LASTSCHUETZ</t>
        </is>
      </c>
      <c r="H10784" t="inlineStr">
        <is>
          <t>4kW 1S</t>
        </is>
      </c>
      <c r="I10784">
        <v>785</v>
      </c>
      <c r="J10784">
        <f>GS16/540.4</f>
        <v>0</v>
      </c>
      <c r="M10784" t="inlineStr">
        <is>
          <t>-540K3500.0</t>
        </is>
      </c>
    </row>
    <row r="10785">
      <c r="A10785">
        <v>10784</v>
      </c>
      <c r="B10785">
        <f>GS16</f>
        <v>0</v>
      </c>
      <c r="C10785" t="inlineStr">
        <is>
          <t>+LS10</t>
        </is>
      </c>
      <c r="D10785" t="inlineStr">
        <is>
          <t>-540K3500.1</t>
        </is>
      </c>
      <c r="E10785" t="inlineStr">
        <is>
          <t>DIL_ER-22-G</t>
        </is>
      </c>
      <c r="F10785" t="inlineStr">
        <is>
          <t>#KALK!</t>
        </is>
      </c>
      <c r="G10785" t="inlineStr">
        <is>
          <t>HILFSSCHUETZ</t>
        </is>
      </c>
      <c r="H10785" t="inlineStr">
        <is>
          <t>2S 2OE</t>
        </is>
      </c>
      <c r="I10785">
        <v>785</v>
      </c>
      <c r="J10785">
        <f>GS16/540.5</f>
        <v>0</v>
      </c>
      <c r="M10785" t="inlineStr">
        <is>
          <t>-540K3500.1</t>
        </is>
      </c>
    </row>
    <row r="10786">
      <c r="A10786">
        <v>10785</v>
      </c>
      <c r="B10786">
        <f>GS16</f>
        <v>0</v>
      </c>
      <c r="C10786" t="inlineStr">
        <is>
          <t>+LS10</t>
        </is>
      </c>
      <c r="D10786" t="inlineStr">
        <is>
          <t>-540K3500.2</t>
        </is>
      </c>
      <c r="E10786" t="inlineStr">
        <is>
          <t>DIL_ER-22-G</t>
        </is>
      </c>
      <c r="F10786" t="inlineStr">
        <is>
          <t>#KALK!</t>
        </is>
      </c>
      <c r="G10786" t="inlineStr">
        <is>
          <t>HILFSSCHUETZ</t>
        </is>
      </c>
      <c r="H10786" t="inlineStr">
        <is>
          <t>2S 2OE</t>
        </is>
      </c>
      <c r="I10786">
        <v>785</v>
      </c>
      <c r="J10786">
        <f>GS16/540.6</f>
        <v>0</v>
      </c>
      <c r="M10786" t="inlineStr">
        <is>
          <t>-540K3500.2</t>
        </is>
      </c>
    </row>
    <row r="10787">
      <c r="A10787">
        <v>10786</v>
      </c>
      <c r="B10787">
        <f>GS91</f>
        <v>0</v>
      </c>
      <c r="C10787" t="inlineStr">
        <is>
          <t>+LS10</t>
        </is>
      </c>
      <c r="D10787" t="inlineStr">
        <is>
          <t>-540K475.4</t>
        </is>
      </c>
      <c r="E10787" t="inlineStr">
        <is>
          <t>DILA-40</t>
        </is>
      </c>
      <c r="F10787" t="inlineStr">
        <is>
          <t>#KALK!</t>
        </is>
      </c>
      <c r="G10787" t="inlineStr">
        <is>
          <t>HILFSSCHUETZ</t>
        </is>
      </c>
      <c r="H10787" t="inlineStr">
        <is>
          <t>4S Federzugkl.</t>
        </is>
      </c>
      <c r="I10787">
        <v>688</v>
      </c>
      <c r="J10787">
        <f>GS91/540.7</f>
        <v>0</v>
      </c>
      <c r="M10787" t="inlineStr">
        <is>
          <t>-540K475.4</t>
        </is>
      </c>
    </row>
    <row r="10788">
      <c r="A10788">
        <v>10787</v>
      </c>
      <c r="B10788">
        <f>GS46</f>
        <v>0</v>
      </c>
      <c r="C10788" t="inlineStr">
        <is>
          <t>+LS09</t>
        </is>
      </c>
      <c r="D10788" t="inlineStr">
        <is>
          <t>-540K755.0</t>
        </is>
      </c>
      <c r="E10788" t="inlineStr">
        <is>
          <t>DILA-40</t>
        </is>
      </c>
      <c r="F10788" t="inlineStr">
        <is>
          <t>#KALK!</t>
        </is>
      </c>
      <c r="G10788" t="inlineStr">
        <is>
          <t>HILFSSCHUETZ</t>
        </is>
      </c>
      <c r="H10788" t="inlineStr">
        <is>
          <t>4S Federzugkl.</t>
        </is>
      </c>
      <c r="I10788">
        <v>503</v>
      </c>
      <c r="J10788">
        <f>GS46/540.7</f>
        <v>0</v>
      </c>
      <c r="M10788" t="inlineStr">
        <is>
          <t>-540K755.0</t>
        </is>
      </c>
    </row>
    <row r="10789">
      <c r="A10789">
        <v>10788</v>
      </c>
      <c r="B10789">
        <f>GS47</f>
        <v>0</v>
      </c>
      <c r="C10789" t="inlineStr">
        <is>
          <t>+LS09</t>
        </is>
      </c>
      <c r="D10789" t="inlineStr">
        <is>
          <t>-540K755.0</t>
        </is>
      </c>
      <c r="E10789" t="inlineStr">
        <is>
          <t>DILA-40</t>
        </is>
      </c>
      <c r="F10789" t="inlineStr">
        <is>
          <t>#KALK!</t>
        </is>
      </c>
      <c r="G10789" t="inlineStr">
        <is>
          <t>HILFSSCHUETZ</t>
        </is>
      </c>
      <c r="H10789" t="inlineStr">
        <is>
          <t>4S Federzugkl.</t>
        </is>
      </c>
      <c r="I10789">
        <v>503</v>
      </c>
      <c r="J10789">
        <f>GS47/540.7</f>
        <v>0</v>
      </c>
      <c r="M10789" t="inlineStr">
        <is>
          <t>-540K755.0</t>
        </is>
      </c>
    </row>
    <row r="10790">
      <c r="A10790">
        <v>10789</v>
      </c>
      <c r="B10790">
        <f>GS49</f>
        <v>0</v>
      </c>
      <c r="C10790" t="inlineStr">
        <is>
          <t>+LS09</t>
        </is>
      </c>
      <c r="D10790" t="inlineStr">
        <is>
          <t>-540K755.0</t>
        </is>
      </c>
      <c r="E10790" t="inlineStr">
        <is>
          <t>DILA-40</t>
        </is>
      </c>
      <c r="F10790" t="inlineStr">
        <is>
          <t>#KALK!</t>
        </is>
      </c>
      <c r="G10790" t="inlineStr">
        <is>
          <t>HILFSSCHUETZ</t>
        </is>
      </c>
      <c r="H10790" t="inlineStr">
        <is>
          <t>4S Federzugkl.</t>
        </is>
      </c>
      <c r="I10790">
        <v>656</v>
      </c>
      <c r="J10790">
        <f>GS49/540.7</f>
        <v>0</v>
      </c>
      <c r="M10790" t="inlineStr">
        <is>
          <t>-540K755.0</t>
        </is>
      </c>
    </row>
    <row r="10791">
      <c r="A10791">
        <v>10790</v>
      </c>
      <c r="B10791">
        <f>GS92</f>
        <v>0</v>
      </c>
      <c r="C10791" t="inlineStr">
        <is>
          <t>+LS09</t>
        </is>
      </c>
      <c r="D10791" t="inlineStr">
        <is>
          <t>-540K769.0</t>
        </is>
      </c>
      <c r="E10791" t="inlineStr">
        <is>
          <t>DILA-40</t>
        </is>
      </c>
      <c r="F10791" t="inlineStr">
        <is>
          <t>#KALK!</t>
        </is>
      </c>
      <c r="G10791" t="inlineStr">
        <is>
          <t>HILFSSCHUETZ</t>
        </is>
      </c>
      <c r="H10791" t="inlineStr">
        <is>
          <t>4S Federzugkl.</t>
        </is>
      </c>
      <c r="I10791">
        <v>680</v>
      </c>
      <c r="J10791">
        <f>GS92/540.7</f>
        <v>0</v>
      </c>
      <c r="M10791" t="inlineStr">
        <is>
          <t>-540K769.0</t>
        </is>
      </c>
    </row>
    <row r="10792">
      <c r="A10792">
        <v>10791</v>
      </c>
      <c r="B10792">
        <f>GS46</f>
        <v>0</v>
      </c>
      <c r="C10792" t="inlineStr">
        <is>
          <t>+LS09</t>
        </is>
      </c>
      <c r="D10792" t="inlineStr">
        <is>
          <t>-540Q1</t>
        </is>
      </c>
      <c r="E10792" t="inlineStr">
        <is>
          <t>DILA-XHI22</t>
        </is>
      </c>
      <c r="F10792" t="inlineStr">
        <is>
          <t>DILA-XHI22</t>
        </is>
      </c>
      <c r="G10792" t="inlineStr">
        <is>
          <t>HILFSKONTAKTBLOCK</t>
        </is>
      </c>
      <c r="H10792" t="inlineStr">
        <is>
          <t>2S 2OE Last+Hilfssch. Cage</t>
        </is>
      </c>
      <c r="I10792">
        <v>503</v>
      </c>
      <c r="J10792">
        <f>GS46/540.4</f>
        <v>0</v>
      </c>
      <c r="K10792" t="inlineStr">
        <is>
          <t>DIL MC25</t>
        </is>
      </c>
      <c r="M10792" t="inlineStr">
        <is>
          <t>-540Q1</t>
        </is>
      </c>
    </row>
    <row r="10793">
      <c r="A10793">
        <v>10792</v>
      </c>
      <c r="B10793">
        <f>GS46</f>
        <v>0</v>
      </c>
      <c r="C10793" t="inlineStr">
        <is>
          <t>+LS09</t>
        </is>
      </c>
      <c r="D10793" t="inlineStr">
        <is>
          <t>-540Q1</t>
        </is>
      </c>
      <c r="E10793" t="inlineStr">
        <is>
          <t>DILMC25-10(RDC24)</t>
        </is>
      </c>
      <c r="F10793" t="inlineStr">
        <is>
          <t>DILA-XHI22</t>
        </is>
      </c>
      <c r="G10793" t="inlineStr">
        <is>
          <t>LASTSCHUETZ</t>
        </is>
      </c>
      <c r="H10793" t="inlineStr">
        <is>
          <t>11kW 1S Federzugkl.</t>
        </is>
      </c>
      <c r="I10793">
        <v>503</v>
      </c>
      <c r="J10793">
        <f>GS46/540.4</f>
        <v>0</v>
      </c>
      <c r="K10793" t="inlineStr">
        <is>
          <t>DIL MC25</t>
        </is>
      </c>
      <c r="M10793" t="inlineStr">
        <is>
          <t>-540Q1</t>
        </is>
      </c>
    </row>
    <row r="10794">
      <c r="A10794">
        <v>10793</v>
      </c>
      <c r="B10794">
        <f>GS47</f>
        <v>0</v>
      </c>
      <c r="C10794" t="inlineStr">
        <is>
          <t>+LS09</t>
        </is>
      </c>
      <c r="D10794" t="inlineStr">
        <is>
          <t>-540Q1</t>
        </is>
      </c>
      <c r="E10794" t="inlineStr">
        <is>
          <t>DILMC25-10(RDC24)</t>
        </is>
      </c>
      <c r="F10794" t="inlineStr">
        <is>
          <t>DILA-XHI22</t>
        </is>
      </c>
      <c r="G10794" t="inlineStr">
        <is>
          <t>LASTSCHUETZ</t>
        </is>
      </c>
      <c r="H10794" t="inlineStr">
        <is>
          <t>11kW 1S Federzugkl.</t>
        </is>
      </c>
      <c r="I10794">
        <v>503</v>
      </c>
      <c r="J10794">
        <f>GS47/540.4</f>
        <v>0</v>
      </c>
      <c r="K10794" t="inlineStr">
        <is>
          <t>DIL MC25</t>
        </is>
      </c>
      <c r="M10794" t="inlineStr">
        <is>
          <t>-540Q1</t>
        </is>
      </c>
    </row>
    <row r="10795">
      <c r="A10795">
        <v>10794</v>
      </c>
      <c r="B10795">
        <f>GS47</f>
        <v>0</v>
      </c>
      <c r="C10795" t="inlineStr">
        <is>
          <t>+LS09</t>
        </is>
      </c>
      <c r="D10795" t="inlineStr">
        <is>
          <t>-540Q1</t>
        </is>
      </c>
      <c r="E10795" t="inlineStr">
        <is>
          <t>DILA-XHI22</t>
        </is>
      </c>
      <c r="F10795" t="inlineStr">
        <is>
          <t>DILA-XHI22</t>
        </is>
      </c>
      <c r="G10795" t="inlineStr">
        <is>
          <t>HILFSKONTAKTBLOCK</t>
        </is>
      </c>
      <c r="H10795" t="inlineStr">
        <is>
          <t>2S 2OE Last+Hilfssch. Cage</t>
        </is>
      </c>
      <c r="I10795">
        <v>503</v>
      </c>
      <c r="J10795">
        <f>GS47/540.4</f>
        <v>0</v>
      </c>
      <c r="K10795" t="inlineStr">
        <is>
          <t>DIL MC25</t>
        </is>
      </c>
      <c r="M10795" t="inlineStr">
        <is>
          <t>-540Q1</t>
        </is>
      </c>
    </row>
    <row r="10796">
      <c r="A10796">
        <v>10795</v>
      </c>
      <c r="B10796">
        <f>GS49</f>
        <v>0</v>
      </c>
      <c r="C10796" t="inlineStr">
        <is>
          <t>+LS09</t>
        </is>
      </c>
      <c r="D10796" t="inlineStr">
        <is>
          <t>-540Q1</t>
        </is>
      </c>
      <c r="E10796" t="inlineStr">
        <is>
          <t>DILMC25-10(RDC24)</t>
        </is>
      </c>
      <c r="F10796" t="inlineStr">
        <is>
          <t>DILA-XHI22</t>
        </is>
      </c>
      <c r="G10796" t="inlineStr">
        <is>
          <t>LASTSCHUETZ</t>
        </is>
      </c>
      <c r="H10796" t="inlineStr">
        <is>
          <t>11kW 1S Federzugkl.</t>
        </is>
      </c>
      <c r="I10796">
        <v>656</v>
      </c>
      <c r="J10796">
        <f>GS49/540.4</f>
        <v>0</v>
      </c>
      <c r="K10796" t="inlineStr">
        <is>
          <t>DIL MC25</t>
        </is>
      </c>
      <c r="M10796" t="inlineStr">
        <is>
          <t>-540Q1</t>
        </is>
      </c>
    </row>
    <row r="10797">
      <c r="A10797">
        <v>10796</v>
      </c>
      <c r="B10797">
        <f>GS49</f>
        <v>0</v>
      </c>
      <c r="C10797" t="inlineStr">
        <is>
          <t>+LS09</t>
        </is>
      </c>
      <c r="D10797" t="inlineStr">
        <is>
          <t>-540Q1</t>
        </is>
      </c>
      <c r="E10797" t="inlineStr">
        <is>
          <t>DILA-XHI22</t>
        </is>
      </c>
      <c r="F10797" t="inlineStr">
        <is>
          <t>DILA-XHI22</t>
        </is>
      </c>
      <c r="G10797" t="inlineStr">
        <is>
          <t>HILFSKONTAKTBLOCK</t>
        </is>
      </c>
      <c r="H10797" t="inlineStr">
        <is>
          <t>2S 2OE Last+Hilfssch. Cage</t>
        </is>
      </c>
      <c r="I10797">
        <v>656</v>
      </c>
      <c r="J10797">
        <f>GS49/540.4</f>
        <v>0</v>
      </c>
      <c r="K10797" t="inlineStr">
        <is>
          <t>DIL MC25</t>
        </is>
      </c>
      <c r="M10797" t="inlineStr">
        <is>
          <t>-540Q1</t>
        </is>
      </c>
    </row>
    <row r="10798">
      <c r="A10798">
        <v>10797</v>
      </c>
      <c r="B10798">
        <f>GS91</f>
        <v>0</v>
      </c>
      <c r="C10798" t="inlineStr">
        <is>
          <t>+LS10</t>
        </is>
      </c>
      <c r="D10798" t="inlineStr">
        <is>
          <t>-540Q1</t>
        </is>
      </c>
      <c r="E10798" t="inlineStr">
        <is>
          <t>DILA-XHI22</t>
        </is>
      </c>
      <c r="F10798" t="inlineStr">
        <is>
          <t>DILA-XHI22</t>
        </is>
      </c>
      <c r="G10798" t="inlineStr">
        <is>
          <t>HILFSKONTAKTBLOCK</t>
        </is>
      </c>
      <c r="H10798" t="inlineStr">
        <is>
          <t>2S 2OE Last+Hilfssch. Cage</t>
        </is>
      </c>
      <c r="I10798">
        <v>688</v>
      </c>
      <c r="J10798">
        <f>GS91/540.4</f>
        <v>0</v>
      </c>
      <c r="K10798" t="inlineStr">
        <is>
          <t>DIL MC25</t>
        </is>
      </c>
      <c r="M10798" t="inlineStr">
        <is>
          <t>-540Q1</t>
        </is>
      </c>
    </row>
    <row r="10799">
      <c r="A10799">
        <v>10798</v>
      </c>
      <c r="B10799">
        <f>GS91</f>
        <v>0</v>
      </c>
      <c r="C10799" t="inlineStr">
        <is>
          <t>+LS10</t>
        </is>
      </c>
      <c r="D10799" t="inlineStr">
        <is>
          <t>-540Q1</t>
        </is>
      </c>
      <c r="E10799" t="inlineStr">
        <is>
          <t>DILMC25-10(RDC24)</t>
        </is>
      </c>
      <c r="F10799" t="inlineStr">
        <is>
          <t>DILA-XHI22</t>
        </is>
      </c>
      <c r="G10799" t="inlineStr">
        <is>
          <t>LASTSCHUETZ</t>
        </is>
      </c>
      <c r="H10799" t="inlineStr">
        <is>
          <t>11kW 1S Federzugkl.</t>
        </is>
      </c>
      <c r="I10799">
        <v>688</v>
      </c>
      <c r="J10799">
        <f>GS91/540.4</f>
        <v>0</v>
      </c>
      <c r="K10799" t="inlineStr">
        <is>
          <t>DIL MC25</t>
        </is>
      </c>
      <c r="M10799" t="inlineStr">
        <is>
          <t>-540Q1</t>
        </is>
      </c>
    </row>
    <row r="10800">
      <c r="A10800">
        <v>10799</v>
      </c>
      <c r="B10800">
        <f>GS92</f>
        <v>0</v>
      </c>
      <c r="C10800" t="inlineStr">
        <is>
          <t>+LS09</t>
        </is>
      </c>
      <c r="D10800" t="inlineStr">
        <is>
          <t>-540Q1</t>
        </is>
      </c>
      <c r="E10800" t="inlineStr">
        <is>
          <t>DILMC25-10(RDC24)</t>
        </is>
      </c>
      <c r="F10800" t="inlineStr">
        <is>
          <t>DILA-XHI22</t>
        </is>
      </c>
      <c r="G10800" t="inlineStr">
        <is>
          <t>LASTSCHUETZ</t>
        </is>
      </c>
      <c r="H10800" t="inlineStr">
        <is>
          <t>11kW 1S Federzugkl.</t>
        </is>
      </c>
      <c r="I10800">
        <v>680</v>
      </c>
      <c r="J10800">
        <f>GS92/540.4</f>
        <v>0</v>
      </c>
      <c r="K10800" t="inlineStr">
        <is>
          <t>DIL MC25</t>
        </is>
      </c>
      <c r="M10800" t="inlineStr">
        <is>
          <t>-540Q1</t>
        </is>
      </c>
    </row>
    <row r="10801">
      <c r="A10801">
        <v>10800</v>
      </c>
      <c r="B10801">
        <f>GS92</f>
        <v>0</v>
      </c>
      <c r="C10801" t="inlineStr">
        <is>
          <t>+LS09</t>
        </is>
      </c>
      <c r="D10801" t="inlineStr">
        <is>
          <t>-540Q1</t>
        </is>
      </c>
      <c r="E10801" t="inlineStr">
        <is>
          <t>DILA-XHI22</t>
        </is>
      </c>
      <c r="F10801" t="inlineStr">
        <is>
          <t>DILA-XHI22</t>
        </is>
      </c>
      <c r="G10801" t="inlineStr">
        <is>
          <t>HILFSKONTAKTBLOCK</t>
        </is>
      </c>
      <c r="H10801" t="inlineStr">
        <is>
          <t>2S 2OE Last+Hilfssch. Cage</t>
        </is>
      </c>
      <c r="I10801">
        <v>680</v>
      </c>
      <c r="J10801">
        <f>GS92/540.4</f>
        <v>0</v>
      </c>
      <c r="K10801" t="inlineStr">
        <is>
          <t>DIL MC25</t>
        </is>
      </c>
      <c r="M10801" t="inlineStr">
        <is>
          <t>-540Q1</t>
        </is>
      </c>
    </row>
    <row r="10802">
      <c r="A10802">
        <v>10801</v>
      </c>
      <c r="B10802">
        <f>GS24</f>
        <v>0</v>
      </c>
      <c r="C10802" t="inlineStr">
        <is>
          <t>+LS11</t>
        </is>
      </c>
      <c r="D10802" t="inlineStr">
        <is>
          <t>-541K1</t>
        </is>
      </c>
      <c r="E10802" t="inlineStr">
        <is>
          <t>22_DIL-M</t>
        </is>
      </c>
      <c r="F10802" t="inlineStr">
        <is>
          <t>22_DIL-M</t>
        </is>
      </c>
      <c r="G10802" t="inlineStr">
        <is>
          <t>HILFSKONTAKTBLOCK</t>
        </is>
      </c>
      <c r="H10802" t="inlineStr">
        <is>
          <t>2S 2OE Lastschuetz DIL M</t>
        </is>
      </c>
      <c r="I10802">
        <v>555</v>
      </c>
      <c r="J10802">
        <f>GS24/541.2</f>
        <v>0</v>
      </c>
      <c r="K10802" t="inlineStr">
        <is>
          <t>DIL0AM</t>
        </is>
      </c>
      <c r="M10802" t="inlineStr">
        <is>
          <t>-541K1</t>
        </is>
      </c>
    </row>
    <row r="10803">
      <c r="A10803">
        <v>10802</v>
      </c>
      <c r="B10803">
        <f>GS24</f>
        <v>0</v>
      </c>
      <c r="C10803" t="inlineStr">
        <is>
          <t>+LS11</t>
        </is>
      </c>
      <c r="D10803" t="inlineStr">
        <is>
          <t>-541K1</t>
        </is>
      </c>
      <c r="E10803" t="inlineStr">
        <is>
          <t>DIL_0AM</t>
        </is>
      </c>
      <c r="F10803" t="inlineStr">
        <is>
          <t>22_DIL-M</t>
        </is>
      </c>
      <c r="G10803" t="inlineStr">
        <is>
          <t>LASTSCHUETZ</t>
        </is>
      </c>
      <c r="H10803" t="inlineStr">
        <is>
          <t>11 kW</t>
        </is>
      </c>
      <c r="I10803">
        <v>555</v>
      </c>
      <c r="J10803">
        <f>GS24/541.2</f>
        <v>0</v>
      </c>
      <c r="K10803" t="inlineStr">
        <is>
          <t>DIL0AM</t>
        </is>
      </c>
      <c r="M10803" t="inlineStr">
        <is>
          <t>-541K1</t>
        </is>
      </c>
    </row>
    <row r="10804">
      <c r="A10804">
        <v>10803</v>
      </c>
      <c r="B10804">
        <f>GS01</f>
        <v>0</v>
      </c>
      <c r="C10804" t="inlineStr">
        <is>
          <t>+LS12</t>
        </is>
      </c>
      <c r="D10804" t="inlineStr">
        <is>
          <t>-541K33.0</t>
        </is>
      </c>
      <c r="E10804" t="inlineStr">
        <is>
          <t>DIL_EM-10-G</t>
        </is>
      </c>
      <c r="F10804" t="inlineStr">
        <is>
          <t>#KALK!</t>
        </is>
      </c>
      <c r="G10804" t="inlineStr">
        <is>
          <t>LASTSCHUETZ</t>
        </is>
      </c>
      <c r="H10804" t="inlineStr">
        <is>
          <t>4kW 1S</t>
        </is>
      </c>
      <c r="I10804">
        <v>710</v>
      </c>
      <c r="J10804">
        <f>GS01/541.6</f>
        <v>0</v>
      </c>
      <c r="M10804" t="inlineStr">
        <is>
          <t>-541K33.0</t>
        </is>
      </c>
    </row>
    <row r="10805">
      <c r="A10805">
        <v>10804</v>
      </c>
      <c r="B10805">
        <f>GS15</f>
        <v>0</v>
      </c>
      <c r="C10805" t="inlineStr">
        <is>
          <t>+LS10</t>
        </is>
      </c>
      <c r="D10805" t="inlineStr">
        <is>
          <t>-541K3506.0</t>
        </is>
      </c>
      <c r="E10805" t="inlineStr">
        <is>
          <t>DIL_EM-10-G</t>
        </is>
      </c>
      <c r="F10805" t="inlineStr">
        <is>
          <t>#KALK!</t>
        </is>
      </c>
      <c r="G10805" t="inlineStr">
        <is>
          <t>LASTSCHUETZ</t>
        </is>
      </c>
      <c r="H10805" t="inlineStr">
        <is>
          <t>4kW 1S</t>
        </is>
      </c>
      <c r="I10805">
        <v>1051</v>
      </c>
      <c r="J10805">
        <f>GS15/541.6</f>
        <v>0</v>
      </c>
      <c r="M10805" t="inlineStr">
        <is>
          <t>-541K3506.0</t>
        </is>
      </c>
    </row>
    <row r="10806">
      <c r="A10806">
        <v>10805</v>
      </c>
      <c r="B10806">
        <f>GS15</f>
        <v>0</v>
      </c>
      <c r="C10806" t="inlineStr">
        <is>
          <t>+LS10</t>
        </is>
      </c>
      <c r="D10806" t="inlineStr">
        <is>
          <t>-541K3506.1</t>
        </is>
      </c>
      <c r="E10806" t="inlineStr">
        <is>
          <t>DIL_EM-10-G</t>
        </is>
      </c>
      <c r="F10806" t="inlineStr">
        <is>
          <t>#KALK!</t>
        </is>
      </c>
      <c r="G10806" t="inlineStr">
        <is>
          <t>LASTSCHUETZ</t>
        </is>
      </c>
      <c r="H10806" t="inlineStr">
        <is>
          <t>4kW 1S</t>
        </is>
      </c>
      <c r="I10806">
        <v>1051</v>
      </c>
      <c r="J10806">
        <f>GS15/541.7</f>
        <v>0</v>
      </c>
      <c r="M10806" t="inlineStr">
        <is>
          <t>-541K3506.1</t>
        </is>
      </c>
    </row>
    <row r="10807">
      <c r="A10807">
        <v>10806</v>
      </c>
      <c r="B10807">
        <f>GS33</f>
        <v>0</v>
      </c>
      <c r="C10807" t="inlineStr">
        <is>
          <t>+QVW2801</t>
        </is>
      </c>
      <c r="D10807" t="inlineStr">
        <is>
          <t>-541K3909.1</t>
        </is>
      </c>
      <c r="E10807" t="inlineStr">
        <is>
          <t>DIL_EM-10-G</t>
        </is>
      </c>
      <c r="F10807" t="inlineStr">
        <is>
          <t>#KALK!</t>
        </is>
      </c>
      <c r="G10807" t="inlineStr">
        <is>
          <t>LASTSCHUETZ</t>
        </is>
      </c>
      <c r="H10807" t="inlineStr">
        <is>
          <t>4kW 1S</t>
        </is>
      </c>
      <c r="I10807">
        <v>995</v>
      </c>
      <c r="J10807">
        <f>GS33/541.2</f>
        <v>0</v>
      </c>
      <c r="M10807" t="inlineStr">
        <is>
          <t>-541K3909.1</t>
        </is>
      </c>
    </row>
    <row r="10808">
      <c r="A10808">
        <v>10807</v>
      </c>
      <c r="B10808">
        <f>GS33</f>
        <v>0</v>
      </c>
      <c r="C10808" t="inlineStr">
        <is>
          <t>+QVW2801</t>
        </is>
      </c>
      <c r="D10808" t="inlineStr">
        <is>
          <t>-541K3909.7</t>
        </is>
      </c>
      <c r="E10808" t="inlineStr">
        <is>
          <t>DIL_EM-10-G</t>
        </is>
      </c>
      <c r="F10808" t="inlineStr">
        <is>
          <t>#KALK!</t>
        </is>
      </c>
      <c r="G10808" t="inlineStr">
        <is>
          <t>LASTSCHUETZ</t>
        </is>
      </c>
      <c r="H10808" t="inlineStr">
        <is>
          <t>4kW 1S</t>
        </is>
      </c>
      <c r="I10808">
        <v>995</v>
      </c>
      <c r="J10808">
        <f>GS33/541.3</f>
        <v>0</v>
      </c>
      <c r="M10808" t="inlineStr">
        <is>
          <t>-541K3909.7</t>
        </is>
      </c>
    </row>
    <row r="10809">
      <c r="A10809">
        <v>10808</v>
      </c>
      <c r="B10809">
        <f>GS92</f>
        <v>0</v>
      </c>
      <c r="C10809" t="inlineStr">
        <is>
          <t>+LS09</t>
        </is>
      </c>
      <c r="D10809" t="inlineStr">
        <is>
          <t>-541Q769.1</t>
        </is>
      </c>
      <c r="E10809" t="inlineStr">
        <is>
          <t>DILA-XHI22</t>
        </is>
      </c>
      <c r="F10809" t="inlineStr">
        <is>
          <t>DILA-XHI22</t>
        </is>
      </c>
      <c r="G10809" t="inlineStr">
        <is>
          <t>HILFSKONTAKTBLOCK</t>
        </is>
      </c>
      <c r="H10809" t="inlineStr">
        <is>
          <t>2S 2OE Last+Hilfssch. Cage</t>
        </is>
      </c>
      <c r="I10809">
        <v>681</v>
      </c>
      <c r="J10809">
        <f>GS92/541.5</f>
        <v>0</v>
      </c>
      <c r="M10809" t="inlineStr">
        <is>
          <t>-541Q769.1</t>
        </is>
      </c>
    </row>
    <row r="10810">
      <c r="A10810">
        <v>10809</v>
      </c>
      <c r="B10810">
        <f>GS92</f>
        <v>0</v>
      </c>
      <c r="C10810" t="inlineStr">
        <is>
          <t>+LS09</t>
        </is>
      </c>
      <c r="D10810" t="inlineStr">
        <is>
          <t>-541Q769.1</t>
        </is>
      </c>
      <c r="E10810" t="inlineStr">
        <is>
          <t>DILM-9-10</t>
        </is>
      </c>
      <c r="F10810" t="inlineStr">
        <is>
          <t>DILA-XHI22</t>
        </is>
      </c>
      <c r="G10810" t="inlineStr">
        <is>
          <t>LASTSCHUETZ</t>
        </is>
      </c>
      <c r="H10810" t="inlineStr">
        <is>
          <t>4kW 1S Federzugkl.</t>
        </is>
      </c>
      <c r="I10810">
        <v>681</v>
      </c>
      <c r="J10810">
        <f>GS92/541.5</f>
        <v>0</v>
      </c>
      <c r="M10810" t="inlineStr">
        <is>
          <t>-541Q769.1</t>
        </is>
      </c>
    </row>
    <row r="10811">
      <c r="A10811">
        <v>10810</v>
      </c>
      <c r="B10811">
        <f>GS92</f>
        <v>0</v>
      </c>
      <c r="C10811" t="inlineStr">
        <is>
          <t>+LS09</t>
        </is>
      </c>
      <c r="D10811" t="inlineStr">
        <is>
          <t>-541Q769.2</t>
        </is>
      </c>
      <c r="E10811" t="inlineStr">
        <is>
          <t>DILA-XHI22</t>
        </is>
      </c>
      <c r="F10811" t="inlineStr">
        <is>
          <t>DILA-XHI22</t>
        </is>
      </c>
      <c r="G10811" t="inlineStr">
        <is>
          <t>HILFSKONTAKTBLOCK</t>
        </is>
      </c>
      <c r="H10811" t="inlineStr">
        <is>
          <t>2S 2OE Last+Hilfssch. Cage</t>
        </is>
      </c>
      <c r="I10811">
        <v>681</v>
      </c>
      <c r="J10811">
        <f>GS92/541.6</f>
        <v>0</v>
      </c>
      <c r="M10811" t="inlineStr">
        <is>
          <t>-541Q769.2</t>
        </is>
      </c>
    </row>
    <row r="10812">
      <c r="A10812">
        <v>10811</v>
      </c>
      <c r="B10812">
        <f>GS92</f>
        <v>0</v>
      </c>
      <c r="C10812" t="inlineStr">
        <is>
          <t>+LS09</t>
        </is>
      </c>
      <c r="D10812" t="inlineStr">
        <is>
          <t>-541Q769.2</t>
        </is>
      </c>
      <c r="E10812" t="inlineStr">
        <is>
          <t>DILM-9-10</t>
        </is>
      </c>
      <c r="F10812" t="inlineStr">
        <is>
          <t>DILA-XHI22</t>
        </is>
      </c>
      <c r="G10812" t="inlineStr">
        <is>
          <t>LASTSCHUETZ</t>
        </is>
      </c>
      <c r="H10812" t="inlineStr">
        <is>
          <t>4kW 1S Federzugkl.</t>
        </is>
      </c>
      <c r="I10812">
        <v>681</v>
      </c>
      <c r="J10812">
        <f>GS92/541.6</f>
        <v>0</v>
      </c>
      <c r="M10812" t="inlineStr">
        <is>
          <t>-541Q769.2</t>
        </is>
      </c>
    </row>
    <row r="10813">
      <c r="A10813">
        <v>10812</v>
      </c>
      <c r="B10813">
        <f>GS01</f>
        <v>0</v>
      </c>
      <c r="C10813" t="inlineStr">
        <is>
          <t>+LS12</t>
        </is>
      </c>
      <c r="D10813" t="inlineStr">
        <is>
          <t>-542K33.1</t>
        </is>
      </c>
      <c r="E10813" t="inlineStr">
        <is>
          <t>DIL_EM-10-G</t>
        </is>
      </c>
      <c r="F10813" t="inlineStr">
        <is>
          <t>#KALK!</t>
        </is>
      </c>
      <c r="G10813" t="inlineStr">
        <is>
          <t>LASTSCHUETZ</t>
        </is>
      </c>
      <c r="H10813" t="inlineStr">
        <is>
          <t>4kW 1S</t>
        </is>
      </c>
      <c r="I10813">
        <v>711</v>
      </c>
      <c r="J10813">
        <f>GS01/542.6</f>
        <v>0</v>
      </c>
      <c r="M10813" t="inlineStr">
        <is>
          <t>-542K33.1</t>
        </is>
      </c>
    </row>
    <row r="10814">
      <c r="A10814">
        <v>10813</v>
      </c>
      <c r="B10814">
        <f>GS01</f>
        <v>0</v>
      </c>
      <c r="C10814" t="inlineStr">
        <is>
          <t>+LS12</t>
        </is>
      </c>
      <c r="D10814" t="inlineStr">
        <is>
          <t>-542K33.2</t>
        </is>
      </c>
      <c r="E10814" t="inlineStr">
        <is>
          <t>DIL_EM-10-G</t>
        </is>
      </c>
      <c r="F10814" t="inlineStr">
        <is>
          <t>#KALK!</t>
        </is>
      </c>
      <c r="G10814" t="inlineStr">
        <is>
          <t>LASTSCHUETZ</t>
        </is>
      </c>
      <c r="H10814" t="inlineStr">
        <is>
          <t>4kW 1S</t>
        </is>
      </c>
      <c r="I10814">
        <v>711</v>
      </c>
      <c r="J10814">
        <f>GS01/542.6</f>
        <v>0</v>
      </c>
      <c r="M10814" t="inlineStr">
        <is>
          <t>-542K33.2</t>
        </is>
      </c>
    </row>
    <row r="10815">
      <c r="A10815">
        <v>10814</v>
      </c>
      <c r="B10815">
        <f>GS15</f>
        <v>0</v>
      </c>
      <c r="C10815" t="inlineStr">
        <is>
          <t>+LS10</t>
        </is>
      </c>
      <c r="D10815" t="inlineStr">
        <is>
          <t>-542K3506.2</t>
        </is>
      </c>
      <c r="E10815" t="inlineStr">
        <is>
          <t>DIL_EM-10-G</t>
        </is>
      </c>
      <c r="F10815" t="inlineStr">
        <is>
          <t>#KALK!</t>
        </is>
      </c>
      <c r="G10815" t="inlineStr">
        <is>
          <t>LASTSCHUETZ</t>
        </is>
      </c>
      <c r="H10815" t="inlineStr">
        <is>
          <t>4kW 1S</t>
        </is>
      </c>
      <c r="I10815">
        <v>1052</v>
      </c>
      <c r="J10815">
        <f>GS15/542.6</f>
        <v>0</v>
      </c>
      <c r="M10815" t="inlineStr">
        <is>
          <t>-542K3506.2</t>
        </is>
      </c>
    </row>
    <row r="10816">
      <c r="A10816">
        <v>10815</v>
      </c>
      <c r="B10816">
        <f>GS15</f>
        <v>0</v>
      </c>
      <c r="C10816" t="inlineStr">
        <is>
          <t>+LS10</t>
        </is>
      </c>
      <c r="D10816" t="inlineStr">
        <is>
          <t>-542K3506.3</t>
        </is>
      </c>
      <c r="E10816" t="inlineStr">
        <is>
          <t>DIL_EM-10-G</t>
        </is>
      </c>
      <c r="F10816" t="inlineStr">
        <is>
          <t>#KALK!</t>
        </is>
      </c>
      <c r="G10816" t="inlineStr">
        <is>
          <t>LASTSCHUETZ</t>
        </is>
      </c>
      <c r="H10816" t="inlineStr">
        <is>
          <t>4kW 1S</t>
        </is>
      </c>
      <c r="I10816">
        <v>1052</v>
      </c>
      <c r="J10816">
        <f>GS15/542.7</f>
        <v>0</v>
      </c>
      <c r="M10816" t="inlineStr">
        <is>
          <t>-542K3506.3</t>
        </is>
      </c>
    </row>
    <row r="10817">
      <c r="A10817">
        <v>10816</v>
      </c>
      <c r="B10817">
        <f>GS14</f>
        <v>0</v>
      </c>
      <c r="C10817" t="inlineStr">
        <is>
          <t>+LS10</t>
        </is>
      </c>
      <c r="D10817" t="inlineStr">
        <is>
          <t>-542K3518.0</t>
        </is>
      </c>
      <c r="E10817" t="inlineStr">
        <is>
          <t>DIL_EM-10-G</t>
        </is>
      </c>
      <c r="F10817" t="inlineStr">
        <is>
          <t>#KALK!</t>
        </is>
      </c>
      <c r="G10817" t="inlineStr">
        <is>
          <t>LASTSCHUETZ</t>
        </is>
      </c>
      <c r="H10817" t="inlineStr">
        <is>
          <t>4kW 1S</t>
        </is>
      </c>
      <c r="I10817">
        <v>674</v>
      </c>
      <c r="J10817">
        <f>GS14/542.6</f>
        <v>0</v>
      </c>
      <c r="M10817" t="inlineStr">
        <is>
          <t>-542K3518.0</t>
        </is>
      </c>
    </row>
    <row r="10818">
      <c r="A10818">
        <v>10817</v>
      </c>
      <c r="B10818">
        <f>GS14</f>
        <v>0</v>
      </c>
      <c r="C10818" t="inlineStr">
        <is>
          <t>+LS10</t>
        </is>
      </c>
      <c r="D10818" t="inlineStr">
        <is>
          <t>-542K3518.1</t>
        </is>
      </c>
      <c r="E10818" t="inlineStr">
        <is>
          <t>DIL_EM-10-G</t>
        </is>
      </c>
      <c r="F10818" t="inlineStr">
        <is>
          <t>#KALK!</t>
        </is>
      </c>
      <c r="G10818" t="inlineStr">
        <is>
          <t>LASTSCHUETZ</t>
        </is>
      </c>
      <c r="H10818" t="inlineStr">
        <is>
          <t>4kW 1S</t>
        </is>
      </c>
      <c r="I10818">
        <v>674</v>
      </c>
      <c r="J10818">
        <f>GS14/542.6</f>
        <v>0</v>
      </c>
      <c r="M10818" t="inlineStr">
        <is>
          <t>-542K3518.1</t>
        </is>
      </c>
    </row>
    <row r="10819">
      <c r="A10819">
        <v>10818</v>
      </c>
      <c r="B10819">
        <f>GS33</f>
        <v>0</v>
      </c>
      <c r="C10819" t="inlineStr">
        <is>
          <t>+QVW2801</t>
        </is>
      </c>
      <c r="D10819" t="inlineStr">
        <is>
          <t>-542K3909.0</t>
        </is>
      </c>
      <c r="E10819" t="inlineStr">
        <is>
          <t>DIL_EM-10-G</t>
        </is>
      </c>
      <c r="F10819" t="inlineStr">
        <is>
          <t>#KALK!</t>
        </is>
      </c>
      <c r="G10819" t="inlineStr">
        <is>
          <t>LASTSCHUETZ</t>
        </is>
      </c>
      <c r="H10819" t="inlineStr">
        <is>
          <t>4kW 1S</t>
        </is>
      </c>
      <c r="I10819">
        <v>996</v>
      </c>
      <c r="J10819">
        <f>GS33/542.6</f>
        <v>0</v>
      </c>
      <c r="M10819" t="inlineStr">
        <is>
          <t>-542K3909.0</t>
        </is>
      </c>
    </row>
    <row r="10820">
      <c r="A10820">
        <v>10819</v>
      </c>
      <c r="B10820">
        <f>GS92</f>
        <v>0</v>
      </c>
      <c r="C10820" t="inlineStr">
        <is>
          <t>+LS09</t>
        </is>
      </c>
      <c r="D10820" t="inlineStr">
        <is>
          <t>-542Q769.3</t>
        </is>
      </c>
      <c r="E10820" t="inlineStr">
        <is>
          <t>DILM-9-10</t>
        </is>
      </c>
      <c r="F10820" t="inlineStr">
        <is>
          <t>#KALK!</t>
        </is>
      </c>
      <c r="G10820" t="inlineStr">
        <is>
          <t>LASTSCHUETZ</t>
        </is>
      </c>
      <c r="H10820" t="inlineStr">
        <is>
          <t>4kW 1S Federzugkl.</t>
        </is>
      </c>
      <c r="I10820">
        <v>682</v>
      </c>
      <c r="J10820">
        <f>GS92/542.5</f>
        <v>0</v>
      </c>
      <c r="M10820" t="inlineStr">
        <is>
          <t>-542Q769.3</t>
        </is>
      </c>
    </row>
    <row r="10821">
      <c r="A10821">
        <v>10820</v>
      </c>
      <c r="B10821">
        <f>GS01</f>
        <v>0</v>
      </c>
      <c r="C10821" t="inlineStr">
        <is>
          <t>+LS12</t>
        </is>
      </c>
      <c r="D10821" t="inlineStr">
        <is>
          <t>-543K33.3</t>
        </is>
      </c>
      <c r="E10821" t="inlineStr">
        <is>
          <t>DIL_EM-10-G</t>
        </is>
      </c>
      <c r="F10821" t="inlineStr">
        <is>
          <t>#KALK!</t>
        </is>
      </c>
      <c r="G10821" t="inlineStr">
        <is>
          <t>LASTSCHUETZ</t>
        </is>
      </c>
      <c r="H10821" t="inlineStr">
        <is>
          <t>4kW 1S</t>
        </is>
      </c>
      <c r="I10821">
        <v>712</v>
      </c>
      <c r="J10821">
        <f>GS01/543.6</f>
        <v>0</v>
      </c>
      <c r="M10821" t="inlineStr">
        <is>
          <t>-543K33.3</t>
        </is>
      </c>
    </row>
    <row r="10822">
      <c r="A10822">
        <v>10821</v>
      </c>
      <c r="B10822">
        <f>GS01</f>
        <v>0</v>
      </c>
      <c r="C10822" t="inlineStr">
        <is>
          <t>+LS12</t>
        </is>
      </c>
      <c r="D10822" t="inlineStr">
        <is>
          <t>-543K33.4</t>
        </is>
      </c>
      <c r="E10822" t="inlineStr">
        <is>
          <t>DIL_EM-10-G</t>
        </is>
      </c>
      <c r="F10822" t="inlineStr">
        <is>
          <t>#KALK!</t>
        </is>
      </c>
      <c r="G10822" t="inlineStr">
        <is>
          <t>LASTSCHUETZ</t>
        </is>
      </c>
      <c r="H10822" t="inlineStr">
        <is>
          <t>4kW 1S</t>
        </is>
      </c>
      <c r="I10822">
        <v>712</v>
      </c>
      <c r="J10822">
        <f>GS01/543.6</f>
        <v>0</v>
      </c>
      <c r="M10822" t="inlineStr">
        <is>
          <t>-543K33.4</t>
        </is>
      </c>
    </row>
    <row r="10823">
      <c r="A10823">
        <v>10822</v>
      </c>
      <c r="B10823">
        <f>GS24</f>
        <v>0</v>
      </c>
      <c r="C10823" t="inlineStr">
        <is>
          <t>+LS11</t>
        </is>
      </c>
      <c r="D10823" t="inlineStr">
        <is>
          <t>-543K3514.5</t>
        </is>
      </c>
      <c r="E10823" t="inlineStr">
        <is>
          <t>DIL_EM-10-G</t>
        </is>
      </c>
      <c r="F10823" t="inlineStr">
        <is>
          <t>#KALK!</t>
        </is>
      </c>
      <c r="G10823" t="inlineStr">
        <is>
          <t>LASTSCHUETZ</t>
        </is>
      </c>
      <c r="H10823" t="inlineStr">
        <is>
          <t>4kW 1S</t>
        </is>
      </c>
      <c r="I10823">
        <v>553</v>
      </c>
      <c r="J10823">
        <f>GS24/543.6</f>
        <v>0</v>
      </c>
      <c r="M10823" t="inlineStr">
        <is>
          <t>-543K3514.5</t>
        </is>
      </c>
    </row>
    <row r="10824">
      <c r="A10824">
        <v>10823</v>
      </c>
      <c r="B10824">
        <f>GS24</f>
        <v>0</v>
      </c>
      <c r="C10824" t="inlineStr">
        <is>
          <t>+LS11</t>
        </is>
      </c>
      <c r="D10824" t="inlineStr">
        <is>
          <t>-543K3514.6</t>
        </is>
      </c>
      <c r="E10824" t="inlineStr">
        <is>
          <t>DIL_EM-10-G</t>
        </is>
      </c>
      <c r="F10824" t="inlineStr">
        <is>
          <t>#KALK!</t>
        </is>
      </c>
      <c r="G10824" t="inlineStr">
        <is>
          <t>LASTSCHUETZ</t>
        </is>
      </c>
      <c r="H10824" t="inlineStr">
        <is>
          <t>4kW 1S</t>
        </is>
      </c>
      <c r="I10824">
        <v>553</v>
      </c>
      <c r="J10824">
        <f>GS24/543.7</f>
        <v>0</v>
      </c>
      <c r="M10824" t="inlineStr">
        <is>
          <t>-543K3514.6</t>
        </is>
      </c>
    </row>
    <row r="10825">
      <c r="A10825">
        <v>10824</v>
      </c>
      <c r="B10825">
        <f>GS01</f>
        <v>0</v>
      </c>
      <c r="C10825" t="inlineStr">
        <is>
          <t>+LS12</t>
        </is>
      </c>
      <c r="D10825" t="inlineStr">
        <is>
          <t>-544K33.5</t>
        </is>
      </c>
      <c r="E10825" t="inlineStr">
        <is>
          <t>DIL_EM-10-G</t>
        </is>
      </c>
      <c r="F10825" t="inlineStr">
        <is>
          <t>#KALK!</t>
        </is>
      </c>
      <c r="G10825" t="inlineStr">
        <is>
          <t>LASTSCHUETZ</t>
        </is>
      </c>
      <c r="H10825" t="inlineStr">
        <is>
          <t>4kW 1S</t>
        </is>
      </c>
      <c r="I10825">
        <v>713</v>
      </c>
      <c r="J10825">
        <f>GS01/544.6</f>
        <v>0</v>
      </c>
      <c r="M10825" t="inlineStr">
        <is>
          <t>-544K33.5</t>
        </is>
      </c>
    </row>
    <row r="10826">
      <c r="A10826">
        <v>10825</v>
      </c>
      <c r="B10826">
        <f>GS01</f>
        <v>0</v>
      </c>
      <c r="C10826" t="inlineStr">
        <is>
          <t>+LS12</t>
        </is>
      </c>
      <c r="D10826" t="inlineStr">
        <is>
          <t>-544K33.6</t>
        </is>
      </c>
      <c r="E10826" t="inlineStr">
        <is>
          <t>DIL_EM-10-G</t>
        </is>
      </c>
      <c r="F10826" t="inlineStr">
        <is>
          <t>#KALK!</t>
        </is>
      </c>
      <c r="G10826" t="inlineStr">
        <is>
          <t>LASTSCHUETZ</t>
        </is>
      </c>
      <c r="H10826" t="inlineStr">
        <is>
          <t>4kW 1S</t>
        </is>
      </c>
      <c r="I10826">
        <v>713</v>
      </c>
      <c r="J10826">
        <f>GS01/544.6</f>
        <v>0</v>
      </c>
      <c r="M10826" t="inlineStr">
        <is>
          <t>-544K33.6</t>
        </is>
      </c>
    </row>
    <row r="10827">
      <c r="A10827">
        <v>10826</v>
      </c>
      <c r="B10827">
        <f>GS24</f>
        <v>0</v>
      </c>
      <c r="C10827" t="inlineStr">
        <is>
          <t>+LS11</t>
        </is>
      </c>
      <c r="D10827" t="inlineStr">
        <is>
          <t>-544K3514.0</t>
        </is>
      </c>
      <c r="E10827" t="inlineStr">
        <is>
          <t>DIL_EM-10-G</t>
        </is>
      </c>
      <c r="F10827" t="inlineStr">
        <is>
          <t>#KALK!</t>
        </is>
      </c>
      <c r="G10827" t="inlineStr">
        <is>
          <t>LASTSCHUETZ</t>
        </is>
      </c>
      <c r="H10827" t="inlineStr">
        <is>
          <t>4kW 1S</t>
        </is>
      </c>
      <c r="I10827">
        <v>552</v>
      </c>
      <c r="J10827">
        <f>GS24/544.6</f>
        <v>0</v>
      </c>
      <c r="M10827" t="inlineStr">
        <is>
          <t>-544K3514.0</t>
        </is>
      </c>
    </row>
    <row r="10828">
      <c r="A10828">
        <v>10827</v>
      </c>
      <c r="B10828">
        <f>GS14</f>
        <v>0</v>
      </c>
      <c r="C10828" t="inlineStr">
        <is>
          <t>+LS10</t>
        </is>
      </c>
      <c r="D10828" t="inlineStr">
        <is>
          <t>-544K3518.7</t>
        </is>
      </c>
      <c r="E10828" t="inlineStr">
        <is>
          <t>DIL_EM-10-G</t>
        </is>
      </c>
      <c r="F10828" t="inlineStr">
        <is>
          <t>#KALK!</t>
        </is>
      </c>
      <c r="G10828" t="inlineStr">
        <is>
          <t>LASTSCHUETZ</t>
        </is>
      </c>
      <c r="H10828" t="inlineStr">
        <is>
          <t>4kW 1S</t>
        </is>
      </c>
      <c r="I10828">
        <v>676</v>
      </c>
      <c r="J10828">
        <f>GS14/544.5</f>
        <v>0</v>
      </c>
      <c r="M10828" t="inlineStr">
        <is>
          <t>-544K3518.7</t>
        </is>
      </c>
    </row>
    <row r="10829">
      <c r="A10829">
        <v>10828</v>
      </c>
      <c r="B10829">
        <f>GS14</f>
        <v>0</v>
      </c>
      <c r="C10829" t="inlineStr">
        <is>
          <t>+LS10</t>
        </is>
      </c>
      <c r="D10829" t="inlineStr">
        <is>
          <t>-544K3519.0</t>
        </is>
      </c>
      <c r="E10829" t="inlineStr">
        <is>
          <t>DIL_EM-10-G</t>
        </is>
      </c>
      <c r="F10829" t="inlineStr">
        <is>
          <t>#KALK!</t>
        </is>
      </c>
      <c r="G10829" t="inlineStr">
        <is>
          <t>LASTSCHUETZ</t>
        </is>
      </c>
      <c r="H10829" t="inlineStr">
        <is>
          <t>4kW 1S</t>
        </is>
      </c>
      <c r="I10829">
        <v>676</v>
      </c>
      <c r="J10829">
        <f>GS14/544.6</f>
        <v>0</v>
      </c>
      <c r="M10829" t="inlineStr">
        <is>
          <t>-544K3519.0</t>
        </is>
      </c>
    </row>
    <row r="10830">
      <c r="A10830">
        <v>10829</v>
      </c>
      <c r="B10830">
        <f>GS14</f>
        <v>0</v>
      </c>
      <c r="C10830" t="inlineStr">
        <is>
          <t>+LS10</t>
        </is>
      </c>
      <c r="D10830" t="inlineStr">
        <is>
          <t>-544K3519.1</t>
        </is>
      </c>
      <c r="E10830" t="inlineStr">
        <is>
          <t>DIL_EM-01-G</t>
        </is>
      </c>
      <c r="F10830" t="inlineStr">
        <is>
          <t>#KALK!</t>
        </is>
      </c>
      <c r="G10830" t="inlineStr">
        <is>
          <t>LASTSCHUETZ</t>
        </is>
      </c>
      <c r="H10830" t="inlineStr">
        <is>
          <t>4kW 1OE</t>
        </is>
      </c>
      <c r="I10830">
        <v>676</v>
      </c>
      <c r="J10830">
        <f>GS14/544.7</f>
        <v>0</v>
      </c>
      <c r="M10830" t="inlineStr">
        <is>
          <t>-544K3519.1</t>
        </is>
      </c>
    </row>
    <row r="10831">
      <c r="A10831">
        <v>10830</v>
      </c>
      <c r="B10831">
        <f>GS14</f>
        <v>0</v>
      </c>
      <c r="C10831" t="inlineStr">
        <is>
          <t>+LS10</t>
        </is>
      </c>
      <c r="D10831" t="inlineStr">
        <is>
          <t>-544K3519.2</t>
        </is>
      </c>
      <c r="E10831" t="inlineStr">
        <is>
          <t>DIL_EM-01-G</t>
        </is>
      </c>
      <c r="F10831" t="inlineStr">
        <is>
          <t>#KALK!</t>
        </is>
      </c>
      <c r="G10831" t="inlineStr">
        <is>
          <t>LASTSCHUETZ</t>
        </is>
      </c>
      <c r="H10831" t="inlineStr">
        <is>
          <t>4kW 1OE</t>
        </is>
      </c>
      <c r="I10831">
        <v>676</v>
      </c>
      <c r="J10831">
        <f>GS14/544.8</f>
        <v>0</v>
      </c>
      <c r="M10831" t="inlineStr">
        <is>
          <t>-544K3519.2</t>
        </is>
      </c>
    </row>
    <row r="10832">
      <c r="A10832">
        <v>10831</v>
      </c>
      <c r="B10832">
        <f>GS16</f>
        <v>0</v>
      </c>
      <c r="C10832" t="inlineStr">
        <is>
          <t>+LS10</t>
        </is>
      </c>
      <c r="D10832" t="inlineStr">
        <is>
          <t>-545K1</t>
        </is>
      </c>
      <c r="E10832" t="inlineStr">
        <is>
          <t>DIL_ER-40-G</t>
        </is>
      </c>
      <c r="F10832" t="inlineStr">
        <is>
          <t>#KALK!</t>
        </is>
      </c>
      <c r="G10832" t="inlineStr">
        <is>
          <t>HILFSSCHUETZ</t>
        </is>
      </c>
      <c r="H10832" t="inlineStr">
        <is>
          <t>4S</t>
        </is>
      </c>
      <c r="I10832">
        <v>790</v>
      </c>
      <c r="J10832">
        <f>GS16/545.4</f>
        <v>0</v>
      </c>
      <c r="M10832" t="inlineStr">
        <is>
          <t>-545K1</t>
        </is>
      </c>
    </row>
    <row r="10833">
      <c r="A10833">
        <v>10832</v>
      </c>
      <c r="B10833">
        <f>GS25</f>
        <v>0</v>
      </c>
      <c r="C10833" t="inlineStr">
        <is>
          <t>+LS13</t>
        </is>
      </c>
      <c r="D10833" t="inlineStr">
        <is>
          <t>-545K1</t>
        </is>
      </c>
      <c r="E10833" t="inlineStr">
        <is>
          <t>DIL_0AM</t>
        </is>
      </c>
      <c r="F10833" t="inlineStr">
        <is>
          <t>22_DIL-M</t>
        </is>
      </c>
      <c r="G10833" t="inlineStr">
        <is>
          <t>LASTSCHUETZ</t>
        </is>
      </c>
      <c r="H10833" t="inlineStr">
        <is>
          <t>11 kW</t>
        </is>
      </c>
      <c r="I10833">
        <v>672</v>
      </c>
      <c r="J10833">
        <f>GS25/545.2</f>
        <v>0</v>
      </c>
      <c r="K10833" t="inlineStr">
        <is>
          <t>DIL0AM</t>
        </is>
      </c>
      <c r="M10833" t="inlineStr">
        <is>
          <t>-545K1</t>
        </is>
      </c>
    </row>
    <row r="10834">
      <c r="A10834">
        <v>10833</v>
      </c>
      <c r="B10834">
        <f>GS25</f>
        <v>0</v>
      </c>
      <c r="C10834" t="inlineStr">
        <is>
          <t>+LS13</t>
        </is>
      </c>
      <c r="D10834" t="inlineStr">
        <is>
          <t>-545K1</t>
        </is>
      </c>
      <c r="E10834" t="inlineStr">
        <is>
          <t>22_DIL-M</t>
        </is>
      </c>
      <c r="F10834" t="inlineStr">
        <is>
          <t>22_DIL-M</t>
        </is>
      </c>
      <c r="G10834" t="inlineStr">
        <is>
          <t>HILFSKONTAKTBLOCK</t>
        </is>
      </c>
      <c r="H10834" t="inlineStr">
        <is>
          <t>2S 2OE Lastschuetz DIL M</t>
        </is>
      </c>
      <c r="I10834">
        <v>672</v>
      </c>
      <c r="J10834">
        <f>GS25/545.2</f>
        <v>0</v>
      </c>
      <c r="K10834" t="inlineStr">
        <is>
          <t>DIL0AM</t>
        </is>
      </c>
      <c r="M10834" t="inlineStr">
        <is>
          <t>-545K1</t>
        </is>
      </c>
    </row>
    <row r="10835">
      <c r="A10835">
        <v>10834</v>
      </c>
      <c r="B10835">
        <f>GS16</f>
        <v>0</v>
      </c>
      <c r="C10835" t="inlineStr">
        <is>
          <t>+LS10</t>
        </is>
      </c>
      <c r="D10835" t="inlineStr">
        <is>
          <t>-545K2</t>
        </is>
      </c>
      <c r="E10835" t="inlineStr">
        <is>
          <t>DIL_ER-40-G</t>
        </is>
      </c>
      <c r="F10835" t="inlineStr">
        <is>
          <t>#KALK!</t>
        </is>
      </c>
      <c r="G10835" t="inlineStr">
        <is>
          <t>HILFSSCHUETZ</t>
        </is>
      </c>
      <c r="H10835" t="inlineStr">
        <is>
          <t>4S</t>
        </is>
      </c>
      <c r="I10835">
        <v>790</v>
      </c>
      <c r="J10835">
        <f>GS16/545.4</f>
        <v>0</v>
      </c>
      <c r="M10835" t="inlineStr">
        <is>
          <t>-545K2</t>
        </is>
      </c>
    </row>
    <row r="10836">
      <c r="A10836">
        <v>10835</v>
      </c>
      <c r="B10836">
        <f>GS16</f>
        <v>0</v>
      </c>
      <c r="C10836" t="inlineStr">
        <is>
          <t>+LS10</t>
        </is>
      </c>
      <c r="D10836" t="inlineStr">
        <is>
          <t>-545K3</t>
        </is>
      </c>
      <c r="E10836" t="inlineStr">
        <is>
          <t>DIL_ER-40-G</t>
        </is>
      </c>
      <c r="F10836" t="inlineStr">
        <is>
          <t>#KALK!</t>
        </is>
      </c>
      <c r="G10836" t="inlineStr">
        <is>
          <t>HILFSSCHUETZ</t>
        </is>
      </c>
      <c r="H10836" t="inlineStr">
        <is>
          <t>4S</t>
        </is>
      </c>
      <c r="I10836">
        <v>790</v>
      </c>
      <c r="J10836">
        <f>GS16/545.5</f>
        <v>0</v>
      </c>
      <c r="M10836" t="inlineStr">
        <is>
          <t>-545K3</t>
        </is>
      </c>
    </row>
    <row r="10837">
      <c r="A10837">
        <v>10836</v>
      </c>
      <c r="B10837">
        <f>GS01</f>
        <v>0</v>
      </c>
      <c r="C10837" t="inlineStr">
        <is>
          <t>+LS12</t>
        </is>
      </c>
      <c r="D10837" t="inlineStr">
        <is>
          <t>-545K34.3</t>
        </is>
      </c>
      <c r="E10837" t="inlineStr">
        <is>
          <t>DIL_EM-10-G</t>
        </is>
      </c>
      <c r="F10837" t="inlineStr">
        <is>
          <t>#KALK!</t>
        </is>
      </c>
      <c r="G10837" t="inlineStr">
        <is>
          <t>LASTSCHUETZ</t>
        </is>
      </c>
      <c r="H10837" t="inlineStr">
        <is>
          <t>4kW 1S</t>
        </is>
      </c>
      <c r="I10837">
        <v>714</v>
      </c>
      <c r="J10837">
        <f>GS01/545.7</f>
        <v>0</v>
      </c>
      <c r="M10837" t="inlineStr">
        <is>
          <t>-545K34.3</t>
        </is>
      </c>
    </row>
    <row r="10838">
      <c r="A10838">
        <v>10837</v>
      </c>
      <c r="B10838">
        <f>GS16</f>
        <v>0</v>
      </c>
      <c r="C10838" t="inlineStr">
        <is>
          <t>+LS10</t>
        </is>
      </c>
      <c r="D10838" t="inlineStr">
        <is>
          <t>-545K3500.5</t>
        </is>
      </c>
      <c r="E10838" t="inlineStr">
        <is>
          <t>DIL_ER-22-G</t>
        </is>
      </c>
      <c r="F10838" t="inlineStr">
        <is>
          <t>#KALK!</t>
        </is>
      </c>
      <c r="G10838" t="inlineStr">
        <is>
          <t>HILFSSCHUETZ</t>
        </is>
      </c>
      <c r="H10838" t="inlineStr">
        <is>
          <t>2S 2OE</t>
        </is>
      </c>
      <c r="I10838">
        <v>790</v>
      </c>
      <c r="J10838">
        <f>GS16/545.2</f>
        <v>0</v>
      </c>
      <c r="M10838" t="inlineStr">
        <is>
          <t>-545K3500.5</t>
        </is>
      </c>
    </row>
    <row r="10839">
      <c r="A10839">
        <v>10838</v>
      </c>
      <c r="B10839">
        <f>GS16</f>
        <v>0</v>
      </c>
      <c r="C10839" t="inlineStr">
        <is>
          <t>+LS10</t>
        </is>
      </c>
      <c r="D10839" t="inlineStr">
        <is>
          <t>-545K3500.6</t>
        </is>
      </c>
      <c r="E10839" t="inlineStr">
        <is>
          <t>DIL_ER-31-G</t>
        </is>
      </c>
      <c r="F10839" t="inlineStr">
        <is>
          <t>#KALK!</t>
        </is>
      </c>
      <c r="G10839" t="inlineStr">
        <is>
          <t>HILFSSCHUETZ</t>
        </is>
      </c>
      <c r="H10839" t="inlineStr">
        <is>
          <t>3S 1OE</t>
        </is>
      </c>
      <c r="I10839">
        <v>790</v>
      </c>
      <c r="J10839">
        <f>GS16/545.3</f>
        <v>0</v>
      </c>
      <c r="M10839" t="inlineStr">
        <is>
          <t>-545K3500.6</t>
        </is>
      </c>
    </row>
    <row r="10840">
      <c r="A10840">
        <v>10839</v>
      </c>
      <c r="B10840">
        <f>GS24</f>
        <v>0</v>
      </c>
      <c r="C10840" t="inlineStr">
        <is>
          <t>+LS11</t>
        </is>
      </c>
      <c r="D10840" t="inlineStr">
        <is>
          <t>-545K3514.4</t>
        </is>
      </c>
      <c r="E10840" t="inlineStr">
        <is>
          <t>DIL_EM-10-G</t>
        </is>
      </c>
      <c r="F10840" t="inlineStr">
        <is>
          <t>#KALK!</t>
        </is>
      </c>
      <c r="G10840" t="inlineStr">
        <is>
          <t>LASTSCHUETZ</t>
        </is>
      </c>
      <c r="H10840" t="inlineStr">
        <is>
          <t>4kW 1S</t>
        </is>
      </c>
      <c r="I10840">
        <v>551</v>
      </c>
      <c r="J10840">
        <f>GS24/545.7</f>
        <v>0</v>
      </c>
      <c r="M10840" t="inlineStr">
        <is>
          <t>-545K3514.4</t>
        </is>
      </c>
    </row>
    <row r="10841">
      <c r="A10841">
        <v>10840</v>
      </c>
      <c r="B10841">
        <f>GS16</f>
        <v>0</v>
      </c>
      <c r="C10841" t="inlineStr">
        <is>
          <t>+LS10</t>
        </is>
      </c>
      <c r="D10841" t="inlineStr">
        <is>
          <t>-545K4</t>
        </is>
      </c>
      <c r="E10841" t="inlineStr">
        <is>
          <t>DIL_ER-40-G</t>
        </is>
      </c>
      <c r="F10841" t="inlineStr">
        <is>
          <t>#KALK!</t>
        </is>
      </c>
      <c r="G10841" t="inlineStr">
        <is>
          <t>HILFSSCHUETZ</t>
        </is>
      </c>
      <c r="H10841" t="inlineStr">
        <is>
          <t>4S</t>
        </is>
      </c>
      <c r="I10841">
        <v>790</v>
      </c>
      <c r="J10841">
        <f>GS16/545.6</f>
        <v>0</v>
      </c>
      <c r="M10841" t="inlineStr">
        <is>
          <t>-545K4</t>
        </is>
      </c>
    </row>
    <row r="10842">
      <c r="A10842">
        <v>10841</v>
      </c>
      <c r="B10842">
        <f>GS91</f>
        <v>0</v>
      </c>
      <c r="C10842" t="inlineStr">
        <is>
          <t>+LS10</t>
        </is>
      </c>
      <c r="D10842" t="inlineStr">
        <is>
          <t>-545K477.0</t>
        </is>
      </c>
      <c r="E10842" t="inlineStr">
        <is>
          <t>DILA-40</t>
        </is>
      </c>
      <c r="F10842" t="inlineStr">
        <is>
          <t>#KALK!</t>
        </is>
      </c>
      <c r="G10842" t="inlineStr">
        <is>
          <t>HILFSSCHUETZ</t>
        </is>
      </c>
      <c r="H10842" t="inlineStr">
        <is>
          <t>4S Federzugkl.</t>
        </is>
      </c>
      <c r="I10842">
        <v>693</v>
      </c>
      <c r="J10842">
        <f>GS91/545.7</f>
        <v>0</v>
      </c>
      <c r="M10842" t="inlineStr">
        <is>
          <t>-545K477.0</t>
        </is>
      </c>
    </row>
    <row r="10843">
      <c r="A10843">
        <v>10842</v>
      </c>
      <c r="B10843">
        <f>GS90</f>
        <v>0</v>
      </c>
      <c r="C10843" t="inlineStr">
        <is>
          <t>+LS11</t>
        </is>
      </c>
      <c r="D10843" t="inlineStr">
        <is>
          <t>-545K481.0</t>
        </is>
      </c>
      <c r="E10843" t="inlineStr">
        <is>
          <t>DILA-40</t>
        </is>
      </c>
      <c r="F10843" t="inlineStr">
        <is>
          <t>#KALK!</t>
        </is>
      </c>
      <c r="G10843" t="inlineStr">
        <is>
          <t>HILFSSCHUETZ</t>
        </is>
      </c>
      <c r="H10843" t="inlineStr">
        <is>
          <t>4S Federzugkl.</t>
        </is>
      </c>
      <c r="I10843">
        <v>703</v>
      </c>
      <c r="J10843">
        <f>GS90/545.7</f>
        <v>0</v>
      </c>
      <c r="M10843" t="inlineStr">
        <is>
          <t>-545K481.0</t>
        </is>
      </c>
    </row>
    <row r="10844">
      <c r="A10844">
        <v>10843</v>
      </c>
      <c r="B10844">
        <f>GS16</f>
        <v>0</v>
      </c>
      <c r="C10844" t="inlineStr">
        <is>
          <t>+LS10</t>
        </is>
      </c>
      <c r="D10844" t="inlineStr">
        <is>
          <t>-545K5</t>
        </is>
      </c>
      <c r="E10844" t="inlineStr">
        <is>
          <t>DIL_ER-40-G</t>
        </is>
      </c>
      <c r="F10844" t="inlineStr">
        <is>
          <t>#KALK!</t>
        </is>
      </c>
      <c r="G10844" t="inlineStr">
        <is>
          <t>HILFSSCHUETZ</t>
        </is>
      </c>
      <c r="H10844" t="inlineStr">
        <is>
          <t>4S</t>
        </is>
      </c>
      <c r="I10844">
        <v>790</v>
      </c>
      <c r="J10844">
        <f>GS16/545.7</f>
        <v>0</v>
      </c>
      <c r="M10844" t="inlineStr">
        <is>
          <t>-545K5</t>
        </is>
      </c>
    </row>
    <row r="10845">
      <c r="A10845">
        <v>10844</v>
      </c>
      <c r="B10845">
        <f>GS16</f>
        <v>0</v>
      </c>
      <c r="C10845" t="inlineStr">
        <is>
          <t>+LS10</t>
        </is>
      </c>
      <c r="D10845" t="inlineStr">
        <is>
          <t>-545K6</t>
        </is>
      </c>
      <c r="E10845" t="inlineStr">
        <is>
          <t>DIL_ER-40-G</t>
        </is>
      </c>
      <c r="F10845" t="inlineStr">
        <is>
          <t>#KALK!</t>
        </is>
      </c>
      <c r="G10845" t="inlineStr">
        <is>
          <t>HILFSSCHUETZ</t>
        </is>
      </c>
      <c r="H10845" t="inlineStr">
        <is>
          <t>4S</t>
        </is>
      </c>
      <c r="I10845">
        <v>790</v>
      </c>
      <c r="J10845">
        <f>GS16/545.7</f>
        <v>0</v>
      </c>
      <c r="M10845" t="inlineStr">
        <is>
          <t>-545K6</t>
        </is>
      </c>
    </row>
    <row r="10846">
      <c r="A10846">
        <v>10845</v>
      </c>
      <c r="B10846">
        <f>GS93</f>
        <v>0</v>
      </c>
      <c r="C10846" t="inlineStr">
        <is>
          <t>+LS10</t>
        </is>
      </c>
      <c r="D10846" t="inlineStr">
        <is>
          <t>-545K754.4</t>
        </is>
      </c>
      <c r="E10846" t="inlineStr">
        <is>
          <t>DILA-40</t>
        </is>
      </c>
      <c r="F10846" t="inlineStr">
        <is>
          <t>#KALK!</t>
        </is>
      </c>
      <c r="G10846" t="inlineStr">
        <is>
          <t>HILFSSCHUETZ</t>
        </is>
      </c>
      <c r="H10846" t="inlineStr">
        <is>
          <t>4S Federzugkl.</t>
        </is>
      </c>
      <c r="I10846">
        <v>1099</v>
      </c>
      <c r="J10846">
        <f>GS93/545.7</f>
        <v>0</v>
      </c>
      <c r="M10846" t="inlineStr">
        <is>
          <t>-545K754.4</t>
        </is>
      </c>
    </row>
    <row r="10847">
      <c r="A10847">
        <v>10846</v>
      </c>
      <c r="B10847">
        <f>GS08</f>
        <v>0</v>
      </c>
      <c r="C10847" t="inlineStr">
        <is>
          <t>+LS09</t>
        </is>
      </c>
      <c r="D10847" t="inlineStr">
        <is>
          <t>-545Q1</t>
        </is>
      </c>
      <c r="E10847" t="inlineStr">
        <is>
          <t>DILA-XHI22</t>
        </is>
      </c>
      <c r="F10847" t="inlineStr">
        <is>
          <t>DILA-XHI22</t>
        </is>
      </c>
      <c r="G10847" t="inlineStr">
        <is>
          <t>HILFSKONTAKTBLOCK</t>
        </is>
      </c>
      <c r="H10847" t="inlineStr">
        <is>
          <t>2S 2OE Last+Hilfssch. Cage</t>
        </is>
      </c>
      <c r="I10847">
        <v>1997</v>
      </c>
      <c r="J10847">
        <f>GS08/545.6</f>
        <v>0</v>
      </c>
      <c r="K10847" t="inlineStr">
        <is>
          <t>DIL MC25</t>
        </is>
      </c>
      <c r="M10847" t="inlineStr">
        <is>
          <t>-545Q1</t>
        </is>
      </c>
    </row>
    <row r="10848">
      <c r="A10848">
        <v>10847</v>
      </c>
      <c r="B10848">
        <f>GS08</f>
        <v>0</v>
      </c>
      <c r="C10848" t="inlineStr">
        <is>
          <t>+LS09</t>
        </is>
      </c>
      <c r="D10848" t="inlineStr">
        <is>
          <t>-545Q1</t>
        </is>
      </c>
      <c r="E10848" t="inlineStr">
        <is>
          <t>DILMC25-10(RDC24)</t>
        </is>
      </c>
      <c r="F10848" t="inlineStr">
        <is>
          <t>DILA-XHI22</t>
        </is>
      </c>
      <c r="G10848" t="inlineStr">
        <is>
          <t>LASTSCHUETZ</t>
        </is>
      </c>
      <c r="H10848" t="inlineStr">
        <is>
          <t>11kW 1S Federzugkl.</t>
        </is>
      </c>
      <c r="I10848">
        <v>1997</v>
      </c>
      <c r="J10848">
        <f>GS08/545.6</f>
        <v>0</v>
      </c>
      <c r="K10848" t="inlineStr">
        <is>
          <t>DIL MC25</t>
        </is>
      </c>
      <c r="M10848" t="inlineStr">
        <is>
          <t>-545Q1</t>
        </is>
      </c>
    </row>
    <row r="10849">
      <c r="A10849">
        <v>10848</v>
      </c>
      <c r="B10849">
        <f>GS90</f>
        <v>0</v>
      </c>
      <c r="C10849" t="inlineStr">
        <is>
          <t>+LS11</t>
        </is>
      </c>
      <c r="D10849" t="inlineStr">
        <is>
          <t>-545Q1</t>
        </is>
      </c>
      <c r="E10849" t="inlineStr">
        <is>
          <t>DILMC25-10(RDC24)</t>
        </is>
      </c>
      <c r="F10849" t="inlineStr">
        <is>
          <t>DILA-XHI22</t>
        </is>
      </c>
      <c r="G10849" t="inlineStr">
        <is>
          <t>LASTSCHUETZ</t>
        </is>
      </c>
      <c r="H10849" t="inlineStr">
        <is>
          <t>11kW 1S Federzugkl.</t>
        </is>
      </c>
      <c r="I10849">
        <v>703</v>
      </c>
      <c r="J10849">
        <f>GS90/545.4</f>
        <v>0</v>
      </c>
      <c r="K10849" t="inlineStr">
        <is>
          <t>DIL MC25</t>
        </is>
      </c>
      <c r="M10849" t="inlineStr">
        <is>
          <t>-545Q1</t>
        </is>
      </c>
    </row>
    <row r="10850">
      <c r="A10850">
        <v>10849</v>
      </c>
      <c r="B10850">
        <f>GS90</f>
        <v>0</v>
      </c>
      <c r="C10850" t="inlineStr">
        <is>
          <t>+LS11</t>
        </is>
      </c>
      <c r="D10850" t="inlineStr">
        <is>
          <t>-545Q1</t>
        </is>
      </c>
      <c r="E10850" t="inlineStr">
        <is>
          <t>DILA-XHI22</t>
        </is>
      </c>
      <c r="F10850" t="inlineStr">
        <is>
          <t>DILA-XHI22</t>
        </is>
      </c>
      <c r="G10850" t="inlineStr">
        <is>
          <t>HILFSKONTAKTBLOCK</t>
        </is>
      </c>
      <c r="H10850" t="inlineStr">
        <is>
          <t>2S 2OE Last+Hilfssch. Cage</t>
        </is>
      </c>
      <c r="I10850">
        <v>703</v>
      </c>
      <c r="J10850">
        <f>GS90/545.4</f>
        <v>0</v>
      </c>
      <c r="K10850" t="inlineStr">
        <is>
          <t>DIL MC25</t>
        </is>
      </c>
      <c r="M10850" t="inlineStr">
        <is>
          <t>-545Q1</t>
        </is>
      </c>
    </row>
    <row r="10851">
      <c r="A10851">
        <v>10850</v>
      </c>
      <c r="B10851">
        <f>GS91</f>
        <v>0</v>
      </c>
      <c r="C10851" t="inlineStr">
        <is>
          <t>+LS10</t>
        </is>
      </c>
      <c r="D10851" t="inlineStr">
        <is>
          <t>-545Q1</t>
        </is>
      </c>
      <c r="E10851" t="inlineStr">
        <is>
          <t>DILA-XHI22</t>
        </is>
      </c>
      <c r="F10851" t="inlineStr">
        <is>
          <t>DILA-XHI22</t>
        </is>
      </c>
      <c r="G10851" t="inlineStr">
        <is>
          <t>HILFSKONTAKTBLOCK</t>
        </is>
      </c>
      <c r="H10851" t="inlineStr">
        <is>
          <t>2S 2OE Last+Hilfssch. Cage</t>
        </is>
      </c>
      <c r="I10851">
        <v>693</v>
      </c>
      <c r="J10851">
        <f>GS91/545.4</f>
        <v>0</v>
      </c>
      <c r="K10851" t="inlineStr">
        <is>
          <t>DIL MC25</t>
        </is>
      </c>
      <c r="M10851" t="inlineStr">
        <is>
          <t>-545Q1</t>
        </is>
      </c>
    </row>
    <row r="10852">
      <c r="A10852">
        <v>10851</v>
      </c>
      <c r="B10852">
        <f>GS91</f>
        <v>0</v>
      </c>
      <c r="C10852" t="inlineStr">
        <is>
          <t>+LS10</t>
        </is>
      </c>
      <c r="D10852" t="inlineStr">
        <is>
          <t>-545Q1</t>
        </is>
      </c>
      <c r="E10852" t="inlineStr">
        <is>
          <t>DILMC25-10(RDC24)</t>
        </is>
      </c>
      <c r="F10852" t="inlineStr">
        <is>
          <t>DILA-XHI22</t>
        </is>
      </c>
      <c r="G10852" t="inlineStr">
        <is>
          <t>LASTSCHUETZ</t>
        </is>
      </c>
      <c r="H10852" t="inlineStr">
        <is>
          <t>11kW 1S Federzugkl.</t>
        </is>
      </c>
      <c r="I10852">
        <v>693</v>
      </c>
      <c r="J10852">
        <f>GS91/545.4</f>
        <v>0</v>
      </c>
      <c r="K10852" t="inlineStr">
        <is>
          <t>DIL MC25</t>
        </is>
      </c>
      <c r="M10852" t="inlineStr">
        <is>
          <t>-545Q1</t>
        </is>
      </c>
    </row>
    <row r="10853">
      <c r="A10853">
        <v>10852</v>
      </c>
      <c r="B10853">
        <f>GS93</f>
        <v>0</v>
      </c>
      <c r="C10853" t="inlineStr">
        <is>
          <t>+LS10</t>
        </is>
      </c>
      <c r="D10853" t="inlineStr">
        <is>
          <t>-545Q1</t>
        </is>
      </c>
      <c r="E10853" t="inlineStr">
        <is>
          <t>DILMC25-10(RDC24)</t>
        </is>
      </c>
      <c r="F10853" t="inlineStr">
        <is>
          <t>DILA-XHI22</t>
        </is>
      </c>
      <c r="G10853" t="inlineStr">
        <is>
          <t>LASTSCHUETZ</t>
        </is>
      </c>
      <c r="H10853" t="inlineStr">
        <is>
          <t>11kW 1S Federzugkl.</t>
        </is>
      </c>
      <c r="I10853">
        <v>1099</v>
      </c>
      <c r="J10853">
        <f>GS93/545.4</f>
        <v>0</v>
      </c>
      <c r="K10853" t="inlineStr">
        <is>
          <t>DIL MC25</t>
        </is>
      </c>
      <c r="M10853" t="inlineStr">
        <is>
          <t>-545Q1</t>
        </is>
      </c>
    </row>
    <row r="10854">
      <c r="A10854">
        <v>10853</v>
      </c>
      <c r="B10854">
        <f>GS93</f>
        <v>0</v>
      </c>
      <c r="C10854" t="inlineStr">
        <is>
          <t>+LS10</t>
        </is>
      </c>
      <c r="D10854" t="inlineStr">
        <is>
          <t>-545Q1</t>
        </is>
      </c>
      <c r="E10854" t="inlineStr">
        <is>
          <t>DILA-XHI22</t>
        </is>
      </c>
      <c r="F10854" t="inlineStr">
        <is>
          <t>DILA-XHI22</t>
        </is>
      </c>
      <c r="G10854" t="inlineStr">
        <is>
          <t>HILFSKONTAKTBLOCK</t>
        </is>
      </c>
      <c r="H10854" t="inlineStr">
        <is>
          <t>2S 2OE Last+Hilfssch. Cage</t>
        </is>
      </c>
      <c r="I10854">
        <v>1099</v>
      </c>
      <c r="J10854">
        <f>GS93/545.4</f>
        <v>0</v>
      </c>
      <c r="K10854" t="inlineStr">
        <is>
          <t>DIL MC25</t>
        </is>
      </c>
      <c r="M10854" t="inlineStr">
        <is>
          <t>-545Q1</t>
        </is>
      </c>
    </row>
    <row r="10855">
      <c r="A10855">
        <v>10854</v>
      </c>
      <c r="B10855">
        <f>GS08</f>
        <v>0</v>
      </c>
      <c r="C10855" t="inlineStr">
        <is>
          <t>+LS09</t>
        </is>
      </c>
      <c r="D10855" t="inlineStr">
        <is>
          <t>-545Q3</t>
        </is>
      </c>
      <c r="E10855" t="inlineStr">
        <is>
          <t>DILA-XHI22</t>
        </is>
      </c>
      <c r="F10855" t="inlineStr">
        <is>
          <t>DILA-XHI22</t>
        </is>
      </c>
      <c r="G10855" t="inlineStr">
        <is>
          <t>HILFSKONTAKTBLOCK</t>
        </is>
      </c>
      <c r="H10855" t="inlineStr">
        <is>
          <t>2S 2OE Last+Hilfssch. Cage</t>
        </is>
      </c>
      <c r="I10855">
        <v>1997</v>
      </c>
      <c r="J10855">
        <f>GS08/545.7</f>
        <v>0</v>
      </c>
      <c r="K10855" t="inlineStr">
        <is>
          <t>DIL MC25</t>
        </is>
      </c>
      <c r="M10855" t="inlineStr">
        <is>
          <t>-545Q3</t>
        </is>
      </c>
    </row>
    <row r="10856">
      <c r="A10856">
        <v>10855</v>
      </c>
      <c r="B10856">
        <f>GS08</f>
        <v>0</v>
      </c>
      <c r="C10856" t="inlineStr">
        <is>
          <t>+LS09</t>
        </is>
      </c>
      <c r="D10856" t="inlineStr">
        <is>
          <t>-545Q3</t>
        </is>
      </c>
      <c r="E10856" t="inlineStr">
        <is>
          <t>DILMC25-10(RDC24)</t>
        </is>
      </c>
      <c r="F10856" t="inlineStr">
        <is>
          <t>DILA-XHI22</t>
        </is>
      </c>
      <c r="G10856" t="inlineStr">
        <is>
          <t>LASTSCHUETZ</t>
        </is>
      </c>
      <c r="H10856" t="inlineStr">
        <is>
          <t>11kW 1S Federzugkl.</t>
        </is>
      </c>
      <c r="I10856">
        <v>1997</v>
      </c>
      <c r="J10856">
        <f>GS08/545.7</f>
        <v>0</v>
      </c>
      <c r="K10856" t="inlineStr">
        <is>
          <t>DIL MC25</t>
        </is>
      </c>
      <c r="M10856" t="inlineStr">
        <is>
          <t>-545Q3</t>
        </is>
      </c>
    </row>
    <row r="10857">
      <c r="A10857">
        <v>10856</v>
      </c>
      <c r="B10857">
        <f>GS01</f>
        <v>0</v>
      </c>
      <c r="C10857" t="inlineStr">
        <is>
          <t>+LS12</t>
        </is>
      </c>
      <c r="D10857" t="inlineStr">
        <is>
          <t>-546K33.7</t>
        </is>
      </c>
      <c r="E10857" t="inlineStr">
        <is>
          <t>DIL_EM-10-G</t>
        </is>
      </c>
      <c r="F10857" t="inlineStr">
        <is>
          <t>#KALK!</t>
        </is>
      </c>
      <c r="G10857" t="inlineStr">
        <is>
          <t>LASTSCHUETZ</t>
        </is>
      </c>
      <c r="H10857" t="inlineStr">
        <is>
          <t>4kW 1S</t>
        </is>
      </c>
      <c r="I10857">
        <v>715</v>
      </c>
      <c r="J10857">
        <f>GS01/546.6</f>
        <v>0</v>
      </c>
      <c r="M10857" t="inlineStr">
        <is>
          <t>-546K33.7</t>
        </is>
      </c>
    </row>
    <row r="10858">
      <c r="A10858">
        <v>10857</v>
      </c>
      <c r="B10858">
        <f>GS24</f>
        <v>0</v>
      </c>
      <c r="C10858" t="inlineStr">
        <is>
          <t>+LS11</t>
        </is>
      </c>
      <c r="D10858" t="inlineStr">
        <is>
          <t>-546K3514.7</t>
        </is>
      </c>
      <c r="E10858" t="inlineStr">
        <is>
          <t>DIL_EM-10-G</t>
        </is>
      </c>
      <c r="F10858" t="inlineStr">
        <is>
          <t>#KALK!</t>
        </is>
      </c>
      <c r="G10858" t="inlineStr">
        <is>
          <t>LASTSCHUETZ</t>
        </is>
      </c>
      <c r="H10858" t="inlineStr">
        <is>
          <t>4kW 1S</t>
        </is>
      </c>
      <c r="I10858">
        <v>550</v>
      </c>
      <c r="J10858">
        <f>GS24/546.6</f>
        <v>0</v>
      </c>
      <c r="M10858" t="inlineStr">
        <is>
          <t>-546K3514.7</t>
        </is>
      </c>
    </row>
    <row r="10859">
      <c r="A10859">
        <v>10858</v>
      </c>
      <c r="B10859">
        <f>GS24</f>
        <v>0</v>
      </c>
      <c r="C10859" t="inlineStr">
        <is>
          <t>+LS11</t>
        </is>
      </c>
      <c r="D10859" t="inlineStr">
        <is>
          <t>-546K3515.0</t>
        </is>
      </c>
      <c r="E10859" t="inlineStr">
        <is>
          <t>DIL_EM-10-G</t>
        </is>
      </c>
      <c r="F10859" t="inlineStr">
        <is>
          <t>#KALK!</t>
        </is>
      </c>
      <c r="G10859" t="inlineStr">
        <is>
          <t>LASTSCHUETZ</t>
        </is>
      </c>
      <c r="H10859" t="inlineStr">
        <is>
          <t>4kW 1S</t>
        </is>
      </c>
      <c r="I10859">
        <v>550</v>
      </c>
      <c r="J10859">
        <f>GS24/546.7</f>
        <v>0</v>
      </c>
      <c r="M10859" t="inlineStr">
        <is>
          <t>-546K3515.0</t>
        </is>
      </c>
    </row>
    <row r="10860">
      <c r="A10860">
        <v>10859</v>
      </c>
      <c r="B10860">
        <f>GS14</f>
        <v>0</v>
      </c>
      <c r="C10860" t="inlineStr">
        <is>
          <t>+LS10</t>
        </is>
      </c>
      <c r="D10860" t="inlineStr">
        <is>
          <t>-546K3520.1</t>
        </is>
      </c>
      <c r="E10860" t="inlineStr">
        <is>
          <t>DIL_EM-10-G</t>
        </is>
      </c>
      <c r="F10860" t="inlineStr">
        <is>
          <t>#KALK!</t>
        </is>
      </c>
      <c r="G10860" t="inlineStr">
        <is>
          <t>LASTSCHUETZ</t>
        </is>
      </c>
      <c r="H10860" t="inlineStr">
        <is>
          <t>4kW 1S</t>
        </is>
      </c>
      <c r="I10860">
        <v>678</v>
      </c>
      <c r="J10860">
        <f>GS14/546.5</f>
        <v>0</v>
      </c>
      <c r="M10860" t="inlineStr">
        <is>
          <t>-546K3520.1</t>
        </is>
      </c>
    </row>
    <row r="10861">
      <c r="A10861">
        <v>10860</v>
      </c>
      <c r="B10861">
        <f>GS14</f>
        <v>0</v>
      </c>
      <c r="C10861" t="inlineStr">
        <is>
          <t>+LS10</t>
        </is>
      </c>
      <c r="D10861" t="inlineStr">
        <is>
          <t>-546K3520.2</t>
        </is>
      </c>
      <c r="E10861" t="inlineStr">
        <is>
          <t>DIL_EM-10-G</t>
        </is>
      </c>
      <c r="F10861" t="inlineStr">
        <is>
          <t>#KALK!</t>
        </is>
      </c>
      <c r="G10861" t="inlineStr">
        <is>
          <t>LASTSCHUETZ</t>
        </is>
      </c>
      <c r="H10861" t="inlineStr">
        <is>
          <t>4kW 1S</t>
        </is>
      </c>
      <c r="I10861">
        <v>678</v>
      </c>
      <c r="J10861">
        <f>GS14/546.6</f>
        <v>0</v>
      </c>
      <c r="M10861" t="inlineStr">
        <is>
          <t>-546K3520.2</t>
        </is>
      </c>
    </row>
    <row r="10862">
      <c r="A10862">
        <v>10861</v>
      </c>
      <c r="B10862">
        <f>GS14</f>
        <v>0</v>
      </c>
      <c r="C10862" t="inlineStr">
        <is>
          <t>+LS10</t>
        </is>
      </c>
      <c r="D10862" t="inlineStr">
        <is>
          <t>-546K3520.3</t>
        </is>
      </c>
      <c r="E10862" t="inlineStr">
        <is>
          <t>DIL_EM-01-G</t>
        </is>
      </c>
      <c r="F10862" t="inlineStr">
        <is>
          <t>#KALK!</t>
        </is>
      </c>
      <c r="G10862" t="inlineStr">
        <is>
          <t>LASTSCHUETZ</t>
        </is>
      </c>
      <c r="H10862" t="inlineStr">
        <is>
          <t>4kW 1OE</t>
        </is>
      </c>
      <c r="I10862">
        <v>678</v>
      </c>
      <c r="J10862">
        <f>GS14/546.7</f>
        <v>0</v>
      </c>
      <c r="M10862" t="inlineStr">
        <is>
          <t>-546K3520.3</t>
        </is>
      </c>
    </row>
    <row r="10863">
      <c r="A10863">
        <v>10862</v>
      </c>
      <c r="B10863">
        <f>GS14</f>
        <v>0</v>
      </c>
      <c r="C10863" t="inlineStr">
        <is>
          <t>+LS10</t>
        </is>
      </c>
      <c r="D10863" t="inlineStr">
        <is>
          <t>-546K3520.4</t>
        </is>
      </c>
      <c r="E10863" t="inlineStr">
        <is>
          <t>DIL_EM-01-G</t>
        </is>
      </c>
      <c r="F10863" t="inlineStr">
        <is>
          <t>#KALK!</t>
        </is>
      </c>
      <c r="G10863" t="inlineStr">
        <is>
          <t>LASTSCHUETZ</t>
        </is>
      </c>
      <c r="H10863" t="inlineStr">
        <is>
          <t>4kW 1OE</t>
        </is>
      </c>
      <c r="I10863">
        <v>678</v>
      </c>
      <c r="J10863">
        <f>GS14/546.8</f>
        <v>0</v>
      </c>
      <c r="M10863" t="inlineStr">
        <is>
          <t>-546K3520.4</t>
        </is>
      </c>
    </row>
    <row r="10864">
      <c r="A10864">
        <v>10863</v>
      </c>
      <c r="B10864">
        <f>GS93</f>
        <v>0</v>
      </c>
      <c r="C10864" t="inlineStr">
        <is>
          <t>+LS10</t>
        </is>
      </c>
      <c r="D10864" t="inlineStr">
        <is>
          <t>-546Q754.5</t>
        </is>
      </c>
      <c r="E10864" t="inlineStr">
        <is>
          <t>DILM-9-10</t>
        </is>
      </c>
      <c r="F10864" t="inlineStr">
        <is>
          <t>DILA-XHI22</t>
        </is>
      </c>
      <c r="G10864" t="inlineStr">
        <is>
          <t>LASTSCHUETZ</t>
        </is>
      </c>
      <c r="H10864" t="inlineStr">
        <is>
          <t>4kW 1S Federzugkl.</t>
        </is>
      </c>
      <c r="I10864">
        <v>1100</v>
      </c>
      <c r="J10864">
        <f>GS93/546.5</f>
        <v>0</v>
      </c>
      <c r="M10864" t="inlineStr">
        <is>
          <t>-546Q754.5</t>
        </is>
      </c>
    </row>
    <row r="10865">
      <c r="A10865">
        <v>10864</v>
      </c>
      <c r="B10865">
        <f>GS93</f>
        <v>0</v>
      </c>
      <c r="C10865" t="inlineStr">
        <is>
          <t>+LS10</t>
        </is>
      </c>
      <c r="D10865" t="inlineStr">
        <is>
          <t>-546Q754.5</t>
        </is>
      </c>
      <c r="E10865" t="inlineStr">
        <is>
          <t>DILA-XHI22</t>
        </is>
      </c>
      <c r="F10865" t="inlineStr">
        <is>
          <t>DILA-XHI22</t>
        </is>
      </c>
      <c r="G10865" t="inlineStr">
        <is>
          <t>HILFSKONTAKTBLOCK</t>
        </is>
      </c>
      <c r="H10865" t="inlineStr">
        <is>
          <t>2S 2OE Last+Hilfssch. Cage</t>
        </is>
      </c>
      <c r="I10865">
        <v>1100</v>
      </c>
      <c r="J10865">
        <f>GS93/546.5</f>
        <v>0</v>
      </c>
      <c r="M10865" t="inlineStr">
        <is>
          <t>-546Q754.5</t>
        </is>
      </c>
    </row>
    <row r="10866">
      <c r="A10866">
        <v>10865</v>
      </c>
      <c r="B10866">
        <f>GS93</f>
        <v>0</v>
      </c>
      <c r="C10866" t="inlineStr">
        <is>
          <t>+LS10</t>
        </is>
      </c>
      <c r="D10866" t="inlineStr">
        <is>
          <t>-546Q754.6</t>
        </is>
      </c>
      <c r="E10866" t="inlineStr">
        <is>
          <t>DILM-9-10</t>
        </is>
      </c>
      <c r="F10866" t="inlineStr">
        <is>
          <t>DILA-XHI22</t>
        </is>
      </c>
      <c r="G10866" t="inlineStr">
        <is>
          <t>LASTSCHUETZ</t>
        </is>
      </c>
      <c r="H10866" t="inlineStr">
        <is>
          <t>4kW 1S Federzugkl.</t>
        </is>
      </c>
      <c r="I10866">
        <v>1100</v>
      </c>
      <c r="J10866">
        <f>GS93/546.6</f>
        <v>0</v>
      </c>
      <c r="M10866" t="inlineStr">
        <is>
          <t>-546Q754.6</t>
        </is>
      </c>
    </row>
    <row r="10867">
      <c r="A10867">
        <v>10866</v>
      </c>
      <c r="B10867">
        <f>GS93</f>
        <v>0</v>
      </c>
      <c r="C10867" t="inlineStr">
        <is>
          <t>+LS10</t>
        </is>
      </c>
      <c r="D10867" t="inlineStr">
        <is>
          <t>-546Q754.6</t>
        </is>
      </c>
      <c r="E10867" t="inlineStr">
        <is>
          <t>DILA-XHI22</t>
        </is>
      </c>
      <c r="F10867" t="inlineStr">
        <is>
          <t>DILA-XHI22</t>
        </is>
      </c>
      <c r="G10867" t="inlineStr">
        <is>
          <t>HILFSKONTAKTBLOCK</t>
        </is>
      </c>
      <c r="H10867" t="inlineStr">
        <is>
          <t>2S 2OE Last+Hilfssch. Cage</t>
        </is>
      </c>
      <c r="I10867">
        <v>1100</v>
      </c>
      <c r="J10867">
        <f>GS93/546.6</f>
        <v>0</v>
      </c>
      <c r="M10867" t="inlineStr">
        <is>
          <t>-546Q754.6</t>
        </is>
      </c>
    </row>
    <row r="10868">
      <c r="A10868">
        <v>10867</v>
      </c>
      <c r="B10868">
        <f>GS13</f>
        <v>0</v>
      </c>
      <c r="C10868" t="inlineStr">
        <is>
          <t>+LS13</t>
        </is>
      </c>
      <c r="D10868" t="inlineStr">
        <is>
          <t>-54724.5</t>
        </is>
      </c>
      <c r="E10868" t="inlineStr">
        <is>
          <t>DIL_EM-10-G</t>
        </is>
      </c>
      <c r="F10868" t="inlineStr">
        <is>
          <t>#KALK!</t>
        </is>
      </c>
      <c r="G10868" t="inlineStr">
        <is>
          <t>LASTSCHUETZ</t>
        </is>
      </c>
      <c r="H10868" t="inlineStr">
        <is>
          <t>4kW 1S</t>
        </is>
      </c>
      <c r="I10868">
        <v>806</v>
      </c>
      <c r="J10868">
        <f>GS13/547.7</f>
        <v>0</v>
      </c>
      <c r="M10868" t="inlineStr">
        <is>
          <t>-54724.5</t>
        </is>
      </c>
    </row>
    <row r="10869">
      <c r="A10869">
        <v>10868</v>
      </c>
      <c r="B10869">
        <f>GS16</f>
        <v>0</v>
      </c>
      <c r="C10869" t="inlineStr">
        <is>
          <t>+LS10</t>
        </is>
      </c>
      <c r="D10869" t="inlineStr">
        <is>
          <t>-547K1</t>
        </is>
      </c>
      <c r="E10869" t="inlineStr">
        <is>
          <t>DIL_ER-40-G</t>
        </is>
      </c>
      <c r="F10869" t="inlineStr">
        <is>
          <t>#KALK!</t>
        </is>
      </c>
      <c r="G10869" t="inlineStr">
        <is>
          <t>HILFSSCHUETZ</t>
        </is>
      </c>
      <c r="H10869" t="inlineStr">
        <is>
          <t>4S</t>
        </is>
      </c>
      <c r="I10869">
        <v>792</v>
      </c>
      <c r="J10869">
        <f>GS16/547.2</f>
        <v>0</v>
      </c>
      <c r="M10869" t="inlineStr">
        <is>
          <t>-547K1</t>
        </is>
      </c>
    </row>
    <row r="10870">
      <c r="A10870">
        <v>10869</v>
      </c>
      <c r="B10870">
        <f>GS16</f>
        <v>0</v>
      </c>
      <c r="C10870" t="inlineStr">
        <is>
          <t>+LS10</t>
        </is>
      </c>
      <c r="D10870" t="inlineStr">
        <is>
          <t>-547K2</t>
        </is>
      </c>
      <c r="E10870" t="inlineStr">
        <is>
          <t>DIL_ER-40-G</t>
        </is>
      </c>
      <c r="F10870" t="inlineStr">
        <is>
          <t>#KALK!</t>
        </is>
      </c>
      <c r="G10870" t="inlineStr">
        <is>
          <t>HILFSSCHUETZ</t>
        </is>
      </c>
      <c r="H10870" t="inlineStr">
        <is>
          <t>4S</t>
        </is>
      </c>
      <c r="I10870">
        <v>792</v>
      </c>
      <c r="J10870">
        <f>GS16/547.4</f>
        <v>0</v>
      </c>
      <c r="M10870" t="inlineStr">
        <is>
          <t>-547K2</t>
        </is>
      </c>
    </row>
    <row r="10871">
      <c r="A10871">
        <v>10870</v>
      </c>
      <c r="B10871">
        <f>GS23</f>
        <v>0</v>
      </c>
      <c r="C10871" t="inlineStr">
        <is>
          <t>+LS13</t>
        </is>
      </c>
      <c r="D10871" t="inlineStr">
        <is>
          <t>-547K24.5</t>
        </is>
      </c>
      <c r="E10871" t="inlineStr">
        <is>
          <t>DIL_EM-10-G</t>
        </is>
      </c>
      <c r="F10871" t="inlineStr">
        <is>
          <t>#KALK!</t>
        </is>
      </c>
      <c r="G10871" t="inlineStr">
        <is>
          <t>LASTSCHUETZ</t>
        </is>
      </c>
      <c r="H10871" t="inlineStr">
        <is>
          <t>4kW 1S</t>
        </is>
      </c>
      <c r="I10871">
        <v>859</v>
      </c>
      <c r="J10871">
        <f>GS23/547.7</f>
        <v>0</v>
      </c>
      <c r="M10871" t="inlineStr">
        <is>
          <t>-547K24.5</t>
        </is>
      </c>
    </row>
    <row r="10872">
      <c r="A10872">
        <v>10871</v>
      </c>
      <c r="B10872">
        <f>GS16</f>
        <v>0</v>
      </c>
      <c r="C10872" t="inlineStr">
        <is>
          <t>+LS10</t>
        </is>
      </c>
      <c r="D10872" t="inlineStr">
        <is>
          <t>-547K3</t>
        </is>
      </c>
      <c r="E10872" t="inlineStr">
        <is>
          <t>DIL_ER-40-G</t>
        </is>
      </c>
      <c r="F10872" t="inlineStr">
        <is>
          <t>#KALK!</t>
        </is>
      </c>
      <c r="G10872" t="inlineStr">
        <is>
          <t>HILFSSCHUETZ</t>
        </is>
      </c>
      <c r="H10872" t="inlineStr">
        <is>
          <t>4S</t>
        </is>
      </c>
      <c r="I10872">
        <v>792</v>
      </c>
      <c r="J10872">
        <f>GS16/547.5</f>
        <v>0</v>
      </c>
      <c r="M10872" t="inlineStr">
        <is>
          <t>-547K3</t>
        </is>
      </c>
    </row>
    <row r="10873">
      <c r="A10873">
        <v>10872</v>
      </c>
      <c r="B10873">
        <f>GS01</f>
        <v>0</v>
      </c>
      <c r="C10873" t="inlineStr">
        <is>
          <t>+LS12</t>
        </is>
      </c>
      <c r="D10873" t="inlineStr">
        <is>
          <t>-547K34.4</t>
        </is>
      </c>
      <c r="E10873" t="inlineStr">
        <is>
          <t>DIL_EM-10-G</t>
        </is>
      </c>
      <c r="F10873" t="inlineStr">
        <is>
          <t>#KALK!</t>
        </is>
      </c>
      <c r="G10873" t="inlineStr">
        <is>
          <t>LASTSCHUETZ</t>
        </is>
      </c>
      <c r="H10873" t="inlineStr">
        <is>
          <t>4kW 1S</t>
        </is>
      </c>
      <c r="I10873">
        <v>716</v>
      </c>
      <c r="J10873">
        <f>GS01/547.6</f>
        <v>0</v>
      </c>
      <c r="M10873" t="inlineStr">
        <is>
          <t>-547K34.4</t>
        </is>
      </c>
    </row>
    <row r="10874">
      <c r="A10874">
        <v>10873</v>
      </c>
      <c r="B10874">
        <f>GS01</f>
        <v>0</v>
      </c>
      <c r="C10874" t="inlineStr">
        <is>
          <t>+LS12</t>
        </is>
      </c>
      <c r="D10874" t="inlineStr">
        <is>
          <t>-547K34.5</t>
        </is>
      </c>
      <c r="E10874" t="inlineStr">
        <is>
          <t>DIL_EM-10-G</t>
        </is>
      </c>
      <c r="F10874" t="inlineStr">
        <is>
          <t>#KALK!</t>
        </is>
      </c>
      <c r="G10874" t="inlineStr">
        <is>
          <t>LASTSCHUETZ</t>
        </is>
      </c>
      <c r="H10874" t="inlineStr">
        <is>
          <t>4kW 1S</t>
        </is>
      </c>
      <c r="I10874">
        <v>716</v>
      </c>
      <c r="J10874">
        <f>GS01/547.6</f>
        <v>0</v>
      </c>
      <c r="M10874" t="inlineStr">
        <is>
          <t>-547K34.5</t>
        </is>
      </c>
    </row>
    <row r="10875">
      <c r="A10875">
        <v>10874</v>
      </c>
      <c r="B10875">
        <f>GS25</f>
        <v>0</v>
      </c>
      <c r="C10875" t="inlineStr">
        <is>
          <t>+LS13</t>
        </is>
      </c>
      <c r="D10875" t="inlineStr">
        <is>
          <t>-547K3514.0</t>
        </is>
      </c>
      <c r="E10875" t="inlineStr">
        <is>
          <t>DIL_EM-10-G</t>
        </is>
      </c>
      <c r="F10875" t="inlineStr">
        <is>
          <t>#KALK!</t>
        </is>
      </c>
      <c r="G10875" t="inlineStr">
        <is>
          <t>LASTSCHUETZ</t>
        </is>
      </c>
      <c r="H10875" t="inlineStr">
        <is>
          <t>4kW 1S</t>
        </is>
      </c>
      <c r="I10875">
        <v>674</v>
      </c>
      <c r="J10875">
        <f>GS25/547.6</f>
        <v>0</v>
      </c>
      <c r="M10875" t="inlineStr">
        <is>
          <t>-547K3514.0</t>
        </is>
      </c>
    </row>
    <row r="10876">
      <c r="A10876">
        <v>10875</v>
      </c>
      <c r="B10876">
        <f>GS25</f>
        <v>0</v>
      </c>
      <c r="C10876" t="inlineStr">
        <is>
          <t>+LS13</t>
        </is>
      </c>
      <c r="D10876" t="inlineStr">
        <is>
          <t>-547K3514.1</t>
        </is>
      </c>
      <c r="E10876" t="inlineStr">
        <is>
          <t>DIL_EM-10-G</t>
        </is>
      </c>
      <c r="F10876" t="inlineStr">
        <is>
          <t>#KALK!</t>
        </is>
      </c>
      <c r="G10876" t="inlineStr">
        <is>
          <t>LASTSCHUETZ</t>
        </is>
      </c>
      <c r="H10876" t="inlineStr">
        <is>
          <t>4kW 1S</t>
        </is>
      </c>
      <c r="I10876">
        <v>674</v>
      </c>
      <c r="J10876">
        <f>GS25/547.7</f>
        <v>0</v>
      </c>
      <c r="M10876" t="inlineStr">
        <is>
          <t>-547K3514.1</t>
        </is>
      </c>
    </row>
    <row r="10877">
      <c r="A10877">
        <v>10876</v>
      </c>
      <c r="B10877">
        <f>GS24</f>
        <v>0</v>
      </c>
      <c r="C10877" t="inlineStr">
        <is>
          <t>+LS11</t>
        </is>
      </c>
      <c r="D10877" t="inlineStr">
        <is>
          <t>-547K3515.1</t>
        </is>
      </c>
      <c r="E10877" t="inlineStr">
        <is>
          <t>DIL_EM-10-G</t>
        </is>
      </c>
      <c r="F10877" t="inlineStr">
        <is>
          <t>#KALK!</t>
        </is>
      </c>
      <c r="G10877" t="inlineStr">
        <is>
          <t>LASTSCHUETZ</t>
        </is>
      </c>
      <c r="H10877" t="inlineStr">
        <is>
          <t>4kW 1S</t>
        </is>
      </c>
      <c r="I10877">
        <v>549</v>
      </c>
      <c r="J10877">
        <f>GS24/547.6</f>
        <v>0</v>
      </c>
      <c r="M10877" t="inlineStr">
        <is>
          <t>-547K3515.1</t>
        </is>
      </c>
    </row>
    <row r="10878">
      <c r="A10878">
        <v>10877</v>
      </c>
      <c r="B10878">
        <f>GS24</f>
        <v>0</v>
      </c>
      <c r="C10878" t="inlineStr">
        <is>
          <t>+LS11</t>
        </is>
      </c>
      <c r="D10878" t="inlineStr">
        <is>
          <t>-547K3515.2</t>
        </is>
      </c>
      <c r="E10878" t="inlineStr">
        <is>
          <t>DIL_EM-10-G</t>
        </is>
      </c>
      <c r="F10878" t="inlineStr">
        <is>
          <t>#KALK!</t>
        </is>
      </c>
      <c r="G10878" t="inlineStr">
        <is>
          <t>LASTSCHUETZ</t>
        </is>
      </c>
      <c r="H10878" t="inlineStr">
        <is>
          <t>4kW 1S</t>
        </is>
      </c>
      <c r="I10878">
        <v>549</v>
      </c>
      <c r="J10878">
        <f>GS24/547.7</f>
        <v>0</v>
      </c>
      <c r="M10878" t="inlineStr">
        <is>
          <t>-547K3515.2</t>
        </is>
      </c>
    </row>
    <row r="10879">
      <c r="A10879">
        <v>10878</v>
      </c>
      <c r="B10879">
        <f>GS14</f>
        <v>0</v>
      </c>
      <c r="C10879" t="inlineStr">
        <is>
          <t>+LS10</t>
        </is>
      </c>
      <c r="D10879" t="inlineStr">
        <is>
          <t>-547K3520.5</t>
        </is>
      </c>
      <c r="E10879" t="inlineStr">
        <is>
          <t>DIL_EM-10-G</t>
        </is>
      </c>
      <c r="F10879" t="inlineStr">
        <is>
          <t>#KALK!</t>
        </is>
      </c>
      <c r="G10879" t="inlineStr">
        <is>
          <t>LASTSCHUETZ</t>
        </is>
      </c>
      <c r="H10879" t="inlineStr">
        <is>
          <t>4kW 1S</t>
        </is>
      </c>
      <c r="I10879">
        <v>679</v>
      </c>
      <c r="J10879">
        <f>GS14/547.6</f>
        <v>0</v>
      </c>
      <c r="M10879" t="inlineStr">
        <is>
          <t>-547K3520.5</t>
        </is>
      </c>
    </row>
    <row r="10880">
      <c r="A10880">
        <v>10879</v>
      </c>
      <c r="B10880">
        <f>GS14</f>
        <v>0</v>
      </c>
      <c r="C10880" t="inlineStr">
        <is>
          <t>+LS10</t>
        </is>
      </c>
      <c r="D10880" t="inlineStr">
        <is>
          <t>-547K3520.6</t>
        </is>
      </c>
      <c r="E10880" t="inlineStr">
        <is>
          <t>DIL_EM-10-G</t>
        </is>
      </c>
      <c r="F10880" t="inlineStr">
        <is>
          <t>#KALK!</t>
        </is>
      </c>
      <c r="G10880" t="inlineStr">
        <is>
          <t>LASTSCHUETZ</t>
        </is>
      </c>
      <c r="H10880" t="inlineStr">
        <is>
          <t>4kW 1S</t>
        </is>
      </c>
      <c r="I10880">
        <v>679</v>
      </c>
      <c r="J10880">
        <f>GS14/547.6</f>
        <v>0</v>
      </c>
      <c r="M10880" t="inlineStr">
        <is>
          <t>-547K3520.6</t>
        </is>
      </c>
    </row>
    <row r="10881">
      <c r="A10881">
        <v>10880</v>
      </c>
      <c r="B10881">
        <f>GS16</f>
        <v>0</v>
      </c>
      <c r="C10881" t="inlineStr">
        <is>
          <t>+LS10</t>
        </is>
      </c>
      <c r="D10881" t="inlineStr">
        <is>
          <t>-547K4</t>
        </is>
      </c>
      <c r="E10881" t="inlineStr">
        <is>
          <t>DIL_ER-40-G</t>
        </is>
      </c>
      <c r="F10881" t="inlineStr">
        <is>
          <t>#KALK!</t>
        </is>
      </c>
      <c r="G10881" t="inlineStr">
        <is>
          <t>HILFSSCHUETZ</t>
        </is>
      </c>
      <c r="H10881" t="inlineStr">
        <is>
          <t>4S</t>
        </is>
      </c>
      <c r="I10881">
        <v>792</v>
      </c>
      <c r="J10881">
        <f>GS16/547.6</f>
        <v>0</v>
      </c>
      <c r="M10881" t="inlineStr">
        <is>
          <t>-547K4</t>
        </is>
      </c>
    </row>
    <row r="10882">
      <c r="A10882">
        <v>10881</v>
      </c>
      <c r="B10882">
        <f>GS16</f>
        <v>0</v>
      </c>
      <c r="C10882" t="inlineStr">
        <is>
          <t>+LS10</t>
        </is>
      </c>
      <c r="D10882" t="inlineStr">
        <is>
          <t>-547K5</t>
        </is>
      </c>
      <c r="E10882" t="inlineStr">
        <is>
          <t>DILA-40</t>
        </is>
      </c>
      <c r="F10882" t="inlineStr">
        <is>
          <t>#KALK!</t>
        </is>
      </c>
      <c r="G10882" t="inlineStr">
        <is>
          <t>HILFSSCHUETZ</t>
        </is>
      </c>
      <c r="H10882" t="inlineStr">
        <is>
          <t>4S Federzugkl.</t>
        </is>
      </c>
      <c r="I10882">
        <v>792</v>
      </c>
      <c r="J10882">
        <f>GS16/547.7</f>
        <v>0</v>
      </c>
      <c r="M10882" t="inlineStr">
        <is>
          <t>-547K5</t>
        </is>
      </c>
    </row>
    <row r="10883">
      <c r="A10883">
        <v>10882</v>
      </c>
      <c r="B10883">
        <f>GS16</f>
        <v>0</v>
      </c>
      <c r="C10883" t="inlineStr">
        <is>
          <t>+LS10</t>
        </is>
      </c>
      <c r="D10883" t="inlineStr">
        <is>
          <t>-547K6</t>
        </is>
      </c>
      <c r="E10883" t="inlineStr">
        <is>
          <t>DILA-40</t>
        </is>
      </c>
      <c r="F10883" t="inlineStr">
        <is>
          <t>#KALK!</t>
        </is>
      </c>
      <c r="G10883" t="inlineStr">
        <is>
          <t>HILFSSCHUETZ</t>
        </is>
      </c>
      <c r="H10883" t="inlineStr">
        <is>
          <t>4S Federzugkl.</t>
        </is>
      </c>
      <c r="I10883">
        <v>792</v>
      </c>
      <c r="J10883">
        <f>GS16/547.8</f>
        <v>0</v>
      </c>
      <c r="M10883" t="inlineStr">
        <is>
          <t>-547K6</t>
        </is>
      </c>
    </row>
    <row r="10884">
      <c r="A10884">
        <v>10883</v>
      </c>
      <c r="B10884">
        <f>GS90</f>
        <v>0</v>
      </c>
      <c r="C10884" t="inlineStr">
        <is>
          <t>+LS11</t>
        </is>
      </c>
      <c r="D10884" t="inlineStr">
        <is>
          <t>-547Q481.1</t>
        </is>
      </c>
      <c r="E10884" t="inlineStr">
        <is>
          <t>DILM-9-10</t>
        </is>
      </c>
      <c r="F10884" t="inlineStr">
        <is>
          <t>#KALK!</t>
        </is>
      </c>
      <c r="G10884" t="inlineStr">
        <is>
          <t>LASTSCHUETZ</t>
        </is>
      </c>
      <c r="H10884" t="inlineStr">
        <is>
          <t>4kW 1S Federzugkl.</t>
        </is>
      </c>
      <c r="I10884">
        <v>701</v>
      </c>
      <c r="J10884">
        <f>GS90/547.5</f>
        <v>0</v>
      </c>
      <c r="M10884" t="inlineStr">
        <is>
          <t>-547Q481.1</t>
        </is>
      </c>
    </row>
    <row r="10885">
      <c r="A10885">
        <v>10884</v>
      </c>
      <c r="B10885">
        <f>GS93</f>
        <v>0</v>
      </c>
      <c r="C10885" t="inlineStr">
        <is>
          <t>+LS10</t>
        </is>
      </c>
      <c r="D10885" t="inlineStr">
        <is>
          <t>-547Q754.7</t>
        </is>
      </c>
      <c r="E10885" t="inlineStr">
        <is>
          <t>DILM-9-10</t>
        </is>
      </c>
      <c r="F10885" t="inlineStr">
        <is>
          <t>#KALK!</t>
        </is>
      </c>
      <c r="G10885" t="inlineStr">
        <is>
          <t>LASTSCHUETZ</t>
        </is>
      </c>
      <c r="H10885" t="inlineStr">
        <is>
          <t>4kW 1S Federzugkl.</t>
        </is>
      </c>
      <c r="I10885">
        <v>1101</v>
      </c>
      <c r="J10885">
        <f>GS93/547.5</f>
        <v>0</v>
      </c>
      <c r="M10885" t="inlineStr">
        <is>
          <t>-547Q754.7</t>
        </is>
      </c>
    </row>
    <row r="10886">
      <c r="A10886">
        <v>10885</v>
      </c>
      <c r="B10886">
        <f>GS13</f>
        <v>0</v>
      </c>
      <c r="C10886" t="inlineStr">
        <is>
          <t>+LS13</t>
        </is>
      </c>
      <c r="D10886" t="inlineStr">
        <is>
          <t>-54825.1</t>
        </is>
      </c>
      <c r="E10886" t="inlineStr">
        <is>
          <t>DIL_EM-10-G</t>
        </is>
      </c>
      <c r="F10886" t="inlineStr">
        <is>
          <t>#KALK!</t>
        </is>
      </c>
      <c r="G10886" t="inlineStr">
        <is>
          <t>LASTSCHUETZ</t>
        </is>
      </c>
      <c r="H10886" t="inlineStr">
        <is>
          <t>4kW 1S</t>
        </is>
      </c>
      <c r="I10886">
        <v>807</v>
      </c>
      <c r="J10886">
        <f>GS13/548.7</f>
        <v>0</v>
      </c>
      <c r="M10886" t="inlineStr">
        <is>
          <t>-54825.1</t>
        </is>
      </c>
    </row>
    <row r="10887">
      <c r="A10887">
        <v>10886</v>
      </c>
      <c r="B10887">
        <f>GS23</f>
        <v>0</v>
      </c>
      <c r="C10887" t="inlineStr">
        <is>
          <t>+LS13</t>
        </is>
      </c>
      <c r="D10887" t="inlineStr">
        <is>
          <t>-548K25.1</t>
        </is>
      </c>
      <c r="E10887" t="inlineStr">
        <is>
          <t>DIL_EM-10-G</t>
        </is>
      </c>
      <c r="F10887" t="inlineStr">
        <is>
          <t>#KALK!</t>
        </is>
      </c>
      <c r="G10887" t="inlineStr">
        <is>
          <t>LASTSCHUETZ</t>
        </is>
      </c>
      <c r="H10887" t="inlineStr">
        <is>
          <t>4kW 1S</t>
        </is>
      </c>
      <c r="I10887">
        <v>860</v>
      </c>
      <c r="J10887">
        <f>GS23/548.7</f>
        <v>0</v>
      </c>
      <c r="M10887" t="inlineStr">
        <is>
          <t>-548K25.1</t>
        </is>
      </c>
    </row>
    <row r="10888">
      <c r="A10888">
        <v>10887</v>
      </c>
      <c r="B10888">
        <f>GS01</f>
        <v>0</v>
      </c>
      <c r="C10888" t="inlineStr">
        <is>
          <t>+LS12</t>
        </is>
      </c>
      <c r="D10888" t="inlineStr">
        <is>
          <t>-548K34.6</t>
        </is>
      </c>
      <c r="E10888" t="inlineStr">
        <is>
          <t>DIL_EM-10-G</t>
        </is>
      </c>
      <c r="F10888" t="inlineStr">
        <is>
          <t>#KALK!</t>
        </is>
      </c>
      <c r="G10888" t="inlineStr">
        <is>
          <t>LASTSCHUETZ</t>
        </is>
      </c>
      <c r="H10888" t="inlineStr">
        <is>
          <t>4kW 1S</t>
        </is>
      </c>
      <c r="I10888">
        <v>717</v>
      </c>
      <c r="J10888">
        <f>GS01/548.6</f>
        <v>0</v>
      </c>
      <c r="M10888" t="inlineStr">
        <is>
          <t>-548K34.6</t>
        </is>
      </c>
    </row>
    <row r="10889">
      <c r="A10889">
        <v>10888</v>
      </c>
      <c r="B10889">
        <f>GS01</f>
        <v>0</v>
      </c>
      <c r="C10889" t="inlineStr">
        <is>
          <t>+LS12</t>
        </is>
      </c>
      <c r="D10889" t="inlineStr">
        <is>
          <t>-548K34.7</t>
        </is>
      </c>
      <c r="E10889" t="inlineStr">
        <is>
          <t>DIL_EM-10-G</t>
        </is>
      </c>
      <c r="F10889" t="inlineStr">
        <is>
          <t>#KALK!</t>
        </is>
      </c>
      <c r="G10889" t="inlineStr">
        <is>
          <t>LASTSCHUETZ</t>
        </is>
      </c>
      <c r="H10889" t="inlineStr">
        <is>
          <t>4kW 1S</t>
        </is>
      </c>
      <c r="I10889">
        <v>717</v>
      </c>
      <c r="J10889">
        <f>GS01/548.6</f>
        <v>0</v>
      </c>
      <c r="M10889" t="inlineStr">
        <is>
          <t>-548K34.7</t>
        </is>
      </c>
    </row>
    <row r="10890">
      <c r="A10890">
        <v>10889</v>
      </c>
      <c r="B10890">
        <f>GS15</f>
        <v>0</v>
      </c>
      <c r="C10890" t="inlineStr">
        <is>
          <t>+LS10</t>
        </is>
      </c>
      <c r="D10890" t="inlineStr">
        <is>
          <t>-548K3506.7</t>
        </is>
      </c>
      <c r="E10890" t="inlineStr">
        <is>
          <t>DILM-9-10</t>
        </is>
      </c>
      <c r="F10890" t="inlineStr">
        <is>
          <t>#KALK!</t>
        </is>
      </c>
      <c r="G10890" t="inlineStr">
        <is>
          <t>LASTSCHUETZ</t>
        </is>
      </c>
      <c r="H10890" t="inlineStr">
        <is>
          <t>4kW 1S Federzugkl.</t>
        </is>
      </c>
      <c r="I10890">
        <v>1058</v>
      </c>
      <c r="J10890">
        <f>GS15/548.6</f>
        <v>0</v>
      </c>
      <c r="K10890" t="inlineStr">
        <is>
          <t>DIL MC9</t>
        </is>
      </c>
      <c r="M10890" t="inlineStr">
        <is>
          <t>-548K3506.7</t>
        </is>
      </c>
    </row>
    <row r="10891">
      <c r="A10891">
        <v>10890</v>
      </c>
      <c r="B10891">
        <f>GS25</f>
        <v>0</v>
      </c>
      <c r="C10891" t="inlineStr">
        <is>
          <t>+LS13</t>
        </is>
      </c>
      <c r="D10891" t="inlineStr">
        <is>
          <t>-548K3514.2</t>
        </is>
      </c>
      <c r="E10891" t="inlineStr">
        <is>
          <t>DIL_EM-10-G</t>
        </is>
      </c>
      <c r="F10891" t="inlineStr">
        <is>
          <t>#KALK!</t>
        </is>
      </c>
      <c r="G10891" t="inlineStr">
        <is>
          <t>LASTSCHUETZ</t>
        </is>
      </c>
      <c r="H10891" t="inlineStr">
        <is>
          <t>4kW 1S</t>
        </is>
      </c>
      <c r="I10891">
        <v>675</v>
      </c>
      <c r="J10891">
        <f>GS25/548.6</f>
        <v>0</v>
      </c>
      <c r="M10891" t="inlineStr">
        <is>
          <t>-548K3514.2</t>
        </is>
      </c>
    </row>
    <row r="10892">
      <c r="A10892">
        <v>10891</v>
      </c>
      <c r="B10892">
        <f>GS25</f>
        <v>0</v>
      </c>
      <c r="C10892" t="inlineStr">
        <is>
          <t>+LS13</t>
        </is>
      </c>
      <c r="D10892" t="inlineStr">
        <is>
          <t>-548K3514.3</t>
        </is>
      </c>
      <c r="E10892" t="inlineStr">
        <is>
          <t>DIL_EM-10-G</t>
        </is>
      </c>
      <c r="F10892" t="inlineStr">
        <is>
          <t>#KALK!</t>
        </is>
      </c>
      <c r="G10892" t="inlineStr">
        <is>
          <t>LASTSCHUETZ</t>
        </is>
      </c>
      <c r="H10892" t="inlineStr">
        <is>
          <t>4kW 1S</t>
        </is>
      </c>
      <c r="I10892">
        <v>675</v>
      </c>
      <c r="J10892">
        <f>GS25/548.7</f>
        <v>0</v>
      </c>
      <c r="M10892" t="inlineStr">
        <is>
          <t>-548K3514.3</t>
        </is>
      </c>
    </row>
    <row r="10893">
      <c r="A10893">
        <v>10892</v>
      </c>
      <c r="B10893">
        <f>GS93</f>
        <v>0</v>
      </c>
      <c r="C10893" t="inlineStr">
        <is>
          <t>+LS10</t>
        </is>
      </c>
      <c r="D10893" t="inlineStr">
        <is>
          <t>-548Q755.0</t>
        </is>
      </c>
      <c r="E10893" t="inlineStr">
        <is>
          <t>DILM-9-10</t>
        </is>
      </c>
      <c r="F10893" t="inlineStr">
        <is>
          <t>#KALK!</t>
        </is>
      </c>
      <c r="G10893" t="inlineStr">
        <is>
          <t>LASTSCHUETZ</t>
        </is>
      </c>
      <c r="H10893" t="inlineStr">
        <is>
          <t>4kW 1S Federzugkl.</t>
        </is>
      </c>
      <c r="I10893">
        <v>1102</v>
      </c>
      <c r="J10893">
        <f>GS93/548.5</f>
        <v>0</v>
      </c>
      <c r="M10893" t="inlineStr">
        <is>
          <t>-548Q755.0</t>
        </is>
      </c>
    </row>
    <row r="10894">
      <c r="A10894">
        <v>10893</v>
      </c>
      <c r="B10894">
        <f>GS13</f>
        <v>0</v>
      </c>
      <c r="C10894" t="inlineStr">
        <is>
          <t>+LS13</t>
        </is>
      </c>
      <c r="D10894" t="inlineStr">
        <is>
          <t>-54925.5</t>
        </is>
      </c>
      <c r="E10894" t="inlineStr">
        <is>
          <t>DIL_EM-10-G</t>
        </is>
      </c>
      <c r="F10894" t="inlineStr">
        <is>
          <t>#KALK!</t>
        </is>
      </c>
      <c r="G10894" t="inlineStr">
        <is>
          <t>LASTSCHUETZ</t>
        </is>
      </c>
      <c r="H10894" t="inlineStr">
        <is>
          <t>4kW 1S</t>
        </is>
      </c>
      <c r="I10894">
        <v>808</v>
      </c>
      <c r="J10894">
        <f>GS13/549.7</f>
        <v>0</v>
      </c>
      <c r="M10894" t="inlineStr">
        <is>
          <t>-54925.5</t>
        </is>
      </c>
    </row>
    <row r="10895">
      <c r="A10895">
        <v>10894</v>
      </c>
      <c r="B10895">
        <f>GS23</f>
        <v>0</v>
      </c>
      <c r="C10895" t="inlineStr">
        <is>
          <t>+LS13</t>
        </is>
      </c>
      <c r="D10895" t="inlineStr">
        <is>
          <t>-549K25.5</t>
        </is>
      </c>
      <c r="E10895" t="inlineStr">
        <is>
          <t>DIL_EM-10-G</t>
        </is>
      </c>
      <c r="F10895" t="inlineStr">
        <is>
          <t>#KALK!</t>
        </is>
      </c>
      <c r="G10895" t="inlineStr">
        <is>
          <t>LASTSCHUETZ</t>
        </is>
      </c>
      <c r="H10895" t="inlineStr">
        <is>
          <t>4kW 1S</t>
        </is>
      </c>
      <c r="I10895">
        <v>861</v>
      </c>
      <c r="J10895">
        <f>GS23/549.7</f>
        <v>0</v>
      </c>
      <c r="M10895" t="inlineStr">
        <is>
          <t>-549K25.5</t>
        </is>
      </c>
    </row>
    <row r="10896">
      <c r="A10896">
        <v>10895</v>
      </c>
      <c r="B10896">
        <f>GS01</f>
        <v>0</v>
      </c>
      <c r="C10896" t="inlineStr">
        <is>
          <t>+LS12</t>
        </is>
      </c>
      <c r="D10896" t="inlineStr">
        <is>
          <t>-549K35.0</t>
        </is>
      </c>
      <c r="E10896" t="inlineStr">
        <is>
          <t>DIL_EM-10-G</t>
        </is>
      </c>
      <c r="F10896" t="inlineStr">
        <is>
          <t>#KALK!</t>
        </is>
      </c>
      <c r="G10896" t="inlineStr">
        <is>
          <t>LASTSCHUETZ</t>
        </is>
      </c>
      <c r="H10896" t="inlineStr">
        <is>
          <t>4kW 1S</t>
        </is>
      </c>
      <c r="I10896">
        <v>718</v>
      </c>
      <c r="J10896">
        <f>GS01/549.6</f>
        <v>0</v>
      </c>
      <c r="M10896" t="inlineStr">
        <is>
          <t>-549K35.0</t>
        </is>
      </c>
    </row>
    <row r="10897">
      <c r="A10897">
        <v>10896</v>
      </c>
      <c r="B10897">
        <f>GS01</f>
        <v>0</v>
      </c>
      <c r="C10897" t="inlineStr">
        <is>
          <t>+LS12</t>
        </is>
      </c>
      <c r="D10897" t="inlineStr">
        <is>
          <t>-549K35.1</t>
        </is>
      </c>
      <c r="E10897" t="inlineStr">
        <is>
          <t>DIL_EM-10-G</t>
        </is>
      </c>
      <c r="F10897" t="inlineStr">
        <is>
          <t>#KALK!</t>
        </is>
      </c>
      <c r="G10897" t="inlineStr">
        <is>
          <t>LASTSCHUETZ</t>
        </is>
      </c>
      <c r="H10897" t="inlineStr">
        <is>
          <t>4kW 1S</t>
        </is>
      </c>
      <c r="I10897">
        <v>718</v>
      </c>
      <c r="J10897">
        <f>GS01/549.6</f>
        <v>0</v>
      </c>
      <c r="M10897" t="inlineStr">
        <is>
          <t>-549K35.1</t>
        </is>
      </c>
    </row>
    <row r="10898">
      <c r="A10898">
        <v>10897</v>
      </c>
      <c r="B10898">
        <f>GS25</f>
        <v>0</v>
      </c>
      <c r="C10898" t="inlineStr">
        <is>
          <t>+LS13</t>
        </is>
      </c>
      <c r="D10898" t="inlineStr">
        <is>
          <t>-549K3514.4</t>
        </is>
      </c>
      <c r="E10898" t="inlineStr">
        <is>
          <t>DIL_EM-10-G</t>
        </is>
      </c>
      <c r="F10898" t="inlineStr">
        <is>
          <t>#KALK!</t>
        </is>
      </c>
      <c r="G10898" t="inlineStr">
        <is>
          <t>LASTSCHUETZ</t>
        </is>
      </c>
      <c r="H10898" t="inlineStr">
        <is>
          <t>4kW 1S</t>
        </is>
      </c>
      <c r="I10898">
        <v>676</v>
      </c>
      <c r="J10898">
        <f>GS25/549.6</f>
        <v>0</v>
      </c>
      <c r="M10898" t="inlineStr">
        <is>
          <t>-549K3514.4</t>
        </is>
      </c>
    </row>
    <row r="10899">
      <c r="A10899">
        <v>10898</v>
      </c>
      <c r="B10899">
        <f>GS25</f>
        <v>0</v>
      </c>
      <c r="C10899" t="inlineStr">
        <is>
          <t>+LS13</t>
        </is>
      </c>
      <c r="D10899" t="inlineStr">
        <is>
          <t>-549K3514.5</t>
        </is>
      </c>
      <c r="E10899" t="inlineStr">
        <is>
          <t>DIL_EM-10-G</t>
        </is>
      </c>
      <c r="F10899" t="inlineStr">
        <is>
          <t>#KALK!</t>
        </is>
      </c>
      <c r="G10899" t="inlineStr">
        <is>
          <t>LASTSCHUETZ</t>
        </is>
      </c>
      <c r="H10899" t="inlineStr">
        <is>
          <t>4kW 1S</t>
        </is>
      </c>
      <c r="I10899">
        <v>676</v>
      </c>
      <c r="J10899">
        <f>GS25/549.7</f>
        <v>0</v>
      </c>
      <c r="M10899" t="inlineStr">
        <is>
          <t>-549K3514.5</t>
        </is>
      </c>
    </row>
    <row r="10900">
      <c r="A10900">
        <v>10899</v>
      </c>
      <c r="B10900">
        <f>GS08</f>
        <v>0</v>
      </c>
      <c r="C10900" t="inlineStr">
        <is>
          <t>+LS09</t>
        </is>
      </c>
      <c r="D10900" t="inlineStr">
        <is>
          <t>-549Q519.1</t>
        </is>
      </c>
      <c r="E10900" t="inlineStr">
        <is>
          <t>DILM-9-10</t>
        </is>
      </c>
      <c r="F10900" t="inlineStr">
        <is>
          <t>#KALK!</t>
        </is>
      </c>
      <c r="G10900" t="inlineStr">
        <is>
          <t>LASTSCHUETZ</t>
        </is>
      </c>
      <c r="H10900" t="inlineStr">
        <is>
          <t>4kW 1S Federzugkl.</t>
        </is>
      </c>
      <c r="I10900">
        <v>574</v>
      </c>
      <c r="J10900">
        <f>GS08/549.6</f>
        <v>0</v>
      </c>
      <c r="K10900" t="inlineStr">
        <is>
          <t>DIL MC9</t>
        </is>
      </c>
      <c r="M10900" t="inlineStr">
        <is>
          <t>-549Q519.1</t>
        </is>
      </c>
    </row>
    <row r="10901">
      <c r="A10901">
        <v>10900</v>
      </c>
      <c r="B10901">
        <f>GS13</f>
        <v>0</v>
      </c>
      <c r="C10901" t="inlineStr">
        <is>
          <t>+LS13</t>
        </is>
      </c>
      <c r="D10901" t="inlineStr">
        <is>
          <t>-55026.3</t>
        </is>
      </c>
      <c r="E10901" t="inlineStr">
        <is>
          <t>DIL_EM-10-G</t>
        </is>
      </c>
      <c r="F10901" t="inlineStr">
        <is>
          <t>#KALK!</t>
        </is>
      </c>
      <c r="G10901" t="inlineStr">
        <is>
          <t>LASTSCHUETZ</t>
        </is>
      </c>
      <c r="H10901" t="inlineStr">
        <is>
          <t>4kW 1S</t>
        </is>
      </c>
      <c r="I10901">
        <v>809</v>
      </c>
      <c r="J10901">
        <f>GS13/550.7</f>
        <v>0</v>
      </c>
      <c r="M10901" t="inlineStr">
        <is>
          <t>-55026.3</t>
        </is>
      </c>
    </row>
    <row r="10902">
      <c r="A10902">
        <v>10901</v>
      </c>
      <c r="B10902">
        <f>GS23</f>
        <v>0</v>
      </c>
      <c r="C10902" t="inlineStr">
        <is>
          <t>+LS13</t>
        </is>
      </c>
      <c r="D10902" t="inlineStr">
        <is>
          <t>-550K26.3</t>
        </is>
      </c>
      <c r="E10902" t="inlineStr">
        <is>
          <t>DIL_EM-10-G</t>
        </is>
      </c>
      <c r="F10902" t="inlineStr">
        <is>
          <t>#KALK!</t>
        </is>
      </c>
      <c r="G10902" t="inlineStr">
        <is>
          <t>LASTSCHUETZ</t>
        </is>
      </c>
      <c r="H10902" t="inlineStr">
        <is>
          <t>4kW 1S</t>
        </is>
      </c>
      <c r="I10902">
        <v>862</v>
      </c>
      <c r="J10902">
        <f>GS23/550.7</f>
        <v>0</v>
      </c>
      <c r="M10902" t="inlineStr">
        <is>
          <t>-550K26.3</t>
        </is>
      </c>
    </row>
    <row r="10903">
      <c r="A10903">
        <v>10902</v>
      </c>
      <c r="B10903">
        <f>GS25</f>
        <v>0</v>
      </c>
      <c r="C10903" t="inlineStr">
        <is>
          <t>+LS13</t>
        </is>
      </c>
      <c r="D10903" t="inlineStr">
        <is>
          <t>-550K3514.6</t>
        </is>
      </c>
      <c r="E10903" t="inlineStr">
        <is>
          <t>DIL_EM-10-G</t>
        </is>
      </c>
      <c r="F10903" t="inlineStr">
        <is>
          <t>#KALK!</t>
        </is>
      </c>
      <c r="G10903" t="inlineStr">
        <is>
          <t>LASTSCHUETZ</t>
        </is>
      </c>
      <c r="H10903" t="inlineStr">
        <is>
          <t>4kW 1S</t>
        </is>
      </c>
      <c r="I10903">
        <v>677</v>
      </c>
      <c r="J10903">
        <f>GS25/550.6</f>
        <v>0</v>
      </c>
      <c r="M10903" t="inlineStr">
        <is>
          <t>-550K3514.6</t>
        </is>
      </c>
    </row>
    <row r="10904">
      <c r="A10904">
        <v>10903</v>
      </c>
      <c r="B10904">
        <f>GS25</f>
        <v>0</v>
      </c>
      <c r="C10904" t="inlineStr">
        <is>
          <t>+LS13</t>
        </is>
      </c>
      <c r="D10904" t="inlineStr">
        <is>
          <t>-550K3514.7</t>
        </is>
      </c>
      <c r="E10904" t="inlineStr">
        <is>
          <t>DIL_EM-10-G</t>
        </is>
      </c>
      <c r="F10904" t="inlineStr">
        <is>
          <t>#KALK!</t>
        </is>
      </c>
      <c r="G10904" t="inlineStr">
        <is>
          <t>LASTSCHUETZ</t>
        </is>
      </c>
      <c r="H10904" t="inlineStr">
        <is>
          <t>4kW 1S</t>
        </is>
      </c>
      <c r="I10904">
        <v>677</v>
      </c>
      <c r="J10904">
        <f>GS25/550.7</f>
        <v>0</v>
      </c>
      <c r="M10904" t="inlineStr">
        <is>
          <t>-550K3514.7</t>
        </is>
      </c>
    </row>
    <row r="10905">
      <c r="A10905">
        <v>10904</v>
      </c>
      <c r="B10905">
        <f>GS91</f>
        <v>0</v>
      </c>
      <c r="C10905" t="inlineStr">
        <is>
          <t>+LS10</t>
        </is>
      </c>
      <c r="D10905" t="inlineStr">
        <is>
          <t>-550K479.0</t>
        </is>
      </c>
      <c r="E10905" t="inlineStr">
        <is>
          <t>DILA-40</t>
        </is>
      </c>
      <c r="F10905" t="inlineStr">
        <is>
          <t>#KALK!</t>
        </is>
      </c>
      <c r="G10905" t="inlineStr">
        <is>
          <t>HILFSSCHUETZ</t>
        </is>
      </c>
      <c r="H10905" t="inlineStr">
        <is>
          <t>4S Federzugkl.</t>
        </is>
      </c>
      <c r="I10905">
        <v>698</v>
      </c>
      <c r="J10905">
        <f>GS91/550.7</f>
        <v>0</v>
      </c>
      <c r="M10905" t="inlineStr">
        <is>
          <t>-550K479.0</t>
        </is>
      </c>
    </row>
    <row r="10906">
      <c r="A10906">
        <v>10905</v>
      </c>
      <c r="B10906">
        <f>GS91</f>
        <v>0</v>
      </c>
      <c r="C10906" t="inlineStr">
        <is>
          <t>+LS10</t>
        </is>
      </c>
      <c r="D10906" t="inlineStr">
        <is>
          <t>-550Q1</t>
        </is>
      </c>
      <c r="E10906" t="inlineStr">
        <is>
          <t>DILA-XHI22</t>
        </is>
      </c>
      <c r="F10906" t="inlineStr">
        <is>
          <t>DILA-XHI22</t>
        </is>
      </c>
      <c r="G10906" t="inlineStr">
        <is>
          <t>HILFSKONTAKTBLOCK</t>
        </is>
      </c>
      <c r="H10906" t="inlineStr">
        <is>
          <t>2S 2OE Last+Hilfssch. Cage</t>
        </is>
      </c>
      <c r="I10906">
        <v>698</v>
      </c>
      <c r="J10906">
        <f>GS91/550.4</f>
        <v>0</v>
      </c>
      <c r="K10906" t="inlineStr">
        <is>
          <t>DIL MC25</t>
        </is>
      </c>
      <c r="M10906" t="inlineStr">
        <is>
          <t>-550Q1</t>
        </is>
      </c>
    </row>
    <row r="10907">
      <c r="A10907">
        <v>10906</v>
      </c>
      <c r="B10907">
        <f>GS91</f>
        <v>0</v>
      </c>
      <c r="C10907" t="inlineStr">
        <is>
          <t>+LS10</t>
        </is>
      </c>
      <c r="D10907" t="inlineStr">
        <is>
          <t>-550Q1</t>
        </is>
      </c>
      <c r="E10907" t="inlineStr">
        <is>
          <t>DILMC25-10(RDC24)</t>
        </is>
      </c>
      <c r="F10907" t="inlineStr">
        <is>
          <t>DILA-XHI22</t>
        </is>
      </c>
      <c r="G10907" t="inlineStr">
        <is>
          <t>LASTSCHUETZ</t>
        </is>
      </c>
      <c r="H10907" t="inlineStr">
        <is>
          <t>11kW 1S Federzugkl.</t>
        </is>
      </c>
      <c r="I10907">
        <v>698</v>
      </c>
      <c r="J10907">
        <f>GS91/550.4</f>
        <v>0</v>
      </c>
      <c r="K10907" t="inlineStr">
        <is>
          <t>DIL MC25</t>
        </is>
      </c>
      <c r="M10907" t="inlineStr">
        <is>
          <t>-550Q1</t>
        </is>
      </c>
    </row>
    <row r="10908">
      <c r="A10908">
        <v>10907</v>
      </c>
      <c r="B10908">
        <f>GS13</f>
        <v>0</v>
      </c>
      <c r="C10908" t="inlineStr">
        <is>
          <t>+LS13</t>
        </is>
      </c>
      <c r="D10908" t="inlineStr">
        <is>
          <t>-55127.1</t>
        </is>
      </c>
      <c r="E10908" t="inlineStr">
        <is>
          <t>DIL_EM-10-G</t>
        </is>
      </c>
      <c r="F10908" t="inlineStr">
        <is>
          <t>#KALK!</t>
        </is>
      </c>
      <c r="G10908" t="inlineStr">
        <is>
          <t>LASTSCHUETZ</t>
        </is>
      </c>
      <c r="H10908" t="inlineStr">
        <is>
          <t>4kW 1S</t>
        </is>
      </c>
      <c r="I10908">
        <v>810</v>
      </c>
      <c r="J10908">
        <f>GS13/551.7</f>
        <v>0</v>
      </c>
      <c r="M10908" t="inlineStr">
        <is>
          <t>-55127.1</t>
        </is>
      </c>
    </row>
    <row r="10909">
      <c r="A10909">
        <v>10908</v>
      </c>
      <c r="B10909">
        <f>GS23</f>
        <v>0</v>
      </c>
      <c r="C10909" t="inlineStr">
        <is>
          <t>+LS13</t>
        </is>
      </c>
      <c r="D10909" t="inlineStr">
        <is>
          <t>-551K27.1</t>
        </is>
      </c>
      <c r="E10909" t="inlineStr">
        <is>
          <t>DIL_EM-10-G</t>
        </is>
      </c>
      <c r="F10909" t="inlineStr">
        <is>
          <t>#KALK!</t>
        </is>
      </c>
      <c r="G10909" t="inlineStr">
        <is>
          <t>LASTSCHUETZ</t>
        </is>
      </c>
      <c r="H10909" t="inlineStr">
        <is>
          <t>4kW 1S</t>
        </is>
      </c>
      <c r="I10909">
        <v>863</v>
      </c>
      <c r="J10909">
        <f>GS23/551.7</f>
        <v>0</v>
      </c>
      <c r="M10909" t="inlineStr">
        <is>
          <t>-551K27.1</t>
        </is>
      </c>
    </row>
    <row r="10910">
      <c r="A10910">
        <v>10909</v>
      </c>
      <c r="B10910">
        <f>GS13</f>
        <v>0</v>
      </c>
      <c r="C10910" t="inlineStr">
        <is>
          <t>+LS13</t>
        </is>
      </c>
      <c r="D10910" t="inlineStr">
        <is>
          <t>-55227.5</t>
        </is>
      </c>
      <c r="E10910" t="inlineStr">
        <is>
          <t>DIL_EM-10-G</t>
        </is>
      </c>
      <c r="F10910" t="inlineStr">
        <is>
          <t>#KALK!</t>
        </is>
      </c>
      <c r="G10910" t="inlineStr">
        <is>
          <t>LASTSCHUETZ</t>
        </is>
      </c>
      <c r="H10910" t="inlineStr">
        <is>
          <t>4kW 1S</t>
        </is>
      </c>
      <c r="I10910">
        <v>811</v>
      </c>
      <c r="J10910">
        <f>GS13/552.7</f>
        <v>0</v>
      </c>
      <c r="M10910" t="inlineStr">
        <is>
          <t>-55227.5</t>
        </is>
      </c>
    </row>
    <row r="10911">
      <c r="A10911">
        <v>10910</v>
      </c>
      <c r="B10911">
        <f>GS23</f>
        <v>0</v>
      </c>
      <c r="C10911" t="inlineStr">
        <is>
          <t>+LS13</t>
        </is>
      </c>
      <c r="D10911" t="inlineStr">
        <is>
          <t>-552K27.5</t>
        </is>
      </c>
      <c r="E10911" t="inlineStr">
        <is>
          <t>DIL_EM-10-G</t>
        </is>
      </c>
      <c r="F10911" t="inlineStr">
        <is>
          <t>#KALK!</t>
        </is>
      </c>
      <c r="G10911" t="inlineStr">
        <is>
          <t>LASTSCHUETZ</t>
        </is>
      </c>
      <c r="H10911" t="inlineStr">
        <is>
          <t>4kW 1S</t>
        </is>
      </c>
      <c r="I10911">
        <v>864</v>
      </c>
      <c r="J10911">
        <f>GS23/552.7</f>
        <v>0</v>
      </c>
      <c r="M10911" t="inlineStr">
        <is>
          <t>-552K27.5</t>
        </is>
      </c>
    </row>
    <row r="10912">
      <c r="A10912">
        <v>10911</v>
      </c>
      <c r="B10912">
        <f>GS15</f>
        <v>0</v>
      </c>
      <c r="C10912" t="inlineStr">
        <is>
          <t>+LS10</t>
        </is>
      </c>
      <c r="D10912" t="inlineStr">
        <is>
          <t>-552K3530.0</t>
        </is>
      </c>
      <c r="E10912" t="inlineStr">
        <is>
          <t>DIL_EM-10-G</t>
        </is>
      </c>
      <c r="F10912" t="inlineStr">
        <is>
          <t>#KALK!</t>
        </is>
      </c>
      <c r="G10912" t="inlineStr">
        <is>
          <t>LASTSCHUETZ</t>
        </is>
      </c>
      <c r="H10912" t="inlineStr">
        <is>
          <t>4kW 1S</t>
        </is>
      </c>
      <c r="I10912">
        <v>1062</v>
      </c>
      <c r="J10912">
        <f>GS15/552.6</f>
        <v>0</v>
      </c>
      <c r="M10912" t="inlineStr">
        <is>
          <t>-552K3530.0</t>
        </is>
      </c>
    </row>
    <row r="10913">
      <c r="A10913">
        <v>10912</v>
      </c>
      <c r="B10913">
        <f>GS15</f>
        <v>0</v>
      </c>
      <c r="C10913" t="inlineStr">
        <is>
          <t>+LS10</t>
        </is>
      </c>
      <c r="D10913" t="inlineStr">
        <is>
          <t>-552K3530.1</t>
        </is>
      </c>
      <c r="E10913" t="inlineStr">
        <is>
          <t>DIL_EM-10-G</t>
        </is>
      </c>
      <c r="F10913" t="inlineStr">
        <is>
          <t>#KALK!</t>
        </is>
      </c>
      <c r="G10913" t="inlineStr">
        <is>
          <t>LASTSCHUETZ</t>
        </is>
      </c>
      <c r="H10913" t="inlineStr">
        <is>
          <t>4kW 1S</t>
        </is>
      </c>
      <c r="I10913">
        <v>1062</v>
      </c>
      <c r="J10913">
        <f>GS15/552.7</f>
        <v>0</v>
      </c>
      <c r="M10913" t="inlineStr">
        <is>
          <t>-552K3530.1</t>
        </is>
      </c>
    </row>
    <row r="10914">
      <c r="A10914">
        <v>10913</v>
      </c>
      <c r="B10914">
        <f>GS13</f>
        <v>0</v>
      </c>
      <c r="C10914" t="inlineStr">
        <is>
          <t>+LS13</t>
        </is>
      </c>
      <c r="D10914" t="inlineStr">
        <is>
          <t>-55328.7</t>
        </is>
      </c>
      <c r="E10914" t="inlineStr">
        <is>
          <t>DIL_EM-10-G</t>
        </is>
      </c>
      <c r="F10914" t="inlineStr">
        <is>
          <t>#KALK!</t>
        </is>
      </c>
      <c r="G10914" t="inlineStr">
        <is>
          <t>LASTSCHUETZ</t>
        </is>
      </c>
      <c r="H10914" t="inlineStr">
        <is>
          <t>4kW 1S</t>
        </is>
      </c>
      <c r="I10914">
        <v>812</v>
      </c>
      <c r="J10914">
        <f>GS13/553.7</f>
        <v>0</v>
      </c>
      <c r="M10914" t="inlineStr">
        <is>
          <t>-55328.7</t>
        </is>
      </c>
    </row>
    <row r="10915">
      <c r="A10915">
        <v>10914</v>
      </c>
      <c r="B10915">
        <f>GS23</f>
        <v>0</v>
      </c>
      <c r="C10915" t="inlineStr">
        <is>
          <t>+LS13</t>
        </is>
      </c>
      <c r="D10915" t="inlineStr">
        <is>
          <t>-553K28.7</t>
        </is>
      </c>
      <c r="E10915" t="inlineStr">
        <is>
          <t>DIL_EM-10-G</t>
        </is>
      </c>
      <c r="F10915" t="inlineStr">
        <is>
          <t>#KALK!</t>
        </is>
      </c>
      <c r="G10915" t="inlineStr">
        <is>
          <t>LASTSCHUETZ</t>
        </is>
      </c>
      <c r="H10915" t="inlineStr">
        <is>
          <t>4kW 1S</t>
        </is>
      </c>
      <c r="I10915">
        <v>865</v>
      </c>
      <c r="J10915">
        <f>GS23/553.7</f>
        <v>0</v>
      </c>
      <c r="M10915" t="inlineStr">
        <is>
          <t>-553K28.7</t>
        </is>
      </c>
    </row>
    <row r="10916">
      <c r="A10916">
        <v>10915</v>
      </c>
      <c r="B10916">
        <f>GS15</f>
        <v>0</v>
      </c>
      <c r="C10916" t="inlineStr">
        <is>
          <t>+LS10</t>
        </is>
      </c>
      <c r="D10916" t="inlineStr">
        <is>
          <t>-553K3532.2</t>
        </is>
      </c>
      <c r="E10916" t="inlineStr">
        <is>
          <t>DIL_EM-10-G</t>
        </is>
      </c>
      <c r="F10916" t="inlineStr">
        <is>
          <t>#KALK!</t>
        </is>
      </c>
      <c r="G10916" t="inlineStr">
        <is>
          <t>LASTSCHUETZ</t>
        </is>
      </c>
      <c r="H10916" t="inlineStr">
        <is>
          <t>4kW 1S</t>
        </is>
      </c>
      <c r="I10916">
        <v>1063</v>
      </c>
      <c r="J10916">
        <f>GS15/553.6</f>
        <v>0</v>
      </c>
      <c r="M10916" t="inlineStr">
        <is>
          <t>-553K3532.2</t>
        </is>
      </c>
    </row>
    <row r="10917">
      <c r="A10917">
        <v>10916</v>
      </c>
      <c r="B10917">
        <f>GS91</f>
        <v>0</v>
      </c>
      <c r="C10917" t="inlineStr">
        <is>
          <t>+LS10</t>
        </is>
      </c>
      <c r="D10917" t="inlineStr">
        <is>
          <t>-553Q479.2</t>
        </is>
      </c>
      <c r="E10917" t="inlineStr">
        <is>
          <t>DILM-9-10</t>
        </is>
      </c>
      <c r="F10917" t="inlineStr">
        <is>
          <t>#KALK!</t>
        </is>
      </c>
      <c r="G10917" t="inlineStr">
        <is>
          <t>LASTSCHUETZ</t>
        </is>
      </c>
      <c r="H10917" t="inlineStr">
        <is>
          <t>4kW 1S Federzugkl.</t>
        </is>
      </c>
      <c r="I10917">
        <v>655</v>
      </c>
      <c r="J10917">
        <f>GS91/553.5</f>
        <v>0</v>
      </c>
      <c r="M10917" t="inlineStr">
        <is>
          <t>-553Q479.2</t>
        </is>
      </c>
    </row>
    <row r="10918">
      <c r="A10918">
        <v>10917</v>
      </c>
      <c r="B10918">
        <f>GS24</f>
        <v>0</v>
      </c>
      <c r="C10918" t="inlineStr">
        <is>
          <t>+LS11</t>
        </is>
      </c>
      <c r="D10918" t="inlineStr">
        <is>
          <t>-554K1</t>
        </is>
      </c>
      <c r="E10918" t="inlineStr">
        <is>
          <t>22_DIL-M</t>
        </is>
      </c>
      <c r="F10918" t="inlineStr">
        <is>
          <t>22_DIL-M</t>
        </is>
      </c>
      <c r="G10918" t="inlineStr">
        <is>
          <t>HILFSKONTAKTBLOCK</t>
        </is>
      </c>
      <c r="H10918" t="inlineStr">
        <is>
          <t>2S 2OE Lastschuetz DIL M</t>
        </is>
      </c>
      <c r="I10918">
        <v>542</v>
      </c>
      <c r="J10918">
        <f>GS24/554.2</f>
        <v>0</v>
      </c>
      <c r="K10918" t="inlineStr">
        <is>
          <t>DIL0AM</t>
        </is>
      </c>
      <c r="M10918" t="inlineStr">
        <is>
          <t>-554K1</t>
        </is>
      </c>
    </row>
    <row r="10919">
      <c r="A10919">
        <v>10918</v>
      </c>
      <c r="B10919">
        <f>GS24</f>
        <v>0</v>
      </c>
      <c r="C10919" t="inlineStr">
        <is>
          <t>+LS11</t>
        </is>
      </c>
      <c r="D10919" t="inlineStr">
        <is>
          <t>-554K1</t>
        </is>
      </c>
      <c r="E10919" t="inlineStr">
        <is>
          <t>DIL_0AM</t>
        </is>
      </c>
      <c r="F10919" t="inlineStr">
        <is>
          <t>22_DIL-M</t>
        </is>
      </c>
      <c r="G10919" t="inlineStr">
        <is>
          <t>LASTSCHUETZ</t>
        </is>
      </c>
      <c r="H10919" t="inlineStr">
        <is>
          <t>11 kW</t>
        </is>
      </c>
      <c r="I10919">
        <v>542</v>
      </c>
      <c r="J10919">
        <f>GS24/554.2</f>
        <v>0</v>
      </c>
      <c r="K10919" t="inlineStr">
        <is>
          <t>DIL0AM</t>
        </is>
      </c>
      <c r="M10919" t="inlineStr">
        <is>
          <t>-554K1</t>
        </is>
      </c>
    </row>
    <row r="10920">
      <c r="A10920">
        <v>10919</v>
      </c>
      <c r="B10920">
        <f>GS08</f>
        <v>0</v>
      </c>
      <c r="C10920" t="inlineStr">
        <is>
          <t>+LS09</t>
        </is>
      </c>
      <c r="D10920" t="inlineStr">
        <is>
          <t>-554Q519.2</t>
        </is>
      </c>
      <c r="E10920" t="inlineStr">
        <is>
          <t>DILA-XHI22</t>
        </is>
      </c>
      <c r="F10920" t="inlineStr">
        <is>
          <t>DILA-XHI22</t>
        </is>
      </c>
      <c r="G10920" t="inlineStr">
        <is>
          <t>HILFSKONTAKTBLOCK</t>
        </is>
      </c>
      <c r="H10920" t="inlineStr">
        <is>
          <t>2S 2OE Last+Hilfssch. Cage</t>
        </is>
      </c>
      <c r="I10920">
        <v>624</v>
      </c>
      <c r="J10920">
        <f>GS08/554.5</f>
        <v>0</v>
      </c>
      <c r="M10920" t="inlineStr">
        <is>
          <t>-554Q519.2</t>
        </is>
      </c>
    </row>
    <row r="10921">
      <c r="A10921">
        <v>10920</v>
      </c>
      <c r="B10921">
        <f>GS08</f>
        <v>0</v>
      </c>
      <c r="C10921" t="inlineStr">
        <is>
          <t>+LS09</t>
        </is>
      </c>
      <c r="D10921" t="inlineStr">
        <is>
          <t>-554Q519.2</t>
        </is>
      </c>
      <c r="E10921" t="inlineStr">
        <is>
          <t>DILM-9-01</t>
        </is>
      </c>
      <c r="F10921" t="inlineStr">
        <is>
          <t>DILA-XHI22</t>
        </is>
      </c>
      <c r="G10921" t="inlineStr">
        <is>
          <t>LASTSCHUETZ</t>
        </is>
      </c>
      <c r="H10921" t="inlineStr">
        <is>
          <t>4kW 1Oe Federzugkl.</t>
        </is>
      </c>
      <c r="I10921">
        <v>624</v>
      </c>
      <c r="J10921">
        <f>GS08/554.5</f>
        <v>0</v>
      </c>
      <c r="M10921" t="inlineStr">
        <is>
          <t>-554Q519.2</t>
        </is>
      </c>
    </row>
    <row r="10922">
      <c r="A10922">
        <v>10921</v>
      </c>
      <c r="B10922">
        <f>GS08</f>
        <v>0</v>
      </c>
      <c r="C10922" t="inlineStr">
        <is>
          <t>+LS09</t>
        </is>
      </c>
      <c r="D10922" t="inlineStr">
        <is>
          <t>-554Q520.2</t>
        </is>
      </c>
      <c r="E10922" t="inlineStr">
        <is>
          <t>DILA-XHI22</t>
        </is>
      </c>
      <c r="F10922" t="inlineStr">
        <is>
          <t>DILA-XHI22</t>
        </is>
      </c>
      <c r="G10922" t="inlineStr">
        <is>
          <t>HILFSKONTAKTBLOCK</t>
        </is>
      </c>
      <c r="H10922" t="inlineStr">
        <is>
          <t>2S 2OE Last+Hilfssch. Cage</t>
        </is>
      </c>
      <c r="I10922">
        <v>624</v>
      </c>
      <c r="J10922">
        <f>GS08/554.6</f>
        <v>0</v>
      </c>
      <c r="M10922" t="inlineStr">
        <is>
          <t>-554Q520.2</t>
        </is>
      </c>
    </row>
    <row r="10923">
      <c r="A10923">
        <v>10922</v>
      </c>
      <c r="B10923">
        <f>GS08</f>
        <v>0</v>
      </c>
      <c r="C10923" t="inlineStr">
        <is>
          <t>+LS09</t>
        </is>
      </c>
      <c r="D10923" t="inlineStr">
        <is>
          <t>-554Q520.2</t>
        </is>
      </c>
      <c r="E10923" t="inlineStr">
        <is>
          <t>DILM-9-01</t>
        </is>
      </c>
      <c r="F10923" t="inlineStr">
        <is>
          <t>DILA-XHI22</t>
        </is>
      </c>
      <c r="G10923" t="inlineStr">
        <is>
          <t>LASTSCHUETZ</t>
        </is>
      </c>
      <c r="H10923" t="inlineStr">
        <is>
          <t>4kW 1Oe Federzugkl.</t>
        </is>
      </c>
      <c r="I10923">
        <v>624</v>
      </c>
      <c r="J10923">
        <f>GS08/554.6</f>
        <v>0</v>
      </c>
      <c r="M10923" t="inlineStr">
        <is>
          <t>-554Q520.2</t>
        </is>
      </c>
    </row>
    <row r="10924">
      <c r="A10924">
        <v>10923</v>
      </c>
      <c r="B10924">
        <f>GS01</f>
        <v>0</v>
      </c>
      <c r="C10924" t="inlineStr">
        <is>
          <t>+LS12</t>
        </is>
      </c>
      <c r="D10924" t="inlineStr">
        <is>
          <t>-555K1</t>
        </is>
      </c>
      <c r="E10924" t="inlineStr">
        <is>
          <t>DIL_2AM</t>
        </is>
      </c>
      <c r="F10924" t="inlineStr">
        <is>
          <t>22_DIL-M</t>
        </is>
      </c>
      <c r="G10924" t="inlineStr">
        <is>
          <t>LASTSCHUETZ</t>
        </is>
      </c>
      <c r="H10924" t="inlineStr">
        <is>
          <t>30 kW</t>
        </is>
      </c>
      <c r="I10924">
        <v>724</v>
      </c>
      <c r="J10924">
        <f>GS01/555.2</f>
        <v>0</v>
      </c>
      <c r="K10924" t="inlineStr">
        <is>
          <t>DIL2AM</t>
        </is>
      </c>
      <c r="M10924" t="inlineStr">
        <is>
          <t>-555K1</t>
        </is>
      </c>
    </row>
    <row r="10925">
      <c r="A10925">
        <v>10924</v>
      </c>
      <c r="B10925">
        <f>GS01</f>
        <v>0</v>
      </c>
      <c r="C10925" t="inlineStr">
        <is>
          <t>+LS12</t>
        </is>
      </c>
      <c r="D10925" t="inlineStr">
        <is>
          <t>-555K1</t>
        </is>
      </c>
      <c r="E10925" t="inlineStr">
        <is>
          <t>22_DIL-M</t>
        </is>
      </c>
      <c r="F10925" t="inlineStr">
        <is>
          <t>22_DIL-M</t>
        </is>
      </c>
      <c r="G10925" t="inlineStr">
        <is>
          <t>HILFSKONTAKTBLOCK</t>
        </is>
      </c>
      <c r="H10925" t="inlineStr">
        <is>
          <t>2S 2OE Lastschuetz DIL M</t>
        </is>
      </c>
      <c r="I10925">
        <v>724</v>
      </c>
      <c r="J10925">
        <f>GS01/555.2</f>
        <v>0</v>
      </c>
      <c r="K10925" t="inlineStr">
        <is>
          <t>DIL2AM</t>
        </is>
      </c>
      <c r="M10925" t="inlineStr">
        <is>
          <t>-555K1</t>
        </is>
      </c>
    </row>
    <row r="10926">
      <c r="A10926">
        <v>10925</v>
      </c>
      <c r="B10926">
        <f>GS92</f>
        <v>0</v>
      </c>
      <c r="C10926" t="inlineStr">
        <is>
          <t>+LS10</t>
        </is>
      </c>
      <c r="D10926" t="inlineStr">
        <is>
          <t>-555K471.4</t>
        </is>
      </c>
      <c r="E10926" t="inlineStr">
        <is>
          <t>DILA-40</t>
        </is>
      </c>
      <c r="F10926" t="inlineStr">
        <is>
          <t>#KALK!</t>
        </is>
      </c>
      <c r="G10926" t="inlineStr">
        <is>
          <t>HILFSSCHUETZ</t>
        </is>
      </c>
      <c r="H10926" t="inlineStr">
        <is>
          <t>4S Federzugkl.</t>
        </is>
      </c>
      <c r="I10926">
        <v>696</v>
      </c>
      <c r="J10926">
        <f>GS92/555.7</f>
        <v>0</v>
      </c>
      <c r="M10926" t="inlineStr">
        <is>
          <t>-555K471.4</t>
        </is>
      </c>
    </row>
    <row r="10927">
      <c r="A10927">
        <v>10926</v>
      </c>
      <c r="B10927">
        <f>GS35</f>
        <v>0</v>
      </c>
      <c r="C10927" t="inlineStr">
        <is>
          <t>+LS14</t>
        </is>
      </c>
      <c r="D10927" t="inlineStr">
        <is>
          <t>-555K480.0</t>
        </is>
      </c>
      <c r="E10927" t="inlineStr">
        <is>
          <t>DILA-40</t>
        </is>
      </c>
      <c r="F10927" t="inlineStr">
        <is>
          <t>#KALK!</t>
        </is>
      </c>
      <c r="G10927" t="inlineStr">
        <is>
          <t>HILFSSCHUETZ</t>
        </is>
      </c>
      <c r="H10927" t="inlineStr">
        <is>
          <t>4S Federzugkl.</t>
        </is>
      </c>
      <c r="I10927">
        <v>714</v>
      </c>
      <c r="J10927">
        <f>GS35/555.7</f>
        <v>0</v>
      </c>
      <c r="M10927" t="inlineStr">
        <is>
          <t>-555K480.0</t>
        </is>
      </c>
    </row>
    <row r="10928">
      <c r="A10928">
        <v>10927</v>
      </c>
      <c r="B10928">
        <f>GS90</f>
        <v>0</v>
      </c>
      <c r="C10928" t="inlineStr">
        <is>
          <t>+LS11</t>
        </is>
      </c>
      <c r="D10928" t="inlineStr">
        <is>
          <t>-555K482.4</t>
        </is>
      </c>
      <c r="E10928" t="inlineStr">
        <is>
          <t>DILA-40</t>
        </is>
      </c>
      <c r="F10928" t="inlineStr">
        <is>
          <t>#KALK!</t>
        </is>
      </c>
      <c r="G10928" t="inlineStr">
        <is>
          <t>HILFSSCHUETZ</t>
        </is>
      </c>
      <c r="H10928" t="inlineStr">
        <is>
          <t>4S Federzugkl.</t>
        </is>
      </c>
      <c r="I10928">
        <v>694</v>
      </c>
      <c r="J10928">
        <f>GS90/555.7</f>
        <v>0</v>
      </c>
      <c r="M10928" t="inlineStr">
        <is>
          <t>-555K482.4</t>
        </is>
      </c>
    </row>
    <row r="10929">
      <c r="A10929">
        <v>10928</v>
      </c>
      <c r="B10929">
        <f>GS20</f>
        <v>0</v>
      </c>
      <c r="C10929" t="inlineStr">
        <is>
          <t>+LS15</t>
        </is>
      </c>
      <c r="D10929" t="inlineStr">
        <is>
          <t>-555K718.4</t>
        </is>
      </c>
      <c r="E10929" t="inlineStr">
        <is>
          <t>DILA-40</t>
        </is>
      </c>
      <c r="F10929" t="inlineStr">
        <is>
          <t>#KALK!</t>
        </is>
      </c>
      <c r="G10929" t="inlineStr">
        <is>
          <t>HILFSSCHUETZ</t>
        </is>
      </c>
      <c r="H10929" t="inlineStr">
        <is>
          <t>4S Federzugkl.</t>
        </is>
      </c>
      <c r="I10929">
        <v>2882</v>
      </c>
      <c r="J10929">
        <f>GS20/555.7</f>
        <v>0</v>
      </c>
      <c r="M10929" t="inlineStr">
        <is>
          <t>-555K718.4</t>
        </is>
      </c>
    </row>
    <row r="10930">
      <c r="A10930">
        <v>10929</v>
      </c>
      <c r="B10930">
        <f>GS93</f>
        <v>0</v>
      </c>
      <c r="C10930" t="inlineStr">
        <is>
          <t>+LS10</t>
        </is>
      </c>
      <c r="D10930" t="inlineStr">
        <is>
          <t>-555K753.4</t>
        </is>
      </c>
      <c r="E10930" t="inlineStr">
        <is>
          <t>DILA-40</t>
        </is>
      </c>
      <c r="F10930" t="inlineStr">
        <is>
          <t>#KALK!</t>
        </is>
      </c>
      <c r="G10930" t="inlineStr">
        <is>
          <t>HILFSSCHUETZ</t>
        </is>
      </c>
      <c r="H10930" t="inlineStr">
        <is>
          <t>4S Federzugkl.</t>
        </is>
      </c>
      <c r="I10930">
        <v>1109</v>
      </c>
      <c r="J10930">
        <f>GS93/555.7</f>
        <v>0</v>
      </c>
      <c r="M10930" t="inlineStr">
        <is>
          <t>-555K753.4</t>
        </is>
      </c>
    </row>
    <row r="10931">
      <c r="A10931">
        <v>10930</v>
      </c>
      <c r="B10931">
        <f>GS20</f>
        <v>0</v>
      </c>
      <c r="C10931" t="inlineStr">
        <is>
          <t>+LS15</t>
        </is>
      </c>
      <c r="D10931" t="inlineStr">
        <is>
          <t>-555Q1</t>
        </is>
      </c>
      <c r="E10931" t="inlineStr">
        <is>
          <t>DILA-XHI22</t>
        </is>
      </c>
      <c r="F10931" t="inlineStr">
        <is>
          <t>DILA-XHI22</t>
        </is>
      </c>
      <c r="G10931" t="inlineStr">
        <is>
          <t>HILFSKONTAKTBLOCK</t>
        </is>
      </c>
      <c r="H10931" t="inlineStr">
        <is>
          <t>2S 2OE Last+Hilfssch. Cage</t>
        </is>
      </c>
      <c r="I10931">
        <v>2882</v>
      </c>
      <c r="J10931">
        <f>GS20/555.4</f>
        <v>0</v>
      </c>
      <c r="K10931" t="inlineStr">
        <is>
          <t>DIL MC25</t>
        </is>
      </c>
      <c r="M10931" t="inlineStr">
        <is>
          <t>-555Q1</t>
        </is>
      </c>
    </row>
    <row r="10932">
      <c r="A10932">
        <v>10931</v>
      </c>
      <c r="B10932">
        <f>GS20</f>
        <v>0</v>
      </c>
      <c r="C10932" t="inlineStr">
        <is>
          <t>+LS15</t>
        </is>
      </c>
      <c r="D10932" t="inlineStr">
        <is>
          <t>-555Q1</t>
        </is>
      </c>
      <c r="E10932" t="inlineStr">
        <is>
          <t>DILMC25-10(RDC24)</t>
        </is>
      </c>
      <c r="F10932" t="inlineStr">
        <is>
          <t>DILA-XHI22</t>
        </is>
      </c>
      <c r="G10932" t="inlineStr">
        <is>
          <t>LASTSCHUETZ</t>
        </is>
      </c>
      <c r="H10932" t="inlineStr">
        <is>
          <t>11kW 1S Federzugkl.</t>
        </is>
      </c>
      <c r="I10932">
        <v>2882</v>
      </c>
      <c r="J10932">
        <f>GS20/555.4</f>
        <v>0</v>
      </c>
      <c r="K10932" t="inlineStr">
        <is>
          <t>DIL MC25</t>
        </is>
      </c>
      <c r="M10932" t="inlineStr">
        <is>
          <t>-555Q1</t>
        </is>
      </c>
    </row>
    <row r="10933">
      <c r="A10933">
        <v>10932</v>
      </c>
      <c r="B10933">
        <f>GS30</f>
        <v>0</v>
      </c>
      <c r="C10933" t="inlineStr">
        <is>
          <t>+LS19</t>
        </is>
      </c>
      <c r="D10933" t="inlineStr">
        <is>
          <t>-555Q1</t>
        </is>
      </c>
      <c r="E10933" t="inlineStr">
        <is>
          <t>DILMC25-10(RDC24)</t>
        </is>
      </c>
      <c r="F10933" t="inlineStr">
        <is>
          <t>DILA-XHI22</t>
        </is>
      </c>
      <c r="G10933" t="inlineStr">
        <is>
          <t>LASTSCHUETZ</t>
        </is>
      </c>
      <c r="H10933" t="inlineStr">
        <is>
          <t>11kW 1S Federzugkl.</t>
        </is>
      </c>
      <c r="I10933">
        <v>1934</v>
      </c>
      <c r="J10933">
        <f>GS30/555.4</f>
        <v>0</v>
      </c>
      <c r="K10933" t="inlineStr">
        <is>
          <t>DIL MC25</t>
        </is>
      </c>
      <c r="M10933" t="inlineStr">
        <is>
          <t>-555Q1</t>
        </is>
      </c>
    </row>
    <row r="10934">
      <c r="A10934">
        <v>10933</v>
      </c>
      <c r="B10934">
        <f>GS30</f>
        <v>0</v>
      </c>
      <c r="C10934" t="inlineStr">
        <is>
          <t>+LS19</t>
        </is>
      </c>
      <c r="D10934" t="inlineStr">
        <is>
          <t>-555Q1</t>
        </is>
      </c>
      <c r="E10934" t="inlineStr">
        <is>
          <t>DILA-XHI22</t>
        </is>
      </c>
      <c r="F10934" t="inlineStr">
        <is>
          <t>DILA-XHI22</t>
        </is>
      </c>
      <c r="G10934" t="inlineStr">
        <is>
          <t>HILFSKONTAKTBLOCK</t>
        </is>
      </c>
      <c r="H10934" t="inlineStr">
        <is>
          <t>2S 2OE Last+Hilfssch. Cage</t>
        </is>
      </c>
      <c r="I10934">
        <v>1934</v>
      </c>
      <c r="J10934">
        <f>GS30/555.4</f>
        <v>0</v>
      </c>
      <c r="K10934" t="inlineStr">
        <is>
          <t>DIL MC25</t>
        </is>
      </c>
      <c r="M10934" t="inlineStr">
        <is>
          <t>-555Q1</t>
        </is>
      </c>
    </row>
    <row r="10935">
      <c r="A10935">
        <v>10934</v>
      </c>
      <c r="B10935">
        <f>GS35</f>
        <v>0</v>
      </c>
      <c r="C10935" t="inlineStr">
        <is>
          <t>+LS14</t>
        </is>
      </c>
      <c r="D10935" t="inlineStr">
        <is>
          <t>-555Q1</t>
        </is>
      </c>
      <c r="E10935" t="inlineStr">
        <is>
          <t>DILM-25-10</t>
        </is>
      </c>
      <c r="F10935" t="inlineStr">
        <is>
          <t>DILA-XHI22</t>
        </is>
      </c>
      <c r="G10935" t="inlineStr">
        <is>
          <t>LASTSCHUETZ</t>
        </is>
      </c>
      <c r="H10935" t="inlineStr">
        <is>
          <t>11kW 1S Federzugkl.</t>
        </is>
      </c>
      <c r="I10935">
        <v>714</v>
      </c>
      <c r="J10935">
        <f>GS35/555.4</f>
        <v>0</v>
      </c>
      <c r="K10935" t="inlineStr">
        <is>
          <t>DIL MC25</t>
        </is>
      </c>
      <c r="M10935" t="inlineStr">
        <is>
          <t>-555Q1</t>
        </is>
      </c>
    </row>
    <row r="10936">
      <c r="A10936">
        <v>10935</v>
      </c>
      <c r="B10936">
        <f>GS35</f>
        <v>0</v>
      </c>
      <c r="C10936" t="inlineStr">
        <is>
          <t>+LS14</t>
        </is>
      </c>
      <c r="D10936" t="inlineStr">
        <is>
          <t>-555Q1</t>
        </is>
      </c>
      <c r="E10936" t="inlineStr">
        <is>
          <t>DILA-XHI22</t>
        </is>
      </c>
      <c r="F10936" t="inlineStr">
        <is>
          <t>DILA-XHI22</t>
        </is>
      </c>
      <c r="G10936" t="inlineStr">
        <is>
          <t>HILFSKONTAKTBLOCK</t>
        </is>
      </c>
      <c r="H10936" t="inlineStr">
        <is>
          <t>2S 2OE Last+Hilfssch. Cage</t>
        </is>
      </c>
      <c r="I10936">
        <v>714</v>
      </c>
      <c r="J10936">
        <f>GS35/555.4</f>
        <v>0</v>
      </c>
      <c r="K10936" t="inlineStr">
        <is>
          <t>DIL MC25</t>
        </is>
      </c>
      <c r="M10936" t="inlineStr">
        <is>
          <t>-555Q1</t>
        </is>
      </c>
    </row>
    <row r="10937">
      <c r="A10937">
        <v>10936</v>
      </c>
      <c r="B10937">
        <f>GS51</f>
        <v>0</v>
      </c>
      <c r="C10937" t="inlineStr">
        <is>
          <t>+LS08</t>
        </is>
      </c>
      <c r="D10937" t="inlineStr">
        <is>
          <t>-555Q1</t>
        </is>
      </c>
      <c r="E10937" t="inlineStr">
        <is>
          <t>DILA-XHI22</t>
        </is>
      </c>
      <c r="F10937" t="inlineStr">
        <is>
          <t>DILA-XHI22</t>
        </is>
      </c>
      <c r="G10937" t="inlineStr">
        <is>
          <t>HILFSKONTAKTBLOCK</t>
        </is>
      </c>
      <c r="H10937" t="inlineStr">
        <is>
          <t>2S 2OE Last+Hilfssch. Cage</t>
        </is>
      </c>
      <c r="I10937">
        <v>1879</v>
      </c>
      <c r="J10937">
        <f>GS51/555.6</f>
        <v>0</v>
      </c>
      <c r="K10937" t="inlineStr">
        <is>
          <t>DIL MC25</t>
        </is>
      </c>
      <c r="M10937" t="inlineStr">
        <is>
          <t>-555Q1</t>
        </is>
      </c>
    </row>
    <row r="10938">
      <c r="A10938">
        <v>10937</v>
      </c>
      <c r="B10938">
        <f>GS51</f>
        <v>0</v>
      </c>
      <c r="C10938" t="inlineStr">
        <is>
          <t>+LS08</t>
        </is>
      </c>
      <c r="D10938" t="inlineStr">
        <is>
          <t>-555Q1</t>
        </is>
      </c>
      <c r="E10938" t="inlineStr">
        <is>
          <t>DILMC25-10(RDC24)</t>
        </is>
      </c>
      <c r="F10938" t="inlineStr">
        <is>
          <t>DILA-XHI22</t>
        </is>
      </c>
      <c r="G10938" t="inlineStr">
        <is>
          <t>LASTSCHUETZ</t>
        </is>
      </c>
      <c r="H10938" t="inlineStr">
        <is>
          <t>11kW 1S Federzugkl.</t>
        </is>
      </c>
      <c r="I10938">
        <v>1879</v>
      </c>
      <c r="J10938">
        <f>GS51/555.6</f>
        <v>0</v>
      </c>
      <c r="K10938" t="inlineStr">
        <is>
          <t>DIL MC25</t>
        </is>
      </c>
      <c r="M10938" t="inlineStr">
        <is>
          <t>-555Q1</t>
        </is>
      </c>
    </row>
    <row r="10939">
      <c r="A10939">
        <v>10938</v>
      </c>
      <c r="B10939">
        <f>GS52</f>
        <v>0</v>
      </c>
      <c r="C10939" t="inlineStr">
        <is>
          <t>+LS09</t>
        </is>
      </c>
      <c r="D10939" t="inlineStr">
        <is>
          <t>-555Q1</t>
        </is>
      </c>
      <c r="E10939" t="inlineStr">
        <is>
          <t>DILMC25-10(RDC24)</t>
        </is>
      </c>
      <c r="F10939" t="inlineStr">
        <is>
          <t>DILA-XHI22</t>
        </is>
      </c>
      <c r="G10939" t="inlineStr">
        <is>
          <t>LASTSCHUETZ</t>
        </is>
      </c>
      <c r="H10939" t="inlineStr">
        <is>
          <t>11kW 1S Federzugkl.</t>
        </is>
      </c>
      <c r="I10939">
        <v>1462</v>
      </c>
      <c r="J10939">
        <f>GS52/555.6</f>
        <v>0</v>
      </c>
      <c r="K10939" t="inlineStr">
        <is>
          <t>DIL MC25</t>
        </is>
      </c>
      <c r="M10939" t="inlineStr">
        <is>
          <t>-555Q1</t>
        </is>
      </c>
    </row>
    <row r="10940">
      <c r="A10940">
        <v>10939</v>
      </c>
      <c r="B10940">
        <f>GS52</f>
        <v>0</v>
      </c>
      <c r="C10940" t="inlineStr">
        <is>
          <t>+LS09</t>
        </is>
      </c>
      <c r="D10940" t="inlineStr">
        <is>
          <t>-555Q1</t>
        </is>
      </c>
      <c r="E10940" t="inlineStr">
        <is>
          <t>DILA-XHI22</t>
        </is>
      </c>
      <c r="F10940" t="inlineStr">
        <is>
          <t>DILA-XHI22</t>
        </is>
      </c>
      <c r="G10940" t="inlineStr">
        <is>
          <t>HILFSKONTAKTBLOCK</t>
        </is>
      </c>
      <c r="H10940" t="inlineStr">
        <is>
          <t>2S 2OE Last+Hilfssch. Cage</t>
        </is>
      </c>
      <c r="I10940">
        <v>1462</v>
      </c>
      <c r="J10940">
        <f>GS52/555.6</f>
        <v>0</v>
      </c>
      <c r="K10940" t="inlineStr">
        <is>
          <t>DIL MC25</t>
        </is>
      </c>
      <c r="M10940" t="inlineStr">
        <is>
          <t>-555Q1</t>
        </is>
      </c>
    </row>
    <row r="10941">
      <c r="A10941">
        <v>10940</v>
      </c>
      <c r="B10941">
        <f>GS55</f>
        <v>0</v>
      </c>
      <c r="C10941" t="inlineStr">
        <is>
          <t>+LS08</t>
        </is>
      </c>
      <c r="D10941" t="inlineStr">
        <is>
          <t>-555Q1</t>
        </is>
      </c>
      <c r="E10941" t="inlineStr">
        <is>
          <t>DILA-XHI22</t>
        </is>
      </c>
      <c r="F10941" t="inlineStr">
        <is>
          <t>DILA-XHI22</t>
        </is>
      </c>
      <c r="G10941" t="inlineStr">
        <is>
          <t>HILFSKONTAKTBLOCK</t>
        </is>
      </c>
      <c r="H10941" t="inlineStr">
        <is>
          <t>2S 2OE Last+Hilfssch. Cage</t>
        </is>
      </c>
      <c r="I10941">
        <v>865</v>
      </c>
      <c r="J10941">
        <f>GS55/555.6</f>
        <v>0</v>
      </c>
      <c r="K10941" t="inlineStr">
        <is>
          <t>DIL MC25</t>
        </is>
      </c>
      <c r="M10941" t="inlineStr">
        <is>
          <t>-555Q1</t>
        </is>
      </c>
    </row>
    <row r="10942">
      <c r="A10942">
        <v>10941</v>
      </c>
      <c r="B10942">
        <f>GS55</f>
        <v>0</v>
      </c>
      <c r="C10942" t="inlineStr">
        <is>
          <t>+LS08</t>
        </is>
      </c>
      <c r="D10942" t="inlineStr">
        <is>
          <t>-555Q1</t>
        </is>
      </c>
      <c r="E10942" t="inlineStr">
        <is>
          <t>DILMC25-10(RDC24)</t>
        </is>
      </c>
      <c r="F10942" t="inlineStr">
        <is>
          <t>DILA-XHI22</t>
        </is>
      </c>
      <c r="G10942" t="inlineStr">
        <is>
          <t>LASTSCHUETZ</t>
        </is>
      </c>
      <c r="H10942" t="inlineStr">
        <is>
          <t>11kW 1S Federzugkl.</t>
        </is>
      </c>
      <c r="I10942">
        <v>865</v>
      </c>
      <c r="J10942">
        <f>GS55/555.6</f>
        <v>0</v>
      </c>
      <c r="K10942" t="inlineStr">
        <is>
          <t>DIL MC25</t>
        </is>
      </c>
      <c r="M10942" t="inlineStr">
        <is>
          <t>-555Q1</t>
        </is>
      </c>
    </row>
    <row r="10943">
      <c r="A10943">
        <v>10942</v>
      </c>
      <c r="B10943">
        <f>GS90</f>
        <v>0</v>
      </c>
      <c r="C10943" t="inlineStr">
        <is>
          <t>+LS11</t>
        </is>
      </c>
      <c r="D10943" t="inlineStr">
        <is>
          <t>-555Q1</t>
        </is>
      </c>
      <c r="E10943" t="inlineStr">
        <is>
          <t>DILMC25-10(RDC24)</t>
        </is>
      </c>
      <c r="F10943" t="inlineStr">
        <is>
          <t>DILA-XHI22</t>
        </is>
      </c>
      <c r="G10943" t="inlineStr">
        <is>
          <t>LASTSCHUETZ</t>
        </is>
      </c>
      <c r="H10943" t="inlineStr">
        <is>
          <t>11kW 1S Federzugkl.</t>
        </is>
      </c>
      <c r="I10943">
        <v>694</v>
      </c>
      <c r="J10943">
        <f>GS90/555.4</f>
        <v>0</v>
      </c>
      <c r="K10943" t="inlineStr">
        <is>
          <t>DIL MC25</t>
        </is>
      </c>
      <c r="M10943" t="inlineStr">
        <is>
          <t>-555Q1</t>
        </is>
      </c>
    </row>
    <row r="10944">
      <c r="A10944">
        <v>10943</v>
      </c>
      <c r="B10944">
        <f>GS90</f>
        <v>0</v>
      </c>
      <c r="C10944" t="inlineStr">
        <is>
          <t>+LS11</t>
        </is>
      </c>
      <c r="D10944" t="inlineStr">
        <is>
          <t>-555Q1</t>
        </is>
      </c>
      <c r="E10944" t="inlineStr">
        <is>
          <t>DILA-XHI22</t>
        </is>
      </c>
      <c r="F10944" t="inlineStr">
        <is>
          <t>DILA-XHI22</t>
        </is>
      </c>
      <c r="G10944" t="inlineStr">
        <is>
          <t>HILFSKONTAKTBLOCK</t>
        </is>
      </c>
      <c r="H10944" t="inlineStr">
        <is>
          <t>2S 2OE Last+Hilfssch. Cage</t>
        </is>
      </c>
      <c r="I10944">
        <v>694</v>
      </c>
      <c r="J10944">
        <f>GS90/555.4</f>
        <v>0</v>
      </c>
      <c r="K10944" t="inlineStr">
        <is>
          <t>DIL MC25</t>
        </is>
      </c>
      <c r="M10944" t="inlineStr">
        <is>
          <t>-555Q1</t>
        </is>
      </c>
    </row>
    <row r="10945">
      <c r="A10945">
        <v>10944</v>
      </c>
      <c r="B10945">
        <f>GS92</f>
        <v>0</v>
      </c>
      <c r="C10945" t="inlineStr">
        <is>
          <t>+LS10</t>
        </is>
      </c>
      <c r="D10945" t="inlineStr">
        <is>
          <t>-555Q1</t>
        </is>
      </c>
      <c r="E10945" t="inlineStr">
        <is>
          <t>DILMC25-10(RDC24)</t>
        </is>
      </c>
      <c r="F10945" t="inlineStr">
        <is>
          <t>DILA-XHI22</t>
        </is>
      </c>
      <c r="G10945" t="inlineStr">
        <is>
          <t>LASTSCHUETZ</t>
        </is>
      </c>
      <c r="H10945" t="inlineStr">
        <is>
          <t>11kW 1S Federzugkl.</t>
        </is>
      </c>
      <c r="I10945">
        <v>696</v>
      </c>
      <c r="J10945">
        <f>GS92/555.4</f>
        <v>0</v>
      </c>
      <c r="K10945" t="inlineStr">
        <is>
          <t>DIL MC25</t>
        </is>
      </c>
      <c r="M10945" t="inlineStr">
        <is>
          <t>-555Q1</t>
        </is>
      </c>
    </row>
    <row r="10946">
      <c r="A10946">
        <v>10945</v>
      </c>
      <c r="B10946">
        <f>GS92</f>
        <v>0</v>
      </c>
      <c r="C10946" t="inlineStr">
        <is>
          <t>+LS10</t>
        </is>
      </c>
      <c r="D10946" t="inlineStr">
        <is>
          <t>-555Q1</t>
        </is>
      </c>
      <c r="E10946" t="inlineStr">
        <is>
          <t>DILA-XHI22</t>
        </is>
      </c>
      <c r="F10946" t="inlineStr">
        <is>
          <t>DILA-XHI22</t>
        </is>
      </c>
      <c r="G10946" t="inlineStr">
        <is>
          <t>HILFSKONTAKTBLOCK</t>
        </is>
      </c>
      <c r="H10946" t="inlineStr">
        <is>
          <t>2S 2OE Last+Hilfssch. Cage</t>
        </is>
      </c>
      <c r="I10946">
        <v>696</v>
      </c>
      <c r="J10946">
        <f>GS92/555.4</f>
        <v>0</v>
      </c>
      <c r="K10946" t="inlineStr">
        <is>
          <t>DIL MC25</t>
        </is>
      </c>
      <c r="M10946" t="inlineStr">
        <is>
          <t>-555Q1</t>
        </is>
      </c>
    </row>
    <row r="10947">
      <c r="A10947">
        <v>10946</v>
      </c>
      <c r="B10947">
        <f>GS93</f>
        <v>0</v>
      </c>
      <c r="C10947" t="inlineStr">
        <is>
          <t>+LS10</t>
        </is>
      </c>
      <c r="D10947" t="inlineStr">
        <is>
          <t>-555Q1</t>
        </is>
      </c>
      <c r="E10947" t="inlineStr">
        <is>
          <t>DILA-XHI22</t>
        </is>
      </c>
      <c r="F10947" t="inlineStr">
        <is>
          <t>DILA-XHI22</t>
        </is>
      </c>
      <c r="G10947" t="inlineStr">
        <is>
          <t>HILFSKONTAKTBLOCK</t>
        </is>
      </c>
      <c r="H10947" t="inlineStr">
        <is>
          <t>2S 2OE Last+Hilfssch. Cage</t>
        </is>
      </c>
      <c r="I10947">
        <v>1109</v>
      </c>
      <c r="J10947">
        <f>GS93/555.4</f>
        <v>0</v>
      </c>
      <c r="K10947" t="inlineStr">
        <is>
          <t>DIL MC25</t>
        </is>
      </c>
      <c r="M10947" t="inlineStr">
        <is>
          <t>-555Q1</t>
        </is>
      </c>
    </row>
    <row r="10948">
      <c r="A10948">
        <v>10947</v>
      </c>
      <c r="B10948">
        <f>GS93</f>
        <v>0</v>
      </c>
      <c r="C10948" t="inlineStr">
        <is>
          <t>+LS10</t>
        </is>
      </c>
      <c r="D10948" t="inlineStr">
        <is>
          <t>-555Q1</t>
        </is>
      </c>
      <c r="E10948" t="inlineStr">
        <is>
          <t>DILMC25-10(RDC24)</t>
        </is>
      </c>
      <c r="F10948" t="inlineStr">
        <is>
          <t>DILA-XHI22</t>
        </is>
      </c>
      <c r="G10948" t="inlineStr">
        <is>
          <t>LASTSCHUETZ</t>
        </is>
      </c>
      <c r="H10948" t="inlineStr">
        <is>
          <t>11kW 1S Federzugkl.</t>
        </is>
      </c>
      <c r="I10948">
        <v>1109</v>
      </c>
      <c r="J10948">
        <f>GS93/555.4</f>
        <v>0</v>
      </c>
      <c r="K10948" t="inlineStr">
        <is>
          <t>DIL MC25</t>
        </is>
      </c>
      <c r="M10948" t="inlineStr">
        <is>
          <t>-555Q1</t>
        </is>
      </c>
    </row>
    <row r="10949">
      <c r="A10949">
        <v>10948</v>
      </c>
      <c r="B10949">
        <f>GS24</f>
        <v>0</v>
      </c>
      <c r="C10949" t="inlineStr">
        <is>
          <t>+LS11</t>
        </is>
      </c>
      <c r="D10949" t="inlineStr">
        <is>
          <t>-556K3516.0</t>
        </is>
      </c>
      <c r="E10949" t="inlineStr">
        <is>
          <t>DIL_EM-10-G</t>
        </is>
      </c>
      <c r="F10949" t="inlineStr">
        <is>
          <t>#KALK!</t>
        </is>
      </c>
      <c r="G10949" t="inlineStr">
        <is>
          <t>LASTSCHUETZ</t>
        </is>
      </c>
      <c r="H10949" t="inlineStr">
        <is>
          <t>4kW 1S</t>
        </is>
      </c>
      <c r="I10949">
        <v>540</v>
      </c>
      <c r="J10949">
        <f>GS24/556.6</f>
        <v>0</v>
      </c>
      <c r="M10949" t="inlineStr">
        <is>
          <t>-556K3516.0</t>
        </is>
      </c>
    </row>
    <row r="10950">
      <c r="A10950">
        <v>10949</v>
      </c>
      <c r="B10950">
        <f>GS24</f>
        <v>0</v>
      </c>
      <c r="C10950" t="inlineStr">
        <is>
          <t>+LS11</t>
        </is>
      </c>
      <c r="D10950" t="inlineStr">
        <is>
          <t>-556K3516.1</t>
        </is>
      </c>
      <c r="E10950" t="inlineStr">
        <is>
          <t>DIL_EM-10-G</t>
        </is>
      </c>
      <c r="F10950" t="inlineStr">
        <is>
          <t>#KALK!</t>
        </is>
      </c>
      <c r="G10950" t="inlineStr">
        <is>
          <t>LASTSCHUETZ</t>
        </is>
      </c>
      <c r="H10950" t="inlineStr">
        <is>
          <t>4kW 1S</t>
        </is>
      </c>
      <c r="I10950">
        <v>540</v>
      </c>
      <c r="J10950">
        <f>GS24/556.7</f>
        <v>0</v>
      </c>
      <c r="M10950" t="inlineStr">
        <is>
          <t>-556K3516.1</t>
        </is>
      </c>
    </row>
    <row r="10951">
      <c r="A10951">
        <v>10950</v>
      </c>
      <c r="B10951">
        <f>GS25</f>
        <v>0</v>
      </c>
      <c r="C10951" t="inlineStr">
        <is>
          <t>+LS13</t>
        </is>
      </c>
      <c r="D10951" t="inlineStr">
        <is>
          <t>-557K1</t>
        </is>
      </c>
      <c r="E10951" t="inlineStr">
        <is>
          <t>DIL_0AM</t>
        </is>
      </c>
      <c r="F10951" t="inlineStr">
        <is>
          <t>22_DIL-M</t>
        </is>
      </c>
      <c r="G10951" t="inlineStr">
        <is>
          <t>LASTSCHUETZ</t>
        </is>
      </c>
      <c r="H10951" t="inlineStr">
        <is>
          <t>11 kW</t>
        </is>
      </c>
      <c r="I10951">
        <v>684</v>
      </c>
      <c r="J10951">
        <f>GS25/557.2</f>
        <v>0</v>
      </c>
      <c r="K10951" t="inlineStr">
        <is>
          <t>DIL0AM</t>
        </is>
      </c>
      <c r="M10951" t="inlineStr">
        <is>
          <t>-557K1</t>
        </is>
      </c>
    </row>
    <row r="10952">
      <c r="A10952">
        <v>10951</v>
      </c>
      <c r="B10952">
        <f>GS25</f>
        <v>0</v>
      </c>
      <c r="C10952" t="inlineStr">
        <is>
          <t>+LS13</t>
        </is>
      </c>
      <c r="D10952" t="inlineStr">
        <is>
          <t>-557K1</t>
        </is>
      </c>
      <c r="E10952" t="inlineStr">
        <is>
          <t>22_DIL-M</t>
        </is>
      </c>
      <c r="F10952" t="inlineStr">
        <is>
          <t>22_DIL-M</t>
        </is>
      </c>
      <c r="G10952" t="inlineStr">
        <is>
          <t>HILFSKONTAKTBLOCK</t>
        </is>
      </c>
      <c r="H10952" t="inlineStr">
        <is>
          <t>2S 2OE Lastschuetz DIL M</t>
        </is>
      </c>
      <c r="I10952">
        <v>684</v>
      </c>
      <c r="J10952">
        <f>GS25/557.2</f>
        <v>0</v>
      </c>
      <c r="K10952" t="inlineStr">
        <is>
          <t>DIL0AM</t>
        </is>
      </c>
      <c r="M10952" t="inlineStr">
        <is>
          <t>-557K1</t>
        </is>
      </c>
    </row>
    <row r="10953">
      <c r="A10953">
        <v>10952</v>
      </c>
      <c r="B10953">
        <f>GS24</f>
        <v>0</v>
      </c>
      <c r="C10953" t="inlineStr">
        <is>
          <t>+LS11</t>
        </is>
      </c>
      <c r="D10953" t="inlineStr">
        <is>
          <t>-557K3516.2</t>
        </is>
      </c>
      <c r="E10953" t="inlineStr">
        <is>
          <t>DIL_EM-10-G</t>
        </is>
      </c>
      <c r="F10953" t="inlineStr">
        <is>
          <t>#KALK!</t>
        </is>
      </c>
      <c r="G10953" t="inlineStr">
        <is>
          <t>LASTSCHUETZ</t>
        </is>
      </c>
      <c r="H10953" t="inlineStr">
        <is>
          <t>4kW 1S</t>
        </is>
      </c>
      <c r="I10953">
        <v>539</v>
      </c>
      <c r="J10953">
        <f>GS24/557.6</f>
        <v>0</v>
      </c>
      <c r="M10953" t="inlineStr">
        <is>
          <t>-557K3516.2</t>
        </is>
      </c>
    </row>
    <row r="10954">
      <c r="A10954">
        <v>10953</v>
      </c>
      <c r="B10954">
        <f>GS24</f>
        <v>0</v>
      </c>
      <c r="C10954" t="inlineStr">
        <is>
          <t>+LS11</t>
        </is>
      </c>
      <c r="D10954" t="inlineStr">
        <is>
          <t>-557K3516.3</t>
        </is>
      </c>
      <c r="E10954" t="inlineStr">
        <is>
          <t>DIL_EM-10-G</t>
        </is>
      </c>
      <c r="F10954" t="inlineStr">
        <is>
          <t>#KALK!</t>
        </is>
      </c>
      <c r="G10954" t="inlineStr">
        <is>
          <t>LASTSCHUETZ</t>
        </is>
      </c>
      <c r="H10954" t="inlineStr">
        <is>
          <t>4kW 1S</t>
        </is>
      </c>
      <c r="I10954">
        <v>539</v>
      </c>
      <c r="J10954">
        <f>GS24/557.7</f>
        <v>0</v>
      </c>
      <c r="M10954" t="inlineStr">
        <is>
          <t>-557K3516.3</t>
        </is>
      </c>
    </row>
    <row r="10955">
      <c r="A10955">
        <v>10954</v>
      </c>
      <c r="B10955">
        <f>GS90</f>
        <v>0</v>
      </c>
      <c r="C10955" t="inlineStr">
        <is>
          <t>+LS11</t>
        </is>
      </c>
      <c r="D10955" t="inlineStr">
        <is>
          <t>-557Q482.5</t>
        </is>
      </c>
      <c r="E10955" t="inlineStr">
        <is>
          <t>DILM-9-10</t>
        </is>
      </c>
      <c r="F10955" t="inlineStr">
        <is>
          <t>#KALK!</t>
        </is>
      </c>
      <c r="G10955" t="inlineStr">
        <is>
          <t>LASTSCHUETZ</t>
        </is>
      </c>
      <c r="H10955" t="inlineStr">
        <is>
          <t>4kW 1S Federzugkl.</t>
        </is>
      </c>
      <c r="I10955">
        <v>692</v>
      </c>
      <c r="J10955">
        <f>GS90/557.5</f>
        <v>0</v>
      </c>
      <c r="M10955" t="inlineStr">
        <is>
          <t>-557Q482.5</t>
        </is>
      </c>
    </row>
    <row r="10956">
      <c r="A10956">
        <v>10955</v>
      </c>
      <c r="B10956">
        <f>GS24</f>
        <v>0</v>
      </c>
      <c r="C10956" t="inlineStr">
        <is>
          <t>+LS11</t>
        </is>
      </c>
      <c r="D10956" t="inlineStr">
        <is>
          <t>-558K3516.4</t>
        </is>
      </c>
      <c r="E10956" t="inlineStr">
        <is>
          <t>DIL_EM-10-G</t>
        </is>
      </c>
      <c r="F10956" t="inlineStr">
        <is>
          <t>#KALK!</t>
        </is>
      </c>
      <c r="G10956" t="inlineStr">
        <is>
          <t>LASTSCHUETZ</t>
        </is>
      </c>
      <c r="H10956" t="inlineStr">
        <is>
          <t>4kW 1S</t>
        </is>
      </c>
      <c r="I10956">
        <v>538</v>
      </c>
      <c r="J10956">
        <f>GS24/558.6</f>
        <v>0</v>
      </c>
      <c r="M10956" t="inlineStr">
        <is>
          <t>-558K3516.4</t>
        </is>
      </c>
    </row>
    <row r="10957">
      <c r="A10957">
        <v>10956</v>
      </c>
      <c r="B10957">
        <f>GS24</f>
        <v>0</v>
      </c>
      <c r="C10957" t="inlineStr">
        <is>
          <t>+LS11</t>
        </is>
      </c>
      <c r="D10957" t="inlineStr">
        <is>
          <t>-558K3516.5</t>
        </is>
      </c>
      <c r="E10957" t="inlineStr">
        <is>
          <t>DIL_EM-10-G</t>
        </is>
      </c>
      <c r="F10957" t="inlineStr">
        <is>
          <t>#KALK!</t>
        </is>
      </c>
      <c r="G10957" t="inlineStr">
        <is>
          <t>LASTSCHUETZ</t>
        </is>
      </c>
      <c r="H10957" t="inlineStr">
        <is>
          <t>4kW 1S</t>
        </is>
      </c>
      <c r="I10957">
        <v>538</v>
      </c>
      <c r="J10957">
        <f>GS24/558.7</f>
        <v>0</v>
      </c>
      <c r="M10957" t="inlineStr">
        <is>
          <t>-558K3516.5</t>
        </is>
      </c>
    </row>
    <row r="10958">
      <c r="A10958">
        <v>10957</v>
      </c>
      <c r="B10958">
        <f>GS01</f>
        <v>0</v>
      </c>
      <c r="C10958" t="inlineStr">
        <is>
          <t>+LS12</t>
        </is>
      </c>
      <c r="D10958" t="inlineStr">
        <is>
          <t>-558K36.5</t>
        </is>
      </c>
      <c r="E10958" t="inlineStr">
        <is>
          <t>DIL_EM-10-G</t>
        </is>
      </c>
      <c r="F10958" t="inlineStr">
        <is>
          <t>#KALK!</t>
        </is>
      </c>
      <c r="G10958" t="inlineStr">
        <is>
          <t>LASTSCHUETZ</t>
        </is>
      </c>
      <c r="H10958" t="inlineStr">
        <is>
          <t>4kW 1S</t>
        </is>
      </c>
      <c r="I10958">
        <v>727</v>
      </c>
      <c r="J10958">
        <f>GS01/558.7</f>
        <v>0</v>
      </c>
      <c r="M10958" t="inlineStr">
        <is>
          <t>-558K36.5</t>
        </is>
      </c>
    </row>
    <row r="10959">
      <c r="A10959">
        <v>10958</v>
      </c>
      <c r="B10959">
        <f>GS52</f>
        <v>0</v>
      </c>
      <c r="C10959" t="inlineStr">
        <is>
          <t>+LS09</t>
        </is>
      </c>
      <c r="D10959" t="inlineStr">
        <is>
          <t>-558Q190.1</t>
        </is>
      </c>
      <c r="E10959" t="inlineStr">
        <is>
          <t>DILM-9-10</t>
        </is>
      </c>
      <c r="F10959" t="inlineStr">
        <is>
          <t>#KALK!</t>
        </is>
      </c>
      <c r="G10959" t="inlineStr">
        <is>
          <t>LASTSCHUETZ</t>
        </is>
      </c>
      <c r="H10959" t="inlineStr">
        <is>
          <t>4kW 1S Federzugkl.</t>
        </is>
      </c>
      <c r="I10959">
        <v>1459</v>
      </c>
      <c r="J10959">
        <f>GS52/558.6</f>
        <v>0</v>
      </c>
      <c r="K10959" t="inlineStr">
        <is>
          <t>DIL MC9</t>
        </is>
      </c>
      <c r="M10959" t="inlineStr">
        <is>
          <t>-558Q190.1</t>
        </is>
      </c>
    </row>
    <row r="10960">
      <c r="A10960">
        <v>10959</v>
      </c>
      <c r="B10960">
        <f>GS08</f>
        <v>0</v>
      </c>
      <c r="C10960" t="inlineStr">
        <is>
          <t>+LS09</t>
        </is>
      </c>
      <c r="D10960" t="inlineStr">
        <is>
          <t>-558Q520.3</t>
        </is>
      </c>
      <c r="E10960" t="inlineStr">
        <is>
          <t>DILM-9-01</t>
        </is>
      </c>
      <c r="F10960" t="inlineStr">
        <is>
          <t>#KALK!</t>
        </is>
      </c>
      <c r="G10960" t="inlineStr">
        <is>
          <t>LASTSCHUETZ</t>
        </is>
      </c>
      <c r="H10960" t="inlineStr">
        <is>
          <t>4kW 1Oe Federzugkl.</t>
        </is>
      </c>
      <c r="I10960">
        <v>2423</v>
      </c>
      <c r="J10960">
        <f>GS08/558.6</f>
        <v>0</v>
      </c>
      <c r="M10960" t="inlineStr">
        <is>
          <t>-558Q520.3</t>
        </is>
      </c>
    </row>
    <row r="10961">
      <c r="A10961">
        <v>10960</v>
      </c>
      <c r="B10961">
        <f>GS25</f>
        <v>0</v>
      </c>
      <c r="C10961" t="inlineStr">
        <is>
          <t>+LS13</t>
        </is>
      </c>
      <c r="D10961" t="inlineStr">
        <is>
          <t>-559K3534.3</t>
        </is>
      </c>
      <c r="E10961" t="inlineStr">
        <is>
          <t>DIL_EM-10-G</t>
        </is>
      </c>
      <c r="F10961" t="inlineStr">
        <is>
          <t>#KALK!</t>
        </is>
      </c>
      <c r="G10961" t="inlineStr">
        <is>
          <t>LASTSCHUETZ</t>
        </is>
      </c>
      <c r="H10961" t="inlineStr">
        <is>
          <t>4kW 1S</t>
        </is>
      </c>
      <c r="I10961">
        <v>686</v>
      </c>
      <c r="J10961">
        <f>GS25/559.7</f>
        <v>0</v>
      </c>
      <c r="M10961" t="inlineStr">
        <is>
          <t>-559K3534.3</t>
        </is>
      </c>
    </row>
    <row r="10962">
      <c r="A10962">
        <v>10961</v>
      </c>
      <c r="B10962">
        <f>GS01</f>
        <v>0</v>
      </c>
      <c r="C10962" t="inlineStr">
        <is>
          <t>+LS12</t>
        </is>
      </c>
      <c r="D10962" t="inlineStr">
        <is>
          <t>-559K37.5</t>
        </is>
      </c>
      <c r="E10962" t="inlineStr">
        <is>
          <t>DIL_EM-10-G</t>
        </is>
      </c>
      <c r="F10962" t="inlineStr">
        <is>
          <t>#KALK!</t>
        </is>
      </c>
      <c r="G10962" t="inlineStr">
        <is>
          <t>LASTSCHUETZ</t>
        </is>
      </c>
      <c r="H10962" t="inlineStr">
        <is>
          <t>4kW 1S</t>
        </is>
      </c>
      <c r="I10962">
        <v>728</v>
      </c>
      <c r="J10962">
        <f>GS01/559.7</f>
        <v>0</v>
      </c>
      <c r="M10962" t="inlineStr">
        <is>
          <t>-559K37.5</t>
        </is>
      </c>
    </row>
    <row r="10963">
      <c r="A10963">
        <v>10962</v>
      </c>
      <c r="B10963">
        <f>GS92</f>
        <v>0</v>
      </c>
      <c r="C10963" t="inlineStr">
        <is>
          <t>+LS10</t>
        </is>
      </c>
      <c r="D10963" t="inlineStr">
        <is>
          <t>-559Q471.6</t>
        </is>
      </c>
      <c r="E10963" t="inlineStr">
        <is>
          <t>DILM-9-10</t>
        </is>
      </c>
      <c r="F10963" t="inlineStr">
        <is>
          <t>#KALK!</t>
        </is>
      </c>
      <c r="G10963" t="inlineStr">
        <is>
          <t>LASTSCHUETZ</t>
        </is>
      </c>
      <c r="H10963" t="inlineStr">
        <is>
          <t>4kW 1S Federzugkl.</t>
        </is>
      </c>
      <c r="I10963">
        <v>700</v>
      </c>
      <c r="J10963">
        <f>GS92/559.5</f>
        <v>0</v>
      </c>
      <c r="M10963" t="inlineStr">
        <is>
          <t>-559Q471.6</t>
        </is>
      </c>
    </row>
    <row r="10964">
      <c r="A10964">
        <v>10963</v>
      </c>
      <c r="B10964">
        <f>GS35</f>
        <v>0</v>
      </c>
      <c r="C10964" t="inlineStr">
        <is>
          <t>+LS14</t>
        </is>
      </c>
      <c r="D10964" t="inlineStr">
        <is>
          <t>-559Q480.4</t>
        </is>
      </c>
      <c r="E10964" t="inlineStr">
        <is>
          <t>DILM-12-10</t>
        </is>
      </c>
      <c r="F10964" t="inlineStr">
        <is>
          <t>#KALK!</t>
        </is>
      </c>
      <c r="G10964" t="inlineStr">
        <is>
          <t>LASTSCHUETZ</t>
        </is>
      </c>
      <c r="H10964" t="inlineStr">
        <is>
          <t>5,5kW 1S Federzugkl.</t>
        </is>
      </c>
      <c r="I10964">
        <v>705</v>
      </c>
      <c r="J10964">
        <f>GS35/559.5</f>
        <v>0</v>
      </c>
      <c r="K10964" t="inlineStr">
        <is>
          <t>DIL MC12</t>
        </is>
      </c>
      <c r="M10964" t="inlineStr">
        <is>
          <t>-559Q480.4</t>
        </is>
      </c>
    </row>
    <row r="10965">
      <c r="A10965">
        <v>10964</v>
      </c>
      <c r="B10965">
        <f>GS51</f>
        <v>0</v>
      </c>
      <c r="C10965" t="inlineStr">
        <is>
          <t>+LS08</t>
        </is>
      </c>
      <c r="D10965" t="inlineStr">
        <is>
          <t>-559Q806.1</t>
        </is>
      </c>
      <c r="E10965" t="inlineStr">
        <is>
          <t>DILM-9-10</t>
        </is>
      </c>
      <c r="F10965" t="inlineStr">
        <is>
          <t>#KALK!</t>
        </is>
      </c>
      <c r="G10965" t="inlineStr">
        <is>
          <t>LASTSCHUETZ</t>
        </is>
      </c>
      <c r="H10965" t="inlineStr">
        <is>
          <t>4kW 1S Federzugkl.</t>
        </is>
      </c>
      <c r="I10965">
        <v>2006</v>
      </c>
      <c r="J10965">
        <f>GS51/559.6</f>
        <v>0</v>
      </c>
      <c r="K10965" t="inlineStr">
        <is>
          <t>DIL MC9</t>
        </is>
      </c>
      <c r="M10965" t="inlineStr">
        <is>
          <t>-559Q806.1</t>
        </is>
      </c>
    </row>
    <row r="10966">
      <c r="A10966">
        <v>10965</v>
      </c>
      <c r="B10966">
        <f>GS98</f>
        <v>0</v>
      </c>
      <c r="C10966" t="inlineStr">
        <is>
          <t>+LS01</t>
        </is>
      </c>
      <c r="D10966" t="inlineStr">
        <is>
          <t>-55K10.0</t>
        </is>
      </c>
      <c r="E10966" t="inlineStr">
        <is>
          <t>DILA-40</t>
        </is>
      </c>
      <c r="F10966" t="inlineStr">
        <is>
          <t>#KALK!</t>
        </is>
      </c>
      <c r="G10966" t="inlineStr">
        <is>
          <t>HILFSSCHUETZ</t>
        </is>
      </c>
      <c r="H10966" t="inlineStr">
        <is>
          <t>4S Federzugkl.</t>
        </is>
      </c>
      <c r="I10966">
        <v>318</v>
      </c>
      <c r="J10966">
        <f>GS98/55.5</f>
        <v>0</v>
      </c>
      <c r="M10966" t="inlineStr">
        <is>
          <t>-55K10.0</t>
        </is>
      </c>
    </row>
    <row r="10967">
      <c r="A10967">
        <v>10966</v>
      </c>
      <c r="B10967">
        <f>GS61</f>
        <v>0</v>
      </c>
      <c r="C10967" t="inlineStr">
        <is>
          <t>+SPS</t>
        </is>
      </c>
      <c r="D10967" t="inlineStr">
        <is>
          <t>-55K52.1</t>
        </is>
      </c>
      <c r="E10967" t="inlineStr">
        <is>
          <t>DIL_ER-22-G</t>
        </is>
      </c>
      <c r="F10967" t="inlineStr">
        <is>
          <t>#KALK!</t>
        </is>
      </c>
      <c r="G10967" t="inlineStr">
        <is>
          <t>HILFSSCHUETZ</t>
        </is>
      </c>
      <c r="H10967" t="inlineStr">
        <is>
          <t>2S 2OE</t>
        </is>
      </c>
      <c r="I10967">
        <v>181</v>
      </c>
      <c r="J10967">
        <f>GS61/55.7</f>
        <v>0</v>
      </c>
      <c r="M10967" t="inlineStr">
        <is>
          <t>-55K52.1</t>
        </is>
      </c>
    </row>
    <row r="10968">
      <c r="A10968">
        <v>10967</v>
      </c>
      <c r="B10968">
        <f>GS62</f>
        <v>0</v>
      </c>
      <c r="C10968" t="inlineStr">
        <is>
          <t>+SPS</t>
        </is>
      </c>
      <c r="D10968" t="inlineStr">
        <is>
          <t>-55K52.1</t>
        </is>
      </c>
      <c r="E10968" t="inlineStr">
        <is>
          <t>DIL_ER-22-G</t>
        </is>
      </c>
      <c r="F10968" t="inlineStr">
        <is>
          <t>#KALK!</t>
        </is>
      </c>
      <c r="G10968" t="inlineStr">
        <is>
          <t>HILFSSCHUETZ</t>
        </is>
      </c>
      <c r="H10968" t="inlineStr">
        <is>
          <t>2S 2OE</t>
        </is>
      </c>
      <c r="I10968">
        <v>248</v>
      </c>
      <c r="J10968">
        <f>GS62/55.7</f>
        <v>0</v>
      </c>
      <c r="M10968" t="inlineStr">
        <is>
          <t>-55K52.1</t>
        </is>
      </c>
    </row>
    <row r="10969">
      <c r="A10969">
        <v>10968</v>
      </c>
      <c r="B10969">
        <f>GS13</f>
        <v>0</v>
      </c>
      <c r="C10969" t="inlineStr">
        <is>
          <t>+LS13</t>
        </is>
      </c>
      <c r="D10969" t="inlineStr">
        <is>
          <t>-560K1</t>
        </is>
      </c>
      <c r="E10969" t="inlineStr">
        <is>
          <t>DIL_0AM</t>
        </is>
      </c>
      <c r="F10969" t="inlineStr">
        <is>
          <t>22_DIL-M</t>
        </is>
      </c>
      <c r="G10969" t="inlineStr">
        <is>
          <t>LASTSCHUETZ</t>
        </is>
      </c>
      <c r="H10969" t="inlineStr">
        <is>
          <t>11 kW</t>
        </is>
      </c>
      <c r="I10969">
        <v>819</v>
      </c>
      <c r="J10969">
        <f>GS13/560.2</f>
        <v>0</v>
      </c>
      <c r="K10969" t="inlineStr">
        <is>
          <t>DIL0AM</t>
        </is>
      </c>
      <c r="M10969" t="inlineStr">
        <is>
          <t>-560K1</t>
        </is>
      </c>
    </row>
    <row r="10970">
      <c r="A10970">
        <v>10969</v>
      </c>
      <c r="B10970">
        <f>GS13</f>
        <v>0</v>
      </c>
      <c r="C10970" t="inlineStr">
        <is>
          <t>+LS13</t>
        </is>
      </c>
      <c r="D10970" t="inlineStr">
        <is>
          <t>-560K1</t>
        </is>
      </c>
      <c r="E10970" t="inlineStr">
        <is>
          <t>22_DIL-M</t>
        </is>
      </c>
      <c r="F10970" t="inlineStr">
        <is>
          <t>22_DIL-M</t>
        </is>
      </c>
      <c r="G10970" t="inlineStr">
        <is>
          <t>HILFSKONTAKTBLOCK</t>
        </is>
      </c>
      <c r="H10970" t="inlineStr">
        <is>
          <t>2S 2OE Lastschuetz DIL M</t>
        </is>
      </c>
      <c r="I10970">
        <v>819</v>
      </c>
      <c r="J10970">
        <f>GS13/560.2</f>
        <v>0</v>
      </c>
      <c r="K10970" t="inlineStr">
        <is>
          <t>DIL0AM</t>
        </is>
      </c>
      <c r="M10970" t="inlineStr">
        <is>
          <t>-560K1</t>
        </is>
      </c>
    </row>
    <row r="10971">
      <c r="A10971">
        <v>10970</v>
      </c>
      <c r="B10971">
        <f>GS14</f>
        <v>0</v>
      </c>
      <c r="C10971" t="inlineStr">
        <is>
          <t>+LS11</t>
        </is>
      </c>
      <c r="D10971" t="inlineStr">
        <is>
          <t>-560K1</t>
        </is>
      </c>
      <c r="E10971" t="inlineStr">
        <is>
          <t>DIL_0AM</t>
        </is>
      </c>
      <c r="F10971" t="inlineStr">
        <is>
          <t>22_DIL-M</t>
        </is>
      </c>
      <c r="G10971" t="inlineStr">
        <is>
          <t>LASTSCHUETZ</t>
        </is>
      </c>
      <c r="H10971" t="inlineStr">
        <is>
          <t>11 kW</t>
        </is>
      </c>
      <c r="I10971">
        <v>692</v>
      </c>
      <c r="J10971">
        <f>GS14/560.2</f>
        <v>0</v>
      </c>
      <c r="K10971" t="inlineStr">
        <is>
          <t>DIL0AM</t>
        </is>
      </c>
      <c r="M10971" t="inlineStr">
        <is>
          <t>-560K1</t>
        </is>
      </c>
    </row>
    <row r="10972">
      <c r="A10972">
        <v>10971</v>
      </c>
      <c r="B10972">
        <f>GS14</f>
        <v>0</v>
      </c>
      <c r="C10972" t="inlineStr">
        <is>
          <t>+LS11</t>
        </is>
      </c>
      <c r="D10972" t="inlineStr">
        <is>
          <t>-560K1</t>
        </is>
      </c>
      <c r="E10972" t="inlineStr">
        <is>
          <t>22_DIL-M</t>
        </is>
      </c>
      <c r="F10972" t="inlineStr">
        <is>
          <t>22_DIL-M</t>
        </is>
      </c>
      <c r="G10972" t="inlineStr">
        <is>
          <t>HILFSKONTAKTBLOCK</t>
        </is>
      </c>
      <c r="H10972" t="inlineStr">
        <is>
          <t>2S 2OE Lastschuetz DIL M</t>
        </is>
      </c>
      <c r="I10972">
        <v>692</v>
      </c>
      <c r="J10972">
        <f>GS14/560.2</f>
        <v>0</v>
      </c>
      <c r="K10972" t="inlineStr">
        <is>
          <t>DIL0AM</t>
        </is>
      </c>
      <c r="M10972" t="inlineStr">
        <is>
          <t>-560K1</t>
        </is>
      </c>
    </row>
    <row r="10973">
      <c r="A10973">
        <v>10972</v>
      </c>
      <c r="B10973">
        <f>GS23</f>
        <v>0</v>
      </c>
      <c r="C10973" t="inlineStr">
        <is>
          <t>+LS13</t>
        </is>
      </c>
      <c r="D10973" t="inlineStr">
        <is>
          <t>-560K1</t>
        </is>
      </c>
      <c r="E10973" t="inlineStr">
        <is>
          <t>22_DIL-M</t>
        </is>
      </c>
      <c r="F10973" t="inlineStr">
        <is>
          <t>22_DIL-M</t>
        </is>
      </c>
      <c r="G10973" t="inlineStr">
        <is>
          <t>HILFSKONTAKTBLOCK</t>
        </is>
      </c>
      <c r="H10973" t="inlineStr">
        <is>
          <t>2S 2OE Lastschuetz DIL M</t>
        </is>
      </c>
      <c r="I10973">
        <v>872</v>
      </c>
      <c r="J10973">
        <f>GS23/560.2</f>
        <v>0</v>
      </c>
      <c r="K10973" t="inlineStr">
        <is>
          <t>DIL0AM</t>
        </is>
      </c>
      <c r="M10973" t="inlineStr">
        <is>
          <t>-560K1</t>
        </is>
      </c>
    </row>
    <row r="10974">
      <c r="A10974">
        <v>10973</v>
      </c>
      <c r="B10974">
        <f>GS23</f>
        <v>0</v>
      </c>
      <c r="C10974" t="inlineStr">
        <is>
          <t>+LS13</t>
        </is>
      </c>
      <c r="D10974" t="inlineStr">
        <is>
          <t>-560K1</t>
        </is>
      </c>
      <c r="E10974" t="inlineStr">
        <is>
          <t>DIL_0AM</t>
        </is>
      </c>
      <c r="F10974" t="inlineStr">
        <is>
          <t>22_DIL-M</t>
        </is>
      </c>
      <c r="G10974" t="inlineStr">
        <is>
          <t>LASTSCHUETZ</t>
        </is>
      </c>
      <c r="H10974" t="inlineStr">
        <is>
          <t>11 kW</t>
        </is>
      </c>
      <c r="I10974">
        <v>872</v>
      </c>
      <c r="J10974">
        <f>GS23/560.2</f>
        <v>0</v>
      </c>
      <c r="K10974" t="inlineStr">
        <is>
          <t>DIL0AM</t>
        </is>
      </c>
      <c r="M10974" t="inlineStr">
        <is>
          <t>-560K1</t>
        </is>
      </c>
    </row>
    <row r="10975">
      <c r="A10975">
        <v>10974</v>
      </c>
      <c r="B10975">
        <f>GS25</f>
        <v>0</v>
      </c>
      <c r="C10975" t="inlineStr">
        <is>
          <t>+LS13</t>
        </is>
      </c>
      <c r="D10975" t="inlineStr">
        <is>
          <t>-560K3534.4</t>
        </is>
      </c>
      <c r="E10975" t="inlineStr">
        <is>
          <t>DIL_EM-10-G</t>
        </is>
      </c>
      <c r="F10975" t="inlineStr">
        <is>
          <t>#KALK!</t>
        </is>
      </c>
      <c r="G10975" t="inlineStr">
        <is>
          <t>LASTSCHUETZ</t>
        </is>
      </c>
      <c r="H10975" t="inlineStr">
        <is>
          <t>4kW 1S</t>
        </is>
      </c>
      <c r="I10975">
        <v>687</v>
      </c>
      <c r="J10975">
        <f>GS25/560.6</f>
        <v>0</v>
      </c>
      <c r="M10975" t="inlineStr">
        <is>
          <t>-560K3534.4</t>
        </is>
      </c>
    </row>
    <row r="10976">
      <c r="A10976">
        <v>10975</v>
      </c>
      <c r="B10976">
        <f>GS01</f>
        <v>0</v>
      </c>
      <c r="C10976" t="inlineStr">
        <is>
          <t>+LS12</t>
        </is>
      </c>
      <c r="D10976" t="inlineStr">
        <is>
          <t>-560K38.0</t>
        </is>
      </c>
      <c r="E10976" t="inlineStr">
        <is>
          <t>DIL_EM-10-G</t>
        </is>
      </c>
      <c r="F10976" t="inlineStr">
        <is>
          <t>#KALK!</t>
        </is>
      </c>
      <c r="G10976" t="inlineStr">
        <is>
          <t>LASTSCHUETZ</t>
        </is>
      </c>
      <c r="H10976" t="inlineStr">
        <is>
          <t>4kW 1S</t>
        </is>
      </c>
      <c r="I10976">
        <v>729</v>
      </c>
      <c r="J10976">
        <f>GS01/560.6</f>
        <v>0</v>
      </c>
      <c r="M10976" t="inlineStr">
        <is>
          <t>-560K38.0</t>
        </is>
      </c>
    </row>
    <row r="10977">
      <c r="A10977">
        <v>10976</v>
      </c>
      <c r="B10977">
        <f>GS01</f>
        <v>0</v>
      </c>
      <c r="C10977" t="inlineStr">
        <is>
          <t>+LS12</t>
        </is>
      </c>
      <c r="D10977" t="inlineStr">
        <is>
          <t>-560K38.1</t>
        </is>
      </c>
      <c r="E10977" t="inlineStr">
        <is>
          <t>DIL_EM-10-G</t>
        </is>
      </c>
      <c r="F10977" t="inlineStr">
        <is>
          <t>#KALK!</t>
        </is>
      </c>
      <c r="G10977" t="inlineStr">
        <is>
          <t>LASTSCHUETZ</t>
        </is>
      </c>
      <c r="H10977" t="inlineStr">
        <is>
          <t>4kW 1S</t>
        </is>
      </c>
      <c r="I10977">
        <v>729</v>
      </c>
      <c r="J10977">
        <f>GS01/560.6</f>
        <v>0</v>
      </c>
      <c r="M10977" t="inlineStr">
        <is>
          <t>-560K38.1</t>
        </is>
      </c>
    </row>
    <row r="10978">
      <c r="A10978">
        <v>10977</v>
      </c>
      <c r="B10978">
        <f>GS91</f>
        <v>0</v>
      </c>
      <c r="C10978" t="inlineStr">
        <is>
          <t>+LS10</t>
        </is>
      </c>
      <c r="D10978" t="inlineStr">
        <is>
          <t>-560K479.0</t>
        </is>
      </c>
      <c r="E10978" t="inlineStr">
        <is>
          <t>DILA-40</t>
        </is>
      </c>
      <c r="F10978" t="inlineStr">
        <is>
          <t>#KALK!</t>
        </is>
      </c>
      <c r="G10978" t="inlineStr">
        <is>
          <t>HILFSSCHUETZ</t>
        </is>
      </c>
      <c r="H10978" t="inlineStr">
        <is>
          <t>4S Federzugkl.</t>
        </is>
      </c>
      <c r="I10978">
        <v>703</v>
      </c>
      <c r="J10978">
        <f>GS91/560.7</f>
        <v>0</v>
      </c>
      <c r="M10978" t="inlineStr">
        <is>
          <t>-560K479.0</t>
        </is>
      </c>
    </row>
    <row r="10979">
      <c r="A10979">
        <v>10978</v>
      </c>
      <c r="B10979">
        <f>GS91</f>
        <v>0</v>
      </c>
      <c r="C10979" t="inlineStr">
        <is>
          <t>+LS10</t>
        </is>
      </c>
      <c r="D10979" t="inlineStr">
        <is>
          <t>-560Q1</t>
        </is>
      </c>
      <c r="E10979" t="inlineStr">
        <is>
          <t>DILA-XHI22</t>
        </is>
      </c>
      <c r="F10979" t="inlineStr">
        <is>
          <t>DILA-XHI22</t>
        </is>
      </c>
      <c r="G10979" t="inlineStr">
        <is>
          <t>HILFSKONTAKTBLOCK</t>
        </is>
      </c>
      <c r="H10979" t="inlineStr">
        <is>
          <t>2S 2OE Last+Hilfssch. Cage</t>
        </is>
      </c>
      <c r="I10979">
        <v>703</v>
      </c>
      <c r="J10979">
        <f>GS91/560.4</f>
        <v>0</v>
      </c>
      <c r="K10979" t="inlineStr">
        <is>
          <t>DIL MC25</t>
        </is>
      </c>
      <c r="M10979" t="inlineStr">
        <is>
          <t>-560Q1</t>
        </is>
      </c>
    </row>
    <row r="10980">
      <c r="A10980">
        <v>10979</v>
      </c>
      <c r="B10980">
        <f>GS91</f>
        <v>0</v>
      </c>
      <c r="C10980" t="inlineStr">
        <is>
          <t>+LS10</t>
        </is>
      </c>
      <c r="D10980" t="inlineStr">
        <is>
          <t>-560Q1</t>
        </is>
      </c>
      <c r="E10980" t="inlineStr">
        <is>
          <t>DILMC25-10(RDC24)</t>
        </is>
      </c>
      <c r="F10980" t="inlineStr">
        <is>
          <t>DILA-XHI22</t>
        </is>
      </c>
      <c r="G10980" t="inlineStr">
        <is>
          <t>LASTSCHUETZ</t>
        </is>
      </c>
      <c r="H10980" t="inlineStr">
        <is>
          <t>11kW 1S Federzugkl.</t>
        </is>
      </c>
      <c r="I10980">
        <v>703</v>
      </c>
      <c r="J10980">
        <f>GS91/560.4</f>
        <v>0</v>
      </c>
      <c r="K10980" t="inlineStr">
        <is>
          <t>DIL MC25</t>
        </is>
      </c>
      <c r="M10980" t="inlineStr">
        <is>
          <t>-560Q1</t>
        </is>
      </c>
    </row>
    <row r="10981">
      <c r="A10981">
        <v>10980</v>
      </c>
      <c r="B10981">
        <f>GS92</f>
        <v>0</v>
      </c>
      <c r="C10981" t="inlineStr">
        <is>
          <t>+LS10</t>
        </is>
      </c>
      <c r="D10981" t="inlineStr">
        <is>
          <t>-560Q471.7</t>
        </is>
      </c>
      <c r="E10981" t="inlineStr">
        <is>
          <t>DILM-9-10</t>
        </is>
      </c>
      <c r="F10981" t="inlineStr">
        <is>
          <t>#KALK!</t>
        </is>
      </c>
      <c r="G10981" t="inlineStr">
        <is>
          <t>LASTSCHUETZ</t>
        </is>
      </c>
      <c r="H10981" t="inlineStr">
        <is>
          <t>4kW 1S Federzugkl.</t>
        </is>
      </c>
      <c r="I10981">
        <v>701</v>
      </c>
      <c r="J10981">
        <f>GS92/560.5</f>
        <v>0</v>
      </c>
      <c r="M10981" t="inlineStr">
        <is>
          <t>-560Q471.7</t>
        </is>
      </c>
    </row>
    <row r="10982">
      <c r="A10982">
        <v>10981</v>
      </c>
      <c r="B10982">
        <f>GS25</f>
        <v>0</v>
      </c>
      <c r="C10982" t="inlineStr">
        <is>
          <t>+LS13</t>
        </is>
      </c>
      <c r="D10982" t="inlineStr">
        <is>
          <t>-561K3534.5</t>
        </is>
      </c>
      <c r="E10982" t="inlineStr">
        <is>
          <t>DIL_EM-10-G</t>
        </is>
      </c>
      <c r="F10982" t="inlineStr">
        <is>
          <t>#KALK!</t>
        </is>
      </c>
      <c r="G10982" t="inlineStr">
        <is>
          <t>LASTSCHUETZ</t>
        </is>
      </c>
      <c r="H10982" t="inlineStr">
        <is>
          <t>4kW 1S</t>
        </is>
      </c>
      <c r="I10982">
        <v>688</v>
      </c>
      <c r="J10982">
        <f>GS25/561.6</f>
        <v>0</v>
      </c>
      <c r="M10982" t="inlineStr">
        <is>
          <t>-561K3534.5</t>
        </is>
      </c>
    </row>
    <row r="10983">
      <c r="A10983">
        <v>10982</v>
      </c>
      <c r="B10983">
        <f>GS25</f>
        <v>0</v>
      </c>
      <c r="C10983" t="inlineStr">
        <is>
          <t>+LS13</t>
        </is>
      </c>
      <c r="D10983" t="inlineStr">
        <is>
          <t>-561K3534.6</t>
        </is>
      </c>
      <c r="E10983" t="inlineStr">
        <is>
          <t>DIL_EM-10-G</t>
        </is>
      </c>
      <c r="F10983" t="inlineStr">
        <is>
          <t>#KALK!</t>
        </is>
      </c>
      <c r="G10983" t="inlineStr">
        <is>
          <t>LASTSCHUETZ</t>
        </is>
      </c>
      <c r="H10983" t="inlineStr">
        <is>
          <t>4kW 1S</t>
        </is>
      </c>
      <c r="I10983">
        <v>688</v>
      </c>
      <c r="J10983">
        <f>GS25/561.7</f>
        <v>0</v>
      </c>
      <c r="M10983" t="inlineStr">
        <is>
          <t>-561K3534.6</t>
        </is>
      </c>
    </row>
    <row r="10984">
      <c r="A10984">
        <v>10983</v>
      </c>
      <c r="B10984">
        <f>GS01</f>
        <v>0</v>
      </c>
      <c r="C10984" t="inlineStr">
        <is>
          <t>+LS12</t>
        </is>
      </c>
      <c r="D10984" t="inlineStr">
        <is>
          <t>-561K38.2</t>
        </is>
      </c>
      <c r="E10984" t="inlineStr">
        <is>
          <t>DIL_EM-10-G</t>
        </is>
      </c>
      <c r="F10984" t="inlineStr">
        <is>
          <t>#KALK!</t>
        </is>
      </c>
      <c r="G10984" t="inlineStr">
        <is>
          <t>LASTSCHUETZ</t>
        </is>
      </c>
      <c r="H10984" t="inlineStr">
        <is>
          <t>4kW 1S</t>
        </is>
      </c>
      <c r="I10984">
        <v>730</v>
      </c>
      <c r="J10984">
        <f>GS01/561.6</f>
        <v>0</v>
      </c>
      <c r="M10984" t="inlineStr">
        <is>
          <t>-561K38.2</t>
        </is>
      </c>
    </row>
    <row r="10985">
      <c r="A10985">
        <v>10984</v>
      </c>
      <c r="B10985">
        <f>GS01</f>
        <v>0</v>
      </c>
      <c r="C10985" t="inlineStr">
        <is>
          <t>+LS12</t>
        </is>
      </c>
      <c r="D10985" t="inlineStr">
        <is>
          <t>-561K38.3</t>
        </is>
      </c>
      <c r="E10985" t="inlineStr">
        <is>
          <t>DIL_EM-10-G</t>
        </is>
      </c>
      <c r="F10985" t="inlineStr">
        <is>
          <t>#KALK!</t>
        </is>
      </c>
      <c r="G10985" t="inlineStr">
        <is>
          <t>LASTSCHUETZ</t>
        </is>
      </c>
      <c r="H10985" t="inlineStr">
        <is>
          <t>4kW 1S</t>
        </is>
      </c>
      <c r="I10985">
        <v>730</v>
      </c>
      <c r="J10985">
        <f>GS01/561.6</f>
        <v>0</v>
      </c>
      <c r="M10985" t="inlineStr">
        <is>
          <t>-561K38.3</t>
        </is>
      </c>
    </row>
    <row r="10986">
      <c r="A10986">
        <v>10985</v>
      </c>
      <c r="B10986">
        <f>GS52</f>
        <v>0</v>
      </c>
      <c r="C10986" t="inlineStr">
        <is>
          <t>+LS09</t>
        </is>
      </c>
      <c r="D10986" t="inlineStr">
        <is>
          <t>-561Q190.2</t>
        </is>
      </c>
      <c r="E10986" t="inlineStr">
        <is>
          <t>DILM-9-10</t>
        </is>
      </c>
      <c r="F10986" t="inlineStr">
        <is>
          <t>#KALK!</t>
        </is>
      </c>
      <c r="G10986" t="inlineStr">
        <is>
          <t>LASTSCHUETZ</t>
        </is>
      </c>
      <c r="H10986" t="inlineStr">
        <is>
          <t>4kW 1S Federzugkl.</t>
        </is>
      </c>
      <c r="I10986">
        <v>1455</v>
      </c>
      <c r="J10986">
        <f>GS52/561.6</f>
        <v>0</v>
      </c>
      <c r="K10986" t="inlineStr">
        <is>
          <t>DIL MC9</t>
        </is>
      </c>
      <c r="M10986" t="inlineStr">
        <is>
          <t>-561Q190.2</t>
        </is>
      </c>
    </row>
    <row r="10987">
      <c r="A10987">
        <v>10986</v>
      </c>
      <c r="B10987">
        <f>GS13</f>
        <v>0</v>
      </c>
      <c r="C10987" t="inlineStr">
        <is>
          <t>+LS13</t>
        </is>
      </c>
      <c r="D10987" t="inlineStr">
        <is>
          <t>-56232.0</t>
        </is>
      </c>
      <c r="E10987" t="inlineStr">
        <is>
          <t>DIL_EM-10-G</t>
        </is>
      </c>
      <c r="F10987" t="inlineStr">
        <is>
          <t>#KALK!</t>
        </is>
      </c>
      <c r="G10987" t="inlineStr">
        <is>
          <t>LASTSCHUETZ</t>
        </is>
      </c>
      <c r="H10987" t="inlineStr">
        <is>
          <t>4kW 1S</t>
        </is>
      </c>
      <c r="I10987">
        <v>821</v>
      </c>
      <c r="J10987">
        <f>GS13/562.6</f>
        <v>0</v>
      </c>
      <c r="M10987" t="inlineStr">
        <is>
          <t>-56232.0</t>
        </is>
      </c>
    </row>
    <row r="10988">
      <c r="A10988">
        <v>10987</v>
      </c>
      <c r="B10988">
        <f>GS23</f>
        <v>0</v>
      </c>
      <c r="C10988" t="inlineStr">
        <is>
          <t>+LS13</t>
        </is>
      </c>
      <c r="D10988" t="inlineStr">
        <is>
          <t>-562K32.0</t>
        </is>
      </c>
      <c r="E10988" t="inlineStr">
        <is>
          <t>DIL_EM-10-G</t>
        </is>
      </c>
      <c r="F10988" t="inlineStr">
        <is>
          <t>#KALK!</t>
        </is>
      </c>
      <c r="G10988" t="inlineStr">
        <is>
          <t>LASTSCHUETZ</t>
        </is>
      </c>
      <c r="H10988" t="inlineStr">
        <is>
          <t>4kW 1S</t>
        </is>
      </c>
      <c r="I10988">
        <v>874</v>
      </c>
      <c r="J10988">
        <f>GS23/562.6</f>
        <v>0</v>
      </c>
      <c r="M10988" t="inlineStr">
        <is>
          <t>-562K32.0</t>
        </is>
      </c>
    </row>
    <row r="10989">
      <c r="A10989">
        <v>10988</v>
      </c>
      <c r="B10989">
        <f>GS14</f>
        <v>0</v>
      </c>
      <c r="C10989" t="inlineStr">
        <is>
          <t>+LS11</t>
        </is>
      </c>
      <c r="D10989" t="inlineStr">
        <is>
          <t>-562K3522.0</t>
        </is>
      </c>
      <c r="E10989" t="inlineStr">
        <is>
          <t>DIL_EM-10-G</t>
        </is>
      </c>
      <c r="F10989" t="inlineStr">
        <is>
          <t>#KALK!</t>
        </is>
      </c>
      <c r="G10989" t="inlineStr">
        <is>
          <t>LASTSCHUETZ</t>
        </is>
      </c>
      <c r="H10989" t="inlineStr">
        <is>
          <t>4kW 1S</t>
        </is>
      </c>
      <c r="I10989">
        <v>694</v>
      </c>
      <c r="J10989">
        <f>GS14/562.6</f>
        <v>0</v>
      </c>
      <c r="M10989" t="inlineStr">
        <is>
          <t>-562K3522.0</t>
        </is>
      </c>
    </row>
    <row r="10990">
      <c r="A10990">
        <v>10989</v>
      </c>
      <c r="B10990">
        <f>GS14</f>
        <v>0</v>
      </c>
      <c r="C10990" t="inlineStr">
        <is>
          <t>+LS11</t>
        </is>
      </c>
      <c r="D10990" t="inlineStr">
        <is>
          <t>-562K3522.1</t>
        </is>
      </c>
      <c r="E10990" t="inlineStr">
        <is>
          <t>DIL_EM-10-G</t>
        </is>
      </c>
      <c r="F10990" t="inlineStr">
        <is>
          <t>#KALK!</t>
        </is>
      </c>
      <c r="G10990" t="inlineStr">
        <is>
          <t>LASTSCHUETZ</t>
        </is>
      </c>
      <c r="H10990" t="inlineStr">
        <is>
          <t>4kW 1S</t>
        </is>
      </c>
      <c r="I10990">
        <v>694</v>
      </c>
      <c r="J10990">
        <f>GS14/562.6</f>
        <v>0</v>
      </c>
      <c r="M10990" t="inlineStr">
        <is>
          <t>-562K3522.1</t>
        </is>
      </c>
    </row>
    <row r="10991">
      <c r="A10991">
        <v>10990</v>
      </c>
      <c r="B10991">
        <f>GS25</f>
        <v>0</v>
      </c>
      <c r="C10991" t="inlineStr">
        <is>
          <t>+LS13</t>
        </is>
      </c>
      <c r="D10991" t="inlineStr">
        <is>
          <t>-562K3534.7</t>
        </is>
      </c>
      <c r="E10991" t="inlineStr">
        <is>
          <t>DIL_EM-10-G</t>
        </is>
      </c>
      <c r="F10991" t="inlineStr">
        <is>
          <t>#KALK!</t>
        </is>
      </c>
      <c r="G10991" t="inlineStr">
        <is>
          <t>LASTSCHUETZ</t>
        </is>
      </c>
      <c r="H10991" t="inlineStr">
        <is>
          <t>4kW 1S</t>
        </is>
      </c>
      <c r="I10991">
        <v>689</v>
      </c>
      <c r="J10991">
        <f>GS25/562.6</f>
        <v>0</v>
      </c>
      <c r="M10991" t="inlineStr">
        <is>
          <t>-562K3534.7</t>
        </is>
      </c>
    </row>
    <row r="10992">
      <c r="A10992">
        <v>10991</v>
      </c>
      <c r="B10992">
        <f>GS25</f>
        <v>0</v>
      </c>
      <c r="C10992" t="inlineStr">
        <is>
          <t>+LS13</t>
        </is>
      </c>
      <c r="D10992" t="inlineStr">
        <is>
          <t>-562K3535.0</t>
        </is>
      </c>
      <c r="E10992" t="inlineStr">
        <is>
          <t>DIL_EM-10-G</t>
        </is>
      </c>
      <c r="F10992" t="inlineStr">
        <is>
          <t>#KALK!</t>
        </is>
      </c>
      <c r="G10992" t="inlineStr">
        <is>
          <t>LASTSCHUETZ</t>
        </is>
      </c>
      <c r="H10992" t="inlineStr">
        <is>
          <t>4kW 1S</t>
        </is>
      </c>
      <c r="I10992">
        <v>689</v>
      </c>
      <c r="J10992">
        <f>GS25/562.7</f>
        <v>0</v>
      </c>
      <c r="M10992" t="inlineStr">
        <is>
          <t>-562K3535.0</t>
        </is>
      </c>
    </row>
    <row r="10993">
      <c r="A10993">
        <v>10992</v>
      </c>
      <c r="B10993">
        <f>GS92</f>
        <v>0</v>
      </c>
      <c r="C10993" t="inlineStr">
        <is>
          <t>+LS10</t>
        </is>
      </c>
      <c r="D10993" t="inlineStr">
        <is>
          <t>-562K475.0</t>
        </is>
      </c>
      <c r="E10993" t="inlineStr">
        <is>
          <t>DILA-22</t>
        </is>
      </c>
      <c r="F10993" t="inlineStr">
        <is>
          <t>#KALK!</t>
        </is>
      </c>
      <c r="G10993" t="inlineStr">
        <is>
          <t>HILFSSCHUETZ</t>
        </is>
      </c>
      <c r="H10993" t="inlineStr">
        <is>
          <t>2S 2Oe Federzugkl.</t>
        </is>
      </c>
      <c r="I10993">
        <v>702</v>
      </c>
      <c r="J10993">
        <f>GS92/562.6</f>
        <v>0</v>
      </c>
      <c r="M10993" t="inlineStr">
        <is>
          <t>-562K475.0</t>
        </is>
      </c>
    </row>
    <row r="10994">
      <c r="A10994">
        <v>10993</v>
      </c>
      <c r="B10994">
        <f>GS92</f>
        <v>0</v>
      </c>
      <c r="C10994" t="inlineStr">
        <is>
          <t>+LS10</t>
        </is>
      </c>
      <c r="D10994" t="inlineStr">
        <is>
          <t>-562Q1</t>
        </is>
      </c>
      <c r="E10994" t="inlineStr">
        <is>
          <t>DILMC25-10(RDC24)</t>
        </is>
      </c>
      <c r="F10994" t="inlineStr">
        <is>
          <t>DILA-XHIC31</t>
        </is>
      </c>
      <c r="G10994" t="inlineStr">
        <is>
          <t>LASTSCHUETZ</t>
        </is>
      </c>
      <c r="H10994" t="inlineStr">
        <is>
          <t>11kW 1S Federzugkl.</t>
        </is>
      </c>
      <c r="I10994">
        <v>702</v>
      </c>
      <c r="J10994">
        <f>GS92/562.2</f>
        <v>0</v>
      </c>
      <c r="M10994" t="inlineStr">
        <is>
          <t>-562Q1</t>
        </is>
      </c>
    </row>
    <row r="10995">
      <c r="A10995">
        <v>10994</v>
      </c>
      <c r="B10995">
        <f>GS92</f>
        <v>0</v>
      </c>
      <c r="C10995" t="inlineStr">
        <is>
          <t>+LS10</t>
        </is>
      </c>
      <c r="D10995" t="inlineStr">
        <is>
          <t>-562Q1</t>
        </is>
      </c>
      <c r="E10995" t="inlineStr">
        <is>
          <t>DILA-XHIC31</t>
        </is>
      </c>
      <c r="F10995" t="inlineStr">
        <is>
          <t>DILA-XHIC31</t>
        </is>
      </c>
      <c r="G10995" t="inlineStr">
        <is>
          <t>HILFSKONTAKTBLOCK</t>
        </is>
      </c>
      <c r="H10995" t="inlineStr">
        <is>
          <t>3S 1OE Last+Hilfssch. Cage</t>
        </is>
      </c>
      <c r="I10995">
        <v>702</v>
      </c>
      <c r="J10995">
        <f>GS92/562.2</f>
        <v>0</v>
      </c>
      <c r="M10995" t="inlineStr">
        <is>
          <t>-562Q1</t>
        </is>
      </c>
    </row>
    <row r="10996">
      <c r="A10996">
        <v>10995</v>
      </c>
      <c r="B10996">
        <f>GS13</f>
        <v>0</v>
      </c>
      <c r="C10996" t="inlineStr">
        <is>
          <t>+LS13</t>
        </is>
      </c>
      <c r="D10996" t="inlineStr">
        <is>
          <t>-56332.2</t>
        </is>
      </c>
      <c r="E10996" t="inlineStr">
        <is>
          <t>DIL_EM-10-G</t>
        </is>
      </c>
      <c r="F10996" t="inlineStr">
        <is>
          <t>#KALK!</t>
        </is>
      </c>
      <c r="G10996" t="inlineStr">
        <is>
          <t>LASTSCHUETZ</t>
        </is>
      </c>
      <c r="H10996" t="inlineStr">
        <is>
          <t>4kW 1S</t>
        </is>
      </c>
      <c r="I10996">
        <v>822</v>
      </c>
      <c r="J10996">
        <f>GS13/563.6</f>
        <v>0</v>
      </c>
      <c r="M10996" t="inlineStr">
        <is>
          <t>-56332.2</t>
        </is>
      </c>
    </row>
    <row r="10997">
      <c r="A10997">
        <v>10996</v>
      </c>
      <c r="B10997">
        <f>GS13</f>
        <v>0</v>
      </c>
      <c r="C10997" t="inlineStr">
        <is>
          <t>+LS13</t>
        </is>
      </c>
      <c r="D10997" t="inlineStr">
        <is>
          <t>-56332.3</t>
        </is>
      </c>
      <c r="E10997" t="inlineStr">
        <is>
          <t>DIL_EM-10-G</t>
        </is>
      </c>
      <c r="F10997" t="inlineStr">
        <is>
          <t>#KALK!</t>
        </is>
      </c>
      <c r="G10997" t="inlineStr">
        <is>
          <t>LASTSCHUETZ</t>
        </is>
      </c>
      <c r="H10997" t="inlineStr">
        <is>
          <t>4kW 1S</t>
        </is>
      </c>
      <c r="I10997">
        <v>822</v>
      </c>
      <c r="J10997">
        <f>GS13/563.6</f>
        <v>0</v>
      </c>
      <c r="M10997" t="inlineStr">
        <is>
          <t>-56332.3</t>
        </is>
      </c>
    </row>
    <row r="10998">
      <c r="A10998">
        <v>10997</v>
      </c>
      <c r="B10998">
        <f>GS23</f>
        <v>0</v>
      </c>
      <c r="C10998" t="inlineStr">
        <is>
          <t>+LS13</t>
        </is>
      </c>
      <c r="D10998" t="inlineStr">
        <is>
          <t>-563K32.2</t>
        </is>
      </c>
      <c r="E10998" t="inlineStr">
        <is>
          <t>DIL_EM-10-G</t>
        </is>
      </c>
      <c r="F10998" t="inlineStr">
        <is>
          <t>#KALK!</t>
        </is>
      </c>
      <c r="G10998" t="inlineStr">
        <is>
          <t>LASTSCHUETZ</t>
        </is>
      </c>
      <c r="H10998" t="inlineStr">
        <is>
          <t>4kW 1S</t>
        </is>
      </c>
      <c r="I10998">
        <v>875</v>
      </c>
      <c r="J10998">
        <f>GS23/563.6</f>
        <v>0</v>
      </c>
      <c r="M10998" t="inlineStr">
        <is>
          <t>-563K32.2</t>
        </is>
      </c>
    </row>
    <row r="10999">
      <c r="A10999">
        <v>10998</v>
      </c>
      <c r="B10999">
        <f>GS23</f>
        <v>0</v>
      </c>
      <c r="C10999" t="inlineStr">
        <is>
          <t>+LS13</t>
        </is>
      </c>
      <c r="D10999" t="inlineStr">
        <is>
          <t>-563K32.3</t>
        </is>
      </c>
      <c r="E10999" t="inlineStr">
        <is>
          <t>DIL_EM-10-G</t>
        </is>
      </c>
      <c r="F10999" t="inlineStr">
        <is>
          <t>#KALK!</t>
        </is>
      </c>
      <c r="G10999" t="inlineStr">
        <is>
          <t>LASTSCHUETZ</t>
        </is>
      </c>
      <c r="H10999" t="inlineStr">
        <is>
          <t>4kW 1S</t>
        </is>
      </c>
      <c r="I10999">
        <v>875</v>
      </c>
      <c r="J10999">
        <f>GS23/563.6</f>
        <v>0</v>
      </c>
      <c r="M10999" t="inlineStr">
        <is>
          <t>-563K32.3</t>
        </is>
      </c>
    </row>
    <row r="11000">
      <c r="A11000">
        <v>10999</v>
      </c>
      <c r="B11000">
        <f>GS25</f>
        <v>0</v>
      </c>
      <c r="C11000" t="inlineStr">
        <is>
          <t>+LS13</t>
        </is>
      </c>
      <c r="D11000" t="inlineStr">
        <is>
          <t>-563K3535.4</t>
        </is>
      </c>
      <c r="E11000" t="inlineStr">
        <is>
          <t>DIL_EM-10-G</t>
        </is>
      </c>
      <c r="F11000" t="inlineStr">
        <is>
          <t>#KALK!</t>
        </is>
      </c>
      <c r="G11000" t="inlineStr">
        <is>
          <t>LASTSCHUETZ</t>
        </is>
      </c>
      <c r="H11000" t="inlineStr">
        <is>
          <t>4kW 1S</t>
        </is>
      </c>
      <c r="I11000">
        <v>690</v>
      </c>
      <c r="J11000">
        <f>GS25/563.7</f>
        <v>0</v>
      </c>
      <c r="M11000" t="inlineStr">
        <is>
          <t>-563K3535.4</t>
        </is>
      </c>
    </row>
    <row r="11001">
      <c r="A11001">
        <v>11000</v>
      </c>
      <c r="B11001">
        <f>GS52</f>
        <v>0</v>
      </c>
      <c r="C11001" t="inlineStr">
        <is>
          <t>+LS09</t>
        </is>
      </c>
      <c r="D11001" t="inlineStr">
        <is>
          <t>-563Q190.3</t>
        </is>
      </c>
      <c r="E11001" t="inlineStr">
        <is>
          <t>DILM-9-10</t>
        </is>
      </c>
      <c r="F11001" t="inlineStr">
        <is>
          <t>#KALK!</t>
        </is>
      </c>
      <c r="G11001" t="inlineStr">
        <is>
          <t>LASTSCHUETZ</t>
        </is>
      </c>
      <c r="H11001" t="inlineStr">
        <is>
          <t>4kW 1S Federzugkl.</t>
        </is>
      </c>
      <c r="I11001">
        <v>1449</v>
      </c>
      <c r="J11001">
        <f>GS52/563.6</f>
        <v>0</v>
      </c>
      <c r="K11001" t="inlineStr">
        <is>
          <t>DIL MC9</t>
        </is>
      </c>
      <c r="M11001" t="inlineStr">
        <is>
          <t>-563Q190.3</t>
        </is>
      </c>
    </row>
    <row r="11002">
      <c r="A11002">
        <v>11001</v>
      </c>
      <c r="B11002">
        <f>GS13</f>
        <v>0</v>
      </c>
      <c r="C11002" t="inlineStr">
        <is>
          <t>+LS13</t>
        </is>
      </c>
      <c r="D11002" t="inlineStr">
        <is>
          <t>-56432.4</t>
        </is>
      </c>
      <c r="E11002" t="inlineStr">
        <is>
          <t>DIL_EM-10-G</t>
        </is>
      </c>
      <c r="F11002" t="inlineStr">
        <is>
          <t>#KALK!</t>
        </is>
      </c>
      <c r="G11002" t="inlineStr">
        <is>
          <t>LASTSCHUETZ</t>
        </is>
      </c>
      <c r="H11002" t="inlineStr">
        <is>
          <t>4kW 1S</t>
        </is>
      </c>
      <c r="I11002">
        <v>823</v>
      </c>
      <c r="J11002">
        <f>GS13/564.6</f>
        <v>0</v>
      </c>
      <c r="M11002" t="inlineStr">
        <is>
          <t>-56432.4</t>
        </is>
      </c>
    </row>
    <row r="11003">
      <c r="A11003">
        <v>11002</v>
      </c>
      <c r="B11003">
        <f>GS23</f>
        <v>0</v>
      </c>
      <c r="C11003" t="inlineStr">
        <is>
          <t>+LS13</t>
        </is>
      </c>
      <c r="D11003" t="inlineStr">
        <is>
          <t>-564K32.4</t>
        </is>
      </c>
      <c r="E11003" t="inlineStr">
        <is>
          <t>DIL_EM-10-G</t>
        </is>
      </c>
      <c r="F11003" t="inlineStr">
        <is>
          <t>#KALK!</t>
        </is>
      </c>
      <c r="G11003" t="inlineStr">
        <is>
          <t>LASTSCHUETZ</t>
        </is>
      </c>
      <c r="H11003" t="inlineStr">
        <is>
          <t>4kW 1S</t>
        </is>
      </c>
      <c r="I11003">
        <v>876</v>
      </c>
      <c r="J11003">
        <f>GS23/564.6</f>
        <v>0</v>
      </c>
      <c r="M11003" t="inlineStr">
        <is>
          <t>-564K32.4</t>
        </is>
      </c>
    </row>
    <row r="11004">
      <c r="A11004">
        <v>11003</v>
      </c>
      <c r="B11004">
        <f>GS14</f>
        <v>0</v>
      </c>
      <c r="C11004" t="inlineStr">
        <is>
          <t>+LS11</t>
        </is>
      </c>
      <c r="D11004" t="inlineStr">
        <is>
          <t>-564K3522.7</t>
        </is>
      </c>
      <c r="E11004" t="inlineStr">
        <is>
          <t>DIL_EM-10-G</t>
        </is>
      </c>
      <c r="F11004" t="inlineStr">
        <is>
          <t>#KALK!</t>
        </is>
      </c>
      <c r="G11004" t="inlineStr">
        <is>
          <t>LASTSCHUETZ</t>
        </is>
      </c>
      <c r="H11004" t="inlineStr">
        <is>
          <t>4kW 1S</t>
        </is>
      </c>
      <c r="I11004">
        <v>696</v>
      </c>
      <c r="J11004">
        <f>GS14/564.5</f>
        <v>0</v>
      </c>
      <c r="M11004" t="inlineStr">
        <is>
          <t>-564K3522.7</t>
        </is>
      </c>
    </row>
    <row r="11005">
      <c r="A11005">
        <v>11004</v>
      </c>
      <c r="B11005">
        <f>GS14</f>
        <v>0</v>
      </c>
      <c r="C11005" t="inlineStr">
        <is>
          <t>+LS11</t>
        </is>
      </c>
      <c r="D11005" t="inlineStr">
        <is>
          <t>-564K3523.0</t>
        </is>
      </c>
      <c r="E11005" t="inlineStr">
        <is>
          <t>DIL_EM-10-G</t>
        </is>
      </c>
      <c r="F11005" t="inlineStr">
        <is>
          <t>#KALK!</t>
        </is>
      </c>
      <c r="G11005" t="inlineStr">
        <is>
          <t>LASTSCHUETZ</t>
        </is>
      </c>
      <c r="H11005" t="inlineStr">
        <is>
          <t>4kW 1S</t>
        </is>
      </c>
      <c r="I11005">
        <v>696</v>
      </c>
      <c r="J11005">
        <f>GS14/564.6</f>
        <v>0</v>
      </c>
      <c r="M11005" t="inlineStr">
        <is>
          <t>-564K3523.0</t>
        </is>
      </c>
    </row>
    <row r="11006">
      <c r="A11006">
        <v>11005</v>
      </c>
      <c r="B11006">
        <f>GS14</f>
        <v>0</v>
      </c>
      <c r="C11006" t="inlineStr">
        <is>
          <t>+LS11</t>
        </is>
      </c>
      <c r="D11006" t="inlineStr">
        <is>
          <t>-564K3523.1</t>
        </is>
      </c>
      <c r="E11006" t="inlineStr">
        <is>
          <t>DIL_EM-01-G</t>
        </is>
      </c>
      <c r="F11006" t="inlineStr">
        <is>
          <t>#KALK!</t>
        </is>
      </c>
      <c r="G11006" t="inlineStr">
        <is>
          <t>LASTSCHUETZ</t>
        </is>
      </c>
      <c r="H11006" t="inlineStr">
        <is>
          <t>4kW 1OE</t>
        </is>
      </c>
      <c r="I11006">
        <v>696</v>
      </c>
      <c r="J11006">
        <f>GS14/564.7</f>
        <v>0</v>
      </c>
      <c r="M11006" t="inlineStr">
        <is>
          <t>-564K3523.1</t>
        </is>
      </c>
    </row>
    <row r="11007">
      <c r="A11007">
        <v>11006</v>
      </c>
      <c r="B11007">
        <f>GS14</f>
        <v>0</v>
      </c>
      <c r="C11007" t="inlineStr">
        <is>
          <t>+LS11</t>
        </is>
      </c>
      <c r="D11007" t="inlineStr">
        <is>
          <t>-564K3523.2</t>
        </is>
      </c>
      <c r="E11007" t="inlineStr">
        <is>
          <t>DIL_EM-01-G</t>
        </is>
      </c>
      <c r="F11007" t="inlineStr">
        <is>
          <t>#KALK!</t>
        </is>
      </c>
      <c r="G11007" t="inlineStr">
        <is>
          <t>LASTSCHUETZ</t>
        </is>
      </c>
      <c r="H11007" t="inlineStr">
        <is>
          <t>4kW 1OE</t>
        </is>
      </c>
      <c r="I11007">
        <v>696</v>
      </c>
      <c r="J11007">
        <f>GS14/564.8</f>
        <v>0</v>
      </c>
      <c r="M11007" t="inlineStr">
        <is>
          <t>-564K3523.2</t>
        </is>
      </c>
    </row>
    <row r="11008">
      <c r="A11008">
        <v>11007</v>
      </c>
      <c r="B11008">
        <f>GS25</f>
        <v>0</v>
      </c>
      <c r="C11008" t="inlineStr">
        <is>
          <t>+LS13</t>
        </is>
      </c>
      <c r="D11008" t="inlineStr">
        <is>
          <t>-564K3535.5</t>
        </is>
      </c>
      <c r="E11008" t="inlineStr">
        <is>
          <t>DIL_EM-10-G</t>
        </is>
      </c>
      <c r="F11008" t="inlineStr">
        <is>
          <t>#KALK!</t>
        </is>
      </c>
      <c r="G11008" t="inlineStr">
        <is>
          <t>LASTSCHUETZ</t>
        </is>
      </c>
      <c r="H11008" t="inlineStr">
        <is>
          <t>4kW 1S</t>
        </is>
      </c>
      <c r="I11008">
        <v>691</v>
      </c>
      <c r="J11008">
        <f>GS25/564.6</f>
        <v>0</v>
      </c>
      <c r="M11008" t="inlineStr">
        <is>
          <t>-564K3535.5</t>
        </is>
      </c>
    </row>
    <row r="11009">
      <c r="A11009">
        <v>11008</v>
      </c>
      <c r="B11009">
        <f>GS13</f>
        <v>0</v>
      </c>
      <c r="C11009" t="inlineStr">
        <is>
          <t>+LS13</t>
        </is>
      </c>
      <c r="D11009" t="inlineStr">
        <is>
          <t>-56532.6</t>
        </is>
      </c>
      <c r="E11009" t="inlineStr">
        <is>
          <t>DIL_EM-10-G</t>
        </is>
      </c>
      <c r="F11009" t="inlineStr">
        <is>
          <t>#KALK!</t>
        </is>
      </c>
      <c r="G11009" t="inlineStr">
        <is>
          <t>LASTSCHUETZ</t>
        </is>
      </c>
      <c r="H11009" t="inlineStr">
        <is>
          <t>4kW 1S</t>
        </is>
      </c>
      <c r="I11009">
        <v>824</v>
      </c>
      <c r="J11009">
        <f>GS13/565.6</f>
        <v>0</v>
      </c>
      <c r="M11009" t="inlineStr">
        <is>
          <t>-56532.6</t>
        </is>
      </c>
    </row>
    <row r="11010">
      <c r="A11010">
        <v>11009</v>
      </c>
      <c r="B11010">
        <f>GS13</f>
        <v>0</v>
      </c>
      <c r="C11010" t="inlineStr">
        <is>
          <t>+LS13</t>
        </is>
      </c>
      <c r="D11010" t="inlineStr">
        <is>
          <t>-56532.7</t>
        </is>
      </c>
      <c r="E11010" t="inlineStr">
        <is>
          <t>DIL_EM-10-G</t>
        </is>
      </c>
      <c r="F11010" t="inlineStr">
        <is>
          <t>#KALK!</t>
        </is>
      </c>
      <c r="G11010" t="inlineStr">
        <is>
          <t>LASTSCHUETZ</t>
        </is>
      </c>
      <c r="H11010" t="inlineStr">
        <is>
          <t>4kW 1S</t>
        </is>
      </c>
      <c r="I11010">
        <v>824</v>
      </c>
      <c r="J11010">
        <f>GS13/565.6</f>
        <v>0</v>
      </c>
      <c r="M11010" t="inlineStr">
        <is>
          <t>-56532.7</t>
        </is>
      </c>
    </row>
    <row r="11011">
      <c r="A11011">
        <v>11010</v>
      </c>
      <c r="B11011">
        <f>GS15</f>
        <v>0</v>
      </c>
      <c r="C11011" t="inlineStr">
        <is>
          <t>+LS11</t>
        </is>
      </c>
      <c r="D11011" t="inlineStr">
        <is>
          <t>-565K1</t>
        </is>
      </c>
      <c r="E11011" t="inlineStr">
        <is>
          <t>22_DIL-M</t>
        </is>
      </c>
      <c r="F11011" t="inlineStr">
        <is>
          <t>22_DIL-M</t>
        </is>
      </c>
      <c r="G11011" t="inlineStr">
        <is>
          <t>HILFSKONTAKTBLOCK</t>
        </is>
      </c>
      <c r="H11011" t="inlineStr">
        <is>
          <t>2S 2OE Lastschuetz DIL M</t>
        </is>
      </c>
      <c r="I11011">
        <v>1076</v>
      </c>
      <c r="J11011">
        <f>GS15/565.2</f>
        <v>0</v>
      </c>
      <c r="K11011" t="inlineStr">
        <is>
          <t>DIL0AM</t>
        </is>
      </c>
      <c r="M11011" t="inlineStr">
        <is>
          <t>-565K1</t>
        </is>
      </c>
    </row>
    <row r="11012">
      <c r="A11012">
        <v>11011</v>
      </c>
      <c r="B11012">
        <f>GS15</f>
        <v>0</v>
      </c>
      <c r="C11012" t="inlineStr">
        <is>
          <t>+LS11</t>
        </is>
      </c>
      <c r="D11012" t="inlineStr">
        <is>
          <t>-565K1</t>
        </is>
      </c>
      <c r="E11012" t="inlineStr">
        <is>
          <t>DIL_0AM</t>
        </is>
      </c>
      <c r="F11012" t="inlineStr">
        <is>
          <t>22_DIL-M</t>
        </is>
      </c>
      <c r="G11012" t="inlineStr">
        <is>
          <t>LASTSCHUETZ</t>
        </is>
      </c>
      <c r="H11012" t="inlineStr">
        <is>
          <t>11 kW</t>
        </is>
      </c>
      <c r="I11012">
        <v>1076</v>
      </c>
      <c r="J11012">
        <f>GS15/565.2</f>
        <v>0</v>
      </c>
      <c r="K11012" t="inlineStr">
        <is>
          <t>DIL0AM</t>
        </is>
      </c>
      <c r="M11012" t="inlineStr">
        <is>
          <t>-565K1</t>
        </is>
      </c>
    </row>
    <row r="11013">
      <c r="A11013">
        <v>11012</v>
      </c>
      <c r="B11013">
        <f>GS20</f>
        <v>0</v>
      </c>
      <c r="C11013" t="inlineStr">
        <is>
          <t>+LS15</t>
        </is>
      </c>
      <c r="D11013" t="inlineStr">
        <is>
          <t>-565K1</t>
        </is>
      </c>
      <c r="E11013" t="inlineStr">
        <is>
          <t>DILA-XHI22</t>
        </is>
      </c>
      <c r="F11013" t="inlineStr">
        <is>
          <t>DILA-XHI22</t>
        </is>
      </c>
      <c r="G11013" t="inlineStr">
        <is>
          <t>HILFSKONTAKTBLOCK</t>
        </is>
      </c>
      <c r="H11013" t="inlineStr">
        <is>
          <t>2S 2OE Last+Hilfssch. Cage</t>
        </is>
      </c>
      <c r="I11013">
        <v>2892</v>
      </c>
      <c r="J11013">
        <f>GS20/565.5</f>
        <v>0</v>
      </c>
      <c r="M11013" t="inlineStr">
        <is>
          <t>-565K1</t>
        </is>
      </c>
    </row>
    <row r="11014">
      <c r="A11014">
        <v>11013</v>
      </c>
      <c r="B11014">
        <f>GS20</f>
        <v>0</v>
      </c>
      <c r="C11014" t="inlineStr">
        <is>
          <t>+LS15</t>
        </is>
      </c>
      <c r="D11014" t="inlineStr">
        <is>
          <t>-565K1</t>
        </is>
      </c>
      <c r="E11014" t="inlineStr">
        <is>
          <t>DILM-9-10</t>
        </is>
      </c>
      <c r="F11014" t="inlineStr">
        <is>
          <t>DILA-XHI22</t>
        </is>
      </c>
      <c r="G11014" t="inlineStr">
        <is>
          <t>LASTSCHUETZ</t>
        </is>
      </c>
      <c r="H11014" t="inlineStr">
        <is>
          <t>4kW 1S Federzugkl.</t>
        </is>
      </c>
      <c r="I11014">
        <v>2892</v>
      </c>
      <c r="J11014">
        <f>GS20/565.5</f>
        <v>0</v>
      </c>
      <c r="M11014" t="inlineStr">
        <is>
          <t>-565K1</t>
        </is>
      </c>
    </row>
    <row r="11015">
      <c r="A11015">
        <v>11014</v>
      </c>
      <c r="B11015">
        <f>GS30</f>
        <v>0</v>
      </c>
      <c r="C11015" t="inlineStr">
        <is>
          <t>+LS19</t>
        </is>
      </c>
      <c r="D11015" t="inlineStr">
        <is>
          <t>-565K1</t>
        </is>
      </c>
      <c r="E11015" t="inlineStr">
        <is>
          <t>DILA-XHI22</t>
        </is>
      </c>
      <c r="F11015" t="inlineStr">
        <is>
          <t>DILA-XHI22</t>
        </is>
      </c>
      <c r="G11015" t="inlineStr">
        <is>
          <t>HILFSKONTAKTBLOCK</t>
        </is>
      </c>
      <c r="H11015" t="inlineStr">
        <is>
          <t>2S 2OE Last+Hilfssch. Cage</t>
        </is>
      </c>
      <c r="I11015">
        <v>1183</v>
      </c>
      <c r="J11015">
        <f>GS30/565.5</f>
        <v>0</v>
      </c>
      <c r="M11015" t="inlineStr">
        <is>
          <t>-565K1</t>
        </is>
      </c>
    </row>
    <row r="11016">
      <c r="A11016">
        <v>11015</v>
      </c>
      <c r="B11016">
        <f>GS30</f>
        <v>0</v>
      </c>
      <c r="C11016" t="inlineStr">
        <is>
          <t>+LS19</t>
        </is>
      </c>
      <c r="D11016" t="inlineStr">
        <is>
          <t>-565K1</t>
        </is>
      </c>
      <c r="E11016" t="inlineStr">
        <is>
          <t>DILM-9-10</t>
        </is>
      </c>
      <c r="F11016" t="inlineStr">
        <is>
          <t>DILA-XHI22</t>
        </is>
      </c>
      <c r="G11016" t="inlineStr">
        <is>
          <t>LASTSCHUETZ</t>
        </is>
      </c>
      <c r="H11016" t="inlineStr">
        <is>
          <t>4kW 1S Federzugkl.</t>
        </is>
      </c>
      <c r="I11016">
        <v>1183</v>
      </c>
      <c r="J11016">
        <f>GS30/565.5</f>
        <v>0</v>
      </c>
      <c r="M11016" t="inlineStr">
        <is>
          <t>-565K1</t>
        </is>
      </c>
    </row>
    <row r="11017">
      <c r="A11017">
        <v>11016</v>
      </c>
      <c r="B11017">
        <f>GS35</f>
        <v>0</v>
      </c>
      <c r="C11017" t="inlineStr">
        <is>
          <t>+LS14</t>
        </is>
      </c>
      <c r="D11017" t="inlineStr">
        <is>
          <t>-565K1</t>
        </is>
      </c>
      <c r="E11017" t="inlineStr">
        <is>
          <t>DILA-40</t>
        </is>
      </c>
      <c r="F11017" t="inlineStr">
        <is>
          <t>#KALK!</t>
        </is>
      </c>
      <c r="G11017" t="inlineStr">
        <is>
          <t>HILFSSCHUETZ</t>
        </is>
      </c>
      <c r="H11017" t="inlineStr">
        <is>
          <t>4S Federzugkl.</t>
        </is>
      </c>
      <c r="I11017">
        <v>719</v>
      </c>
      <c r="J11017">
        <f>GS35/565.6</f>
        <v>0</v>
      </c>
      <c r="M11017" t="inlineStr">
        <is>
          <t>-565K1</t>
        </is>
      </c>
    </row>
    <row r="11018">
      <c r="A11018">
        <v>11017</v>
      </c>
      <c r="B11018">
        <f>GS20</f>
        <v>0</v>
      </c>
      <c r="C11018" t="inlineStr">
        <is>
          <t>+LS15</t>
        </is>
      </c>
      <c r="D11018" t="inlineStr">
        <is>
          <t>-565K2</t>
        </is>
      </c>
      <c r="E11018" t="inlineStr">
        <is>
          <t>DILA-XHI22</t>
        </is>
      </c>
      <c r="F11018" t="inlineStr">
        <is>
          <t>DILA-XHI22</t>
        </is>
      </c>
      <c r="G11018" t="inlineStr">
        <is>
          <t>HILFSKONTAKTBLOCK</t>
        </is>
      </c>
      <c r="H11018" t="inlineStr">
        <is>
          <t>2S 2OE Last+Hilfssch. Cage</t>
        </is>
      </c>
      <c r="I11018">
        <v>2892</v>
      </c>
      <c r="J11018">
        <f>GS20/565.6</f>
        <v>0</v>
      </c>
      <c r="M11018" t="inlineStr">
        <is>
          <t>-565K2</t>
        </is>
      </c>
    </row>
    <row r="11019">
      <c r="A11019">
        <v>11018</v>
      </c>
      <c r="B11019">
        <f>GS20</f>
        <v>0</v>
      </c>
      <c r="C11019" t="inlineStr">
        <is>
          <t>+LS15</t>
        </is>
      </c>
      <c r="D11019" t="inlineStr">
        <is>
          <t>-565K2</t>
        </is>
      </c>
      <c r="E11019" t="inlineStr">
        <is>
          <t>DILM-9-10</t>
        </is>
      </c>
      <c r="F11019" t="inlineStr">
        <is>
          <t>DILA-XHI22</t>
        </is>
      </c>
      <c r="G11019" t="inlineStr">
        <is>
          <t>LASTSCHUETZ</t>
        </is>
      </c>
      <c r="H11019" t="inlineStr">
        <is>
          <t>4kW 1S Federzugkl.</t>
        </is>
      </c>
      <c r="I11019">
        <v>2892</v>
      </c>
      <c r="J11019">
        <f>GS20/565.6</f>
        <v>0</v>
      </c>
      <c r="M11019" t="inlineStr">
        <is>
          <t>-565K2</t>
        </is>
      </c>
    </row>
    <row r="11020">
      <c r="A11020">
        <v>11019</v>
      </c>
      <c r="B11020">
        <f>GS30</f>
        <v>0</v>
      </c>
      <c r="C11020" t="inlineStr">
        <is>
          <t>+LS19</t>
        </is>
      </c>
      <c r="D11020" t="inlineStr">
        <is>
          <t>-565K2</t>
        </is>
      </c>
      <c r="E11020" t="inlineStr">
        <is>
          <t>DILM-9-10</t>
        </is>
      </c>
      <c r="F11020" t="inlineStr">
        <is>
          <t>DILA-XHI22</t>
        </is>
      </c>
      <c r="G11020" t="inlineStr">
        <is>
          <t>LASTSCHUETZ</t>
        </is>
      </c>
      <c r="H11020" t="inlineStr">
        <is>
          <t>4kW 1S Federzugkl.</t>
        </is>
      </c>
      <c r="I11020">
        <v>1183</v>
      </c>
      <c r="J11020">
        <f>GS30/565.6</f>
        <v>0</v>
      </c>
      <c r="M11020" t="inlineStr">
        <is>
          <t>-565K2</t>
        </is>
      </c>
    </row>
    <row r="11021">
      <c r="A11021">
        <v>11020</v>
      </c>
      <c r="B11021">
        <f>GS30</f>
        <v>0</v>
      </c>
      <c r="C11021" t="inlineStr">
        <is>
          <t>+LS19</t>
        </is>
      </c>
      <c r="D11021" t="inlineStr">
        <is>
          <t>-565K2</t>
        </is>
      </c>
      <c r="E11021" t="inlineStr">
        <is>
          <t>DILA-XHI22</t>
        </is>
      </c>
      <c r="F11021" t="inlineStr">
        <is>
          <t>DILA-XHI22</t>
        </is>
      </c>
      <c r="G11021" t="inlineStr">
        <is>
          <t>HILFSKONTAKTBLOCK</t>
        </is>
      </c>
      <c r="H11021" t="inlineStr">
        <is>
          <t>2S 2OE Last+Hilfssch. Cage</t>
        </is>
      </c>
      <c r="I11021">
        <v>1183</v>
      </c>
      <c r="J11021">
        <f>GS30/565.6</f>
        <v>0</v>
      </c>
      <c r="M11021" t="inlineStr">
        <is>
          <t>-565K2</t>
        </is>
      </c>
    </row>
    <row r="11022">
      <c r="A11022">
        <v>11021</v>
      </c>
      <c r="B11022">
        <f>GS23</f>
        <v>0</v>
      </c>
      <c r="C11022" t="inlineStr">
        <is>
          <t>+LS13</t>
        </is>
      </c>
      <c r="D11022" t="inlineStr">
        <is>
          <t>-565K32.6</t>
        </is>
      </c>
      <c r="E11022" t="inlineStr">
        <is>
          <t>DIL_EM-10-G</t>
        </is>
      </c>
      <c r="F11022" t="inlineStr">
        <is>
          <t>#KALK!</t>
        </is>
      </c>
      <c r="G11022" t="inlineStr">
        <is>
          <t>LASTSCHUETZ</t>
        </is>
      </c>
      <c r="H11022" t="inlineStr">
        <is>
          <t>4kW 1S</t>
        </is>
      </c>
      <c r="I11022">
        <v>877</v>
      </c>
      <c r="J11022">
        <f>GS23/565.6</f>
        <v>0</v>
      </c>
      <c r="M11022" t="inlineStr">
        <is>
          <t>-565K32.6</t>
        </is>
      </c>
    </row>
    <row r="11023">
      <c r="A11023">
        <v>11022</v>
      </c>
      <c r="B11023">
        <f>GS23</f>
        <v>0</v>
      </c>
      <c r="C11023" t="inlineStr">
        <is>
          <t>+LS13</t>
        </is>
      </c>
      <c r="D11023" t="inlineStr">
        <is>
          <t>-565K32.7</t>
        </is>
      </c>
      <c r="E11023" t="inlineStr">
        <is>
          <t>DIL_EM-10-G</t>
        </is>
      </c>
      <c r="F11023" t="inlineStr">
        <is>
          <t>#KALK!</t>
        </is>
      </c>
      <c r="G11023" t="inlineStr">
        <is>
          <t>LASTSCHUETZ</t>
        </is>
      </c>
      <c r="H11023" t="inlineStr">
        <is>
          <t>4kW 1S</t>
        </is>
      </c>
      <c r="I11023">
        <v>877</v>
      </c>
      <c r="J11023">
        <f>GS23/565.6</f>
        <v>0</v>
      </c>
      <c r="M11023" t="inlineStr">
        <is>
          <t>-565K32.7</t>
        </is>
      </c>
    </row>
    <row r="11024">
      <c r="A11024">
        <v>11023</v>
      </c>
      <c r="B11024">
        <f>GS25</f>
        <v>0</v>
      </c>
      <c r="C11024" t="inlineStr">
        <is>
          <t>+LS13</t>
        </is>
      </c>
      <c r="D11024" t="inlineStr">
        <is>
          <t>-565K3535.6</t>
        </is>
      </c>
      <c r="E11024" t="inlineStr">
        <is>
          <t>DIL_EM-10-G</t>
        </is>
      </c>
      <c r="F11024" t="inlineStr">
        <is>
          <t>#KALK!</t>
        </is>
      </c>
      <c r="G11024" t="inlineStr">
        <is>
          <t>LASTSCHUETZ</t>
        </is>
      </c>
      <c r="H11024" t="inlineStr">
        <is>
          <t>4kW 1S</t>
        </is>
      </c>
      <c r="I11024">
        <v>692</v>
      </c>
      <c r="J11024">
        <f>GS25/565.6</f>
        <v>0</v>
      </c>
      <c r="M11024" t="inlineStr">
        <is>
          <t>-565K3535.6</t>
        </is>
      </c>
    </row>
    <row r="11025">
      <c r="A11025">
        <v>11024</v>
      </c>
      <c r="B11025">
        <f>GS25</f>
        <v>0</v>
      </c>
      <c r="C11025" t="inlineStr">
        <is>
          <t>+LS13</t>
        </is>
      </c>
      <c r="D11025" t="inlineStr">
        <is>
          <t>-565K3535.7</t>
        </is>
      </c>
      <c r="E11025" t="inlineStr">
        <is>
          <t>DIL_EM-10-G</t>
        </is>
      </c>
      <c r="F11025" t="inlineStr">
        <is>
          <t>#KALK!</t>
        </is>
      </c>
      <c r="G11025" t="inlineStr">
        <is>
          <t>LASTSCHUETZ</t>
        </is>
      </c>
      <c r="H11025" t="inlineStr">
        <is>
          <t>4kW 1S</t>
        </is>
      </c>
      <c r="I11025">
        <v>692</v>
      </c>
      <c r="J11025">
        <f>GS25/565.7</f>
        <v>0</v>
      </c>
      <c r="M11025" t="inlineStr">
        <is>
          <t>-565K3535.7</t>
        </is>
      </c>
    </row>
    <row r="11026">
      <c r="A11026">
        <v>11025</v>
      </c>
      <c r="B11026">
        <f>GS92</f>
        <v>0</v>
      </c>
      <c r="C11026" t="inlineStr">
        <is>
          <t>+LS10</t>
        </is>
      </c>
      <c r="D11026" t="inlineStr">
        <is>
          <t>-565K473.4</t>
        </is>
      </c>
      <c r="E11026" t="inlineStr">
        <is>
          <t>DILA-40</t>
        </is>
      </c>
      <c r="F11026" t="inlineStr">
        <is>
          <t>#KALK!</t>
        </is>
      </c>
      <c r="G11026" t="inlineStr">
        <is>
          <t>HILFSSCHUETZ</t>
        </is>
      </c>
      <c r="H11026" t="inlineStr">
        <is>
          <t>4S Federzugkl.</t>
        </is>
      </c>
      <c r="I11026">
        <v>705</v>
      </c>
      <c r="J11026">
        <f>GS92/565.7</f>
        <v>0</v>
      </c>
      <c r="M11026" t="inlineStr">
        <is>
          <t>-565K473.4</t>
        </is>
      </c>
    </row>
    <row r="11027">
      <c r="A11027">
        <v>11026</v>
      </c>
      <c r="B11027">
        <f>GS35</f>
        <v>0</v>
      </c>
      <c r="C11027" t="inlineStr">
        <is>
          <t>+LS14</t>
        </is>
      </c>
      <c r="D11027" t="inlineStr">
        <is>
          <t>-565K484.4</t>
        </is>
      </c>
      <c r="E11027" t="inlineStr">
        <is>
          <t>DILA-40</t>
        </is>
      </c>
      <c r="F11027" t="inlineStr">
        <is>
          <t>#KALK!</t>
        </is>
      </c>
      <c r="G11027" t="inlineStr">
        <is>
          <t>HILFSSCHUETZ</t>
        </is>
      </c>
      <c r="H11027" t="inlineStr">
        <is>
          <t>4S Federzugkl.</t>
        </is>
      </c>
      <c r="I11027">
        <v>719</v>
      </c>
      <c r="J11027">
        <f>GS35/565.7</f>
        <v>0</v>
      </c>
      <c r="M11027" t="inlineStr">
        <is>
          <t>-565K484.4</t>
        </is>
      </c>
    </row>
    <row r="11028">
      <c r="A11028">
        <v>11027</v>
      </c>
      <c r="B11028">
        <f>GS05</f>
        <v>0</v>
      </c>
      <c r="C11028" t="inlineStr">
        <is>
          <t>+LS09</t>
        </is>
      </c>
      <c r="D11028" t="inlineStr">
        <is>
          <t>-565Q1</t>
        </is>
      </c>
      <c r="E11028" t="inlineStr">
        <is>
          <t>DILA-XHI22</t>
        </is>
      </c>
      <c r="F11028" t="inlineStr">
        <is>
          <t>DILA-XHI22</t>
        </is>
      </c>
      <c r="G11028" t="inlineStr">
        <is>
          <t>HILFSKONTAKTBLOCK</t>
        </is>
      </c>
      <c r="H11028" t="inlineStr">
        <is>
          <t>2S 2OE Last+Hilfssch. Cage</t>
        </is>
      </c>
      <c r="I11028">
        <v>2509</v>
      </c>
      <c r="J11028">
        <f>GS05/565.6</f>
        <v>0</v>
      </c>
      <c r="K11028" t="inlineStr">
        <is>
          <t>DIL MC25</t>
        </is>
      </c>
      <c r="M11028" t="inlineStr">
        <is>
          <t>-565Q1</t>
        </is>
      </c>
    </row>
    <row r="11029">
      <c r="A11029">
        <v>11028</v>
      </c>
      <c r="B11029">
        <f>GS05</f>
        <v>0</v>
      </c>
      <c r="C11029" t="inlineStr">
        <is>
          <t>+LS09</t>
        </is>
      </c>
      <c r="D11029" t="inlineStr">
        <is>
          <t>-565Q1</t>
        </is>
      </c>
      <c r="E11029" t="inlineStr">
        <is>
          <t>DILMC25-10(RDC24)</t>
        </is>
      </c>
      <c r="F11029" t="inlineStr">
        <is>
          <t>DILA-XHI22</t>
        </is>
      </c>
      <c r="G11029" t="inlineStr">
        <is>
          <t>LASTSCHUETZ</t>
        </is>
      </c>
      <c r="H11029" t="inlineStr">
        <is>
          <t>11kW 1S Federzugkl.</t>
        </is>
      </c>
      <c r="I11029">
        <v>2509</v>
      </c>
      <c r="J11029">
        <f>GS05/565.6</f>
        <v>0</v>
      </c>
      <c r="K11029" t="inlineStr">
        <is>
          <t>DIL MC25</t>
        </is>
      </c>
      <c r="M11029" t="inlineStr">
        <is>
          <t>-565Q1</t>
        </is>
      </c>
    </row>
    <row r="11030">
      <c r="A11030">
        <v>11029</v>
      </c>
      <c r="B11030">
        <f>GS06</f>
        <v>0</v>
      </c>
      <c r="C11030" t="inlineStr">
        <is>
          <t>+LS09</t>
        </is>
      </c>
      <c r="D11030" t="inlineStr">
        <is>
          <t>-565Q1</t>
        </is>
      </c>
      <c r="E11030" t="inlineStr">
        <is>
          <t>DILA-XHI22</t>
        </is>
      </c>
      <c r="F11030" t="inlineStr">
        <is>
          <t>DILA-XHI22</t>
        </is>
      </c>
      <c r="G11030" t="inlineStr">
        <is>
          <t>HILFSKONTAKTBLOCK</t>
        </is>
      </c>
      <c r="H11030" t="inlineStr">
        <is>
          <t>2S 2OE Last+Hilfssch. Cage</t>
        </is>
      </c>
      <c r="I11030">
        <v>780</v>
      </c>
      <c r="J11030">
        <f>GS06/565.6</f>
        <v>0</v>
      </c>
      <c r="K11030" t="inlineStr">
        <is>
          <t>DIL MC25</t>
        </is>
      </c>
      <c r="M11030" t="inlineStr">
        <is>
          <t>-565Q1</t>
        </is>
      </c>
    </row>
    <row r="11031">
      <c r="A11031">
        <v>11030</v>
      </c>
      <c r="B11031">
        <f>GS06</f>
        <v>0</v>
      </c>
      <c r="C11031" t="inlineStr">
        <is>
          <t>+LS09</t>
        </is>
      </c>
      <c r="D11031" t="inlineStr">
        <is>
          <t>-565Q1</t>
        </is>
      </c>
      <c r="E11031" t="inlineStr">
        <is>
          <t>DILMC25-10(RDC24)</t>
        </is>
      </c>
      <c r="F11031" t="inlineStr">
        <is>
          <t>DILA-XHI22</t>
        </is>
      </c>
      <c r="G11031" t="inlineStr">
        <is>
          <t>LASTSCHUETZ</t>
        </is>
      </c>
      <c r="H11031" t="inlineStr">
        <is>
          <t>11kW 1S Federzugkl.</t>
        </is>
      </c>
      <c r="I11031">
        <v>780</v>
      </c>
      <c r="J11031">
        <f>GS06/565.6</f>
        <v>0</v>
      </c>
      <c r="K11031" t="inlineStr">
        <is>
          <t>DIL MC25</t>
        </is>
      </c>
      <c r="M11031" t="inlineStr">
        <is>
          <t>-565Q1</t>
        </is>
      </c>
    </row>
    <row r="11032">
      <c r="A11032">
        <v>11031</v>
      </c>
      <c r="B11032">
        <f>GS35</f>
        <v>0</v>
      </c>
      <c r="C11032" t="inlineStr">
        <is>
          <t>+LS14</t>
        </is>
      </c>
      <c r="D11032" t="inlineStr">
        <is>
          <t>-565Q1</t>
        </is>
      </c>
      <c r="E11032" t="inlineStr">
        <is>
          <t>DILM-25-10</t>
        </is>
      </c>
      <c r="F11032" t="inlineStr">
        <is>
          <t>DILA-XHI22</t>
        </is>
      </c>
      <c r="G11032" t="inlineStr">
        <is>
          <t>LASTSCHUETZ</t>
        </is>
      </c>
      <c r="H11032" t="inlineStr">
        <is>
          <t>11kW 1S Federzugkl.</t>
        </is>
      </c>
      <c r="I11032">
        <v>719</v>
      </c>
      <c r="J11032">
        <f>GS35/565.4</f>
        <v>0</v>
      </c>
      <c r="K11032" t="inlineStr">
        <is>
          <t>DIL MC25</t>
        </is>
      </c>
      <c r="M11032" t="inlineStr">
        <is>
          <t>-565Q1</t>
        </is>
      </c>
    </row>
    <row r="11033">
      <c r="A11033">
        <v>11032</v>
      </c>
      <c r="B11033">
        <f>GS35</f>
        <v>0</v>
      </c>
      <c r="C11033" t="inlineStr">
        <is>
          <t>+LS14</t>
        </is>
      </c>
      <c r="D11033" t="inlineStr">
        <is>
          <t>-565Q1</t>
        </is>
      </c>
      <c r="E11033" t="inlineStr">
        <is>
          <t>DILA-XHI22</t>
        </is>
      </c>
      <c r="F11033" t="inlineStr">
        <is>
          <t>DILA-XHI22</t>
        </is>
      </c>
      <c r="G11033" t="inlineStr">
        <is>
          <t>HILFSKONTAKTBLOCK</t>
        </is>
      </c>
      <c r="H11033" t="inlineStr">
        <is>
          <t>2S 2OE Last+Hilfssch. Cage</t>
        </is>
      </c>
      <c r="I11033">
        <v>719</v>
      </c>
      <c r="J11033">
        <f>GS35/565.4</f>
        <v>0</v>
      </c>
      <c r="K11033" t="inlineStr">
        <is>
          <t>DIL MC25</t>
        </is>
      </c>
      <c r="M11033" t="inlineStr">
        <is>
          <t>-565Q1</t>
        </is>
      </c>
    </row>
    <row r="11034">
      <c r="A11034">
        <v>11033</v>
      </c>
      <c r="B11034">
        <f>GS51</f>
        <v>0</v>
      </c>
      <c r="C11034" t="inlineStr">
        <is>
          <t>+LS09</t>
        </is>
      </c>
      <c r="D11034" t="inlineStr">
        <is>
          <t>-565Q1</t>
        </is>
      </c>
      <c r="E11034" t="inlineStr">
        <is>
          <t>DILA-XHI22</t>
        </is>
      </c>
      <c r="F11034" t="inlineStr">
        <is>
          <t>DILA-XHI22</t>
        </is>
      </c>
      <c r="G11034" t="inlineStr">
        <is>
          <t>HILFSKONTAKTBLOCK</t>
        </is>
      </c>
      <c r="H11034" t="inlineStr">
        <is>
          <t>2S 2OE Last+Hilfssch. Cage</t>
        </is>
      </c>
      <c r="I11034">
        <v>724</v>
      </c>
      <c r="J11034">
        <f>GS51/565.6</f>
        <v>0</v>
      </c>
      <c r="K11034" t="inlineStr">
        <is>
          <t>DIL MC25</t>
        </is>
      </c>
      <c r="M11034" t="inlineStr">
        <is>
          <t>-565Q1</t>
        </is>
      </c>
    </row>
    <row r="11035">
      <c r="A11035">
        <v>11034</v>
      </c>
      <c r="B11035">
        <f>GS51</f>
        <v>0</v>
      </c>
      <c r="C11035" t="inlineStr">
        <is>
          <t>+LS09</t>
        </is>
      </c>
      <c r="D11035" t="inlineStr">
        <is>
          <t>-565Q1</t>
        </is>
      </c>
      <c r="E11035" t="inlineStr">
        <is>
          <t>DILMC25-10(RDC24)</t>
        </is>
      </c>
      <c r="F11035" t="inlineStr">
        <is>
          <t>DILA-XHI22</t>
        </is>
      </c>
      <c r="G11035" t="inlineStr">
        <is>
          <t>LASTSCHUETZ</t>
        </is>
      </c>
      <c r="H11035" t="inlineStr">
        <is>
          <t>11kW 1S Federzugkl.</t>
        </is>
      </c>
      <c r="I11035">
        <v>724</v>
      </c>
      <c r="J11035">
        <f>GS51/565.6</f>
        <v>0</v>
      </c>
      <c r="K11035" t="inlineStr">
        <is>
          <t>DIL MC25</t>
        </is>
      </c>
      <c r="M11035" t="inlineStr">
        <is>
          <t>-565Q1</t>
        </is>
      </c>
    </row>
    <row r="11036">
      <c r="A11036">
        <v>11035</v>
      </c>
      <c r="B11036">
        <f>GS55</f>
        <v>0</v>
      </c>
      <c r="C11036" t="inlineStr">
        <is>
          <t>+LS08</t>
        </is>
      </c>
      <c r="D11036" t="inlineStr">
        <is>
          <t>-565Q1</t>
        </is>
      </c>
      <c r="E11036" t="inlineStr">
        <is>
          <t>DILA-XHI22</t>
        </is>
      </c>
      <c r="F11036" t="inlineStr">
        <is>
          <t>DILA-XHI22</t>
        </is>
      </c>
      <c r="G11036" t="inlineStr">
        <is>
          <t>HILFSKONTAKTBLOCK</t>
        </is>
      </c>
      <c r="H11036" t="inlineStr">
        <is>
          <t>2S 2OE Last+Hilfssch. Cage</t>
        </is>
      </c>
      <c r="I11036">
        <v>812</v>
      </c>
      <c r="J11036">
        <f>GS55/565.6</f>
        <v>0</v>
      </c>
      <c r="K11036" t="inlineStr">
        <is>
          <t>DIL MC25</t>
        </is>
      </c>
      <c r="M11036" t="inlineStr">
        <is>
          <t>-565Q1</t>
        </is>
      </c>
    </row>
    <row r="11037">
      <c r="A11037">
        <v>11036</v>
      </c>
      <c r="B11037">
        <f>GS55</f>
        <v>0</v>
      </c>
      <c r="C11037" t="inlineStr">
        <is>
          <t>+LS08</t>
        </is>
      </c>
      <c r="D11037" t="inlineStr">
        <is>
          <t>-565Q1</t>
        </is>
      </c>
      <c r="E11037" t="inlineStr">
        <is>
          <t>DILMC25-10(RDC24)</t>
        </is>
      </c>
      <c r="F11037" t="inlineStr">
        <is>
          <t>DILA-XHI22</t>
        </is>
      </c>
      <c r="G11037" t="inlineStr">
        <is>
          <t>LASTSCHUETZ</t>
        </is>
      </c>
      <c r="H11037" t="inlineStr">
        <is>
          <t>11kW 1S Federzugkl.</t>
        </is>
      </c>
      <c r="I11037">
        <v>812</v>
      </c>
      <c r="J11037">
        <f>GS55/565.6</f>
        <v>0</v>
      </c>
      <c r="K11037" t="inlineStr">
        <is>
          <t>DIL MC25</t>
        </is>
      </c>
      <c r="M11037" t="inlineStr">
        <is>
          <t>-565Q1</t>
        </is>
      </c>
    </row>
    <row r="11038">
      <c r="A11038">
        <v>11037</v>
      </c>
      <c r="B11038">
        <f>GS92</f>
        <v>0</v>
      </c>
      <c r="C11038" t="inlineStr">
        <is>
          <t>+LS10</t>
        </is>
      </c>
      <c r="D11038" t="inlineStr">
        <is>
          <t>-565Q1</t>
        </is>
      </c>
      <c r="E11038" t="inlineStr">
        <is>
          <t>DILMC25-10(RDC24)</t>
        </is>
      </c>
      <c r="F11038" t="inlineStr">
        <is>
          <t>DILA-XHI22</t>
        </is>
      </c>
      <c r="G11038" t="inlineStr">
        <is>
          <t>LASTSCHUETZ</t>
        </is>
      </c>
      <c r="H11038" t="inlineStr">
        <is>
          <t>11kW 1S Federzugkl.</t>
        </is>
      </c>
      <c r="I11038">
        <v>705</v>
      </c>
      <c r="J11038">
        <f>GS92/565.4</f>
        <v>0</v>
      </c>
      <c r="K11038" t="inlineStr">
        <is>
          <t>DIL MC25</t>
        </is>
      </c>
      <c r="M11038" t="inlineStr">
        <is>
          <t>-565Q1</t>
        </is>
      </c>
    </row>
    <row r="11039">
      <c r="A11039">
        <v>11038</v>
      </c>
      <c r="B11039">
        <f>GS92</f>
        <v>0</v>
      </c>
      <c r="C11039" t="inlineStr">
        <is>
          <t>+LS10</t>
        </is>
      </c>
      <c r="D11039" t="inlineStr">
        <is>
          <t>-565Q1</t>
        </is>
      </c>
      <c r="E11039" t="inlineStr">
        <is>
          <t>DILA-XHI22</t>
        </is>
      </c>
      <c r="F11039" t="inlineStr">
        <is>
          <t>DILA-XHI22</t>
        </is>
      </c>
      <c r="G11039" t="inlineStr">
        <is>
          <t>HILFSKONTAKTBLOCK</t>
        </is>
      </c>
      <c r="H11039" t="inlineStr">
        <is>
          <t>2S 2OE Last+Hilfssch. Cage</t>
        </is>
      </c>
      <c r="I11039">
        <v>705</v>
      </c>
      <c r="J11039">
        <f>GS92/565.4</f>
        <v>0</v>
      </c>
      <c r="K11039" t="inlineStr">
        <is>
          <t>DIL MC25</t>
        </is>
      </c>
      <c r="M11039" t="inlineStr">
        <is>
          <t>-565Q1</t>
        </is>
      </c>
    </row>
    <row r="11040">
      <c r="A11040">
        <v>11039</v>
      </c>
      <c r="B11040">
        <f>GS13</f>
        <v>0</v>
      </c>
      <c r="C11040" t="inlineStr">
        <is>
          <t>+LS13</t>
        </is>
      </c>
      <c r="D11040" t="inlineStr">
        <is>
          <t>-56633.0</t>
        </is>
      </c>
      <c r="E11040" t="inlineStr">
        <is>
          <t>DIL_EM-10-G</t>
        </is>
      </c>
      <c r="F11040" t="inlineStr">
        <is>
          <t>#KALK!</t>
        </is>
      </c>
      <c r="G11040" t="inlineStr">
        <is>
          <t>LASTSCHUETZ</t>
        </is>
      </c>
      <c r="H11040" t="inlineStr">
        <is>
          <t>4kW 1S</t>
        </is>
      </c>
      <c r="I11040">
        <v>825</v>
      </c>
      <c r="J11040">
        <f>GS13/566.6</f>
        <v>0</v>
      </c>
      <c r="M11040" t="inlineStr">
        <is>
          <t>-56633.0</t>
        </is>
      </c>
    </row>
    <row r="11041">
      <c r="A11041">
        <v>11040</v>
      </c>
      <c r="B11041">
        <f>GS13</f>
        <v>0</v>
      </c>
      <c r="C11041" t="inlineStr">
        <is>
          <t>+LS13</t>
        </is>
      </c>
      <c r="D11041" t="inlineStr">
        <is>
          <t>-56633.1</t>
        </is>
      </c>
      <c r="E11041" t="inlineStr">
        <is>
          <t>DIL_EM-10-G</t>
        </is>
      </c>
      <c r="F11041" t="inlineStr">
        <is>
          <t>#KALK!</t>
        </is>
      </c>
      <c r="G11041" t="inlineStr">
        <is>
          <t>LASTSCHUETZ</t>
        </is>
      </c>
      <c r="H11041" t="inlineStr">
        <is>
          <t>4kW 1S</t>
        </is>
      </c>
      <c r="I11041">
        <v>825</v>
      </c>
      <c r="J11041">
        <f>GS13/566.6</f>
        <v>0</v>
      </c>
      <c r="M11041" t="inlineStr">
        <is>
          <t>-56633.1</t>
        </is>
      </c>
    </row>
    <row r="11042">
      <c r="A11042">
        <v>11041</v>
      </c>
      <c r="B11042">
        <f>GS20</f>
        <v>0</v>
      </c>
      <c r="C11042" t="inlineStr">
        <is>
          <t>+LS15</t>
        </is>
      </c>
      <c r="D11042" t="inlineStr">
        <is>
          <t>-566K1</t>
        </is>
      </c>
      <c r="E11042" t="inlineStr">
        <is>
          <t>DILA-XHI22</t>
        </is>
      </c>
      <c r="F11042" t="inlineStr">
        <is>
          <t>DILA-XHI22</t>
        </is>
      </c>
      <c r="G11042" t="inlineStr">
        <is>
          <t>HILFSKONTAKTBLOCK</t>
        </is>
      </c>
      <c r="H11042" t="inlineStr">
        <is>
          <t>2S 2OE Last+Hilfssch. Cage</t>
        </is>
      </c>
      <c r="I11042">
        <v>2893</v>
      </c>
      <c r="J11042">
        <f>GS20/566.5</f>
        <v>0</v>
      </c>
      <c r="M11042" t="inlineStr">
        <is>
          <t>-566K1</t>
        </is>
      </c>
    </row>
    <row r="11043">
      <c r="A11043">
        <v>11042</v>
      </c>
      <c r="B11043">
        <f>GS20</f>
        <v>0</v>
      </c>
      <c r="C11043" t="inlineStr">
        <is>
          <t>+LS15</t>
        </is>
      </c>
      <c r="D11043" t="inlineStr">
        <is>
          <t>-566K1</t>
        </is>
      </c>
      <c r="E11043" t="inlineStr">
        <is>
          <t>DILM-9-10</t>
        </is>
      </c>
      <c r="F11043" t="inlineStr">
        <is>
          <t>DILA-XHI22</t>
        </is>
      </c>
      <c r="G11043" t="inlineStr">
        <is>
          <t>LASTSCHUETZ</t>
        </is>
      </c>
      <c r="H11043" t="inlineStr">
        <is>
          <t>4kW 1S Federzugkl.</t>
        </is>
      </c>
      <c r="I11043">
        <v>2893</v>
      </c>
      <c r="J11043">
        <f>GS20/566.5</f>
        <v>0</v>
      </c>
      <c r="M11043" t="inlineStr">
        <is>
          <t>-566K1</t>
        </is>
      </c>
    </row>
    <row r="11044">
      <c r="A11044">
        <v>11043</v>
      </c>
      <c r="B11044">
        <f>GS30</f>
        <v>0</v>
      </c>
      <c r="C11044" t="inlineStr">
        <is>
          <t>+LS19</t>
        </is>
      </c>
      <c r="D11044" t="inlineStr">
        <is>
          <t>-566K1</t>
        </is>
      </c>
      <c r="E11044" t="inlineStr">
        <is>
          <t>DILM-9-10</t>
        </is>
      </c>
      <c r="F11044" t="inlineStr">
        <is>
          <t>DILA-XHI22</t>
        </is>
      </c>
      <c r="G11044" t="inlineStr">
        <is>
          <t>LASTSCHUETZ</t>
        </is>
      </c>
      <c r="H11044" t="inlineStr">
        <is>
          <t>4kW 1S Federzugkl.</t>
        </is>
      </c>
      <c r="I11044">
        <v>1182</v>
      </c>
      <c r="J11044">
        <f>GS30/566.5</f>
        <v>0</v>
      </c>
      <c r="M11044" t="inlineStr">
        <is>
          <t>-566K1</t>
        </is>
      </c>
    </row>
    <row r="11045">
      <c r="A11045">
        <v>11044</v>
      </c>
      <c r="B11045">
        <f>GS30</f>
        <v>0</v>
      </c>
      <c r="C11045" t="inlineStr">
        <is>
          <t>+LS19</t>
        </is>
      </c>
      <c r="D11045" t="inlineStr">
        <is>
          <t>-566K1</t>
        </is>
      </c>
      <c r="E11045" t="inlineStr">
        <is>
          <t>DILA-XHI22</t>
        </is>
      </c>
      <c r="F11045" t="inlineStr">
        <is>
          <t>DILA-XHI22</t>
        </is>
      </c>
      <c r="G11045" t="inlineStr">
        <is>
          <t>HILFSKONTAKTBLOCK</t>
        </is>
      </c>
      <c r="H11045" t="inlineStr">
        <is>
          <t>2S 2OE Last+Hilfssch. Cage</t>
        </is>
      </c>
      <c r="I11045">
        <v>1182</v>
      </c>
      <c r="J11045">
        <f>GS30/566.5</f>
        <v>0</v>
      </c>
      <c r="M11045" t="inlineStr">
        <is>
          <t>-566K1</t>
        </is>
      </c>
    </row>
    <row r="11046">
      <c r="A11046">
        <v>11045</v>
      </c>
      <c r="B11046">
        <f>GS20</f>
        <v>0</v>
      </c>
      <c r="C11046" t="inlineStr">
        <is>
          <t>+LS15</t>
        </is>
      </c>
      <c r="D11046" t="inlineStr">
        <is>
          <t>-566K2</t>
        </is>
      </c>
      <c r="E11046" t="inlineStr">
        <is>
          <t>DILA-XHI22</t>
        </is>
      </c>
      <c r="F11046" t="inlineStr">
        <is>
          <t>DILA-XHI22</t>
        </is>
      </c>
      <c r="G11046" t="inlineStr">
        <is>
          <t>HILFSKONTAKTBLOCK</t>
        </is>
      </c>
      <c r="H11046" t="inlineStr">
        <is>
          <t>2S 2OE Last+Hilfssch. Cage</t>
        </is>
      </c>
      <c r="I11046">
        <v>2893</v>
      </c>
      <c r="J11046">
        <f>GS20/566.6</f>
        <v>0</v>
      </c>
      <c r="M11046" t="inlineStr">
        <is>
          <t>-566K2</t>
        </is>
      </c>
    </row>
    <row r="11047">
      <c r="A11047">
        <v>11046</v>
      </c>
      <c r="B11047">
        <f>GS20</f>
        <v>0</v>
      </c>
      <c r="C11047" t="inlineStr">
        <is>
          <t>+LS15</t>
        </is>
      </c>
      <c r="D11047" t="inlineStr">
        <is>
          <t>-566K2</t>
        </is>
      </c>
      <c r="E11047" t="inlineStr">
        <is>
          <t>DILM-9-10</t>
        </is>
      </c>
      <c r="F11047" t="inlineStr">
        <is>
          <t>DILA-XHI22</t>
        </is>
      </c>
      <c r="G11047" t="inlineStr">
        <is>
          <t>LASTSCHUETZ</t>
        </is>
      </c>
      <c r="H11047" t="inlineStr">
        <is>
          <t>4kW 1S Federzugkl.</t>
        </is>
      </c>
      <c r="I11047">
        <v>2893</v>
      </c>
      <c r="J11047">
        <f>GS20/566.6</f>
        <v>0</v>
      </c>
      <c r="M11047" t="inlineStr">
        <is>
          <t>-566K2</t>
        </is>
      </c>
    </row>
    <row r="11048">
      <c r="A11048">
        <v>11047</v>
      </c>
      <c r="B11048">
        <f>GS30</f>
        <v>0</v>
      </c>
      <c r="C11048" t="inlineStr">
        <is>
          <t>+LS19</t>
        </is>
      </c>
      <c r="D11048" t="inlineStr">
        <is>
          <t>-566K2</t>
        </is>
      </c>
      <c r="E11048" t="inlineStr">
        <is>
          <t>DILM-9-10</t>
        </is>
      </c>
      <c r="F11048" t="inlineStr">
        <is>
          <t>DILA-XHI22</t>
        </is>
      </c>
      <c r="G11048" t="inlineStr">
        <is>
          <t>LASTSCHUETZ</t>
        </is>
      </c>
      <c r="H11048" t="inlineStr">
        <is>
          <t>4kW 1S Federzugkl.</t>
        </is>
      </c>
      <c r="I11048">
        <v>1182</v>
      </c>
      <c r="J11048">
        <f>GS30/566.6</f>
        <v>0</v>
      </c>
      <c r="M11048" t="inlineStr">
        <is>
          <t>-566K2</t>
        </is>
      </c>
    </row>
    <row r="11049">
      <c r="A11049">
        <v>11048</v>
      </c>
      <c r="B11049">
        <f>GS30</f>
        <v>0</v>
      </c>
      <c r="C11049" t="inlineStr">
        <is>
          <t>+LS19</t>
        </is>
      </c>
      <c r="D11049" t="inlineStr">
        <is>
          <t>-566K2</t>
        </is>
      </c>
      <c r="E11049" t="inlineStr">
        <is>
          <t>DILA-XHI22</t>
        </is>
      </c>
      <c r="F11049" t="inlineStr">
        <is>
          <t>DILA-XHI22</t>
        </is>
      </c>
      <c r="G11049" t="inlineStr">
        <is>
          <t>HILFSKONTAKTBLOCK</t>
        </is>
      </c>
      <c r="H11049" t="inlineStr">
        <is>
          <t>2S 2OE Last+Hilfssch. Cage</t>
        </is>
      </c>
      <c r="I11049">
        <v>1182</v>
      </c>
      <c r="J11049">
        <f>GS30/566.6</f>
        <v>0</v>
      </c>
      <c r="M11049" t="inlineStr">
        <is>
          <t>-566K2</t>
        </is>
      </c>
    </row>
    <row r="11050">
      <c r="A11050">
        <v>11049</v>
      </c>
      <c r="B11050">
        <f>GS23</f>
        <v>0</v>
      </c>
      <c r="C11050" t="inlineStr">
        <is>
          <t>+LS13</t>
        </is>
      </c>
      <c r="D11050" t="inlineStr">
        <is>
          <t>-566K33.0</t>
        </is>
      </c>
      <c r="E11050" t="inlineStr">
        <is>
          <t>DIL_EM-10-G</t>
        </is>
      </c>
      <c r="F11050" t="inlineStr">
        <is>
          <t>#KALK!</t>
        </is>
      </c>
      <c r="G11050" t="inlineStr">
        <is>
          <t>LASTSCHUETZ</t>
        </is>
      </c>
      <c r="H11050" t="inlineStr">
        <is>
          <t>4kW 1S</t>
        </is>
      </c>
      <c r="I11050">
        <v>878</v>
      </c>
      <c r="J11050">
        <f>GS23/566.6</f>
        <v>0</v>
      </c>
      <c r="M11050" t="inlineStr">
        <is>
          <t>-566K33.0</t>
        </is>
      </c>
    </row>
    <row r="11051">
      <c r="A11051">
        <v>11050</v>
      </c>
      <c r="B11051">
        <f>GS23</f>
        <v>0</v>
      </c>
      <c r="C11051" t="inlineStr">
        <is>
          <t>+LS13</t>
        </is>
      </c>
      <c r="D11051" t="inlineStr">
        <is>
          <t>-566K33.1</t>
        </is>
      </c>
      <c r="E11051" t="inlineStr">
        <is>
          <t>DIL_EM-10-G</t>
        </is>
      </c>
      <c r="F11051" t="inlineStr">
        <is>
          <t>#KALK!</t>
        </is>
      </c>
      <c r="G11051" t="inlineStr">
        <is>
          <t>LASTSCHUETZ</t>
        </is>
      </c>
      <c r="H11051" t="inlineStr">
        <is>
          <t>4kW 1S</t>
        </is>
      </c>
      <c r="I11051">
        <v>878</v>
      </c>
      <c r="J11051">
        <f>GS23/566.6</f>
        <v>0</v>
      </c>
      <c r="M11051" t="inlineStr">
        <is>
          <t>-566K33.1</t>
        </is>
      </c>
    </row>
    <row r="11052">
      <c r="A11052">
        <v>11051</v>
      </c>
      <c r="B11052">
        <f>GS14</f>
        <v>0</v>
      </c>
      <c r="C11052" t="inlineStr">
        <is>
          <t>+LS11</t>
        </is>
      </c>
      <c r="D11052" t="inlineStr">
        <is>
          <t>-566K3524.1</t>
        </is>
      </c>
      <c r="E11052" t="inlineStr">
        <is>
          <t>DIL_EM-10-G</t>
        </is>
      </c>
      <c r="F11052" t="inlineStr">
        <is>
          <t>#KALK!</t>
        </is>
      </c>
      <c r="G11052" t="inlineStr">
        <is>
          <t>LASTSCHUETZ</t>
        </is>
      </c>
      <c r="H11052" t="inlineStr">
        <is>
          <t>4kW 1S</t>
        </is>
      </c>
      <c r="I11052">
        <v>698</v>
      </c>
      <c r="J11052">
        <f>GS14/566.5</f>
        <v>0</v>
      </c>
      <c r="M11052" t="inlineStr">
        <is>
          <t>-566K3524.1</t>
        </is>
      </c>
    </row>
    <row r="11053">
      <c r="A11053">
        <v>11052</v>
      </c>
      <c r="B11053">
        <f>GS14</f>
        <v>0</v>
      </c>
      <c r="C11053" t="inlineStr">
        <is>
          <t>+LS11</t>
        </is>
      </c>
      <c r="D11053" t="inlineStr">
        <is>
          <t>-566K3524.2</t>
        </is>
      </c>
      <c r="E11053" t="inlineStr">
        <is>
          <t>DIL_EM-10-G</t>
        </is>
      </c>
      <c r="F11053" t="inlineStr">
        <is>
          <t>#KALK!</t>
        </is>
      </c>
      <c r="G11053" t="inlineStr">
        <is>
          <t>LASTSCHUETZ</t>
        </is>
      </c>
      <c r="H11053" t="inlineStr">
        <is>
          <t>4kW 1S</t>
        </is>
      </c>
      <c r="I11053">
        <v>698</v>
      </c>
      <c r="J11053">
        <f>GS14/566.6</f>
        <v>0</v>
      </c>
      <c r="M11053" t="inlineStr">
        <is>
          <t>-566K3524.2</t>
        </is>
      </c>
    </row>
    <row r="11054">
      <c r="A11054">
        <v>11053</v>
      </c>
      <c r="B11054">
        <f>GS14</f>
        <v>0</v>
      </c>
      <c r="C11054" t="inlineStr">
        <is>
          <t>+LS11</t>
        </is>
      </c>
      <c r="D11054" t="inlineStr">
        <is>
          <t>-566K3524.3</t>
        </is>
      </c>
      <c r="E11054" t="inlineStr">
        <is>
          <t>DIL_EM-01-G</t>
        </is>
      </c>
      <c r="F11054" t="inlineStr">
        <is>
          <t>#KALK!</t>
        </is>
      </c>
      <c r="G11054" t="inlineStr">
        <is>
          <t>LASTSCHUETZ</t>
        </is>
      </c>
      <c r="H11054" t="inlineStr">
        <is>
          <t>4kW 1OE</t>
        </is>
      </c>
      <c r="I11054">
        <v>698</v>
      </c>
      <c r="J11054">
        <f>GS14/566.7</f>
        <v>0</v>
      </c>
      <c r="M11054" t="inlineStr">
        <is>
          <t>-566K3524.3</t>
        </is>
      </c>
    </row>
    <row r="11055">
      <c r="A11055">
        <v>11054</v>
      </c>
      <c r="B11055">
        <f>GS14</f>
        <v>0</v>
      </c>
      <c r="C11055" t="inlineStr">
        <is>
          <t>+LS11</t>
        </is>
      </c>
      <c r="D11055" t="inlineStr">
        <is>
          <t>-566K3524.4</t>
        </is>
      </c>
      <c r="E11055" t="inlineStr">
        <is>
          <t>DIL_EM-01-G</t>
        </is>
      </c>
      <c r="F11055" t="inlineStr">
        <is>
          <t>#KALK!</t>
        </is>
      </c>
      <c r="G11055" t="inlineStr">
        <is>
          <t>LASTSCHUETZ</t>
        </is>
      </c>
      <c r="H11055" t="inlineStr">
        <is>
          <t>4kW 1OE</t>
        </is>
      </c>
      <c r="I11055">
        <v>698</v>
      </c>
      <c r="J11055">
        <f>GS14/566.8</f>
        <v>0</v>
      </c>
      <c r="M11055" t="inlineStr">
        <is>
          <t>-566K3524.4</t>
        </is>
      </c>
    </row>
    <row r="11056">
      <c r="A11056">
        <v>11055</v>
      </c>
      <c r="B11056">
        <f>GS25</f>
        <v>0</v>
      </c>
      <c r="C11056" t="inlineStr">
        <is>
          <t>+LS13</t>
        </is>
      </c>
      <c r="D11056" t="inlineStr">
        <is>
          <t>-566K3536.0</t>
        </is>
      </c>
      <c r="E11056" t="inlineStr">
        <is>
          <t>DIL_EM-10-G</t>
        </is>
      </c>
      <c r="F11056" t="inlineStr">
        <is>
          <t>#KALK!</t>
        </is>
      </c>
      <c r="G11056" t="inlineStr">
        <is>
          <t>LASTSCHUETZ</t>
        </is>
      </c>
      <c r="H11056" t="inlineStr">
        <is>
          <t>4kW 1S</t>
        </is>
      </c>
      <c r="I11056">
        <v>693</v>
      </c>
      <c r="J11056">
        <f>GS25/566.6</f>
        <v>0</v>
      </c>
      <c r="M11056" t="inlineStr">
        <is>
          <t>-566K3536.0</t>
        </is>
      </c>
    </row>
    <row r="11057">
      <c r="A11057">
        <v>11056</v>
      </c>
      <c r="B11057">
        <f>GS25</f>
        <v>0</v>
      </c>
      <c r="C11057" t="inlineStr">
        <is>
          <t>+LS13</t>
        </is>
      </c>
      <c r="D11057" t="inlineStr">
        <is>
          <t>-566K3536.1</t>
        </is>
      </c>
      <c r="E11057" t="inlineStr">
        <is>
          <t>DIL_EM-10-G</t>
        </is>
      </c>
      <c r="F11057" t="inlineStr">
        <is>
          <t>#KALK!</t>
        </is>
      </c>
      <c r="G11057" t="inlineStr">
        <is>
          <t>LASTSCHUETZ</t>
        </is>
      </c>
      <c r="H11057" t="inlineStr">
        <is>
          <t>4kW 1S</t>
        </is>
      </c>
      <c r="I11057">
        <v>693</v>
      </c>
      <c r="J11057">
        <f>GS25/566.7</f>
        <v>0</v>
      </c>
      <c r="M11057" t="inlineStr">
        <is>
          <t>-566K3536.1</t>
        </is>
      </c>
    </row>
    <row r="11058">
      <c r="A11058">
        <v>11057</v>
      </c>
      <c r="B11058">
        <f>GS52</f>
        <v>0</v>
      </c>
      <c r="C11058" t="inlineStr">
        <is>
          <t>+LS09</t>
        </is>
      </c>
      <c r="D11058" t="inlineStr">
        <is>
          <t>-566Q190.4</t>
        </is>
      </c>
      <c r="E11058" t="inlineStr">
        <is>
          <t>DILM-9-10</t>
        </is>
      </c>
      <c r="F11058" t="inlineStr">
        <is>
          <t>#KALK!</t>
        </is>
      </c>
      <c r="G11058" t="inlineStr">
        <is>
          <t>LASTSCHUETZ</t>
        </is>
      </c>
      <c r="H11058" t="inlineStr">
        <is>
          <t>4kW 1S Federzugkl.</t>
        </is>
      </c>
      <c r="I11058">
        <v>1453</v>
      </c>
      <c r="J11058">
        <f>GS52/566.6</f>
        <v>0</v>
      </c>
      <c r="K11058" t="inlineStr">
        <is>
          <t>DIL MC9</t>
        </is>
      </c>
      <c r="M11058" t="inlineStr">
        <is>
          <t>-566Q190.4</t>
        </is>
      </c>
    </row>
    <row r="11059">
      <c r="A11059">
        <v>11058</v>
      </c>
      <c r="B11059">
        <f>GS92</f>
        <v>0</v>
      </c>
      <c r="C11059" t="inlineStr">
        <is>
          <t>+LS10</t>
        </is>
      </c>
      <c r="D11059" t="inlineStr">
        <is>
          <t>-566Q473.5</t>
        </is>
      </c>
      <c r="E11059" t="inlineStr">
        <is>
          <t>DILA-XHI22</t>
        </is>
      </c>
      <c r="F11059" t="inlineStr">
        <is>
          <t>DILA-XHI22</t>
        </is>
      </c>
      <c r="G11059" t="inlineStr">
        <is>
          <t>HILFSKONTAKTBLOCK</t>
        </is>
      </c>
      <c r="H11059" t="inlineStr">
        <is>
          <t>2S 2OE Last+Hilfssch. Cage</t>
        </is>
      </c>
      <c r="I11059">
        <v>706</v>
      </c>
      <c r="J11059">
        <f>GS92/566.5</f>
        <v>0</v>
      </c>
      <c r="M11059" t="inlineStr">
        <is>
          <t>-566Q473.5</t>
        </is>
      </c>
    </row>
    <row r="11060">
      <c r="A11060">
        <v>11059</v>
      </c>
      <c r="B11060">
        <f>GS92</f>
        <v>0</v>
      </c>
      <c r="C11060" t="inlineStr">
        <is>
          <t>+LS10</t>
        </is>
      </c>
      <c r="D11060" t="inlineStr">
        <is>
          <t>-566Q473.5</t>
        </is>
      </c>
      <c r="E11060" t="inlineStr">
        <is>
          <t>DILM-9-10</t>
        </is>
      </c>
      <c r="F11060" t="inlineStr">
        <is>
          <t>DILA-XHI22</t>
        </is>
      </c>
      <c r="G11060" t="inlineStr">
        <is>
          <t>LASTSCHUETZ</t>
        </is>
      </c>
      <c r="H11060" t="inlineStr">
        <is>
          <t>4kW 1S Federzugkl.</t>
        </is>
      </c>
      <c r="I11060">
        <v>706</v>
      </c>
      <c r="J11060">
        <f>GS92/566.5</f>
        <v>0</v>
      </c>
      <c r="M11060" t="inlineStr">
        <is>
          <t>-566Q473.5</t>
        </is>
      </c>
    </row>
    <row r="11061">
      <c r="A11061">
        <v>11060</v>
      </c>
      <c r="B11061">
        <f>GS92</f>
        <v>0</v>
      </c>
      <c r="C11061" t="inlineStr">
        <is>
          <t>+LS10</t>
        </is>
      </c>
      <c r="D11061" t="inlineStr">
        <is>
          <t>-566Q473.6</t>
        </is>
      </c>
      <c r="E11061" t="inlineStr">
        <is>
          <t>DILA-XHI22</t>
        </is>
      </c>
      <c r="F11061" t="inlineStr">
        <is>
          <t>DILA-XHI22</t>
        </is>
      </c>
      <c r="G11061" t="inlineStr">
        <is>
          <t>HILFSKONTAKTBLOCK</t>
        </is>
      </c>
      <c r="H11061" t="inlineStr">
        <is>
          <t>2S 2OE Last+Hilfssch. Cage</t>
        </is>
      </c>
      <c r="I11061">
        <v>706</v>
      </c>
      <c r="J11061">
        <f>GS92/566.6</f>
        <v>0</v>
      </c>
      <c r="M11061" t="inlineStr">
        <is>
          <t>-566Q473.6</t>
        </is>
      </c>
    </row>
    <row r="11062">
      <c r="A11062">
        <v>11061</v>
      </c>
      <c r="B11062">
        <f>GS92</f>
        <v>0</v>
      </c>
      <c r="C11062" t="inlineStr">
        <is>
          <t>+LS10</t>
        </is>
      </c>
      <c r="D11062" t="inlineStr">
        <is>
          <t>-566Q473.6</t>
        </is>
      </c>
      <c r="E11062" t="inlineStr">
        <is>
          <t>DILM-9-10</t>
        </is>
      </c>
      <c r="F11062" t="inlineStr">
        <is>
          <t>DILA-XHI22</t>
        </is>
      </c>
      <c r="G11062" t="inlineStr">
        <is>
          <t>LASTSCHUETZ</t>
        </is>
      </c>
      <c r="H11062" t="inlineStr">
        <is>
          <t>4kW 1S Federzugkl.</t>
        </is>
      </c>
      <c r="I11062">
        <v>706</v>
      </c>
      <c r="J11062">
        <f>GS92/566.6</f>
        <v>0</v>
      </c>
      <c r="M11062" t="inlineStr">
        <is>
          <t>-566Q473.6</t>
        </is>
      </c>
    </row>
    <row r="11063">
      <c r="A11063">
        <v>11062</v>
      </c>
      <c r="B11063">
        <f>GS13</f>
        <v>0</v>
      </c>
      <c r="C11063" t="inlineStr">
        <is>
          <t>+LS13</t>
        </is>
      </c>
      <c r="D11063" t="inlineStr">
        <is>
          <t>-56733.2</t>
        </is>
      </c>
      <c r="E11063" t="inlineStr">
        <is>
          <t>DIL_EM-10-G</t>
        </is>
      </c>
      <c r="F11063" t="inlineStr">
        <is>
          <t>#KALK!</t>
        </is>
      </c>
      <c r="G11063" t="inlineStr">
        <is>
          <t>LASTSCHUETZ</t>
        </is>
      </c>
      <c r="H11063" t="inlineStr">
        <is>
          <t>4kW 1S</t>
        </is>
      </c>
      <c r="I11063">
        <v>826</v>
      </c>
      <c r="J11063">
        <f>GS13/567.6</f>
        <v>0</v>
      </c>
      <c r="M11063" t="inlineStr">
        <is>
          <t>-56733.2</t>
        </is>
      </c>
    </row>
    <row r="11064">
      <c r="A11064">
        <v>11063</v>
      </c>
      <c r="B11064">
        <f>GS13</f>
        <v>0</v>
      </c>
      <c r="C11064" t="inlineStr">
        <is>
          <t>+LS13</t>
        </is>
      </c>
      <c r="D11064" t="inlineStr">
        <is>
          <t>-56733.3</t>
        </is>
      </c>
      <c r="E11064" t="inlineStr">
        <is>
          <t>DIL_EM-10-G</t>
        </is>
      </c>
      <c r="F11064" t="inlineStr">
        <is>
          <t>#KALK!</t>
        </is>
      </c>
      <c r="G11064" t="inlineStr">
        <is>
          <t>LASTSCHUETZ</t>
        </is>
      </c>
      <c r="H11064" t="inlineStr">
        <is>
          <t>4kW 1S</t>
        </is>
      </c>
      <c r="I11064">
        <v>826</v>
      </c>
      <c r="J11064">
        <f>GS13/567.6</f>
        <v>0</v>
      </c>
      <c r="M11064" t="inlineStr">
        <is>
          <t>-56733.3</t>
        </is>
      </c>
    </row>
    <row r="11065">
      <c r="A11065">
        <v>11064</v>
      </c>
      <c r="B11065">
        <f>GS23</f>
        <v>0</v>
      </c>
      <c r="C11065" t="inlineStr">
        <is>
          <t>+LS13</t>
        </is>
      </c>
      <c r="D11065" t="inlineStr">
        <is>
          <t>-567K33.2</t>
        </is>
      </c>
      <c r="E11065" t="inlineStr">
        <is>
          <t>DIL_EM-10-G</t>
        </is>
      </c>
      <c r="F11065" t="inlineStr">
        <is>
          <t>#KALK!</t>
        </is>
      </c>
      <c r="G11065" t="inlineStr">
        <is>
          <t>LASTSCHUETZ</t>
        </is>
      </c>
      <c r="H11065" t="inlineStr">
        <is>
          <t>4kW 1S</t>
        </is>
      </c>
      <c r="I11065">
        <v>879</v>
      </c>
      <c r="J11065">
        <f>GS23/567.6</f>
        <v>0</v>
      </c>
      <c r="M11065" t="inlineStr">
        <is>
          <t>-567K33.2</t>
        </is>
      </c>
    </row>
    <row r="11066">
      <c r="A11066">
        <v>11065</v>
      </c>
      <c r="B11066">
        <f>GS23</f>
        <v>0</v>
      </c>
      <c r="C11066" t="inlineStr">
        <is>
          <t>+LS13</t>
        </is>
      </c>
      <c r="D11066" t="inlineStr">
        <is>
          <t>-567K33.3</t>
        </is>
      </c>
      <c r="E11066" t="inlineStr">
        <is>
          <t>DIL_EM-10-G</t>
        </is>
      </c>
      <c r="F11066" t="inlineStr">
        <is>
          <t>#KALK!</t>
        </is>
      </c>
      <c r="G11066" t="inlineStr">
        <is>
          <t>LASTSCHUETZ</t>
        </is>
      </c>
      <c r="H11066" t="inlineStr">
        <is>
          <t>4kW 1S</t>
        </is>
      </c>
      <c r="I11066">
        <v>879</v>
      </c>
      <c r="J11066">
        <f>GS23/567.6</f>
        <v>0</v>
      </c>
      <c r="M11066" t="inlineStr">
        <is>
          <t>-567K33.3</t>
        </is>
      </c>
    </row>
    <row r="11067">
      <c r="A11067">
        <v>11066</v>
      </c>
      <c r="B11067">
        <f>GS14</f>
        <v>0</v>
      </c>
      <c r="C11067" t="inlineStr">
        <is>
          <t>+LS11</t>
        </is>
      </c>
      <c r="D11067" t="inlineStr">
        <is>
          <t>-567K3524.5</t>
        </is>
      </c>
      <c r="E11067" t="inlineStr">
        <is>
          <t>DIL_EM-10-G</t>
        </is>
      </c>
      <c r="F11067" t="inlineStr">
        <is>
          <t>#KALK!</t>
        </is>
      </c>
      <c r="G11067" t="inlineStr">
        <is>
          <t>LASTSCHUETZ</t>
        </is>
      </c>
      <c r="H11067" t="inlineStr">
        <is>
          <t>4kW 1S</t>
        </is>
      </c>
      <c r="I11067">
        <v>699</v>
      </c>
      <c r="J11067">
        <f>GS14/567.6</f>
        <v>0</v>
      </c>
      <c r="M11067" t="inlineStr">
        <is>
          <t>-567K3524.5</t>
        </is>
      </c>
    </row>
    <row r="11068">
      <c r="A11068">
        <v>11067</v>
      </c>
      <c r="B11068">
        <f>GS14</f>
        <v>0</v>
      </c>
      <c r="C11068" t="inlineStr">
        <is>
          <t>+LS11</t>
        </is>
      </c>
      <c r="D11068" t="inlineStr">
        <is>
          <t>-567K3524.6</t>
        </is>
      </c>
      <c r="E11068" t="inlineStr">
        <is>
          <t>DIL_EM-10-G</t>
        </is>
      </c>
      <c r="F11068" t="inlineStr">
        <is>
          <t>#KALK!</t>
        </is>
      </c>
      <c r="G11068" t="inlineStr">
        <is>
          <t>LASTSCHUETZ</t>
        </is>
      </c>
      <c r="H11068" t="inlineStr">
        <is>
          <t>4kW 1S</t>
        </is>
      </c>
      <c r="I11068">
        <v>699</v>
      </c>
      <c r="J11068">
        <f>GS14/567.6</f>
        <v>0</v>
      </c>
      <c r="M11068" t="inlineStr">
        <is>
          <t>-567K3524.6</t>
        </is>
      </c>
    </row>
    <row r="11069">
      <c r="A11069">
        <v>11068</v>
      </c>
      <c r="B11069">
        <f>GS25</f>
        <v>0</v>
      </c>
      <c r="C11069" t="inlineStr">
        <is>
          <t>+LS13</t>
        </is>
      </c>
      <c r="D11069" t="inlineStr">
        <is>
          <t>-567K3536.2</t>
        </is>
      </c>
      <c r="E11069" t="inlineStr">
        <is>
          <t>DIL_EM-10-G</t>
        </is>
      </c>
      <c r="F11069" t="inlineStr">
        <is>
          <t>#KALK!</t>
        </is>
      </c>
      <c r="G11069" t="inlineStr">
        <is>
          <t>LASTSCHUETZ</t>
        </is>
      </c>
      <c r="H11069" t="inlineStr">
        <is>
          <t>4kW 1S</t>
        </is>
      </c>
      <c r="I11069">
        <v>694</v>
      </c>
      <c r="J11069">
        <f>GS25/567.6</f>
        <v>0</v>
      </c>
      <c r="M11069" t="inlineStr">
        <is>
          <t>-567K3536.2</t>
        </is>
      </c>
    </row>
    <row r="11070">
      <c r="A11070">
        <v>11069</v>
      </c>
      <c r="B11070">
        <f>GS25</f>
        <v>0</v>
      </c>
      <c r="C11070" t="inlineStr">
        <is>
          <t>+LS13</t>
        </is>
      </c>
      <c r="D11070" t="inlineStr">
        <is>
          <t>-567K3536.3</t>
        </is>
      </c>
      <c r="E11070" t="inlineStr">
        <is>
          <t>DIL_EM-10-G</t>
        </is>
      </c>
      <c r="F11070" t="inlineStr">
        <is>
          <t>#KALK!</t>
        </is>
      </c>
      <c r="G11070" t="inlineStr">
        <is>
          <t>LASTSCHUETZ</t>
        </is>
      </c>
      <c r="H11070" t="inlineStr">
        <is>
          <t>4kW 1S</t>
        </is>
      </c>
      <c r="I11070">
        <v>694</v>
      </c>
      <c r="J11070">
        <f>GS25/567.7</f>
        <v>0</v>
      </c>
      <c r="M11070" t="inlineStr">
        <is>
          <t>-567K3536.3</t>
        </is>
      </c>
    </row>
    <row r="11071">
      <c r="A11071">
        <v>11070</v>
      </c>
      <c r="B11071">
        <f>GS92</f>
        <v>0</v>
      </c>
      <c r="C11071" t="inlineStr">
        <is>
          <t>+LS10</t>
        </is>
      </c>
      <c r="D11071" t="inlineStr">
        <is>
          <t>-567Q473.7</t>
        </is>
      </c>
      <c r="E11071" t="inlineStr">
        <is>
          <t>DILM-9-10</t>
        </is>
      </c>
      <c r="F11071" t="inlineStr">
        <is>
          <t>#KALK!</t>
        </is>
      </c>
      <c r="G11071" t="inlineStr">
        <is>
          <t>LASTSCHUETZ</t>
        </is>
      </c>
      <c r="H11071" t="inlineStr">
        <is>
          <t>4kW 1S Federzugkl.</t>
        </is>
      </c>
      <c r="I11071">
        <v>707</v>
      </c>
      <c r="J11071">
        <f>GS92/567.5</f>
        <v>0</v>
      </c>
      <c r="M11071" t="inlineStr">
        <is>
          <t>-567Q473.7</t>
        </is>
      </c>
    </row>
    <row r="11072">
      <c r="A11072">
        <v>11071</v>
      </c>
      <c r="B11072">
        <f>GS35</f>
        <v>0</v>
      </c>
      <c r="C11072" t="inlineStr">
        <is>
          <t>+LS14</t>
        </is>
      </c>
      <c r="D11072" t="inlineStr">
        <is>
          <t>-567Q484.6</t>
        </is>
      </c>
      <c r="E11072" t="inlineStr">
        <is>
          <t>DILM-12-10</t>
        </is>
      </c>
      <c r="F11072" t="inlineStr">
        <is>
          <t>#KALK!</t>
        </is>
      </c>
      <c r="G11072" t="inlineStr">
        <is>
          <t>LASTSCHUETZ</t>
        </is>
      </c>
      <c r="H11072" t="inlineStr">
        <is>
          <t>5,5kW 1S Federzugkl.</t>
        </is>
      </c>
      <c r="I11072">
        <v>721</v>
      </c>
      <c r="J11072">
        <f>GS35/567.5</f>
        <v>0</v>
      </c>
      <c r="K11072" t="inlineStr">
        <is>
          <t>DIL MC12</t>
        </is>
      </c>
      <c r="M11072" t="inlineStr">
        <is>
          <t>-567Q484.6</t>
        </is>
      </c>
    </row>
    <row r="11073">
      <c r="A11073">
        <v>11072</v>
      </c>
      <c r="B11073">
        <f>GS13</f>
        <v>0</v>
      </c>
      <c r="C11073" t="inlineStr">
        <is>
          <t>+LS13</t>
        </is>
      </c>
      <c r="D11073" t="inlineStr">
        <is>
          <t>-56833.4</t>
        </is>
      </c>
      <c r="E11073" t="inlineStr">
        <is>
          <t>DIL_EM-10-G</t>
        </is>
      </c>
      <c r="F11073" t="inlineStr">
        <is>
          <t>#KALK!</t>
        </is>
      </c>
      <c r="G11073" t="inlineStr">
        <is>
          <t>LASTSCHUETZ</t>
        </is>
      </c>
      <c r="H11073" t="inlineStr">
        <is>
          <t>4kW 1S</t>
        </is>
      </c>
      <c r="I11073">
        <v>827</v>
      </c>
      <c r="J11073">
        <f>GS13/568.6</f>
        <v>0</v>
      </c>
      <c r="M11073" t="inlineStr">
        <is>
          <t>-56833.4</t>
        </is>
      </c>
    </row>
    <row r="11074">
      <c r="A11074">
        <v>11073</v>
      </c>
      <c r="B11074">
        <f>GS13</f>
        <v>0</v>
      </c>
      <c r="C11074" t="inlineStr">
        <is>
          <t>+LS13</t>
        </is>
      </c>
      <c r="D11074" t="inlineStr">
        <is>
          <t>-56833.5</t>
        </is>
      </c>
      <c r="E11074" t="inlineStr">
        <is>
          <t>DIL_EM-10-G</t>
        </is>
      </c>
      <c r="F11074" t="inlineStr">
        <is>
          <t>#KALK!</t>
        </is>
      </c>
      <c r="G11074" t="inlineStr">
        <is>
          <t>LASTSCHUETZ</t>
        </is>
      </c>
      <c r="H11074" t="inlineStr">
        <is>
          <t>4kW 1S</t>
        </is>
      </c>
      <c r="I11074">
        <v>827</v>
      </c>
      <c r="J11074">
        <f>GS13/568.6</f>
        <v>0</v>
      </c>
      <c r="M11074" t="inlineStr">
        <is>
          <t>-56833.5</t>
        </is>
      </c>
    </row>
    <row r="11075">
      <c r="A11075">
        <v>11074</v>
      </c>
      <c r="B11075">
        <f>GS23</f>
        <v>0</v>
      </c>
      <c r="C11075" t="inlineStr">
        <is>
          <t>+LS13</t>
        </is>
      </c>
      <c r="D11075" t="inlineStr">
        <is>
          <t>-568K33.4</t>
        </is>
      </c>
      <c r="E11075" t="inlineStr">
        <is>
          <t>DIL_EM-10-G</t>
        </is>
      </c>
      <c r="F11075" t="inlineStr">
        <is>
          <t>#KALK!</t>
        </is>
      </c>
      <c r="G11075" t="inlineStr">
        <is>
          <t>LASTSCHUETZ</t>
        </is>
      </c>
      <c r="H11075" t="inlineStr">
        <is>
          <t>4kW 1S</t>
        </is>
      </c>
      <c r="I11075">
        <v>880</v>
      </c>
      <c r="J11075">
        <f>GS23/568.6</f>
        <v>0</v>
      </c>
      <c r="M11075" t="inlineStr">
        <is>
          <t>-568K33.4</t>
        </is>
      </c>
    </row>
    <row r="11076">
      <c r="A11076">
        <v>11075</v>
      </c>
      <c r="B11076">
        <f>GS23</f>
        <v>0</v>
      </c>
      <c r="C11076" t="inlineStr">
        <is>
          <t>+LS13</t>
        </is>
      </c>
      <c r="D11076" t="inlineStr">
        <is>
          <t>-568K33.5</t>
        </is>
      </c>
      <c r="E11076" t="inlineStr">
        <is>
          <t>DIL_EM-10-G</t>
        </is>
      </c>
      <c r="F11076" t="inlineStr">
        <is>
          <t>#KALK!</t>
        </is>
      </c>
      <c r="G11076" t="inlineStr">
        <is>
          <t>LASTSCHUETZ</t>
        </is>
      </c>
      <c r="H11076" t="inlineStr">
        <is>
          <t>4kW 1S</t>
        </is>
      </c>
      <c r="I11076">
        <v>880</v>
      </c>
      <c r="J11076">
        <f>GS23/568.6</f>
        <v>0</v>
      </c>
      <c r="M11076" t="inlineStr">
        <is>
          <t>-568K33.5</t>
        </is>
      </c>
    </row>
    <row r="11077">
      <c r="A11077">
        <v>11076</v>
      </c>
      <c r="B11077">
        <f>GS15</f>
        <v>0</v>
      </c>
      <c r="C11077" t="inlineStr">
        <is>
          <t>+LS11</t>
        </is>
      </c>
      <c r="D11077" t="inlineStr">
        <is>
          <t>-568K3510.2</t>
        </is>
      </c>
      <c r="E11077" t="inlineStr">
        <is>
          <t>DIL_EM-10-G</t>
        </is>
      </c>
      <c r="F11077" t="inlineStr">
        <is>
          <t>#KALK!</t>
        </is>
      </c>
      <c r="G11077" t="inlineStr">
        <is>
          <t>LASTSCHUETZ</t>
        </is>
      </c>
      <c r="H11077" t="inlineStr">
        <is>
          <t>4kW 1S</t>
        </is>
      </c>
      <c r="I11077">
        <v>1079</v>
      </c>
      <c r="J11077">
        <f>GS15/568.6</f>
        <v>0</v>
      </c>
      <c r="M11077" t="inlineStr">
        <is>
          <t>-568K3510.2</t>
        </is>
      </c>
    </row>
    <row r="11078">
      <c r="A11078">
        <v>11077</v>
      </c>
      <c r="B11078">
        <f>GS15</f>
        <v>0</v>
      </c>
      <c r="C11078" t="inlineStr">
        <is>
          <t>+LS11</t>
        </is>
      </c>
      <c r="D11078" t="inlineStr">
        <is>
          <t>-568K3510.3</t>
        </is>
      </c>
      <c r="E11078" t="inlineStr">
        <is>
          <t>DIL_EM-10-G</t>
        </is>
      </c>
      <c r="F11078" t="inlineStr">
        <is>
          <t>#KALK!</t>
        </is>
      </c>
      <c r="G11078" t="inlineStr">
        <is>
          <t>LASTSCHUETZ</t>
        </is>
      </c>
      <c r="H11078" t="inlineStr">
        <is>
          <t>4kW 1S</t>
        </is>
      </c>
      <c r="I11078">
        <v>1079</v>
      </c>
      <c r="J11078">
        <f>GS15/568.7</f>
        <v>0</v>
      </c>
      <c r="M11078" t="inlineStr">
        <is>
          <t>-568K3510.3</t>
        </is>
      </c>
    </row>
    <row r="11079">
      <c r="A11079">
        <v>11078</v>
      </c>
      <c r="B11079">
        <f>GS92</f>
        <v>0</v>
      </c>
      <c r="C11079" t="inlineStr">
        <is>
          <t>+LS10</t>
        </is>
      </c>
      <c r="D11079" t="inlineStr">
        <is>
          <t>-568Q474.0</t>
        </is>
      </c>
      <c r="E11079" t="inlineStr">
        <is>
          <t>DILM-9-10</t>
        </is>
      </c>
      <c r="F11079" t="inlineStr">
        <is>
          <t>#KALK!</t>
        </is>
      </c>
      <c r="G11079" t="inlineStr">
        <is>
          <t>LASTSCHUETZ</t>
        </is>
      </c>
      <c r="H11079" t="inlineStr">
        <is>
          <t>4kW 1S Federzugkl.</t>
        </is>
      </c>
      <c r="I11079">
        <v>708</v>
      </c>
      <c r="J11079">
        <f>GS92/568.5</f>
        <v>0</v>
      </c>
      <c r="M11079" t="inlineStr">
        <is>
          <t>-568Q474.0</t>
        </is>
      </c>
    </row>
    <row r="11080">
      <c r="A11080">
        <v>11079</v>
      </c>
      <c r="B11080">
        <f>GS13</f>
        <v>0</v>
      </c>
      <c r="C11080" t="inlineStr">
        <is>
          <t>+LS13</t>
        </is>
      </c>
      <c r="D11080" t="inlineStr">
        <is>
          <t>-56933.6</t>
        </is>
      </c>
      <c r="E11080" t="inlineStr">
        <is>
          <t>DIL_EM-10-G</t>
        </is>
      </c>
      <c r="F11080" t="inlineStr">
        <is>
          <t>#KALK!</t>
        </is>
      </c>
      <c r="G11080" t="inlineStr">
        <is>
          <t>LASTSCHUETZ</t>
        </is>
      </c>
      <c r="H11080" t="inlineStr">
        <is>
          <t>4kW 1S</t>
        </is>
      </c>
      <c r="I11080">
        <v>828</v>
      </c>
      <c r="J11080">
        <f>GS13/569.6</f>
        <v>0</v>
      </c>
      <c r="M11080" t="inlineStr">
        <is>
          <t>-56933.6</t>
        </is>
      </c>
    </row>
    <row r="11081">
      <c r="A11081">
        <v>11080</v>
      </c>
      <c r="B11081">
        <f>GS13</f>
        <v>0</v>
      </c>
      <c r="C11081" t="inlineStr">
        <is>
          <t>+LS13</t>
        </is>
      </c>
      <c r="D11081" t="inlineStr">
        <is>
          <t>-56933.7</t>
        </is>
      </c>
      <c r="E11081" t="inlineStr">
        <is>
          <t>DIL_EM-10-G</t>
        </is>
      </c>
      <c r="F11081" t="inlineStr">
        <is>
          <t>#KALK!</t>
        </is>
      </c>
      <c r="G11081" t="inlineStr">
        <is>
          <t>LASTSCHUETZ</t>
        </is>
      </c>
      <c r="H11081" t="inlineStr">
        <is>
          <t>4kW 1S</t>
        </is>
      </c>
      <c r="I11081">
        <v>828</v>
      </c>
      <c r="J11081">
        <f>GS13/569.6</f>
        <v>0</v>
      </c>
      <c r="M11081" t="inlineStr">
        <is>
          <t>-56933.7</t>
        </is>
      </c>
    </row>
    <row r="11082">
      <c r="A11082">
        <v>11081</v>
      </c>
      <c r="B11082">
        <f>GS23</f>
        <v>0</v>
      </c>
      <c r="C11082" t="inlineStr">
        <is>
          <t>+LS13</t>
        </is>
      </c>
      <c r="D11082" t="inlineStr">
        <is>
          <t>-569K33.6</t>
        </is>
      </c>
      <c r="E11082" t="inlineStr">
        <is>
          <t>DIL_EM-10-G</t>
        </is>
      </c>
      <c r="F11082" t="inlineStr">
        <is>
          <t>#KALK!</t>
        </is>
      </c>
      <c r="G11082" t="inlineStr">
        <is>
          <t>LASTSCHUETZ</t>
        </is>
      </c>
      <c r="H11082" t="inlineStr">
        <is>
          <t>4kW 1S</t>
        </is>
      </c>
      <c r="I11082">
        <v>881</v>
      </c>
      <c r="J11082">
        <f>GS23/569.6</f>
        <v>0</v>
      </c>
      <c r="M11082" t="inlineStr">
        <is>
          <t>-569K33.6</t>
        </is>
      </c>
    </row>
    <row r="11083">
      <c r="A11083">
        <v>11082</v>
      </c>
      <c r="B11083">
        <f>GS23</f>
        <v>0</v>
      </c>
      <c r="C11083" t="inlineStr">
        <is>
          <t>+LS13</t>
        </is>
      </c>
      <c r="D11083" t="inlineStr">
        <is>
          <t>-569K33.7</t>
        </is>
      </c>
      <c r="E11083" t="inlineStr">
        <is>
          <t>DIL_EM-10-G</t>
        </is>
      </c>
      <c r="F11083" t="inlineStr">
        <is>
          <t>#KALK!</t>
        </is>
      </c>
      <c r="G11083" t="inlineStr">
        <is>
          <t>LASTSCHUETZ</t>
        </is>
      </c>
      <c r="H11083" t="inlineStr">
        <is>
          <t>4kW 1S</t>
        </is>
      </c>
      <c r="I11083">
        <v>881</v>
      </c>
      <c r="J11083">
        <f>GS23/569.6</f>
        <v>0</v>
      </c>
      <c r="M11083" t="inlineStr">
        <is>
          <t>-569K33.7</t>
        </is>
      </c>
    </row>
    <row r="11084">
      <c r="A11084">
        <v>11083</v>
      </c>
      <c r="B11084">
        <f>GS15</f>
        <v>0</v>
      </c>
      <c r="C11084" t="inlineStr">
        <is>
          <t>+LS11</t>
        </is>
      </c>
      <c r="D11084" t="inlineStr">
        <is>
          <t>-569K3511.3</t>
        </is>
      </c>
      <c r="E11084" t="inlineStr">
        <is>
          <t>DIL_EM-10-G</t>
        </is>
      </c>
      <c r="F11084" t="inlineStr">
        <is>
          <t>#KALK!</t>
        </is>
      </c>
      <c r="G11084" t="inlineStr">
        <is>
          <t>LASTSCHUETZ</t>
        </is>
      </c>
      <c r="H11084" t="inlineStr">
        <is>
          <t>4kW 1S</t>
        </is>
      </c>
      <c r="I11084">
        <v>1080</v>
      </c>
      <c r="J11084">
        <f>GS15/569.7</f>
        <v>0</v>
      </c>
      <c r="M11084" t="inlineStr">
        <is>
          <t>-569K3511.3</t>
        </is>
      </c>
    </row>
    <row r="11085">
      <c r="A11085">
        <v>11084</v>
      </c>
      <c r="B11085">
        <f>GS13</f>
        <v>0</v>
      </c>
      <c r="C11085" t="inlineStr">
        <is>
          <t>+LS13</t>
        </is>
      </c>
      <c r="D11085" t="inlineStr">
        <is>
          <t>-57034.0</t>
        </is>
      </c>
      <c r="E11085" t="inlineStr">
        <is>
          <t>DIL_EM-10-G</t>
        </is>
      </c>
      <c r="F11085" t="inlineStr">
        <is>
          <t>#KALK!</t>
        </is>
      </c>
      <c r="G11085" t="inlineStr">
        <is>
          <t>LASTSCHUETZ</t>
        </is>
      </c>
      <c r="H11085" t="inlineStr">
        <is>
          <t>4kW 1S</t>
        </is>
      </c>
      <c r="I11085">
        <v>829</v>
      </c>
      <c r="J11085">
        <f>GS13/570.6</f>
        <v>0</v>
      </c>
      <c r="M11085" t="inlineStr">
        <is>
          <t>-57034.0</t>
        </is>
      </c>
    </row>
    <row r="11086">
      <c r="A11086">
        <v>11085</v>
      </c>
      <c r="B11086">
        <f>GS13</f>
        <v>0</v>
      </c>
      <c r="C11086" t="inlineStr">
        <is>
          <t>+LS13</t>
        </is>
      </c>
      <c r="D11086" t="inlineStr">
        <is>
          <t>-57034.1</t>
        </is>
      </c>
      <c r="E11086" t="inlineStr">
        <is>
          <t>DIL_EM-10-G</t>
        </is>
      </c>
      <c r="F11086" t="inlineStr">
        <is>
          <t>#KALK!</t>
        </is>
      </c>
      <c r="G11086" t="inlineStr">
        <is>
          <t>LASTSCHUETZ</t>
        </is>
      </c>
      <c r="H11086" t="inlineStr">
        <is>
          <t>4kW 1S</t>
        </is>
      </c>
      <c r="I11086">
        <v>829</v>
      </c>
      <c r="J11086">
        <f>GS13/570.6</f>
        <v>0</v>
      </c>
      <c r="M11086" t="inlineStr">
        <is>
          <t>-57034.1</t>
        </is>
      </c>
    </row>
    <row r="11087">
      <c r="A11087">
        <v>11086</v>
      </c>
      <c r="B11087">
        <f>GS24</f>
        <v>0</v>
      </c>
      <c r="C11087" t="inlineStr">
        <is>
          <t>+LS12</t>
        </is>
      </c>
      <c r="D11087" t="inlineStr">
        <is>
          <t>-570K1</t>
        </is>
      </c>
      <c r="E11087" t="inlineStr">
        <is>
          <t>22_DIL-M</t>
        </is>
      </c>
      <c r="F11087" t="inlineStr">
        <is>
          <t>22_DIL-M</t>
        </is>
      </c>
      <c r="G11087" t="inlineStr">
        <is>
          <t>HILFSKONTAKTBLOCK</t>
        </is>
      </c>
      <c r="H11087" t="inlineStr">
        <is>
          <t>2S 2OE Lastschuetz DIL M</t>
        </is>
      </c>
      <c r="I11087">
        <v>526</v>
      </c>
      <c r="J11087">
        <f>GS24/570.2</f>
        <v>0</v>
      </c>
      <c r="K11087" t="inlineStr">
        <is>
          <t>DIL0AM</t>
        </is>
      </c>
      <c r="M11087" t="inlineStr">
        <is>
          <t>-570K1</t>
        </is>
      </c>
    </row>
    <row r="11088">
      <c r="A11088">
        <v>11087</v>
      </c>
      <c r="B11088">
        <f>GS24</f>
        <v>0</v>
      </c>
      <c r="C11088" t="inlineStr">
        <is>
          <t>+LS12</t>
        </is>
      </c>
      <c r="D11088" t="inlineStr">
        <is>
          <t>-570K1</t>
        </is>
      </c>
      <c r="E11088" t="inlineStr">
        <is>
          <t>DIL_0AM</t>
        </is>
      </c>
      <c r="F11088" t="inlineStr">
        <is>
          <t>22_DIL-M</t>
        </is>
      </c>
      <c r="G11088" t="inlineStr">
        <is>
          <t>LASTSCHUETZ</t>
        </is>
      </c>
      <c r="H11088" t="inlineStr">
        <is>
          <t>11 kW</t>
        </is>
      </c>
      <c r="I11088">
        <v>526</v>
      </c>
      <c r="J11088">
        <f>GS24/570.2</f>
        <v>0</v>
      </c>
      <c r="K11088" t="inlineStr">
        <is>
          <t>DIL0AM</t>
        </is>
      </c>
      <c r="M11088" t="inlineStr">
        <is>
          <t>-570K1</t>
        </is>
      </c>
    </row>
    <row r="11089">
      <c r="A11089">
        <v>11088</v>
      </c>
      <c r="B11089">
        <f>GS23</f>
        <v>0</v>
      </c>
      <c r="C11089" t="inlineStr">
        <is>
          <t>+LS13</t>
        </is>
      </c>
      <c r="D11089" t="inlineStr">
        <is>
          <t>-570K34.0</t>
        </is>
      </c>
      <c r="E11089" t="inlineStr">
        <is>
          <t>DIL_EM-10-G</t>
        </is>
      </c>
      <c r="F11089" t="inlineStr">
        <is>
          <t>#KALK!</t>
        </is>
      </c>
      <c r="G11089" t="inlineStr">
        <is>
          <t>LASTSCHUETZ</t>
        </is>
      </c>
      <c r="H11089" t="inlineStr">
        <is>
          <t>4kW 1S</t>
        </is>
      </c>
      <c r="I11089">
        <v>882</v>
      </c>
      <c r="J11089">
        <f>GS23/570.6</f>
        <v>0</v>
      </c>
      <c r="M11089" t="inlineStr">
        <is>
          <t>-570K34.0</t>
        </is>
      </c>
    </row>
    <row r="11090">
      <c r="A11090">
        <v>11089</v>
      </c>
      <c r="B11090">
        <f>GS23</f>
        <v>0</v>
      </c>
      <c r="C11090" t="inlineStr">
        <is>
          <t>+LS13</t>
        </is>
      </c>
      <c r="D11090" t="inlineStr">
        <is>
          <t>-570K34.1</t>
        </is>
      </c>
      <c r="E11090" t="inlineStr">
        <is>
          <t>DIL_EM-10-G</t>
        </is>
      </c>
      <c r="F11090" t="inlineStr">
        <is>
          <t>#KALK!</t>
        </is>
      </c>
      <c r="G11090" t="inlineStr">
        <is>
          <t>LASTSCHUETZ</t>
        </is>
      </c>
      <c r="H11090" t="inlineStr">
        <is>
          <t>4kW 1S</t>
        </is>
      </c>
      <c r="I11090">
        <v>882</v>
      </c>
      <c r="J11090">
        <f>GS23/570.6</f>
        <v>0</v>
      </c>
      <c r="M11090" t="inlineStr">
        <is>
          <t>-570K34.1</t>
        </is>
      </c>
    </row>
    <row r="11091">
      <c r="A11091">
        <v>11090</v>
      </c>
      <c r="B11091">
        <f>GS15</f>
        <v>0</v>
      </c>
      <c r="C11091" t="inlineStr">
        <is>
          <t>+LS11</t>
        </is>
      </c>
      <c r="D11091" t="inlineStr">
        <is>
          <t>-570K3511.4</t>
        </is>
      </c>
      <c r="E11091" t="inlineStr">
        <is>
          <t>DIL_EM-10-G</t>
        </is>
      </c>
      <c r="F11091" t="inlineStr">
        <is>
          <t>#KALK!</t>
        </is>
      </c>
      <c r="G11091" t="inlineStr">
        <is>
          <t>LASTSCHUETZ</t>
        </is>
      </c>
      <c r="H11091" t="inlineStr">
        <is>
          <t>4kW 1S</t>
        </is>
      </c>
      <c r="I11091">
        <v>1081</v>
      </c>
      <c r="J11091">
        <f>GS15/570.6</f>
        <v>0</v>
      </c>
      <c r="M11091" t="inlineStr">
        <is>
          <t>-570K3511.4</t>
        </is>
      </c>
    </row>
    <row r="11092">
      <c r="A11092">
        <v>11091</v>
      </c>
      <c r="B11092">
        <f>GS05</f>
        <v>0</v>
      </c>
      <c r="C11092" t="inlineStr">
        <is>
          <t>+LS09</t>
        </is>
      </c>
      <c r="D11092" t="inlineStr">
        <is>
          <t>-570Q419.1</t>
        </is>
      </c>
      <c r="E11092" t="inlineStr">
        <is>
          <t>DILM-9-10</t>
        </is>
      </c>
      <c r="F11092" t="inlineStr">
        <is>
          <t>#KALK!</t>
        </is>
      </c>
      <c r="G11092" t="inlineStr">
        <is>
          <t>LASTSCHUETZ</t>
        </is>
      </c>
      <c r="H11092" t="inlineStr">
        <is>
          <t>4kW 1S Federzugkl.</t>
        </is>
      </c>
      <c r="I11092">
        <v>2514</v>
      </c>
      <c r="J11092">
        <f>GS05/570.6</f>
        <v>0</v>
      </c>
      <c r="K11092" t="inlineStr">
        <is>
          <t>DIL MC9</t>
        </is>
      </c>
      <c r="M11092" t="inlineStr">
        <is>
          <t>-570Q419.1</t>
        </is>
      </c>
    </row>
    <row r="11093">
      <c r="A11093">
        <v>11092</v>
      </c>
      <c r="B11093">
        <f>GS13</f>
        <v>0</v>
      </c>
      <c r="C11093" t="inlineStr">
        <is>
          <t>+LS13</t>
        </is>
      </c>
      <c r="D11093" t="inlineStr">
        <is>
          <t>-57134.2</t>
        </is>
      </c>
      <c r="E11093" t="inlineStr">
        <is>
          <t>DIL_EM-10-G</t>
        </is>
      </c>
      <c r="F11093" t="inlineStr">
        <is>
          <t>#KALK!</t>
        </is>
      </c>
      <c r="G11093" t="inlineStr">
        <is>
          <t>LASTSCHUETZ</t>
        </is>
      </c>
      <c r="H11093" t="inlineStr">
        <is>
          <t>4kW 1S</t>
        </is>
      </c>
      <c r="I11093">
        <v>830</v>
      </c>
      <c r="J11093">
        <f>GS13/571.6</f>
        <v>0</v>
      </c>
      <c r="M11093" t="inlineStr">
        <is>
          <t>-57134.2</t>
        </is>
      </c>
    </row>
    <row r="11094">
      <c r="A11094">
        <v>11093</v>
      </c>
      <c r="B11094">
        <f>GS13</f>
        <v>0</v>
      </c>
      <c r="C11094" t="inlineStr">
        <is>
          <t>+LS13</t>
        </is>
      </c>
      <c r="D11094" t="inlineStr">
        <is>
          <t>-57134.3</t>
        </is>
      </c>
      <c r="E11094" t="inlineStr">
        <is>
          <t>DIL_EM-10-G</t>
        </is>
      </c>
      <c r="F11094" t="inlineStr">
        <is>
          <t>#KALK!</t>
        </is>
      </c>
      <c r="G11094" t="inlineStr">
        <is>
          <t>LASTSCHUETZ</t>
        </is>
      </c>
      <c r="H11094" t="inlineStr">
        <is>
          <t>4kW 1S</t>
        </is>
      </c>
      <c r="I11094">
        <v>830</v>
      </c>
      <c r="J11094">
        <f>GS13/571.6</f>
        <v>0</v>
      </c>
      <c r="M11094" t="inlineStr">
        <is>
          <t>-57134.3</t>
        </is>
      </c>
    </row>
    <row r="11095">
      <c r="A11095">
        <v>11094</v>
      </c>
      <c r="B11095">
        <f>GS23</f>
        <v>0</v>
      </c>
      <c r="C11095" t="inlineStr">
        <is>
          <t>+LS13</t>
        </is>
      </c>
      <c r="D11095" t="inlineStr">
        <is>
          <t>-571K34.2</t>
        </is>
      </c>
      <c r="E11095" t="inlineStr">
        <is>
          <t>DIL_EM-10-G</t>
        </is>
      </c>
      <c r="F11095" t="inlineStr">
        <is>
          <t>#KALK!</t>
        </is>
      </c>
      <c r="G11095" t="inlineStr">
        <is>
          <t>LASTSCHUETZ</t>
        </is>
      </c>
      <c r="H11095" t="inlineStr">
        <is>
          <t>4kW 1S</t>
        </is>
      </c>
      <c r="I11095">
        <v>883</v>
      </c>
      <c r="J11095">
        <f>GS23/571.6</f>
        <v>0</v>
      </c>
      <c r="M11095" t="inlineStr">
        <is>
          <t>-571K34.2</t>
        </is>
      </c>
    </row>
    <row r="11096">
      <c r="A11096">
        <v>11095</v>
      </c>
      <c r="B11096">
        <f>GS23</f>
        <v>0</v>
      </c>
      <c r="C11096" t="inlineStr">
        <is>
          <t>+LS13</t>
        </is>
      </c>
      <c r="D11096" t="inlineStr">
        <is>
          <t>-571K34.3</t>
        </is>
      </c>
      <c r="E11096" t="inlineStr">
        <is>
          <t>DIL_EM-10-G</t>
        </is>
      </c>
      <c r="F11096" t="inlineStr">
        <is>
          <t>#KALK!</t>
        </is>
      </c>
      <c r="G11096" t="inlineStr">
        <is>
          <t>LASTSCHUETZ</t>
        </is>
      </c>
      <c r="H11096" t="inlineStr">
        <is>
          <t>4kW 1S</t>
        </is>
      </c>
      <c r="I11096">
        <v>883</v>
      </c>
      <c r="J11096">
        <f>GS23/571.6</f>
        <v>0</v>
      </c>
      <c r="M11096" t="inlineStr">
        <is>
          <t>-571K34.3</t>
        </is>
      </c>
    </row>
    <row r="11097">
      <c r="A11097">
        <v>11096</v>
      </c>
      <c r="B11097">
        <f>GS15</f>
        <v>0</v>
      </c>
      <c r="C11097" t="inlineStr">
        <is>
          <t>+LS11</t>
        </is>
      </c>
      <c r="D11097" t="inlineStr">
        <is>
          <t>-571K3511.5</t>
        </is>
      </c>
      <c r="E11097" t="inlineStr">
        <is>
          <t>DIL_EM-10-G</t>
        </is>
      </c>
      <c r="F11097" t="inlineStr">
        <is>
          <t>#KALK!</t>
        </is>
      </c>
      <c r="G11097" t="inlineStr">
        <is>
          <t>LASTSCHUETZ</t>
        </is>
      </c>
      <c r="H11097" t="inlineStr">
        <is>
          <t>4kW 1S</t>
        </is>
      </c>
      <c r="I11097">
        <v>1082</v>
      </c>
      <c r="J11097">
        <f>GS15/571.6</f>
        <v>0</v>
      </c>
      <c r="M11097" t="inlineStr">
        <is>
          <t>-571K3511.5</t>
        </is>
      </c>
    </row>
    <row r="11098">
      <c r="A11098">
        <v>11097</v>
      </c>
      <c r="B11098">
        <f>GS15</f>
        <v>0</v>
      </c>
      <c r="C11098" t="inlineStr">
        <is>
          <t>+LS11</t>
        </is>
      </c>
      <c r="D11098" t="inlineStr">
        <is>
          <t>-571K3512.0</t>
        </is>
      </c>
      <c r="E11098" t="inlineStr">
        <is>
          <t>DIL_EM-10-G</t>
        </is>
      </c>
      <c r="F11098" t="inlineStr">
        <is>
          <t>#KALK!</t>
        </is>
      </c>
      <c r="G11098" t="inlineStr">
        <is>
          <t>LASTSCHUETZ</t>
        </is>
      </c>
      <c r="H11098" t="inlineStr">
        <is>
          <t>4kW 1S</t>
        </is>
      </c>
      <c r="I11098">
        <v>1082</v>
      </c>
      <c r="J11098">
        <f>GS15/571.7</f>
        <v>0</v>
      </c>
      <c r="M11098" t="inlineStr">
        <is>
          <t>-571K3512.0</t>
        </is>
      </c>
    </row>
    <row r="11099">
      <c r="A11099">
        <v>11098</v>
      </c>
      <c r="B11099">
        <f>GS06</f>
        <v>0</v>
      </c>
      <c r="C11099" t="inlineStr">
        <is>
          <t>+LS09</t>
        </is>
      </c>
      <c r="D11099" t="inlineStr">
        <is>
          <t>-571Q415.1</t>
        </is>
      </c>
      <c r="E11099" t="inlineStr">
        <is>
          <t>DILM-9-10</t>
        </is>
      </c>
      <c r="F11099" t="inlineStr">
        <is>
          <t>#KALK!</t>
        </is>
      </c>
      <c r="G11099" t="inlineStr">
        <is>
          <t>LASTSCHUETZ</t>
        </is>
      </c>
      <c r="H11099" t="inlineStr">
        <is>
          <t>4kW 1S Federzugkl.</t>
        </is>
      </c>
      <c r="I11099">
        <v>774</v>
      </c>
      <c r="J11099">
        <f>GS06/571.6</f>
        <v>0</v>
      </c>
      <c r="K11099" t="inlineStr">
        <is>
          <t>DIL MC9</t>
        </is>
      </c>
      <c r="M11099" t="inlineStr">
        <is>
          <t>-571Q415.1</t>
        </is>
      </c>
    </row>
    <row r="11100">
      <c r="A11100">
        <v>11099</v>
      </c>
      <c r="B11100">
        <f>GS35</f>
        <v>0</v>
      </c>
      <c r="C11100" t="inlineStr">
        <is>
          <t>+LS14</t>
        </is>
      </c>
      <c r="D11100" t="inlineStr">
        <is>
          <t>-571Q485.2</t>
        </is>
      </c>
      <c r="E11100" t="inlineStr">
        <is>
          <t>DILM-9-10</t>
        </is>
      </c>
      <c r="F11100" t="inlineStr">
        <is>
          <t>#KALK!</t>
        </is>
      </c>
      <c r="G11100" t="inlineStr">
        <is>
          <t>LASTSCHUETZ</t>
        </is>
      </c>
      <c r="H11100" t="inlineStr">
        <is>
          <t>4kW 1S Federzugkl.</t>
        </is>
      </c>
      <c r="I11100">
        <v>724</v>
      </c>
      <c r="J11100">
        <f>GS35/571.6</f>
        <v>0</v>
      </c>
      <c r="M11100" t="inlineStr">
        <is>
          <t>-571Q485.2</t>
        </is>
      </c>
    </row>
    <row r="11101">
      <c r="A11101">
        <v>11100</v>
      </c>
      <c r="B11101">
        <f>GS13</f>
        <v>0</v>
      </c>
      <c r="C11101" t="inlineStr">
        <is>
          <t>+LS13</t>
        </is>
      </c>
      <c r="D11101" t="inlineStr">
        <is>
          <t>-57234.4</t>
        </is>
      </c>
      <c r="E11101" t="inlineStr">
        <is>
          <t>DIL_EM-10-G</t>
        </is>
      </c>
      <c r="F11101" t="inlineStr">
        <is>
          <t>#KALK!</t>
        </is>
      </c>
      <c r="G11101" t="inlineStr">
        <is>
          <t>LASTSCHUETZ</t>
        </is>
      </c>
      <c r="H11101" t="inlineStr">
        <is>
          <t>4kW 1S</t>
        </is>
      </c>
      <c r="I11101">
        <v>831</v>
      </c>
      <c r="J11101">
        <f>GS13/572.6</f>
        <v>0</v>
      </c>
      <c r="M11101" t="inlineStr">
        <is>
          <t>-57234.4</t>
        </is>
      </c>
    </row>
    <row r="11102">
      <c r="A11102">
        <v>11101</v>
      </c>
      <c r="B11102">
        <f>GS23</f>
        <v>0</v>
      </c>
      <c r="C11102" t="inlineStr">
        <is>
          <t>+LS13</t>
        </is>
      </c>
      <c r="D11102" t="inlineStr">
        <is>
          <t>-572K34.4</t>
        </is>
      </c>
      <c r="E11102" t="inlineStr">
        <is>
          <t>DIL_EM-10-G</t>
        </is>
      </c>
      <c r="F11102" t="inlineStr">
        <is>
          <t>#KALK!</t>
        </is>
      </c>
      <c r="G11102" t="inlineStr">
        <is>
          <t>LASTSCHUETZ</t>
        </is>
      </c>
      <c r="H11102" t="inlineStr">
        <is>
          <t>4kW 1S</t>
        </is>
      </c>
      <c r="I11102">
        <v>884</v>
      </c>
      <c r="J11102">
        <f>GS23/572.6</f>
        <v>0</v>
      </c>
      <c r="M11102" t="inlineStr">
        <is>
          <t>-572K34.4</t>
        </is>
      </c>
    </row>
    <row r="11103">
      <c r="A11103">
        <v>11102</v>
      </c>
      <c r="B11103">
        <f>GS16</f>
        <v>0</v>
      </c>
      <c r="C11103" t="inlineStr">
        <is>
          <t>+LS10</t>
        </is>
      </c>
      <c r="D11103" t="inlineStr">
        <is>
          <t>-572K3502.3</t>
        </is>
      </c>
      <c r="E11103" t="inlineStr">
        <is>
          <t>DIL_EM-10-G</t>
        </is>
      </c>
      <c r="F11103" t="inlineStr">
        <is>
          <t>#KALK!</t>
        </is>
      </c>
      <c r="G11103" t="inlineStr">
        <is>
          <t>LASTSCHUETZ</t>
        </is>
      </c>
      <c r="H11103" t="inlineStr">
        <is>
          <t>4kW 1S</t>
        </is>
      </c>
      <c r="I11103">
        <v>817</v>
      </c>
      <c r="J11103">
        <f>GS16/572.7</f>
        <v>0</v>
      </c>
      <c r="M11103" t="inlineStr">
        <is>
          <t>-572K3502.3</t>
        </is>
      </c>
    </row>
    <row r="11104">
      <c r="A11104">
        <v>11103</v>
      </c>
      <c r="B11104">
        <f>GS15</f>
        <v>0</v>
      </c>
      <c r="C11104" t="inlineStr">
        <is>
          <t>+LS11</t>
        </is>
      </c>
      <c r="D11104" t="inlineStr">
        <is>
          <t>-572K3512.6</t>
        </is>
      </c>
      <c r="E11104" t="inlineStr">
        <is>
          <t>DIL_EM-10-G</t>
        </is>
      </c>
      <c r="F11104" t="inlineStr">
        <is>
          <t>#KALK!</t>
        </is>
      </c>
      <c r="G11104" t="inlineStr">
        <is>
          <t>LASTSCHUETZ</t>
        </is>
      </c>
      <c r="H11104" t="inlineStr">
        <is>
          <t>4kW 1S</t>
        </is>
      </c>
      <c r="I11104">
        <v>1083</v>
      </c>
      <c r="J11104">
        <f>GS15/572.7</f>
        <v>0</v>
      </c>
      <c r="M11104" t="inlineStr">
        <is>
          <t>-572K3512.6</t>
        </is>
      </c>
    </row>
    <row r="11105">
      <c r="A11105">
        <v>11104</v>
      </c>
      <c r="B11105">
        <f>GS24</f>
        <v>0</v>
      </c>
      <c r="C11105" t="inlineStr">
        <is>
          <t>+LS12</t>
        </is>
      </c>
      <c r="D11105" t="inlineStr">
        <is>
          <t>-572K3530.0</t>
        </is>
      </c>
      <c r="E11105" t="inlineStr">
        <is>
          <t>DIL_EM-10-G</t>
        </is>
      </c>
      <c r="F11105" t="inlineStr">
        <is>
          <t>#KALK!</t>
        </is>
      </c>
      <c r="G11105" t="inlineStr">
        <is>
          <t>LASTSCHUETZ</t>
        </is>
      </c>
      <c r="H11105" t="inlineStr">
        <is>
          <t>4kW 1S</t>
        </is>
      </c>
      <c r="I11105">
        <v>524</v>
      </c>
      <c r="J11105">
        <f>GS24/572.6</f>
        <v>0</v>
      </c>
      <c r="M11105" t="inlineStr">
        <is>
          <t>-572K3530.0</t>
        </is>
      </c>
    </row>
    <row r="11106">
      <c r="A11106">
        <v>11105</v>
      </c>
      <c r="B11106">
        <f>GS24</f>
        <v>0</v>
      </c>
      <c r="C11106" t="inlineStr">
        <is>
          <t>+LS12</t>
        </is>
      </c>
      <c r="D11106" t="inlineStr">
        <is>
          <t>-572K3530.1</t>
        </is>
      </c>
      <c r="E11106" t="inlineStr">
        <is>
          <t>DIL_EM-10-G</t>
        </is>
      </c>
      <c r="F11106" t="inlineStr">
        <is>
          <t>#KALK!</t>
        </is>
      </c>
      <c r="G11106" t="inlineStr">
        <is>
          <t>LASTSCHUETZ</t>
        </is>
      </c>
      <c r="H11106" t="inlineStr">
        <is>
          <t>4kW 1S</t>
        </is>
      </c>
      <c r="I11106">
        <v>524</v>
      </c>
      <c r="J11106">
        <f>GS24/572.7</f>
        <v>0</v>
      </c>
      <c r="M11106" t="inlineStr">
        <is>
          <t>-572K3530.1</t>
        </is>
      </c>
    </row>
    <row r="11107">
      <c r="A11107">
        <v>11106</v>
      </c>
      <c r="B11107">
        <f>GS92</f>
        <v>0</v>
      </c>
      <c r="C11107" t="inlineStr">
        <is>
          <t>+LS10</t>
        </is>
      </c>
      <c r="D11107" t="inlineStr">
        <is>
          <t>-572Q474.2</t>
        </is>
      </c>
      <c r="E11107" t="inlineStr">
        <is>
          <t>DILM-9-10</t>
        </is>
      </c>
      <c r="F11107" t="inlineStr">
        <is>
          <t>#KALK!</t>
        </is>
      </c>
      <c r="G11107" t="inlineStr">
        <is>
          <t>LASTSCHUETZ</t>
        </is>
      </c>
      <c r="H11107" t="inlineStr">
        <is>
          <t>4kW 1S Federzugkl.</t>
        </is>
      </c>
      <c r="I11107">
        <v>712</v>
      </c>
      <c r="J11107">
        <f>GS92/572.5</f>
        <v>0</v>
      </c>
      <c r="M11107" t="inlineStr">
        <is>
          <t>-572Q474.2</t>
        </is>
      </c>
    </row>
    <row r="11108">
      <c r="A11108">
        <v>11107</v>
      </c>
      <c r="B11108">
        <f>GS35</f>
        <v>0</v>
      </c>
      <c r="C11108" t="inlineStr">
        <is>
          <t>+LS14</t>
        </is>
      </c>
      <c r="D11108" t="inlineStr">
        <is>
          <t>-572Q485.4</t>
        </is>
      </c>
      <c r="E11108" t="inlineStr">
        <is>
          <t>DILM-9-10</t>
        </is>
      </c>
      <c r="F11108" t="inlineStr">
        <is>
          <t>#KALK!</t>
        </is>
      </c>
      <c r="G11108" t="inlineStr">
        <is>
          <t>LASTSCHUETZ</t>
        </is>
      </c>
      <c r="H11108" t="inlineStr">
        <is>
          <t>4kW 1S Federzugkl.</t>
        </is>
      </c>
      <c r="I11108">
        <v>725</v>
      </c>
      <c r="J11108">
        <f>GS35/572.6</f>
        <v>0</v>
      </c>
      <c r="M11108" t="inlineStr">
        <is>
          <t>-572Q485.4</t>
        </is>
      </c>
    </row>
    <row r="11109">
      <c r="A11109">
        <v>11108</v>
      </c>
      <c r="B11109">
        <f>GS13</f>
        <v>0</v>
      </c>
      <c r="C11109" t="inlineStr">
        <is>
          <t>+LS13</t>
        </is>
      </c>
      <c r="D11109" t="inlineStr">
        <is>
          <t>-57334.6</t>
        </is>
      </c>
      <c r="E11109" t="inlineStr">
        <is>
          <t>DIL_EM-10-G</t>
        </is>
      </c>
      <c r="F11109" t="inlineStr">
        <is>
          <t>#KALK!</t>
        </is>
      </c>
      <c r="G11109" t="inlineStr">
        <is>
          <t>LASTSCHUETZ</t>
        </is>
      </c>
      <c r="H11109" t="inlineStr">
        <is>
          <t>4kW 1S</t>
        </is>
      </c>
      <c r="I11109">
        <v>832</v>
      </c>
      <c r="J11109">
        <f>GS13/573.6</f>
        <v>0</v>
      </c>
      <c r="M11109" t="inlineStr">
        <is>
          <t>-57334.6</t>
        </is>
      </c>
    </row>
    <row r="11110">
      <c r="A11110">
        <v>11109</v>
      </c>
      <c r="B11110">
        <f>GS13</f>
        <v>0</v>
      </c>
      <c r="C11110" t="inlineStr">
        <is>
          <t>+LS13</t>
        </is>
      </c>
      <c r="D11110" t="inlineStr">
        <is>
          <t>-57334.7</t>
        </is>
      </c>
      <c r="E11110" t="inlineStr">
        <is>
          <t>DIL_EM-10-G</t>
        </is>
      </c>
      <c r="F11110" t="inlineStr">
        <is>
          <t>#KALK!</t>
        </is>
      </c>
      <c r="G11110" t="inlineStr">
        <is>
          <t>LASTSCHUETZ</t>
        </is>
      </c>
      <c r="H11110" t="inlineStr">
        <is>
          <t>4kW 1S</t>
        </is>
      </c>
      <c r="I11110">
        <v>832</v>
      </c>
      <c r="J11110">
        <f>GS13/573.7</f>
        <v>0</v>
      </c>
      <c r="M11110" t="inlineStr">
        <is>
          <t>-57334.7</t>
        </is>
      </c>
    </row>
    <row r="11111">
      <c r="A11111">
        <v>11110</v>
      </c>
      <c r="B11111">
        <f>GS23</f>
        <v>0</v>
      </c>
      <c r="C11111" t="inlineStr">
        <is>
          <t>+LS13</t>
        </is>
      </c>
      <c r="D11111" t="inlineStr">
        <is>
          <t>-573K34.6</t>
        </is>
      </c>
      <c r="E11111" t="inlineStr">
        <is>
          <t>DIL_EM-10-G</t>
        </is>
      </c>
      <c r="F11111" t="inlineStr">
        <is>
          <t>#KALK!</t>
        </is>
      </c>
      <c r="G11111" t="inlineStr">
        <is>
          <t>LASTSCHUETZ</t>
        </is>
      </c>
      <c r="H11111" t="inlineStr">
        <is>
          <t>4kW 1S</t>
        </is>
      </c>
      <c r="I11111">
        <v>885</v>
      </c>
      <c r="J11111">
        <f>GS23/573.6</f>
        <v>0</v>
      </c>
      <c r="M11111" t="inlineStr">
        <is>
          <t>-573K34.6</t>
        </is>
      </c>
    </row>
    <row r="11112">
      <c r="A11112">
        <v>11111</v>
      </c>
      <c r="B11112">
        <f>GS23</f>
        <v>0</v>
      </c>
      <c r="C11112" t="inlineStr">
        <is>
          <t>+LS13</t>
        </is>
      </c>
      <c r="D11112" t="inlineStr">
        <is>
          <t>-573K34.7</t>
        </is>
      </c>
      <c r="E11112" t="inlineStr">
        <is>
          <t>DIL_EM-10-G</t>
        </is>
      </c>
      <c r="F11112" t="inlineStr">
        <is>
          <t>#KALK!</t>
        </is>
      </c>
      <c r="G11112" t="inlineStr">
        <is>
          <t>LASTSCHUETZ</t>
        </is>
      </c>
      <c r="H11112" t="inlineStr">
        <is>
          <t>4kW 1S</t>
        </is>
      </c>
      <c r="I11112">
        <v>885</v>
      </c>
      <c r="J11112">
        <f>GS23/573.7</f>
        <v>0</v>
      </c>
      <c r="M11112" t="inlineStr">
        <is>
          <t>-573K34.7</t>
        </is>
      </c>
    </row>
    <row r="11113">
      <c r="A11113">
        <v>11112</v>
      </c>
      <c r="B11113">
        <f>GS16</f>
        <v>0</v>
      </c>
      <c r="C11113" t="inlineStr">
        <is>
          <t>+LS10</t>
        </is>
      </c>
      <c r="D11113" t="inlineStr">
        <is>
          <t>-573K3503.3</t>
        </is>
      </c>
      <c r="E11113" t="inlineStr">
        <is>
          <t>DIL_EM-10-G</t>
        </is>
      </c>
      <c r="F11113" t="inlineStr">
        <is>
          <t>#KALK!</t>
        </is>
      </c>
      <c r="G11113" t="inlineStr">
        <is>
          <t>LASTSCHUETZ</t>
        </is>
      </c>
      <c r="H11113" t="inlineStr">
        <is>
          <t>4kW 1S</t>
        </is>
      </c>
      <c r="I11113">
        <v>818</v>
      </c>
      <c r="J11113">
        <f>GS16/573.7</f>
        <v>0</v>
      </c>
      <c r="M11113" t="inlineStr">
        <is>
          <t>-573K3503.3</t>
        </is>
      </c>
    </row>
    <row r="11114">
      <c r="A11114">
        <v>11113</v>
      </c>
      <c r="B11114">
        <f>GS15</f>
        <v>0</v>
      </c>
      <c r="C11114" t="inlineStr">
        <is>
          <t>+LS11</t>
        </is>
      </c>
      <c r="D11114" t="inlineStr">
        <is>
          <t>-573K3512.7</t>
        </is>
      </c>
      <c r="E11114" t="inlineStr">
        <is>
          <t>DIL_EM-10-G</t>
        </is>
      </c>
      <c r="F11114" t="inlineStr">
        <is>
          <t>#KALK!</t>
        </is>
      </c>
      <c r="G11114" t="inlineStr">
        <is>
          <t>LASTSCHUETZ</t>
        </is>
      </c>
      <c r="H11114" t="inlineStr">
        <is>
          <t>4kW 1S</t>
        </is>
      </c>
      <c r="I11114">
        <v>1084</v>
      </c>
      <c r="J11114">
        <f>GS15/573.6</f>
        <v>0</v>
      </c>
      <c r="M11114" t="inlineStr">
        <is>
          <t>-573K3512.7</t>
        </is>
      </c>
    </row>
    <row r="11115">
      <c r="A11115">
        <v>11114</v>
      </c>
      <c r="B11115">
        <f>GS24</f>
        <v>0</v>
      </c>
      <c r="C11115" t="inlineStr">
        <is>
          <t>+LS12</t>
        </is>
      </c>
      <c r="D11115" t="inlineStr">
        <is>
          <t>-573K3530.2</t>
        </is>
      </c>
      <c r="E11115" t="inlineStr">
        <is>
          <t>DIL_EM-10-G</t>
        </is>
      </c>
      <c r="F11115" t="inlineStr">
        <is>
          <t>#KALK!</t>
        </is>
      </c>
      <c r="G11115" t="inlineStr">
        <is>
          <t>LASTSCHUETZ</t>
        </is>
      </c>
      <c r="H11115" t="inlineStr">
        <is>
          <t>4kW 1S</t>
        </is>
      </c>
      <c r="I11115">
        <v>523</v>
      </c>
      <c r="J11115">
        <f>GS24/573.6</f>
        <v>0</v>
      </c>
      <c r="M11115" t="inlineStr">
        <is>
          <t>-573K3530.2</t>
        </is>
      </c>
    </row>
    <row r="11116">
      <c r="A11116">
        <v>11115</v>
      </c>
      <c r="B11116">
        <f>GS24</f>
        <v>0</v>
      </c>
      <c r="C11116" t="inlineStr">
        <is>
          <t>+LS12</t>
        </is>
      </c>
      <c r="D11116" t="inlineStr">
        <is>
          <t>-573K3530.3</t>
        </is>
      </c>
      <c r="E11116" t="inlineStr">
        <is>
          <t>DIL_EM-10-G</t>
        </is>
      </c>
      <c r="F11116" t="inlineStr">
        <is>
          <t>#KALK!</t>
        </is>
      </c>
      <c r="G11116" t="inlineStr">
        <is>
          <t>LASTSCHUETZ</t>
        </is>
      </c>
      <c r="H11116" t="inlineStr">
        <is>
          <t>4kW 1S</t>
        </is>
      </c>
      <c r="I11116">
        <v>523</v>
      </c>
      <c r="J11116">
        <f>GS24/573.7</f>
        <v>0</v>
      </c>
      <c r="M11116" t="inlineStr">
        <is>
          <t>-573K3530.3</t>
        </is>
      </c>
    </row>
    <row r="11117">
      <c r="A11117">
        <v>11116</v>
      </c>
      <c r="B11117">
        <f>GS05</f>
        <v>0</v>
      </c>
      <c r="C11117" t="inlineStr">
        <is>
          <t>+LS09</t>
        </is>
      </c>
      <c r="D11117" t="inlineStr">
        <is>
          <t>-573Q419.2</t>
        </is>
      </c>
      <c r="E11117" t="inlineStr">
        <is>
          <t>DILM-9-10</t>
        </is>
      </c>
      <c r="F11117" t="inlineStr">
        <is>
          <t>#KALK!</t>
        </is>
      </c>
      <c r="G11117" t="inlineStr">
        <is>
          <t>LASTSCHUETZ</t>
        </is>
      </c>
      <c r="H11117" t="inlineStr">
        <is>
          <t>4kW 1S Federzugkl.</t>
        </is>
      </c>
      <c r="I11117">
        <v>2517</v>
      </c>
      <c r="J11117">
        <f>GS05/573.6</f>
        <v>0</v>
      </c>
      <c r="K11117" t="inlineStr">
        <is>
          <t>DIL MC9</t>
        </is>
      </c>
      <c r="M11117" t="inlineStr">
        <is>
          <t>-573Q419.2</t>
        </is>
      </c>
    </row>
    <row r="11118">
      <c r="A11118">
        <v>11117</v>
      </c>
      <c r="B11118">
        <f>GS92</f>
        <v>0</v>
      </c>
      <c r="C11118" t="inlineStr">
        <is>
          <t>+LS10</t>
        </is>
      </c>
      <c r="D11118" t="inlineStr">
        <is>
          <t>-573Q474.3</t>
        </is>
      </c>
      <c r="E11118" t="inlineStr">
        <is>
          <t>DILM-9-10</t>
        </is>
      </c>
      <c r="F11118" t="inlineStr">
        <is>
          <t>#KALK!</t>
        </is>
      </c>
      <c r="G11118" t="inlineStr">
        <is>
          <t>LASTSCHUETZ</t>
        </is>
      </c>
      <c r="H11118" t="inlineStr">
        <is>
          <t>4kW 1S Federzugkl.</t>
        </is>
      </c>
      <c r="I11118">
        <v>713</v>
      </c>
      <c r="J11118">
        <f>GS92/573.5</f>
        <v>0</v>
      </c>
      <c r="M11118" t="inlineStr">
        <is>
          <t>-573Q474.3</t>
        </is>
      </c>
    </row>
    <row r="11119">
      <c r="A11119">
        <v>11118</v>
      </c>
      <c r="B11119">
        <f>GS13</f>
        <v>0</v>
      </c>
      <c r="C11119" t="inlineStr">
        <is>
          <t>+LS13</t>
        </is>
      </c>
      <c r="D11119" t="inlineStr">
        <is>
          <t>-57435.0</t>
        </is>
      </c>
      <c r="E11119" t="inlineStr">
        <is>
          <t>DIL_EM-10-G</t>
        </is>
      </c>
      <c r="F11119" t="inlineStr">
        <is>
          <t>#KALK!</t>
        </is>
      </c>
      <c r="G11119" t="inlineStr">
        <is>
          <t>LASTSCHUETZ</t>
        </is>
      </c>
      <c r="H11119" t="inlineStr">
        <is>
          <t>4kW 1S</t>
        </is>
      </c>
      <c r="I11119">
        <v>833</v>
      </c>
      <c r="J11119">
        <f>GS13/574.6</f>
        <v>0</v>
      </c>
      <c r="M11119" t="inlineStr">
        <is>
          <t>-57435.0</t>
        </is>
      </c>
    </row>
    <row r="11120">
      <c r="A11120">
        <v>11119</v>
      </c>
      <c r="B11120">
        <f>GS13</f>
        <v>0</v>
      </c>
      <c r="C11120" t="inlineStr">
        <is>
          <t>+LS13</t>
        </is>
      </c>
      <c r="D11120" t="inlineStr">
        <is>
          <t>-57435.1</t>
        </is>
      </c>
      <c r="E11120" t="inlineStr">
        <is>
          <t>DIL_EM-10-G</t>
        </is>
      </c>
      <c r="F11120" t="inlineStr">
        <is>
          <t>#KALK!</t>
        </is>
      </c>
      <c r="G11120" t="inlineStr">
        <is>
          <t>LASTSCHUETZ</t>
        </is>
      </c>
      <c r="H11120" t="inlineStr">
        <is>
          <t>4kW 1S</t>
        </is>
      </c>
      <c r="I11120">
        <v>833</v>
      </c>
      <c r="J11120">
        <f>GS13/574.6</f>
        <v>0</v>
      </c>
      <c r="M11120" t="inlineStr">
        <is>
          <t>-57435.1</t>
        </is>
      </c>
    </row>
    <row r="11121">
      <c r="A11121">
        <v>11120</v>
      </c>
      <c r="B11121">
        <f>GS14</f>
        <v>0</v>
      </c>
      <c r="C11121" t="inlineStr">
        <is>
          <t>+LS11</t>
        </is>
      </c>
      <c r="D11121" t="inlineStr">
        <is>
          <t>-574K1</t>
        </is>
      </c>
      <c r="E11121" t="inlineStr">
        <is>
          <t>DIL_0AM</t>
        </is>
      </c>
      <c r="F11121" t="inlineStr">
        <is>
          <t>22_DIL-M</t>
        </is>
      </c>
      <c r="G11121" t="inlineStr">
        <is>
          <t>LASTSCHUETZ</t>
        </is>
      </c>
      <c r="H11121" t="inlineStr">
        <is>
          <t>11 kW</t>
        </is>
      </c>
      <c r="I11121">
        <v>706</v>
      </c>
      <c r="J11121">
        <f>GS14/574.2</f>
        <v>0</v>
      </c>
      <c r="K11121" t="inlineStr">
        <is>
          <t>DIL0AM</t>
        </is>
      </c>
      <c r="M11121" t="inlineStr">
        <is>
          <t>-574K1</t>
        </is>
      </c>
    </row>
    <row r="11122">
      <c r="A11122">
        <v>11121</v>
      </c>
      <c r="B11122">
        <f>GS14</f>
        <v>0</v>
      </c>
      <c r="C11122" t="inlineStr">
        <is>
          <t>+LS11</t>
        </is>
      </c>
      <c r="D11122" t="inlineStr">
        <is>
          <t>-574K1</t>
        </is>
      </c>
      <c r="E11122" t="inlineStr">
        <is>
          <t>22_DIL-M</t>
        </is>
      </c>
      <c r="F11122" t="inlineStr">
        <is>
          <t>22_DIL-M</t>
        </is>
      </c>
      <c r="G11122" t="inlineStr">
        <is>
          <t>HILFSKONTAKTBLOCK</t>
        </is>
      </c>
      <c r="H11122" t="inlineStr">
        <is>
          <t>2S 2OE Lastschuetz DIL M</t>
        </is>
      </c>
      <c r="I11122">
        <v>706</v>
      </c>
      <c r="J11122">
        <f>GS14/574.2</f>
        <v>0</v>
      </c>
      <c r="K11122" t="inlineStr">
        <is>
          <t>DIL0AM</t>
        </is>
      </c>
      <c r="M11122" t="inlineStr">
        <is>
          <t>-574K1</t>
        </is>
      </c>
    </row>
    <row r="11123">
      <c r="A11123">
        <v>11122</v>
      </c>
      <c r="B11123">
        <f>GS25</f>
        <v>0</v>
      </c>
      <c r="C11123" t="inlineStr">
        <is>
          <t>+LS13</t>
        </is>
      </c>
      <c r="D11123" t="inlineStr">
        <is>
          <t>-574K1</t>
        </is>
      </c>
      <c r="E11123" t="inlineStr">
        <is>
          <t>DIL_0AM</t>
        </is>
      </c>
      <c r="F11123" t="inlineStr">
        <is>
          <t>22_DIL-M</t>
        </is>
      </c>
      <c r="G11123" t="inlineStr">
        <is>
          <t>LASTSCHUETZ</t>
        </is>
      </c>
      <c r="H11123" t="inlineStr">
        <is>
          <t>11 kW</t>
        </is>
      </c>
      <c r="I11123">
        <v>701</v>
      </c>
      <c r="J11123">
        <f>GS25/574.2</f>
        <v>0</v>
      </c>
      <c r="K11123" t="inlineStr">
        <is>
          <t>DIL0AM</t>
        </is>
      </c>
      <c r="M11123" t="inlineStr">
        <is>
          <t>-574K1</t>
        </is>
      </c>
    </row>
    <row r="11124">
      <c r="A11124">
        <v>11123</v>
      </c>
      <c r="B11124">
        <f>GS25</f>
        <v>0</v>
      </c>
      <c r="C11124" t="inlineStr">
        <is>
          <t>+LS13</t>
        </is>
      </c>
      <c r="D11124" t="inlineStr">
        <is>
          <t>-574K1</t>
        </is>
      </c>
      <c r="E11124" t="inlineStr">
        <is>
          <t>22_DIL-M</t>
        </is>
      </c>
      <c r="F11124" t="inlineStr">
        <is>
          <t>22_DIL-M</t>
        </is>
      </c>
      <c r="G11124" t="inlineStr">
        <is>
          <t>HILFSKONTAKTBLOCK</t>
        </is>
      </c>
      <c r="H11124" t="inlineStr">
        <is>
          <t>2S 2OE Lastschuetz DIL M</t>
        </is>
      </c>
      <c r="I11124">
        <v>701</v>
      </c>
      <c r="J11124">
        <f>GS25/574.2</f>
        <v>0</v>
      </c>
      <c r="K11124" t="inlineStr">
        <is>
          <t>DIL0AM</t>
        </is>
      </c>
      <c r="M11124" t="inlineStr">
        <is>
          <t>-574K1</t>
        </is>
      </c>
    </row>
    <row r="11125">
      <c r="A11125">
        <v>11124</v>
      </c>
      <c r="B11125">
        <f>GS23</f>
        <v>0</v>
      </c>
      <c r="C11125" t="inlineStr">
        <is>
          <t>+LS13</t>
        </is>
      </c>
      <c r="D11125" t="inlineStr">
        <is>
          <t>-574K35.0</t>
        </is>
      </c>
      <c r="E11125" t="inlineStr">
        <is>
          <t>DIL_EM-10-G</t>
        </is>
      </c>
      <c r="F11125" t="inlineStr">
        <is>
          <t>#KALK!</t>
        </is>
      </c>
      <c r="G11125" t="inlineStr">
        <is>
          <t>LASTSCHUETZ</t>
        </is>
      </c>
      <c r="H11125" t="inlineStr">
        <is>
          <t>4kW 1S</t>
        </is>
      </c>
      <c r="I11125">
        <v>886</v>
      </c>
      <c r="J11125">
        <f>GS23/574.6</f>
        <v>0</v>
      </c>
      <c r="M11125" t="inlineStr">
        <is>
          <t>-574K35.0</t>
        </is>
      </c>
    </row>
    <row r="11126">
      <c r="A11126">
        <v>11125</v>
      </c>
      <c r="B11126">
        <f>GS23</f>
        <v>0</v>
      </c>
      <c r="C11126" t="inlineStr">
        <is>
          <t>+LS13</t>
        </is>
      </c>
      <c r="D11126" t="inlineStr">
        <is>
          <t>-574K35.1</t>
        </is>
      </c>
      <c r="E11126" t="inlineStr">
        <is>
          <t>DIL_EM-10-G</t>
        </is>
      </c>
      <c r="F11126" t="inlineStr">
        <is>
          <t>#KALK!</t>
        </is>
      </c>
      <c r="G11126" t="inlineStr">
        <is>
          <t>LASTSCHUETZ</t>
        </is>
      </c>
      <c r="H11126" t="inlineStr">
        <is>
          <t>4kW 1S</t>
        </is>
      </c>
      <c r="I11126">
        <v>886</v>
      </c>
      <c r="J11126">
        <f>GS23/574.6</f>
        <v>0</v>
      </c>
      <c r="M11126" t="inlineStr">
        <is>
          <t>-574K35.1</t>
        </is>
      </c>
    </row>
    <row r="11127">
      <c r="A11127">
        <v>11126</v>
      </c>
      <c r="B11127">
        <f>GS16</f>
        <v>0</v>
      </c>
      <c r="C11127" t="inlineStr">
        <is>
          <t>+LS10</t>
        </is>
      </c>
      <c r="D11127" t="inlineStr">
        <is>
          <t>-574K3504.3</t>
        </is>
      </c>
      <c r="E11127" t="inlineStr">
        <is>
          <t>DIL_EM-10-G</t>
        </is>
      </c>
      <c r="F11127" t="inlineStr">
        <is>
          <t>#KALK!</t>
        </is>
      </c>
      <c r="G11127" t="inlineStr">
        <is>
          <t>LASTSCHUETZ</t>
        </is>
      </c>
      <c r="H11127" t="inlineStr">
        <is>
          <t>4kW 1S</t>
        </is>
      </c>
      <c r="I11127">
        <v>819</v>
      </c>
      <c r="J11127">
        <f>GS16/574.7</f>
        <v>0</v>
      </c>
      <c r="M11127" t="inlineStr">
        <is>
          <t>-574K3504.3</t>
        </is>
      </c>
    </row>
    <row r="11128">
      <c r="A11128">
        <v>11127</v>
      </c>
      <c r="B11128">
        <f>GS15</f>
        <v>0</v>
      </c>
      <c r="C11128" t="inlineStr">
        <is>
          <t>+LS11</t>
        </is>
      </c>
      <c r="D11128" t="inlineStr">
        <is>
          <t>-574K3513.3</t>
        </is>
      </c>
      <c r="E11128" t="inlineStr">
        <is>
          <t>DIL_EM-10-G</t>
        </is>
      </c>
      <c r="F11128" t="inlineStr">
        <is>
          <t>#KALK!</t>
        </is>
      </c>
      <c r="G11128" t="inlineStr">
        <is>
          <t>LASTSCHUETZ</t>
        </is>
      </c>
      <c r="H11128" t="inlineStr">
        <is>
          <t>4kW 1S</t>
        </is>
      </c>
      <c r="I11128">
        <v>1085</v>
      </c>
      <c r="J11128">
        <f>GS15/574.7</f>
        <v>0</v>
      </c>
      <c r="M11128" t="inlineStr">
        <is>
          <t>-574K3513.3</t>
        </is>
      </c>
    </row>
    <row r="11129">
      <c r="A11129">
        <v>11128</v>
      </c>
      <c r="B11129">
        <f>GS24</f>
        <v>0</v>
      </c>
      <c r="C11129" t="inlineStr">
        <is>
          <t>+LS12</t>
        </is>
      </c>
      <c r="D11129" t="inlineStr">
        <is>
          <t>-574K3530.4</t>
        </is>
      </c>
      <c r="E11129" t="inlineStr">
        <is>
          <t>DIL_EM-10-G</t>
        </is>
      </c>
      <c r="F11129" t="inlineStr">
        <is>
          <t>#KALK!</t>
        </is>
      </c>
      <c r="G11129" t="inlineStr">
        <is>
          <t>LASTSCHUETZ</t>
        </is>
      </c>
      <c r="H11129" t="inlineStr">
        <is>
          <t>4kW 1S</t>
        </is>
      </c>
      <c r="I11129">
        <v>522</v>
      </c>
      <c r="J11129">
        <f>GS24/574.6</f>
        <v>0</v>
      </c>
      <c r="M11129" t="inlineStr">
        <is>
          <t>-574K3530.4</t>
        </is>
      </c>
    </row>
    <row r="11130">
      <c r="A11130">
        <v>11129</v>
      </c>
      <c r="B11130">
        <f>GS24</f>
        <v>0</v>
      </c>
      <c r="C11130" t="inlineStr">
        <is>
          <t>+LS12</t>
        </is>
      </c>
      <c r="D11130" t="inlineStr">
        <is>
          <t>-574K3530.5</t>
        </is>
      </c>
      <c r="E11130" t="inlineStr">
        <is>
          <t>DIL_EM-10-G</t>
        </is>
      </c>
      <c r="F11130" t="inlineStr">
        <is>
          <t>#KALK!</t>
        </is>
      </c>
      <c r="G11130" t="inlineStr">
        <is>
          <t>LASTSCHUETZ</t>
        </is>
      </c>
      <c r="H11130" t="inlineStr">
        <is>
          <t>4kW 1S</t>
        </is>
      </c>
      <c r="I11130">
        <v>522</v>
      </c>
      <c r="J11130">
        <f>GS24/574.7</f>
        <v>0</v>
      </c>
      <c r="M11130" t="inlineStr">
        <is>
          <t>-574K3530.5</t>
        </is>
      </c>
    </row>
    <row r="11131">
      <c r="A11131">
        <v>11130</v>
      </c>
      <c r="B11131">
        <f>GS01</f>
        <v>0</v>
      </c>
      <c r="C11131" t="inlineStr">
        <is>
          <t>+LS13</t>
        </is>
      </c>
      <c r="D11131" t="inlineStr">
        <is>
          <t>-575K1</t>
        </is>
      </c>
      <c r="E11131" t="inlineStr">
        <is>
          <t>DIL_2AM</t>
        </is>
      </c>
      <c r="F11131" t="inlineStr">
        <is>
          <t>22_DIL-M</t>
        </is>
      </c>
      <c r="G11131" t="inlineStr">
        <is>
          <t>LASTSCHUETZ</t>
        </is>
      </c>
      <c r="H11131" t="inlineStr">
        <is>
          <t>30 kW</t>
        </is>
      </c>
      <c r="I11131">
        <v>744</v>
      </c>
      <c r="J11131">
        <f>GS01/575.2</f>
        <v>0</v>
      </c>
      <c r="K11131" t="inlineStr">
        <is>
          <t>DIL2AM</t>
        </is>
      </c>
      <c r="M11131" t="inlineStr">
        <is>
          <t>-575K1</t>
        </is>
      </c>
    </row>
    <row r="11132">
      <c r="A11132">
        <v>11131</v>
      </c>
      <c r="B11132">
        <f>GS01</f>
        <v>0</v>
      </c>
      <c r="C11132" t="inlineStr">
        <is>
          <t>+LS13</t>
        </is>
      </c>
      <c r="D11132" t="inlineStr">
        <is>
          <t>-575K1</t>
        </is>
      </c>
      <c r="E11132" t="inlineStr">
        <is>
          <t>22_DIL-M</t>
        </is>
      </c>
      <c r="F11132" t="inlineStr">
        <is>
          <t>22_DIL-M</t>
        </is>
      </c>
      <c r="G11132" t="inlineStr">
        <is>
          <t>HILFSKONTAKTBLOCK</t>
        </is>
      </c>
      <c r="H11132" t="inlineStr">
        <is>
          <t>2S 2OE Lastschuetz DIL M</t>
        </is>
      </c>
      <c r="I11132">
        <v>744</v>
      </c>
      <c r="J11132">
        <f>GS01/575.2</f>
        <v>0</v>
      </c>
      <c r="K11132" t="inlineStr">
        <is>
          <t>DIL2AM</t>
        </is>
      </c>
      <c r="M11132" t="inlineStr">
        <is>
          <t>-575K1</t>
        </is>
      </c>
    </row>
    <row r="11133">
      <c r="A11133">
        <v>11132</v>
      </c>
      <c r="B11133">
        <f>GS16</f>
        <v>0</v>
      </c>
      <c r="C11133" t="inlineStr">
        <is>
          <t>+LS10</t>
        </is>
      </c>
      <c r="D11133" t="inlineStr">
        <is>
          <t>-575K3504.6</t>
        </is>
      </c>
      <c r="E11133" t="inlineStr">
        <is>
          <t>DIL_EM-01-G</t>
        </is>
      </c>
      <c r="F11133" t="inlineStr">
        <is>
          <t>#KALK!</t>
        </is>
      </c>
      <c r="G11133" t="inlineStr">
        <is>
          <t>LASTSCHUETZ</t>
        </is>
      </c>
      <c r="H11133" t="inlineStr">
        <is>
          <t>4kW 1OE</t>
        </is>
      </c>
      <c r="I11133">
        <v>820</v>
      </c>
      <c r="J11133">
        <f>GS16/575.6</f>
        <v>0</v>
      </c>
      <c r="M11133" t="inlineStr">
        <is>
          <t>-575K3504.6</t>
        </is>
      </c>
    </row>
    <row r="11134">
      <c r="A11134">
        <v>11133</v>
      </c>
      <c r="B11134">
        <f>GS16</f>
        <v>0</v>
      </c>
      <c r="C11134" t="inlineStr">
        <is>
          <t>+LS10</t>
        </is>
      </c>
      <c r="D11134" t="inlineStr">
        <is>
          <t>-575K3504.7</t>
        </is>
      </c>
      <c r="E11134" t="inlineStr">
        <is>
          <t>DIL_EM-01-G</t>
        </is>
      </c>
      <c r="F11134" t="inlineStr">
        <is>
          <t>#KALK!</t>
        </is>
      </c>
      <c r="G11134" t="inlineStr">
        <is>
          <t>LASTSCHUETZ</t>
        </is>
      </c>
      <c r="H11134" t="inlineStr">
        <is>
          <t>4kW 1OE</t>
        </is>
      </c>
      <c r="I11134">
        <v>820</v>
      </c>
      <c r="J11134">
        <f>GS16/575.6</f>
        <v>0</v>
      </c>
      <c r="M11134" t="inlineStr">
        <is>
          <t>-575K3504.7</t>
        </is>
      </c>
    </row>
    <row r="11135">
      <c r="A11135">
        <v>11134</v>
      </c>
      <c r="B11135">
        <f>GS92</f>
        <v>0</v>
      </c>
      <c r="C11135" t="inlineStr">
        <is>
          <t>+LS10</t>
        </is>
      </c>
      <c r="D11135" t="inlineStr">
        <is>
          <t>-575K475.1</t>
        </is>
      </c>
      <c r="E11135" t="inlineStr">
        <is>
          <t>DILA-22</t>
        </is>
      </c>
      <c r="F11135" t="inlineStr">
        <is>
          <t>#KALK!</t>
        </is>
      </c>
      <c r="G11135" t="inlineStr">
        <is>
          <t>HILFSSCHUETZ</t>
        </is>
      </c>
      <c r="H11135" t="inlineStr">
        <is>
          <t>2S 2Oe Federzugkl.</t>
        </is>
      </c>
      <c r="I11135">
        <v>715</v>
      </c>
      <c r="J11135">
        <f>GS92/575.6</f>
        <v>0</v>
      </c>
      <c r="M11135" t="inlineStr">
        <is>
          <t>-575K475.1</t>
        </is>
      </c>
    </row>
    <row r="11136">
      <c r="A11136">
        <v>11135</v>
      </c>
      <c r="B11136">
        <f>GS91</f>
        <v>0</v>
      </c>
      <c r="C11136" t="inlineStr">
        <is>
          <t>+LS11</t>
        </is>
      </c>
      <c r="D11136" t="inlineStr">
        <is>
          <t>-575K481.0</t>
        </is>
      </c>
      <c r="E11136" t="inlineStr">
        <is>
          <t>DILA-40</t>
        </is>
      </c>
      <c r="F11136" t="inlineStr">
        <is>
          <t>#KALK!</t>
        </is>
      </c>
      <c r="G11136" t="inlineStr">
        <is>
          <t>HILFSSCHUETZ</t>
        </is>
      </c>
      <c r="H11136" t="inlineStr">
        <is>
          <t>4S Federzugkl.</t>
        </is>
      </c>
      <c r="I11136">
        <v>723</v>
      </c>
      <c r="J11136">
        <f>GS91/575.7</f>
        <v>0</v>
      </c>
      <c r="M11136" t="inlineStr">
        <is>
          <t>-575K481.0</t>
        </is>
      </c>
    </row>
    <row r="11137">
      <c r="A11137">
        <v>11136</v>
      </c>
      <c r="B11137">
        <f>GS90</f>
        <v>0</v>
      </c>
      <c r="C11137" t="inlineStr">
        <is>
          <t>+LS12</t>
        </is>
      </c>
      <c r="D11137" t="inlineStr">
        <is>
          <t>-575K720.0</t>
        </is>
      </c>
      <c r="E11137" t="inlineStr">
        <is>
          <t>DILA-40</t>
        </is>
      </c>
      <c r="F11137" t="inlineStr">
        <is>
          <t>#KALK!</t>
        </is>
      </c>
      <c r="G11137" t="inlineStr">
        <is>
          <t>HILFSSCHUETZ</t>
        </is>
      </c>
      <c r="H11137" t="inlineStr">
        <is>
          <t>4S Federzugkl.</t>
        </is>
      </c>
      <c r="I11137">
        <v>669</v>
      </c>
      <c r="J11137">
        <f>GS90/575.7</f>
        <v>0</v>
      </c>
      <c r="M11137" t="inlineStr">
        <is>
          <t>-575K720.0</t>
        </is>
      </c>
    </row>
    <row r="11138">
      <c r="A11138">
        <v>11137</v>
      </c>
      <c r="B11138">
        <f>GS93</f>
        <v>0</v>
      </c>
      <c r="C11138" t="inlineStr">
        <is>
          <t>+LS11</t>
        </is>
      </c>
      <c r="D11138" t="inlineStr">
        <is>
          <t>-575K758.0</t>
        </is>
      </c>
      <c r="E11138" t="inlineStr">
        <is>
          <t>DILA-40</t>
        </is>
      </c>
      <c r="F11138" t="inlineStr">
        <is>
          <t>#KALK!</t>
        </is>
      </c>
      <c r="G11138" t="inlineStr">
        <is>
          <t>HILFSSCHUETZ</t>
        </is>
      </c>
      <c r="H11138" t="inlineStr">
        <is>
          <t>4S Federzugkl.</t>
        </is>
      </c>
      <c r="I11138">
        <v>1124</v>
      </c>
      <c r="J11138">
        <f>GS93/575.7</f>
        <v>0</v>
      </c>
      <c r="M11138" t="inlineStr">
        <is>
          <t>-575K758.0</t>
        </is>
      </c>
    </row>
    <row r="11139">
      <c r="A11139">
        <v>11138</v>
      </c>
      <c r="B11139">
        <f>GS07</f>
        <v>0</v>
      </c>
      <c r="C11139" t="inlineStr">
        <is>
          <t>+LS09</t>
        </is>
      </c>
      <c r="D11139" t="inlineStr">
        <is>
          <t>-575Q1</t>
        </is>
      </c>
      <c r="E11139" t="inlineStr">
        <is>
          <t>DILMC25-10(RDC24)</t>
        </is>
      </c>
      <c r="F11139" t="inlineStr">
        <is>
          <t>DILA-XHI22</t>
        </is>
      </c>
      <c r="G11139" t="inlineStr">
        <is>
          <t>LASTSCHUETZ</t>
        </is>
      </c>
      <c r="H11139" t="inlineStr">
        <is>
          <t>11kW 1S Federzugkl.</t>
        </is>
      </c>
      <c r="I11139">
        <v>649</v>
      </c>
      <c r="J11139">
        <f>GS07/575.6</f>
        <v>0</v>
      </c>
      <c r="K11139" t="inlineStr">
        <is>
          <t>DIL MC25</t>
        </is>
      </c>
      <c r="M11139" t="inlineStr">
        <is>
          <t>-575Q1</t>
        </is>
      </c>
    </row>
    <row r="11140">
      <c r="A11140">
        <v>11139</v>
      </c>
      <c r="B11140">
        <f>GS07</f>
        <v>0</v>
      </c>
      <c r="C11140" t="inlineStr">
        <is>
          <t>+LS09</t>
        </is>
      </c>
      <c r="D11140" t="inlineStr">
        <is>
          <t>-575Q1</t>
        </is>
      </c>
      <c r="E11140" t="inlineStr">
        <is>
          <t>DILA-XHI22</t>
        </is>
      </c>
      <c r="F11140" t="inlineStr">
        <is>
          <t>DILA-XHI22</t>
        </is>
      </c>
      <c r="G11140" t="inlineStr">
        <is>
          <t>HILFSKONTAKTBLOCK</t>
        </is>
      </c>
      <c r="H11140" t="inlineStr">
        <is>
          <t>2S 2OE Last+Hilfssch. Cage</t>
        </is>
      </c>
      <c r="I11140">
        <v>649</v>
      </c>
      <c r="J11140">
        <f>GS07/575.6</f>
        <v>0</v>
      </c>
      <c r="K11140" t="inlineStr">
        <is>
          <t>DIL MC25</t>
        </is>
      </c>
      <c r="M11140" t="inlineStr">
        <is>
          <t>-575Q1</t>
        </is>
      </c>
    </row>
    <row r="11141">
      <c r="A11141">
        <v>11140</v>
      </c>
      <c r="B11141">
        <f>GS55</f>
        <v>0</v>
      </c>
      <c r="C11141" t="inlineStr">
        <is>
          <t>+LS08</t>
        </is>
      </c>
      <c r="D11141" t="inlineStr">
        <is>
          <t>-575Q1</t>
        </is>
      </c>
      <c r="E11141" t="inlineStr">
        <is>
          <t>DILA-XHI22</t>
        </is>
      </c>
      <c r="F11141" t="inlineStr">
        <is>
          <t>DILA-XHI22</t>
        </is>
      </c>
      <c r="G11141" t="inlineStr">
        <is>
          <t>HILFSKONTAKTBLOCK</t>
        </is>
      </c>
      <c r="H11141" t="inlineStr">
        <is>
          <t>2S 2OE Last+Hilfssch. Cage</t>
        </is>
      </c>
      <c r="I11141">
        <v>813</v>
      </c>
      <c r="J11141">
        <f>GS55/575.6</f>
        <v>0</v>
      </c>
      <c r="K11141" t="inlineStr">
        <is>
          <t>DIL MC25</t>
        </is>
      </c>
      <c r="M11141" t="inlineStr">
        <is>
          <t>-575Q1</t>
        </is>
      </c>
    </row>
    <row r="11142">
      <c r="A11142">
        <v>11141</v>
      </c>
      <c r="B11142">
        <f>GS55</f>
        <v>0</v>
      </c>
      <c r="C11142" t="inlineStr">
        <is>
          <t>+LS08</t>
        </is>
      </c>
      <c r="D11142" t="inlineStr">
        <is>
          <t>-575Q1</t>
        </is>
      </c>
      <c r="E11142" t="inlineStr">
        <is>
          <t>DILMC25-10(RDC24)</t>
        </is>
      </c>
      <c r="F11142" t="inlineStr">
        <is>
          <t>DILA-XHI22</t>
        </is>
      </c>
      <c r="G11142" t="inlineStr">
        <is>
          <t>LASTSCHUETZ</t>
        </is>
      </c>
      <c r="H11142" t="inlineStr">
        <is>
          <t>11kW 1S Federzugkl.</t>
        </is>
      </c>
      <c r="I11142">
        <v>813</v>
      </c>
      <c r="J11142">
        <f>GS55/575.6</f>
        <v>0</v>
      </c>
      <c r="K11142" t="inlineStr">
        <is>
          <t>DIL MC25</t>
        </is>
      </c>
      <c r="M11142" t="inlineStr">
        <is>
          <t>-575Q1</t>
        </is>
      </c>
    </row>
    <row r="11143">
      <c r="A11143">
        <v>11142</v>
      </c>
      <c r="B11143">
        <f>GS90</f>
        <v>0</v>
      </c>
      <c r="C11143" t="inlineStr">
        <is>
          <t>+LS12</t>
        </is>
      </c>
      <c r="D11143" t="inlineStr">
        <is>
          <t>-575Q1</t>
        </is>
      </c>
      <c r="E11143" t="inlineStr">
        <is>
          <t>DILM150-XHIC22</t>
        </is>
      </c>
      <c r="F11143" t="inlineStr">
        <is>
          <t>DILM150-XHIC22</t>
        </is>
      </c>
      <c r="G11143" t="inlineStr">
        <is>
          <t>HILFSKONTAKTBLOCK</t>
        </is>
      </c>
      <c r="H11143" t="inlineStr">
        <is>
          <t>2S 2OE ab DILMC40</t>
        </is>
      </c>
      <c r="I11143">
        <v>669</v>
      </c>
      <c r="J11143">
        <f>GS90/575.4</f>
        <v>0</v>
      </c>
      <c r="K11143" t="inlineStr">
        <is>
          <t>DIL MC 40</t>
        </is>
      </c>
      <c r="M11143" t="inlineStr">
        <is>
          <t>-575Q1</t>
        </is>
      </c>
    </row>
    <row r="11144">
      <c r="A11144">
        <v>11143</v>
      </c>
      <c r="B11144">
        <f>GS90</f>
        <v>0</v>
      </c>
      <c r="C11144" t="inlineStr">
        <is>
          <t>+LS12</t>
        </is>
      </c>
      <c r="D11144" t="inlineStr">
        <is>
          <t>-575Q1</t>
        </is>
      </c>
      <c r="E11144" t="inlineStr">
        <is>
          <t>DILMC40(RDC24)</t>
        </is>
      </c>
      <c r="F11144" t="inlineStr">
        <is>
          <t>DILM150-XHIC22</t>
        </is>
      </c>
      <c r="G11144" t="inlineStr">
        <is>
          <t>LASTSCHUETZ</t>
        </is>
      </c>
      <c r="H11144" t="inlineStr">
        <is>
          <t>18,5kW Federzugkl.</t>
        </is>
      </c>
      <c r="I11144">
        <v>669</v>
      </c>
      <c r="J11144">
        <f>GS90/575.4</f>
        <v>0</v>
      </c>
      <c r="K11144" t="inlineStr">
        <is>
          <t>DIL MC 40</t>
        </is>
      </c>
      <c r="M11144" t="inlineStr">
        <is>
          <t>-575Q1</t>
        </is>
      </c>
    </row>
    <row r="11145">
      <c r="A11145">
        <v>11144</v>
      </c>
      <c r="B11145">
        <f>GS91</f>
        <v>0</v>
      </c>
      <c r="C11145" t="inlineStr">
        <is>
          <t>+LS11</t>
        </is>
      </c>
      <c r="D11145" t="inlineStr">
        <is>
          <t>-575Q1</t>
        </is>
      </c>
      <c r="E11145" t="inlineStr">
        <is>
          <t>DILA-XHI22</t>
        </is>
      </c>
      <c r="F11145" t="inlineStr">
        <is>
          <t>DILA-XHI22</t>
        </is>
      </c>
      <c r="G11145" t="inlineStr">
        <is>
          <t>HILFSKONTAKTBLOCK</t>
        </is>
      </c>
      <c r="H11145" t="inlineStr">
        <is>
          <t>2S 2OE Last+Hilfssch. Cage</t>
        </is>
      </c>
      <c r="I11145">
        <v>723</v>
      </c>
      <c r="J11145">
        <f>GS91/575.4</f>
        <v>0</v>
      </c>
      <c r="K11145" t="inlineStr">
        <is>
          <t>DIL MC25</t>
        </is>
      </c>
      <c r="M11145" t="inlineStr">
        <is>
          <t>-575Q1</t>
        </is>
      </c>
    </row>
    <row r="11146">
      <c r="A11146">
        <v>11145</v>
      </c>
      <c r="B11146">
        <f>GS91</f>
        <v>0</v>
      </c>
      <c r="C11146" t="inlineStr">
        <is>
          <t>+LS11</t>
        </is>
      </c>
      <c r="D11146" t="inlineStr">
        <is>
          <t>-575Q1</t>
        </is>
      </c>
      <c r="E11146" t="inlineStr">
        <is>
          <t>DILMC25-10(RDC24)</t>
        </is>
      </c>
      <c r="F11146" t="inlineStr">
        <is>
          <t>DILA-XHI22</t>
        </is>
      </c>
      <c r="G11146" t="inlineStr">
        <is>
          <t>LASTSCHUETZ</t>
        </is>
      </c>
      <c r="H11146" t="inlineStr">
        <is>
          <t>11kW 1S Federzugkl.</t>
        </is>
      </c>
      <c r="I11146">
        <v>723</v>
      </c>
      <c r="J11146">
        <f>GS91/575.4</f>
        <v>0</v>
      </c>
      <c r="K11146" t="inlineStr">
        <is>
          <t>DIL MC25</t>
        </is>
      </c>
      <c r="M11146" t="inlineStr">
        <is>
          <t>-575Q1</t>
        </is>
      </c>
    </row>
    <row r="11147">
      <c r="A11147">
        <v>11146</v>
      </c>
      <c r="B11147">
        <f>GS92</f>
        <v>0</v>
      </c>
      <c r="C11147" t="inlineStr">
        <is>
          <t>+LS10</t>
        </is>
      </c>
      <c r="D11147" t="inlineStr">
        <is>
          <t>-575Q1</t>
        </is>
      </c>
      <c r="E11147" t="inlineStr">
        <is>
          <t>DILMC25-10(RDC24)</t>
        </is>
      </c>
      <c r="F11147" t="inlineStr">
        <is>
          <t>DILA-XHIC31</t>
        </is>
      </c>
      <c r="G11147" t="inlineStr">
        <is>
          <t>LASTSCHUETZ</t>
        </is>
      </c>
      <c r="H11147" t="inlineStr">
        <is>
          <t>11kW 1S Federzugkl.</t>
        </is>
      </c>
      <c r="I11147">
        <v>715</v>
      </c>
      <c r="J11147">
        <f>GS92/575.2</f>
        <v>0</v>
      </c>
      <c r="M11147" t="inlineStr">
        <is>
          <t>-575Q1</t>
        </is>
      </c>
    </row>
    <row r="11148">
      <c r="A11148">
        <v>11147</v>
      </c>
      <c r="B11148">
        <f>GS92</f>
        <v>0</v>
      </c>
      <c r="C11148" t="inlineStr">
        <is>
          <t>+LS10</t>
        </is>
      </c>
      <c r="D11148" t="inlineStr">
        <is>
          <t>-575Q1</t>
        </is>
      </c>
      <c r="E11148" t="inlineStr">
        <is>
          <t>DILA-XHIC31</t>
        </is>
      </c>
      <c r="F11148" t="inlineStr">
        <is>
          <t>DILA-XHIC31</t>
        </is>
      </c>
      <c r="G11148" t="inlineStr">
        <is>
          <t>HILFSKONTAKTBLOCK</t>
        </is>
      </c>
      <c r="H11148" t="inlineStr">
        <is>
          <t>3S 1OE Last+Hilfssch. Cage</t>
        </is>
      </c>
      <c r="I11148">
        <v>715</v>
      </c>
      <c r="J11148">
        <f>GS92/575.2</f>
        <v>0</v>
      </c>
      <c r="M11148" t="inlineStr">
        <is>
          <t>-575Q1</t>
        </is>
      </c>
    </row>
    <row r="11149">
      <c r="A11149">
        <v>11148</v>
      </c>
      <c r="B11149">
        <f>GS93</f>
        <v>0</v>
      </c>
      <c r="C11149" t="inlineStr">
        <is>
          <t>+LS11</t>
        </is>
      </c>
      <c r="D11149" t="inlineStr">
        <is>
          <t>-575Q1</t>
        </is>
      </c>
      <c r="E11149" t="inlineStr">
        <is>
          <t>DILA-XHI22</t>
        </is>
      </c>
      <c r="F11149" t="inlineStr">
        <is>
          <t>DILA-XHI22</t>
        </is>
      </c>
      <c r="G11149" t="inlineStr">
        <is>
          <t>HILFSKONTAKTBLOCK</t>
        </is>
      </c>
      <c r="H11149" t="inlineStr">
        <is>
          <t>2S 2OE Last+Hilfssch. Cage</t>
        </is>
      </c>
      <c r="I11149">
        <v>1124</v>
      </c>
      <c r="J11149">
        <f>GS93/575.4</f>
        <v>0</v>
      </c>
      <c r="K11149" t="inlineStr">
        <is>
          <t>DIL MC25</t>
        </is>
      </c>
      <c r="M11149" t="inlineStr">
        <is>
          <t>-575Q1</t>
        </is>
      </c>
    </row>
    <row r="11150">
      <c r="A11150">
        <v>11149</v>
      </c>
      <c r="B11150">
        <f>GS93</f>
        <v>0</v>
      </c>
      <c r="C11150" t="inlineStr">
        <is>
          <t>+LS11</t>
        </is>
      </c>
      <c r="D11150" t="inlineStr">
        <is>
          <t>-575Q1</t>
        </is>
      </c>
      <c r="E11150" t="inlineStr">
        <is>
          <t>DILMC25-10(RDC24)</t>
        </is>
      </c>
      <c r="F11150" t="inlineStr">
        <is>
          <t>DILA-XHI22</t>
        </is>
      </c>
      <c r="G11150" t="inlineStr">
        <is>
          <t>LASTSCHUETZ</t>
        </is>
      </c>
      <c r="H11150" t="inlineStr">
        <is>
          <t>11kW 1S Federzugkl.</t>
        </is>
      </c>
      <c r="I11150">
        <v>1124</v>
      </c>
      <c r="J11150">
        <f>GS93/575.4</f>
        <v>0</v>
      </c>
      <c r="K11150" t="inlineStr">
        <is>
          <t>DIL MC25</t>
        </is>
      </c>
      <c r="M11150" t="inlineStr">
        <is>
          <t>-575Q1</t>
        </is>
      </c>
    </row>
    <row r="11151">
      <c r="A11151">
        <v>11150</v>
      </c>
      <c r="B11151">
        <f>GS16</f>
        <v>0</v>
      </c>
      <c r="C11151" t="inlineStr">
        <is>
          <t>+LS10</t>
        </is>
      </c>
      <c r="D11151" t="inlineStr">
        <is>
          <t>-576K3505.5</t>
        </is>
      </c>
      <c r="E11151" t="inlineStr">
        <is>
          <t>DIL_EM-10-G</t>
        </is>
      </c>
      <c r="F11151" t="inlineStr">
        <is>
          <t>#KALK!</t>
        </is>
      </c>
      <c r="G11151" t="inlineStr">
        <is>
          <t>LASTSCHUETZ</t>
        </is>
      </c>
      <c r="H11151" t="inlineStr">
        <is>
          <t>4kW 1S</t>
        </is>
      </c>
      <c r="I11151">
        <v>821</v>
      </c>
      <c r="J11151">
        <f>GS16/576.7</f>
        <v>0</v>
      </c>
      <c r="M11151" t="inlineStr">
        <is>
          <t>-576K3505.5</t>
        </is>
      </c>
    </row>
    <row r="11152">
      <c r="A11152">
        <v>11151</v>
      </c>
      <c r="B11152">
        <f>GS14</f>
        <v>0</v>
      </c>
      <c r="C11152" t="inlineStr">
        <is>
          <t>+LS11</t>
        </is>
      </c>
      <c r="D11152" t="inlineStr">
        <is>
          <t>-576K3526.0</t>
        </is>
      </c>
      <c r="E11152" t="inlineStr">
        <is>
          <t>DIL_EM-10-G</t>
        </is>
      </c>
      <c r="F11152" t="inlineStr">
        <is>
          <t>#KALK!</t>
        </is>
      </c>
      <c r="G11152" t="inlineStr">
        <is>
          <t>LASTSCHUETZ</t>
        </is>
      </c>
      <c r="H11152" t="inlineStr">
        <is>
          <t>4kW 1S</t>
        </is>
      </c>
      <c r="I11152">
        <v>708</v>
      </c>
      <c r="J11152">
        <f>GS14/576.6</f>
        <v>0</v>
      </c>
      <c r="M11152" t="inlineStr">
        <is>
          <t>-576K3526.0</t>
        </is>
      </c>
    </row>
    <row r="11153">
      <c r="A11153">
        <v>11152</v>
      </c>
      <c r="B11153">
        <f>GS14</f>
        <v>0</v>
      </c>
      <c r="C11153" t="inlineStr">
        <is>
          <t>+LS11</t>
        </is>
      </c>
      <c r="D11153" t="inlineStr">
        <is>
          <t>-576K3526.1</t>
        </is>
      </c>
      <c r="E11153" t="inlineStr">
        <is>
          <t>DIL_EM-10-G</t>
        </is>
      </c>
      <c r="F11153" t="inlineStr">
        <is>
          <t>#KALK!</t>
        </is>
      </c>
      <c r="G11153" t="inlineStr">
        <is>
          <t>LASTSCHUETZ</t>
        </is>
      </c>
      <c r="H11153" t="inlineStr">
        <is>
          <t>4kW 1S</t>
        </is>
      </c>
      <c r="I11153">
        <v>708</v>
      </c>
      <c r="J11153">
        <f>GS14/576.6</f>
        <v>0</v>
      </c>
      <c r="M11153" t="inlineStr">
        <is>
          <t>-576K3526.1</t>
        </is>
      </c>
    </row>
    <row r="11154">
      <c r="A11154">
        <v>11153</v>
      </c>
      <c r="B11154">
        <f>GS25</f>
        <v>0</v>
      </c>
      <c r="C11154" t="inlineStr">
        <is>
          <t>+LS13</t>
        </is>
      </c>
      <c r="D11154" t="inlineStr">
        <is>
          <t>-576K3538.0</t>
        </is>
      </c>
      <c r="E11154" t="inlineStr">
        <is>
          <t>DIL_EM-10-G</t>
        </is>
      </c>
      <c r="F11154" t="inlineStr">
        <is>
          <t>#KALK!</t>
        </is>
      </c>
      <c r="G11154" t="inlineStr">
        <is>
          <t>LASTSCHUETZ</t>
        </is>
      </c>
      <c r="H11154" t="inlineStr">
        <is>
          <t>4kW 1S</t>
        </is>
      </c>
      <c r="I11154">
        <v>703</v>
      </c>
      <c r="J11154">
        <f>GS25/576.6</f>
        <v>0</v>
      </c>
      <c r="M11154" t="inlineStr">
        <is>
          <t>-576K3538.0</t>
        </is>
      </c>
    </row>
    <row r="11155">
      <c r="A11155">
        <v>11154</v>
      </c>
      <c r="B11155">
        <f>GS25</f>
        <v>0</v>
      </c>
      <c r="C11155" t="inlineStr">
        <is>
          <t>+LS13</t>
        </is>
      </c>
      <c r="D11155" t="inlineStr">
        <is>
          <t>-576K3538.1</t>
        </is>
      </c>
      <c r="E11155" t="inlineStr">
        <is>
          <t>DIL_EM-10-G</t>
        </is>
      </c>
      <c r="F11155" t="inlineStr">
        <is>
          <t>#KALK!</t>
        </is>
      </c>
      <c r="G11155" t="inlineStr">
        <is>
          <t>LASTSCHUETZ</t>
        </is>
      </c>
      <c r="H11155" t="inlineStr">
        <is>
          <t>4kW 1S</t>
        </is>
      </c>
      <c r="I11155">
        <v>703</v>
      </c>
      <c r="J11155">
        <f>GS25/576.6</f>
        <v>0</v>
      </c>
      <c r="M11155" t="inlineStr">
        <is>
          <t>-576K3538.1</t>
        </is>
      </c>
    </row>
    <row r="11156">
      <c r="A11156">
        <v>11155</v>
      </c>
      <c r="B11156">
        <f>GS93</f>
        <v>0</v>
      </c>
      <c r="C11156" t="inlineStr">
        <is>
          <t>+LS11</t>
        </is>
      </c>
      <c r="D11156" t="inlineStr">
        <is>
          <t>-576Q758.1</t>
        </is>
      </c>
      <c r="E11156" t="inlineStr">
        <is>
          <t>DILM-9-10</t>
        </is>
      </c>
      <c r="F11156" t="inlineStr">
        <is>
          <t>#KALK!</t>
        </is>
      </c>
      <c r="G11156" t="inlineStr">
        <is>
          <t>LASTSCHUETZ</t>
        </is>
      </c>
      <c r="H11156" t="inlineStr">
        <is>
          <t>4kW 1S Federzugkl.</t>
        </is>
      </c>
      <c r="I11156">
        <v>1125</v>
      </c>
      <c r="J11156">
        <f>GS93/576.5</f>
        <v>0</v>
      </c>
      <c r="M11156" t="inlineStr">
        <is>
          <t>-576Q758.1</t>
        </is>
      </c>
    </row>
    <row r="11157">
      <c r="A11157">
        <v>11156</v>
      </c>
      <c r="B11157">
        <f>GS16</f>
        <v>0</v>
      </c>
      <c r="C11157" t="inlineStr">
        <is>
          <t>+LS10</t>
        </is>
      </c>
      <c r="D11157" t="inlineStr">
        <is>
          <t>-577K3506.0</t>
        </is>
      </c>
      <c r="E11157" t="inlineStr">
        <is>
          <t>DIL_EM-01-G</t>
        </is>
      </c>
      <c r="F11157" t="inlineStr">
        <is>
          <t>#KALK!</t>
        </is>
      </c>
      <c r="G11157" t="inlineStr">
        <is>
          <t>LASTSCHUETZ</t>
        </is>
      </c>
      <c r="H11157" t="inlineStr">
        <is>
          <t>4kW 1OE</t>
        </is>
      </c>
      <c r="I11157">
        <v>822</v>
      </c>
      <c r="J11157">
        <f>GS16/577.6</f>
        <v>0</v>
      </c>
      <c r="M11157" t="inlineStr">
        <is>
          <t>-577K3506.0</t>
        </is>
      </c>
    </row>
    <row r="11158">
      <c r="A11158">
        <v>11157</v>
      </c>
      <c r="B11158">
        <f>GS16</f>
        <v>0</v>
      </c>
      <c r="C11158" t="inlineStr">
        <is>
          <t>+LS10</t>
        </is>
      </c>
      <c r="D11158" t="inlineStr">
        <is>
          <t>-577K3506.1</t>
        </is>
      </c>
      <c r="E11158" t="inlineStr">
        <is>
          <t>DIL_EM-01-G</t>
        </is>
      </c>
      <c r="F11158" t="inlineStr">
        <is>
          <t>#KALK!</t>
        </is>
      </c>
      <c r="G11158" t="inlineStr">
        <is>
          <t>LASTSCHUETZ</t>
        </is>
      </c>
      <c r="H11158" t="inlineStr">
        <is>
          <t>4kW 1OE</t>
        </is>
      </c>
      <c r="I11158">
        <v>822</v>
      </c>
      <c r="J11158">
        <f>GS16/577.6</f>
        <v>0</v>
      </c>
      <c r="M11158" t="inlineStr">
        <is>
          <t>-577K3506.1</t>
        </is>
      </c>
    </row>
    <row r="11159">
      <c r="A11159">
        <v>11158</v>
      </c>
      <c r="B11159">
        <f>GS25</f>
        <v>0</v>
      </c>
      <c r="C11159" t="inlineStr">
        <is>
          <t>+LS13</t>
        </is>
      </c>
      <c r="D11159" t="inlineStr">
        <is>
          <t>-577K3538.2</t>
        </is>
      </c>
      <c r="E11159" t="inlineStr">
        <is>
          <t>DIL_EM-10-G</t>
        </is>
      </c>
      <c r="F11159" t="inlineStr">
        <is>
          <t>#KALK!</t>
        </is>
      </c>
      <c r="G11159" t="inlineStr">
        <is>
          <t>LASTSCHUETZ</t>
        </is>
      </c>
      <c r="H11159" t="inlineStr">
        <is>
          <t>4kW 1S</t>
        </is>
      </c>
      <c r="I11159">
        <v>704</v>
      </c>
      <c r="J11159">
        <f>GS25/577.6</f>
        <v>0</v>
      </c>
      <c r="M11159" t="inlineStr">
        <is>
          <t>-577K3538.2</t>
        </is>
      </c>
    </row>
    <row r="11160">
      <c r="A11160">
        <v>11159</v>
      </c>
      <c r="B11160">
        <f>GS25</f>
        <v>0</v>
      </c>
      <c r="C11160" t="inlineStr">
        <is>
          <t>+LS13</t>
        </is>
      </c>
      <c r="D11160" t="inlineStr">
        <is>
          <t>-577K3538.3</t>
        </is>
      </c>
      <c r="E11160" t="inlineStr">
        <is>
          <t>DIL_EM-10-G</t>
        </is>
      </c>
      <c r="F11160" t="inlineStr">
        <is>
          <t>#KALK!</t>
        </is>
      </c>
      <c r="G11160" t="inlineStr">
        <is>
          <t>LASTSCHUETZ</t>
        </is>
      </c>
      <c r="H11160" t="inlineStr">
        <is>
          <t>4kW 1S</t>
        </is>
      </c>
      <c r="I11160">
        <v>704</v>
      </c>
      <c r="J11160">
        <f>GS25/577.7</f>
        <v>0</v>
      </c>
      <c r="M11160" t="inlineStr">
        <is>
          <t>-577K3538.3</t>
        </is>
      </c>
    </row>
    <row r="11161">
      <c r="A11161">
        <v>11160</v>
      </c>
      <c r="B11161">
        <f>GS07</f>
        <v>0</v>
      </c>
      <c r="C11161" t="inlineStr">
        <is>
          <t>+LS09</t>
        </is>
      </c>
      <c r="D11161" t="inlineStr">
        <is>
          <t>-577Q439.1</t>
        </is>
      </c>
      <c r="E11161" t="inlineStr">
        <is>
          <t>DILMC12-10(24VDC)</t>
        </is>
      </c>
      <c r="F11161" t="inlineStr">
        <is>
          <t>#KALK!</t>
        </is>
      </c>
      <c r="G11161" t="inlineStr">
        <is>
          <t>LASTSCHUETZ</t>
        </is>
      </c>
      <c r="H11161" t="inlineStr">
        <is>
          <t>5,5kW 1S Federzugkl.</t>
        </is>
      </c>
      <c r="I11161">
        <v>647</v>
      </c>
      <c r="J11161">
        <f>GS07/577.5</f>
        <v>0</v>
      </c>
      <c r="K11161" t="inlineStr">
        <is>
          <t>DIL MC12</t>
        </is>
      </c>
      <c r="M11161" t="inlineStr">
        <is>
          <t>-577Q439.1</t>
        </is>
      </c>
    </row>
    <row r="11162">
      <c r="A11162">
        <v>11161</v>
      </c>
      <c r="B11162">
        <f>GS91</f>
        <v>0</v>
      </c>
      <c r="C11162" t="inlineStr">
        <is>
          <t>+LS11</t>
        </is>
      </c>
      <c r="D11162" t="inlineStr">
        <is>
          <t>-577Q481.1</t>
        </is>
      </c>
      <c r="E11162" t="inlineStr">
        <is>
          <t>DILM-9-10</t>
        </is>
      </c>
      <c r="F11162" t="inlineStr">
        <is>
          <t>#KALK!</t>
        </is>
      </c>
      <c r="G11162" t="inlineStr">
        <is>
          <t>LASTSCHUETZ</t>
        </is>
      </c>
      <c r="H11162" t="inlineStr">
        <is>
          <t>4kW 1S Federzugkl.</t>
        </is>
      </c>
      <c r="I11162">
        <v>725</v>
      </c>
      <c r="J11162">
        <f>GS91/577.5</f>
        <v>0</v>
      </c>
      <c r="M11162" t="inlineStr">
        <is>
          <t>-577Q481.1</t>
        </is>
      </c>
    </row>
    <row r="11163">
      <c r="A11163">
        <v>11162</v>
      </c>
      <c r="B11163">
        <f>GS16</f>
        <v>0</v>
      </c>
      <c r="C11163" t="inlineStr">
        <is>
          <t>+LS10</t>
        </is>
      </c>
      <c r="D11163" t="inlineStr">
        <is>
          <t>-578K3507.3</t>
        </is>
      </c>
      <c r="E11163" t="inlineStr">
        <is>
          <t>DIL_EM-10-G</t>
        </is>
      </c>
      <c r="F11163" t="inlineStr">
        <is>
          <t>#KALK!</t>
        </is>
      </c>
      <c r="G11163" t="inlineStr">
        <is>
          <t>LASTSCHUETZ</t>
        </is>
      </c>
      <c r="H11163" t="inlineStr">
        <is>
          <t>4kW 1S</t>
        </is>
      </c>
      <c r="I11163">
        <v>823</v>
      </c>
      <c r="J11163">
        <f>GS16/578.7</f>
        <v>0</v>
      </c>
      <c r="M11163" t="inlineStr">
        <is>
          <t>-578K3507.3</t>
        </is>
      </c>
    </row>
    <row r="11164">
      <c r="A11164">
        <v>11163</v>
      </c>
      <c r="B11164">
        <f>GS14</f>
        <v>0</v>
      </c>
      <c r="C11164" t="inlineStr">
        <is>
          <t>+LS11</t>
        </is>
      </c>
      <c r="D11164" t="inlineStr">
        <is>
          <t>-578K3526.7</t>
        </is>
      </c>
      <c r="E11164" t="inlineStr">
        <is>
          <t>DIL_EM-10-G</t>
        </is>
      </c>
      <c r="F11164" t="inlineStr">
        <is>
          <t>#KALK!</t>
        </is>
      </c>
      <c r="G11164" t="inlineStr">
        <is>
          <t>LASTSCHUETZ</t>
        </is>
      </c>
      <c r="H11164" t="inlineStr">
        <is>
          <t>4kW 1S</t>
        </is>
      </c>
      <c r="I11164">
        <v>710</v>
      </c>
      <c r="J11164">
        <f>GS14/578.5</f>
        <v>0</v>
      </c>
      <c r="M11164" t="inlineStr">
        <is>
          <t>-578K3526.7</t>
        </is>
      </c>
    </row>
    <row r="11165">
      <c r="A11165">
        <v>11164</v>
      </c>
      <c r="B11165">
        <f>GS14</f>
        <v>0</v>
      </c>
      <c r="C11165" t="inlineStr">
        <is>
          <t>+LS11</t>
        </is>
      </c>
      <c r="D11165" t="inlineStr">
        <is>
          <t>-578K3527.0</t>
        </is>
      </c>
      <c r="E11165" t="inlineStr">
        <is>
          <t>DIL_EM-10-G</t>
        </is>
      </c>
      <c r="F11165" t="inlineStr">
        <is>
          <t>#KALK!</t>
        </is>
      </c>
      <c r="G11165" t="inlineStr">
        <is>
          <t>LASTSCHUETZ</t>
        </is>
      </c>
      <c r="H11165" t="inlineStr">
        <is>
          <t>4kW 1S</t>
        </is>
      </c>
      <c r="I11165">
        <v>710</v>
      </c>
      <c r="J11165">
        <f>GS14/578.6</f>
        <v>0</v>
      </c>
      <c r="M11165" t="inlineStr">
        <is>
          <t>-578K3527.0</t>
        </is>
      </c>
    </row>
    <row r="11166">
      <c r="A11166">
        <v>11165</v>
      </c>
      <c r="B11166">
        <f>GS14</f>
        <v>0</v>
      </c>
      <c r="C11166" t="inlineStr">
        <is>
          <t>+LS11</t>
        </is>
      </c>
      <c r="D11166" t="inlineStr">
        <is>
          <t>-578K3527.1</t>
        </is>
      </c>
      <c r="E11166" t="inlineStr">
        <is>
          <t>DIL_EM-01-G</t>
        </is>
      </c>
      <c r="F11166" t="inlineStr">
        <is>
          <t>#KALK!</t>
        </is>
      </c>
      <c r="G11166" t="inlineStr">
        <is>
          <t>LASTSCHUETZ</t>
        </is>
      </c>
      <c r="H11166" t="inlineStr">
        <is>
          <t>4kW 1OE</t>
        </is>
      </c>
      <c r="I11166">
        <v>710</v>
      </c>
      <c r="J11166">
        <f>GS14/578.7</f>
        <v>0</v>
      </c>
      <c r="M11166" t="inlineStr">
        <is>
          <t>-578K3527.1</t>
        </is>
      </c>
    </row>
    <row r="11167">
      <c r="A11167">
        <v>11166</v>
      </c>
      <c r="B11167">
        <f>GS14</f>
        <v>0</v>
      </c>
      <c r="C11167" t="inlineStr">
        <is>
          <t>+LS11</t>
        </is>
      </c>
      <c r="D11167" t="inlineStr">
        <is>
          <t>-578K3527.2</t>
        </is>
      </c>
      <c r="E11167" t="inlineStr">
        <is>
          <t>DIL_EM-01-G</t>
        </is>
      </c>
      <c r="F11167" t="inlineStr">
        <is>
          <t>#KALK!</t>
        </is>
      </c>
      <c r="G11167" t="inlineStr">
        <is>
          <t>LASTSCHUETZ</t>
        </is>
      </c>
      <c r="H11167" t="inlineStr">
        <is>
          <t>4kW 1OE</t>
        </is>
      </c>
      <c r="I11167">
        <v>710</v>
      </c>
      <c r="J11167">
        <f>GS14/578.8</f>
        <v>0</v>
      </c>
      <c r="M11167" t="inlineStr">
        <is>
          <t>-578K3527.2</t>
        </is>
      </c>
    </row>
    <row r="11168">
      <c r="A11168">
        <v>11167</v>
      </c>
      <c r="B11168">
        <f>GS25</f>
        <v>0</v>
      </c>
      <c r="C11168" t="inlineStr">
        <is>
          <t>+LS13</t>
        </is>
      </c>
      <c r="D11168" t="inlineStr">
        <is>
          <t>-578K3538.4</t>
        </is>
      </c>
      <c r="E11168" t="inlineStr">
        <is>
          <t>DIL_EM-10-G</t>
        </is>
      </c>
      <c r="F11168" t="inlineStr">
        <is>
          <t>#KALK!</t>
        </is>
      </c>
      <c r="G11168" t="inlineStr">
        <is>
          <t>LASTSCHUETZ</t>
        </is>
      </c>
      <c r="H11168" t="inlineStr">
        <is>
          <t>4kW 1S</t>
        </is>
      </c>
      <c r="I11168">
        <v>705</v>
      </c>
      <c r="J11168">
        <f>GS25/578.6</f>
        <v>0</v>
      </c>
      <c r="M11168" t="inlineStr">
        <is>
          <t>-578K3538.4</t>
        </is>
      </c>
    </row>
    <row r="11169">
      <c r="A11169">
        <v>11168</v>
      </c>
      <c r="B11169">
        <f>GS25</f>
        <v>0</v>
      </c>
      <c r="C11169" t="inlineStr">
        <is>
          <t>+LS13</t>
        </is>
      </c>
      <c r="D11169" t="inlineStr">
        <is>
          <t>-578K3538.5</t>
        </is>
      </c>
      <c r="E11169" t="inlineStr">
        <is>
          <t>DIL_EM-10-G</t>
        </is>
      </c>
      <c r="F11169" t="inlineStr">
        <is>
          <t>#KALK!</t>
        </is>
      </c>
      <c r="G11169" t="inlineStr">
        <is>
          <t>LASTSCHUETZ</t>
        </is>
      </c>
      <c r="H11169" t="inlineStr">
        <is>
          <t>4kW 1S</t>
        </is>
      </c>
      <c r="I11169">
        <v>705</v>
      </c>
      <c r="J11169">
        <f>GS25/578.7</f>
        <v>0</v>
      </c>
      <c r="M11169" t="inlineStr">
        <is>
          <t>-578K3538.5</t>
        </is>
      </c>
    </row>
    <row r="11170">
      <c r="A11170">
        <v>11169</v>
      </c>
      <c r="B11170">
        <f>GS01</f>
        <v>0</v>
      </c>
      <c r="C11170" t="inlineStr">
        <is>
          <t>+LS13</t>
        </is>
      </c>
      <c r="D11170" t="inlineStr">
        <is>
          <t>-578K40.0</t>
        </is>
      </c>
      <c r="E11170" t="inlineStr">
        <is>
          <t>DIL_EM-10-G</t>
        </is>
      </c>
      <c r="F11170" t="inlineStr">
        <is>
          <t>#KALK!</t>
        </is>
      </c>
      <c r="G11170" t="inlineStr">
        <is>
          <t>LASTSCHUETZ</t>
        </is>
      </c>
      <c r="H11170" t="inlineStr">
        <is>
          <t>4kW 1S</t>
        </is>
      </c>
      <c r="I11170">
        <v>747</v>
      </c>
      <c r="J11170">
        <f>GS01/578.6</f>
        <v>0</v>
      </c>
      <c r="M11170" t="inlineStr">
        <is>
          <t>-578K40.0</t>
        </is>
      </c>
    </row>
    <row r="11171">
      <c r="A11171">
        <v>11170</v>
      </c>
      <c r="B11171">
        <f>GS01</f>
        <v>0</v>
      </c>
      <c r="C11171" t="inlineStr">
        <is>
          <t>+LS13</t>
        </is>
      </c>
      <c r="D11171" t="inlineStr">
        <is>
          <t>-578K40.1</t>
        </is>
      </c>
      <c r="E11171" t="inlineStr">
        <is>
          <t>DIL_EM-10-G</t>
        </is>
      </c>
      <c r="F11171" t="inlineStr">
        <is>
          <t>#KALK!</t>
        </is>
      </c>
      <c r="G11171" t="inlineStr">
        <is>
          <t>LASTSCHUETZ</t>
        </is>
      </c>
      <c r="H11171" t="inlineStr">
        <is>
          <t>4kW 1S</t>
        </is>
      </c>
      <c r="I11171">
        <v>747</v>
      </c>
      <c r="J11171">
        <f>GS01/578.6</f>
        <v>0</v>
      </c>
      <c r="M11171" t="inlineStr">
        <is>
          <t>-578K40.1</t>
        </is>
      </c>
    </row>
    <row r="11172">
      <c r="A11172">
        <v>11171</v>
      </c>
      <c r="B11172">
        <f>GS90</f>
        <v>0</v>
      </c>
      <c r="C11172" t="inlineStr">
        <is>
          <t>+LS12</t>
        </is>
      </c>
      <c r="D11172" t="inlineStr">
        <is>
          <t>-578K720.2</t>
        </is>
      </c>
      <c r="E11172" t="inlineStr">
        <is>
          <t>DILA-22</t>
        </is>
      </c>
      <c r="F11172" t="inlineStr">
        <is>
          <t>#KALK!</t>
        </is>
      </c>
      <c r="G11172" t="inlineStr">
        <is>
          <t>HILFSSCHUETZ</t>
        </is>
      </c>
      <c r="H11172" t="inlineStr">
        <is>
          <t>2S 2Oe Federzugkl.</t>
        </is>
      </c>
      <c r="I11172">
        <v>665</v>
      </c>
      <c r="J11172">
        <f>GS90/578.5</f>
        <v>0</v>
      </c>
      <c r="M11172" t="inlineStr">
        <is>
          <t>-578K720.2</t>
        </is>
      </c>
    </row>
    <row r="11173">
      <c r="A11173">
        <v>11172</v>
      </c>
      <c r="B11173">
        <f>GS90</f>
        <v>0</v>
      </c>
      <c r="C11173" t="inlineStr">
        <is>
          <t>+LS12</t>
        </is>
      </c>
      <c r="D11173" t="inlineStr">
        <is>
          <t>-578Q720.4</t>
        </is>
      </c>
      <c r="E11173" t="inlineStr">
        <is>
          <t>DILM-9-10</t>
        </is>
      </c>
      <c r="F11173" t="inlineStr">
        <is>
          <t>#KALK!</t>
        </is>
      </c>
      <c r="G11173" t="inlineStr">
        <is>
          <t>LASTSCHUETZ</t>
        </is>
      </c>
      <c r="H11173" t="inlineStr">
        <is>
          <t>4kW 1S Federzugkl.</t>
        </is>
      </c>
      <c r="I11173">
        <v>665</v>
      </c>
      <c r="J11173">
        <f>GS90/578.7</f>
        <v>0</v>
      </c>
      <c r="M11173" t="inlineStr">
        <is>
          <t>-578Q720.4</t>
        </is>
      </c>
    </row>
    <row r="11174">
      <c r="A11174">
        <v>11173</v>
      </c>
      <c r="B11174">
        <f>GS16</f>
        <v>0</v>
      </c>
      <c r="C11174" t="inlineStr">
        <is>
          <t>+LS10</t>
        </is>
      </c>
      <c r="D11174" t="inlineStr">
        <is>
          <t>-579K3507.6</t>
        </is>
      </c>
      <c r="E11174" t="inlineStr">
        <is>
          <t>DIL_EM-01-G</t>
        </is>
      </c>
      <c r="F11174" t="inlineStr">
        <is>
          <t>#KALK!</t>
        </is>
      </c>
      <c r="G11174" t="inlineStr">
        <is>
          <t>LASTSCHUETZ</t>
        </is>
      </c>
      <c r="H11174" t="inlineStr">
        <is>
          <t>4kW 1OE</t>
        </is>
      </c>
      <c r="I11174">
        <v>824</v>
      </c>
      <c r="J11174">
        <f>GS16/579.6</f>
        <v>0</v>
      </c>
      <c r="M11174" t="inlineStr">
        <is>
          <t>-579K3507.6</t>
        </is>
      </c>
    </row>
    <row r="11175">
      <c r="A11175">
        <v>11174</v>
      </c>
      <c r="B11175">
        <f>GS16</f>
        <v>0</v>
      </c>
      <c r="C11175" t="inlineStr">
        <is>
          <t>+LS10</t>
        </is>
      </c>
      <c r="D11175" t="inlineStr">
        <is>
          <t>-579K3507.7</t>
        </is>
      </c>
      <c r="E11175" t="inlineStr">
        <is>
          <t>DIL_EM-01-G</t>
        </is>
      </c>
      <c r="F11175" t="inlineStr">
        <is>
          <t>#KALK!</t>
        </is>
      </c>
      <c r="G11175" t="inlineStr">
        <is>
          <t>LASTSCHUETZ</t>
        </is>
      </c>
      <c r="H11175" t="inlineStr">
        <is>
          <t>4kW 1OE</t>
        </is>
      </c>
      <c r="I11175">
        <v>824</v>
      </c>
      <c r="J11175">
        <f>GS16/579.6</f>
        <v>0</v>
      </c>
      <c r="M11175" t="inlineStr">
        <is>
          <t>-579K3507.7</t>
        </is>
      </c>
    </row>
    <row r="11176">
      <c r="A11176">
        <v>11175</v>
      </c>
      <c r="B11176">
        <f>GS25</f>
        <v>0</v>
      </c>
      <c r="C11176" t="inlineStr">
        <is>
          <t>+LS13</t>
        </is>
      </c>
      <c r="D11176" t="inlineStr">
        <is>
          <t>-579K3538.7</t>
        </is>
      </c>
      <c r="E11176" t="inlineStr">
        <is>
          <t>DIL_EM-10-G</t>
        </is>
      </c>
      <c r="F11176" t="inlineStr">
        <is>
          <t>#KALK!</t>
        </is>
      </c>
      <c r="G11176" t="inlineStr">
        <is>
          <t>LASTSCHUETZ</t>
        </is>
      </c>
      <c r="H11176" t="inlineStr">
        <is>
          <t>4kW 1S</t>
        </is>
      </c>
      <c r="I11176">
        <v>706</v>
      </c>
      <c r="J11176">
        <f>GS25/579.7</f>
        <v>0</v>
      </c>
      <c r="M11176" t="inlineStr">
        <is>
          <t>-579K3538.7</t>
        </is>
      </c>
    </row>
    <row r="11177">
      <c r="A11177">
        <v>11176</v>
      </c>
      <c r="B11177">
        <f>GS01</f>
        <v>0</v>
      </c>
      <c r="C11177" t="inlineStr">
        <is>
          <t>+LS13</t>
        </is>
      </c>
      <c r="D11177" t="inlineStr">
        <is>
          <t>-579K40.2</t>
        </is>
      </c>
      <c r="E11177" t="inlineStr">
        <is>
          <t>DIL_EM-10-G</t>
        </is>
      </c>
      <c r="F11177" t="inlineStr">
        <is>
          <t>#KALK!</t>
        </is>
      </c>
      <c r="G11177" t="inlineStr">
        <is>
          <t>LASTSCHUETZ</t>
        </is>
      </c>
      <c r="H11177" t="inlineStr">
        <is>
          <t>4kW 1S</t>
        </is>
      </c>
      <c r="I11177">
        <v>748</v>
      </c>
      <c r="J11177">
        <f>GS01/579.6</f>
        <v>0</v>
      </c>
      <c r="M11177" t="inlineStr">
        <is>
          <t>-579K40.2</t>
        </is>
      </c>
    </row>
    <row r="11178">
      <c r="A11178">
        <v>11177</v>
      </c>
      <c r="B11178">
        <f>GS01</f>
        <v>0</v>
      </c>
      <c r="C11178" t="inlineStr">
        <is>
          <t>+LS13</t>
        </is>
      </c>
      <c r="D11178" t="inlineStr">
        <is>
          <t>-579K40.3</t>
        </is>
      </c>
      <c r="E11178" t="inlineStr">
        <is>
          <t>DIL_EM-10-G</t>
        </is>
      </c>
      <c r="F11178" t="inlineStr">
        <is>
          <t>#KALK!</t>
        </is>
      </c>
      <c r="G11178" t="inlineStr">
        <is>
          <t>LASTSCHUETZ</t>
        </is>
      </c>
      <c r="H11178" t="inlineStr">
        <is>
          <t>4kW 1S</t>
        </is>
      </c>
      <c r="I11178">
        <v>748</v>
      </c>
      <c r="J11178">
        <f>GS01/579.6</f>
        <v>0</v>
      </c>
      <c r="M11178" t="inlineStr">
        <is>
          <t>-579K40.3</t>
        </is>
      </c>
    </row>
    <row r="11179">
      <c r="A11179">
        <v>11178</v>
      </c>
      <c r="B11179">
        <f>GS51</f>
        <v>0</v>
      </c>
      <c r="C11179" t="inlineStr">
        <is>
          <t>+LS09</t>
        </is>
      </c>
      <c r="D11179" t="inlineStr">
        <is>
          <t>-580K1</t>
        </is>
      </c>
      <c r="E11179" t="inlineStr">
        <is>
          <t>DILA-22</t>
        </is>
      </c>
      <c r="F11179" t="inlineStr">
        <is>
          <t>#KALK!</t>
        </is>
      </c>
      <c r="G11179" t="inlineStr">
        <is>
          <t>HILFSSCHUETZ</t>
        </is>
      </c>
      <c r="H11179" t="inlineStr">
        <is>
          <t>2S 2Oe Federzugkl.</t>
        </is>
      </c>
      <c r="I11179">
        <v>741</v>
      </c>
      <c r="J11179">
        <f>GS51/580.7</f>
        <v>0</v>
      </c>
      <c r="M11179" t="inlineStr">
        <is>
          <t>-580K1</t>
        </is>
      </c>
    </row>
    <row r="11180">
      <c r="A11180">
        <v>11179</v>
      </c>
      <c r="B11180">
        <f>GS16</f>
        <v>0</v>
      </c>
      <c r="C11180" t="inlineStr">
        <is>
          <t>+LS10</t>
        </is>
      </c>
      <c r="D11180" t="inlineStr">
        <is>
          <t>-580K3508.5</t>
        </is>
      </c>
      <c r="E11180" t="inlineStr">
        <is>
          <t>DIL_EM-10-G</t>
        </is>
      </c>
      <c r="F11180" t="inlineStr">
        <is>
          <t>#KALK!</t>
        </is>
      </c>
      <c r="G11180" t="inlineStr">
        <is>
          <t>LASTSCHUETZ</t>
        </is>
      </c>
      <c r="H11180" t="inlineStr">
        <is>
          <t>4kW 1S</t>
        </is>
      </c>
      <c r="I11180">
        <v>825</v>
      </c>
      <c r="J11180">
        <f>GS16/580.7</f>
        <v>0</v>
      </c>
      <c r="M11180" t="inlineStr">
        <is>
          <t>-580K3508.5</t>
        </is>
      </c>
    </row>
    <row r="11181">
      <c r="A11181">
        <v>11180</v>
      </c>
      <c r="B11181">
        <f>GS14</f>
        <v>0</v>
      </c>
      <c r="C11181" t="inlineStr">
        <is>
          <t>+LS11</t>
        </is>
      </c>
      <c r="D11181" t="inlineStr">
        <is>
          <t>-580K3528.1</t>
        </is>
      </c>
      <c r="E11181" t="inlineStr">
        <is>
          <t>DIL_EM-10-G</t>
        </is>
      </c>
      <c r="F11181" t="inlineStr">
        <is>
          <t>#KALK!</t>
        </is>
      </c>
      <c r="G11181" t="inlineStr">
        <is>
          <t>LASTSCHUETZ</t>
        </is>
      </c>
      <c r="H11181" t="inlineStr">
        <is>
          <t>4kW 1S</t>
        </is>
      </c>
      <c r="I11181">
        <v>712</v>
      </c>
      <c r="J11181">
        <f>GS14/580.5</f>
        <v>0</v>
      </c>
      <c r="M11181" t="inlineStr">
        <is>
          <t>-580K3528.1</t>
        </is>
      </c>
    </row>
    <row r="11182">
      <c r="A11182">
        <v>11181</v>
      </c>
      <c r="B11182">
        <f>GS14</f>
        <v>0</v>
      </c>
      <c r="C11182" t="inlineStr">
        <is>
          <t>+LS11</t>
        </is>
      </c>
      <c r="D11182" t="inlineStr">
        <is>
          <t>-580K3528.2</t>
        </is>
      </c>
      <c r="E11182" t="inlineStr">
        <is>
          <t>DIL_EM-10-G</t>
        </is>
      </c>
      <c r="F11182" t="inlineStr">
        <is>
          <t>#KALK!</t>
        </is>
      </c>
      <c r="G11182" t="inlineStr">
        <is>
          <t>LASTSCHUETZ</t>
        </is>
      </c>
      <c r="H11182" t="inlineStr">
        <is>
          <t>4kW 1S</t>
        </is>
      </c>
      <c r="I11182">
        <v>712</v>
      </c>
      <c r="J11182">
        <f>GS14/580.6</f>
        <v>0</v>
      </c>
      <c r="M11182" t="inlineStr">
        <is>
          <t>-580K3528.2</t>
        </is>
      </c>
    </row>
    <row r="11183">
      <c r="A11183">
        <v>11182</v>
      </c>
      <c r="B11183">
        <f>GS14</f>
        <v>0</v>
      </c>
      <c r="C11183" t="inlineStr">
        <is>
          <t>+LS11</t>
        </is>
      </c>
      <c r="D11183" t="inlineStr">
        <is>
          <t>-580K3528.3</t>
        </is>
      </c>
      <c r="E11183" t="inlineStr">
        <is>
          <t>DIL_EM-01-G</t>
        </is>
      </c>
      <c r="F11183" t="inlineStr">
        <is>
          <t>#KALK!</t>
        </is>
      </c>
      <c r="G11183" t="inlineStr">
        <is>
          <t>LASTSCHUETZ</t>
        </is>
      </c>
      <c r="H11183" t="inlineStr">
        <is>
          <t>4kW 1OE</t>
        </is>
      </c>
      <c r="I11183">
        <v>712</v>
      </c>
      <c r="J11183">
        <f>GS14/580.7</f>
        <v>0</v>
      </c>
      <c r="M11183" t="inlineStr">
        <is>
          <t>-580K3528.3</t>
        </is>
      </c>
    </row>
    <row r="11184">
      <c r="A11184">
        <v>11183</v>
      </c>
      <c r="B11184">
        <f>GS14</f>
        <v>0</v>
      </c>
      <c r="C11184" t="inlineStr">
        <is>
          <t>+LS11</t>
        </is>
      </c>
      <c r="D11184" t="inlineStr">
        <is>
          <t>-580K3528.4</t>
        </is>
      </c>
      <c r="E11184" t="inlineStr">
        <is>
          <t>DIL_EM-01-G</t>
        </is>
      </c>
      <c r="F11184" t="inlineStr">
        <is>
          <t>#KALK!</t>
        </is>
      </c>
      <c r="G11184" t="inlineStr">
        <is>
          <t>LASTSCHUETZ</t>
        </is>
      </c>
      <c r="H11184" t="inlineStr">
        <is>
          <t>4kW 1OE</t>
        </is>
      </c>
      <c r="I11184">
        <v>712</v>
      </c>
      <c r="J11184">
        <f>GS14/580.8</f>
        <v>0</v>
      </c>
      <c r="M11184" t="inlineStr">
        <is>
          <t>-580K3528.4</t>
        </is>
      </c>
    </row>
    <row r="11185">
      <c r="A11185">
        <v>11184</v>
      </c>
      <c r="B11185">
        <f>GS25</f>
        <v>0</v>
      </c>
      <c r="C11185" t="inlineStr">
        <is>
          <t>+LS13</t>
        </is>
      </c>
      <c r="D11185" t="inlineStr">
        <is>
          <t>-580K3539.3</t>
        </is>
      </c>
      <c r="E11185" t="inlineStr">
        <is>
          <t>DIL_EM-10-G</t>
        </is>
      </c>
      <c r="F11185" t="inlineStr">
        <is>
          <t>#KALK!</t>
        </is>
      </c>
      <c r="G11185" t="inlineStr">
        <is>
          <t>LASTSCHUETZ</t>
        </is>
      </c>
      <c r="H11185" t="inlineStr">
        <is>
          <t>4kW 1S</t>
        </is>
      </c>
      <c r="I11185">
        <v>707</v>
      </c>
      <c r="J11185">
        <f>GS25/580.7</f>
        <v>0</v>
      </c>
      <c r="M11185" t="inlineStr">
        <is>
          <t>-580K3539.3</t>
        </is>
      </c>
    </row>
    <row r="11186">
      <c r="A11186">
        <v>11185</v>
      </c>
      <c r="B11186">
        <f>GS01</f>
        <v>0</v>
      </c>
      <c r="C11186" t="inlineStr">
        <is>
          <t>+LS13</t>
        </is>
      </c>
      <c r="D11186" t="inlineStr">
        <is>
          <t>-580K40.4</t>
        </is>
      </c>
      <c r="E11186" t="inlineStr">
        <is>
          <t>DIL_EM-10-G</t>
        </is>
      </c>
      <c r="F11186" t="inlineStr">
        <is>
          <t>#KALK!</t>
        </is>
      </c>
      <c r="G11186" t="inlineStr">
        <is>
          <t>LASTSCHUETZ</t>
        </is>
      </c>
      <c r="H11186" t="inlineStr">
        <is>
          <t>4kW 1S</t>
        </is>
      </c>
      <c r="I11186">
        <v>749</v>
      </c>
      <c r="J11186">
        <f>GS01/580.6</f>
        <v>0</v>
      </c>
      <c r="M11186" t="inlineStr">
        <is>
          <t>-580K40.4</t>
        </is>
      </c>
    </row>
    <row r="11187">
      <c r="A11187">
        <v>11186</v>
      </c>
      <c r="B11187">
        <f>GS01</f>
        <v>0</v>
      </c>
      <c r="C11187" t="inlineStr">
        <is>
          <t>+LS13</t>
        </is>
      </c>
      <c r="D11187" t="inlineStr">
        <is>
          <t>-580K40.5</t>
        </is>
      </c>
      <c r="E11187" t="inlineStr">
        <is>
          <t>DIL_EM-10-G</t>
        </is>
      </c>
      <c r="F11187" t="inlineStr">
        <is>
          <t>#KALK!</t>
        </is>
      </c>
      <c r="G11187" t="inlineStr">
        <is>
          <t>LASTSCHUETZ</t>
        </is>
      </c>
      <c r="H11187" t="inlineStr">
        <is>
          <t>4kW 1S</t>
        </is>
      </c>
      <c r="I11187">
        <v>749</v>
      </c>
      <c r="J11187">
        <f>GS01/580.6</f>
        <v>0</v>
      </c>
      <c r="M11187" t="inlineStr">
        <is>
          <t>-580K40.5</t>
        </is>
      </c>
    </row>
    <row r="11188">
      <c r="A11188">
        <v>11187</v>
      </c>
      <c r="B11188">
        <f>GS92</f>
        <v>0</v>
      </c>
      <c r="C11188" t="inlineStr">
        <is>
          <t>+LS10</t>
        </is>
      </c>
      <c r="D11188" t="inlineStr">
        <is>
          <t>-580K476.4</t>
        </is>
      </c>
      <c r="E11188" t="inlineStr">
        <is>
          <t>DILA-40</t>
        </is>
      </c>
      <c r="F11188" t="inlineStr">
        <is>
          <t>#KALK!</t>
        </is>
      </c>
      <c r="G11188" t="inlineStr">
        <is>
          <t>HILFSSCHUETZ</t>
        </is>
      </c>
      <c r="H11188" t="inlineStr">
        <is>
          <t>4S Federzugkl.</t>
        </is>
      </c>
      <c r="I11188">
        <v>720</v>
      </c>
      <c r="J11188">
        <f>GS92/580.7</f>
        <v>0</v>
      </c>
      <c r="M11188" t="inlineStr">
        <is>
          <t>-580K476.4</t>
        </is>
      </c>
    </row>
    <row r="11189">
      <c r="A11189">
        <v>11188</v>
      </c>
      <c r="B11189">
        <f>GS35</f>
        <v>0</v>
      </c>
      <c r="C11189" t="inlineStr">
        <is>
          <t>+LS14</t>
        </is>
      </c>
      <c r="D11189" t="inlineStr">
        <is>
          <t>-580K488.0</t>
        </is>
      </c>
      <c r="E11189" t="inlineStr">
        <is>
          <t>DILA-40</t>
        </is>
      </c>
      <c r="F11189" t="inlineStr">
        <is>
          <t>#KALK!</t>
        </is>
      </c>
      <c r="G11189" t="inlineStr">
        <is>
          <t>HILFSSCHUETZ</t>
        </is>
      </c>
      <c r="H11189" t="inlineStr">
        <is>
          <t>4S Federzugkl.</t>
        </is>
      </c>
      <c r="I11189">
        <v>734</v>
      </c>
      <c r="J11189">
        <f>GS35/580.7</f>
        <v>0</v>
      </c>
      <c r="M11189" t="inlineStr">
        <is>
          <t>-580K488.0</t>
        </is>
      </c>
    </row>
    <row r="11190">
      <c r="A11190">
        <v>11189</v>
      </c>
      <c r="B11190">
        <f>GS35</f>
        <v>0</v>
      </c>
      <c r="C11190" t="inlineStr">
        <is>
          <t>+LS14</t>
        </is>
      </c>
      <c r="D11190" t="inlineStr">
        <is>
          <t>-580Q1</t>
        </is>
      </c>
      <c r="E11190" t="inlineStr">
        <is>
          <t>DILM-25-10</t>
        </is>
      </c>
      <c r="F11190" t="inlineStr">
        <is>
          <t>DILA-XHI22</t>
        </is>
      </c>
      <c r="G11190" t="inlineStr">
        <is>
          <t>LASTSCHUETZ</t>
        </is>
      </c>
      <c r="H11190" t="inlineStr">
        <is>
          <t>11kW 1S Federzugkl.</t>
        </is>
      </c>
      <c r="I11190">
        <v>734</v>
      </c>
      <c r="J11190">
        <f>GS35/580.4</f>
        <v>0</v>
      </c>
      <c r="K11190" t="inlineStr">
        <is>
          <t>DIL MC25</t>
        </is>
      </c>
      <c r="M11190" t="inlineStr">
        <is>
          <t>-580Q1</t>
        </is>
      </c>
    </row>
    <row r="11191">
      <c r="A11191">
        <v>11190</v>
      </c>
      <c r="B11191">
        <f>GS35</f>
        <v>0</v>
      </c>
      <c r="C11191" t="inlineStr">
        <is>
          <t>+LS14</t>
        </is>
      </c>
      <c r="D11191" t="inlineStr">
        <is>
          <t>-580Q1</t>
        </is>
      </c>
      <c r="E11191" t="inlineStr">
        <is>
          <t>DILA-XHI22</t>
        </is>
      </c>
      <c r="F11191" t="inlineStr">
        <is>
          <t>DILA-XHI22</t>
        </is>
      </c>
      <c r="G11191" t="inlineStr">
        <is>
          <t>HILFSKONTAKTBLOCK</t>
        </is>
      </c>
      <c r="H11191" t="inlineStr">
        <is>
          <t>2S 2OE Last+Hilfssch. Cage</t>
        </is>
      </c>
      <c r="I11191">
        <v>734</v>
      </c>
      <c r="J11191">
        <f>GS35/580.4</f>
        <v>0</v>
      </c>
      <c r="K11191" t="inlineStr">
        <is>
          <t>DIL MC25</t>
        </is>
      </c>
      <c r="M11191" t="inlineStr">
        <is>
          <t>-580Q1</t>
        </is>
      </c>
    </row>
    <row r="11192">
      <c r="A11192">
        <v>11191</v>
      </c>
      <c r="B11192">
        <f>GS51</f>
        <v>0</v>
      </c>
      <c r="C11192" t="inlineStr">
        <is>
          <t>+LS09</t>
        </is>
      </c>
      <c r="D11192" t="inlineStr">
        <is>
          <t>-580Q1</t>
        </is>
      </c>
      <c r="E11192" t="inlineStr">
        <is>
          <t>DILM150-XHIC22</t>
        </is>
      </c>
      <c r="F11192" t="inlineStr">
        <is>
          <t>DILM150-XHIC22</t>
        </is>
      </c>
      <c r="G11192" t="inlineStr">
        <is>
          <t>HILFSKONTAKTBLOCK</t>
        </is>
      </c>
      <c r="H11192" t="inlineStr">
        <is>
          <t>2S 2OE ab DILMC40</t>
        </is>
      </c>
      <c r="I11192">
        <v>741</v>
      </c>
      <c r="J11192">
        <f>GS51/580.6</f>
        <v>0</v>
      </c>
      <c r="M11192" t="inlineStr">
        <is>
          <t>-580Q1</t>
        </is>
      </c>
    </row>
    <row r="11193">
      <c r="A11193">
        <v>11192</v>
      </c>
      <c r="B11193">
        <f>GS92</f>
        <v>0</v>
      </c>
      <c r="C11193" t="inlineStr">
        <is>
          <t>+LS10</t>
        </is>
      </c>
      <c r="D11193" t="inlineStr">
        <is>
          <t>-580Q1</t>
        </is>
      </c>
      <c r="E11193" t="inlineStr">
        <is>
          <t>DILMC25-10(RDC24)</t>
        </is>
      </c>
      <c r="F11193" t="inlineStr">
        <is>
          <t>DILA-XHI22</t>
        </is>
      </c>
      <c r="G11193" t="inlineStr">
        <is>
          <t>LASTSCHUETZ</t>
        </is>
      </c>
      <c r="H11193" t="inlineStr">
        <is>
          <t>11kW 1S Federzugkl.</t>
        </is>
      </c>
      <c r="I11193">
        <v>720</v>
      </c>
      <c r="J11193">
        <f>GS92/580.4</f>
        <v>0</v>
      </c>
      <c r="K11193" t="inlineStr">
        <is>
          <t>DIL MC25</t>
        </is>
      </c>
      <c r="M11193" t="inlineStr">
        <is>
          <t>-580Q1</t>
        </is>
      </c>
    </row>
    <row r="11194">
      <c r="A11194">
        <v>11193</v>
      </c>
      <c r="B11194">
        <f>GS92</f>
        <v>0</v>
      </c>
      <c r="C11194" t="inlineStr">
        <is>
          <t>+LS10</t>
        </is>
      </c>
      <c r="D11194" t="inlineStr">
        <is>
          <t>-580Q1</t>
        </is>
      </c>
      <c r="E11194" t="inlineStr">
        <is>
          <t>DILA-XHI22</t>
        </is>
      </c>
      <c r="F11194" t="inlineStr">
        <is>
          <t>DILA-XHI22</t>
        </is>
      </c>
      <c r="G11194" t="inlineStr">
        <is>
          <t>HILFSKONTAKTBLOCK</t>
        </is>
      </c>
      <c r="H11194" t="inlineStr">
        <is>
          <t>2S 2OE Last+Hilfssch. Cage</t>
        </is>
      </c>
      <c r="I11194">
        <v>720</v>
      </c>
      <c r="J11194">
        <f>GS92/580.4</f>
        <v>0</v>
      </c>
      <c r="K11194" t="inlineStr">
        <is>
          <t>DIL MC25</t>
        </is>
      </c>
      <c r="M11194" t="inlineStr">
        <is>
          <t>-580Q1</t>
        </is>
      </c>
    </row>
    <row r="11195">
      <c r="A11195">
        <v>11194</v>
      </c>
      <c r="B11195">
        <f>GS90</f>
        <v>0</v>
      </c>
      <c r="C11195" t="inlineStr">
        <is>
          <t>+LS12</t>
        </is>
      </c>
      <c r="D11195" t="inlineStr">
        <is>
          <t>-580Q721.0</t>
        </is>
      </c>
      <c r="E11195" t="inlineStr">
        <is>
          <t>DILM-9-10</t>
        </is>
      </c>
      <c r="F11195" t="inlineStr">
        <is>
          <t>#KALK!</t>
        </is>
      </c>
      <c r="G11195" t="inlineStr">
        <is>
          <t>LASTSCHUETZ</t>
        </is>
      </c>
      <c r="H11195" t="inlineStr">
        <is>
          <t>4kW 1S Federzugkl.</t>
        </is>
      </c>
      <c r="I11195">
        <v>664</v>
      </c>
      <c r="J11195">
        <f>GS90/580.5</f>
        <v>0</v>
      </c>
      <c r="M11195" t="inlineStr">
        <is>
          <t>-580Q721.0</t>
        </is>
      </c>
    </row>
    <row r="11196">
      <c r="A11196">
        <v>11195</v>
      </c>
      <c r="B11196">
        <f>GS08</f>
        <v>0</v>
      </c>
      <c r="C11196" t="inlineStr">
        <is>
          <t>+LS09</t>
        </is>
      </c>
      <c r="D11196" t="inlineStr">
        <is>
          <t>-581K1</t>
        </is>
      </c>
      <c r="E11196" t="inlineStr">
        <is>
          <t>DILA-XHIC31</t>
        </is>
      </c>
      <c r="F11196" t="inlineStr">
        <is>
          <t>DILA-XHIC31</t>
        </is>
      </c>
      <c r="G11196" t="inlineStr">
        <is>
          <t>HILFSKONTAKTBLOCK</t>
        </is>
      </c>
      <c r="H11196" t="inlineStr">
        <is>
          <t>3S 1OE Last+Hilfssch. Cage</t>
        </is>
      </c>
      <c r="I11196">
        <v>2142</v>
      </c>
      <c r="J11196">
        <f>GS08/581.6</f>
        <v>0</v>
      </c>
      <c r="M11196" t="inlineStr">
        <is>
          <t>-581K1</t>
        </is>
      </c>
    </row>
    <row r="11197">
      <c r="A11197">
        <v>11196</v>
      </c>
      <c r="B11197">
        <f>GS08</f>
        <v>0</v>
      </c>
      <c r="C11197" t="inlineStr">
        <is>
          <t>+LS09</t>
        </is>
      </c>
      <c r="D11197" t="inlineStr">
        <is>
          <t>-581K1</t>
        </is>
      </c>
      <c r="E11197" t="inlineStr">
        <is>
          <t>DILA-40</t>
        </is>
      </c>
      <c r="F11197" t="inlineStr">
        <is>
          <t>DILA-XHIC31</t>
        </is>
      </c>
      <c r="G11197" t="inlineStr">
        <is>
          <t>HILFSSCHUETZ</t>
        </is>
      </c>
      <c r="H11197" t="inlineStr">
        <is>
          <t>4S Federzugkl.</t>
        </is>
      </c>
      <c r="I11197">
        <v>2142</v>
      </c>
      <c r="J11197">
        <f>GS08/581.6</f>
        <v>0</v>
      </c>
      <c r="M11197" t="inlineStr">
        <is>
          <t>-581K1</t>
        </is>
      </c>
    </row>
    <row r="11198">
      <c r="A11198">
        <v>11197</v>
      </c>
      <c r="B11198">
        <f>GS15</f>
        <v>0</v>
      </c>
      <c r="C11198" t="inlineStr">
        <is>
          <t>+LS11</t>
        </is>
      </c>
      <c r="D11198" t="inlineStr">
        <is>
          <t>-581K1</t>
        </is>
      </c>
      <c r="E11198" t="inlineStr">
        <is>
          <t>22_DIL-M</t>
        </is>
      </c>
      <c r="F11198" t="inlineStr">
        <is>
          <t>22_DIL-M</t>
        </is>
      </c>
      <c r="G11198" t="inlineStr">
        <is>
          <t>HILFSKONTAKTBLOCK</t>
        </is>
      </c>
      <c r="H11198" t="inlineStr">
        <is>
          <t>2S 2OE Lastschuetz DIL M</t>
        </is>
      </c>
      <c r="I11198">
        <v>1092</v>
      </c>
      <c r="J11198">
        <f>GS15/581.2</f>
        <v>0</v>
      </c>
      <c r="K11198" t="inlineStr">
        <is>
          <t>DIL0AM</t>
        </is>
      </c>
      <c r="M11198" t="inlineStr">
        <is>
          <t>-581K1</t>
        </is>
      </c>
    </row>
    <row r="11199">
      <c r="A11199">
        <v>11198</v>
      </c>
      <c r="B11199">
        <f>GS15</f>
        <v>0</v>
      </c>
      <c r="C11199" t="inlineStr">
        <is>
          <t>+LS11</t>
        </is>
      </c>
      <c r="D11199" t="inlineStr">
        <is>
          <t>-581K1</t>
        </is>
      </c>
      <c r="E11199" t="inlineStr">
        <is>
          <t>DIL_0AM</t>
        </is>
      </c>
      <c r="F11199" t="inlineStr">
        <is>
          <t>22_DIL-M</t>
        </is>
      </c>
      <c r="G11199" t="inlineStr">
        <is>
          <t>LASTSCHUETZ</t>
        </is>
      </c>
      <c r="H11199" t="inlineStr">
        <is>
          <t>11 kW</t>
        </is>
      </c>
      <c r="I11199">
        <v>1092</v>
      </c>
      <c r="J11199">
        <f>GS15/581.2</f>
        <v>0</v>
      </c>
      <c r="K11199" t="inlineStr">
        <is>
          <t>DIL0AM</t>
        </is>
      </c>
      <c r="M11199" t="inlineStr">
        <is>
          <t>-581K1</t>
        </is>
      </c>
    </row>
    <row r="11200">
      <c r="A11200">
        <v>11199</v>
      </c>
      <c r="B11200">
        <f>GS08</f>
        <v>0</v>
      </c>
      <c r="C11200" t="inlineStr">
        <is>
          <t>+LS09</t>
        </is>
      </c>
      <c r="D11200" t="inlineStr">
        <is>
          <t>-581K2</t>
        </is>
      </c>
      <c r="E11200" t="inlineStr">
        <is>
          <t>DILA-XHIC31</t>
        </is>
      </c>
      <c r="F11200" t="inlineStr">
        <is>
          <t>DILA-XHIC31</t>
        </is>
      </c>
      <c r="G11200" t="inlineStr">
        <is>
          <t>HILFSKONTAKTBLOCK</t>
        </is>
      </c>
      <c r="H11200" t="inlineStr">
        <is>
          <t>3S 1OE Last+Hilfssch. Cage</t>
        </is>
      </c>
      <c r="I11200">
        <v>2142</v>
      </c>
      <c r="J11200">
        <f>GS08/581.7</f>
        <v>0</v>
      </c>
      <c r="M11200" t="inlineStr">
        <is>
          <t>-581K2</t>
        </is>
      </c>
    </row>
    <row r="11201">
      <c r="A11201">
        <v>11200</v>
      </c>
      <c r="B11201">
        <f>GS08</f>
        <v>0</v>
      </c>
      <c r="C11201" t="inlineStr">
        <is>
          <t>+LS09</t>
        </is>
      </c>
      <c r="D11201" t="inlineStr">
        <is>
          <t>-581K2</t>
        </is>
      </c>
      <c r="E11201" t="inlineStr">
        <is>
          <t>DILA-40</t>
        </is>
      </c>
      <c r="F11201" t="inlineStr">
        <is>
          <t>DILA-XHIC31</t>
        </is>
      </c>
      <c r="G11201" t="inlineStr">
        <is>
          <t>HILFSSCHUETZ</t>
        </is>
      </c>
      <c r="H11201" t="inlineStr">
        <is>
          <t>4S Federzugkl.</t>
        </is>
      </c>
      <c r="I11201">
        <v>2142</v>
      </c>
      <c r="J11201">
        <f>GS08/581.7</f>
        <v>0</v>
      </c>
      <c r="M11201" t="inlineStr">
        <is>
          <t>-581K2</t>
        </is>
      </c>
    </row>
    <row r="11202">
      <c r="A11202">
        <v>11201</v>
      </c>
      <c r="B11202">
        <f>GS16</f>
        <v>0</v>
      </c>
      <c r="C11202" t="inlineStr">
        <is>
          <t>+LS10</t>
        </is>
      </c>
      <c r="D11202" t="inlineStr">
        <is>
          <t>-581K3509.0</t>
        </is>
      </c>
      <c r="E11202" t="inlineStr">
        <is>
          <t>DIL_EM-01-G</t>
        </is>
      </c>
      <c r="F11202" t="inlineStr">
        <is>
          <t>#KALK!</t>
        </is>
      </c>
      <c r="G11202" t="inlineStr">
        <is>
          <t>LASTSCHUETZ</t>
        </is>
      </c>
      <c r="H11202" t="inlineStr">
        <is>
          <t>4kW 1OE</t>
        </is>
      </c>
      <c r="I11202">
        <v>826</v>
      </c>
      <c r="J11202">
        <f>GS16/581.6</f>
        <v>0</v>
      </c>
      <c r="M11202" t="inlineStr">
        <is>
          <t>-581K3509.0</t>
        </is>
      </c>
    </row>
    <row r="11203">
      <c r="A11203">
        <v>11202</v>
      </c>
      <c r="B11203">
        <f>GS16</f>
        <v>0</v>
      </c>
      <c r="C11203" t="inlineStr">
        <is>
          <t>+LS10</t>
        </is>
      </c>
      <c r="D11203" t="inlineStr">
        <is>
          <t>-581K3509.1</t>
        </is>
      </c>
      <c r="E11203" t="inlineStr">
        <is>
          <t>DIL_EM-01-G</t>
        </is>
      </c>
      <c r="F11203" t="inlineStr">
        <is>
          <t>#KALK!</t>
        </is>
      </c>
      <c r="G11203" t="inlineStr">
        <is>
          <t>LASTSCHUETZ</t>
        </is>
      </c>
      <c r="H11203" t="inlineStr">
        <is>
          <t>4kW 1OE</t>
        </is>
      </c>
      <c r="I11203">
        <v>826</v>
      </c>
      <c r="J11203">
        <f>GS16/581.6</f>
        <v>0</v>
      </c>
      <c r="M11203" t="inlineStr">
        <is>
          <t>-581K3509.1</t>
        </is>
      </c>
    </row>
    <row r="11204">
      <c r="A11204">
        <v>11203</v>
      </c>
      <c r="B11204">
        <f>GS14</f>
        <v>0</v>
      </c>
      <c r="C11204" t="inlineStr">
        <is>
          <t>+LS11</t>
        </is>
      </c>
      <c r="D11204" t="inlineStr">
        <is>
          <t>-581K3528.5</t>
        </is>
      </c>
      <c r="E11204" t="inlineStr">
        <is>
          <t>DIL_EM-10-G</t>
        </is>
      </c>
      <c r="F11204" t="inlineStr">
        <is>
          <t>#KALK!</t>
        </is>
      </c>
      <c r="G11204" t="inlineStr">
        <is>
          <t>LASTSCHUETZ</t>
        </is>
      </c>
      <c r="H11204" t="inlineStr">
        <is>
          <t>4kW 1S</t>
        </is>
      </c>
      <c r="I11204">
        <v>713</v>
      </c>
      <c r="J11204">
        <f>GS14/581.6</f>
        <v>0</v>
      </c>
      <c r="M11204" t="inlineStr">
        <is>
          <t>-581K3528.5</t>
        </is>
      </c>
    </row>
    <row r="11205">
      <c r="A11205">
        <v>11204</v>
      </c>
      <c r="B11205">
        <f>GS14</f>
        <v>0</v>
      </c>
      <c r="C11205" t="inlineStr">
        <is>
          <t>+LS11</t>
        </is>
      </c>
      <c r="D11205" t="inlineStr">
        <is>
          <t>-581K3528.6</t>
        </is>
      </c>
      <c r="E11205" t="inlineStr">
        <is>
          <t>DIL_EM-10-G</t>
        </is>
      </c>
      <c r="F11205" t="inlineStr">
        <is>
          <t>#KALK!</t>
        </is>
      </c>
      <c r="G11205" t="inlineStr">
        <is>
          <t>LASTSCHUETZ</t>
        </is>
      </c>
      <c r="H11205" t="inlineStr">
        <is>
          <t>4kW 1S</t>
        </is>
      </c>
      <c r="I11205">
        <v>713</v>
      </c>
      <c r="J11205">
        <f>GS14/581.6</f>
        <v>0</v>
      </c>
      <c r="M11205" t="inlineStr">
        <is>
          <t>-581K3528.6</t>
        </is>
      </c>
    </row>
    <row r="11206">
      <c r="A11206">
        <v>11205</v>
      </c>
      <c r="B11206">
        <f>GS25</f>
        <v>0</v>
      </c>
      <c r="C11206" t="inlineStr">
        <is>
          <t>+LS13</t>
        </is>
      </c>
      <c r="D11206" t="inlineStr">
        <is>
          <t>-581K3539.4</t>
        </is>
      </c>
      <c r="E11206" t="inlineStr">
        <is>
          <t>DIL_EM-10-G</t>
        </is>
      </c>
      <c r="F11206" t="inlineStr">
        <is>
          <t>#KALK!</t>
        </is>
      </c>
      <c r="G11206" t="inlineStr">
        <is>
          <t>LASTSCHUETZ</t>
        </is>
      </c>
      <c r="H11206" t="inlineStr">
        <is>
          <t>4kW 1S</t>
        </is>
      </c>
      <c r="I11206">
        <v>708</v>
      </c>
      <c r="J11206">
        <f>GS25/581.6</f>
        <v>0</v>
      </c>
      <c r="M11206" t="inlineStr">
        <is>
          <t>-581K3539.4</t>
        </is>
      </c>
    </row>
    <row r="11207">
      <c r="A11207">
        <v>11206</v>
      </c>
      <c r="B11207">
        <f>GS01</f>
        <v>0</v>
      </c>
      <c r="C11207" t="inlineStr">
        <is>
          <t>+LS13</t>
        </is>
      </c>
      <c r="D11207" t="inlineStr">
        <is>
          <t>-581K40.6</t>
        </is>
      </c>
      <c r="E11207" t="inlineStr">
        <is>
          <t>DIL_EM-10-G</t>
        </is>
      </c>
      <c r="F11207" t="inlineStr">
        <is>
          <t>#KALK!</t>
        </is>
      </c>
      <c r="G11207" t="inlineStr">
        <is>
          <t>LASTSCHUETZ</t>
        </is>
      </c>
      <c r="H11207" t="inlineStr">
        <is>
          <t>4kW 1S</t>
        </is>
      </c>
      <c r="I11207">
        <v>750</v>
      </c>
      <c r="J11207">
        <f>GS01/581.6</f>
        <v>0</v>
      </c>
      <c r="M11207" t="inlineStr">
        <is>
          <t>-581K40.6</t>
        </is>
      </c>
    </row>
    <row r="11208">
      <c r="A11208">
        <v>11207</v>
      </c>
      <c r="B11208">
        <f>GS01</f>
        <v>0</v>
      </c>
      <c r="C11208" t="inlineStr">
        <is>
          <t>+LS13</t>
        </is>
      </c>
      <c r="D11208" t="inlineStr">
        <is>
          <t>-581K40.7</t>
        </is>
      </c>
      <c r="E11208" t="inlineStr">
        <is>
          <t>DIL_EM-10-G</t>
        </is>
      </c>
      <c r="F11208" t="inlineStr">
        <is>
          <t>#KALK!</t>
        </is>
      </c>
      <c r="G11208" t="inlineStr">
        <is>
          <t>LASTSCHUETZ</t>
        </is>
      </c>
      <c r="H11208" t="inlineStr">
        <is>
          <t>4kW 1S</t>
        </is>
      </c>
      <c r="I11208">
        <v>750</v>
      </c>
      <c r="J11208">
        <f>GS01/581.6</f>
        <v>0</v>
      </c>
      <c r="M11208" t="inlineStr">
        <is>
          <t>-581K40.7</t>
        </is>
      </c>
    </row>
    <row r="11209">
      <c r="A11209">
        <v>11208</v>
      </c>
      <c r="B11209">
        <f>GS51</f>
        <v>0</v>
      </c>
      <c r="C11209" t="inlineStr">
        <is>
          <t>+LS09</t>
        </is>
      </c>
      <c r="D11209" t="inlineStr">
        <is>
          <t>-581Q164.1</t>
        </is>
      </c>
      <c r="E11209" t="inlineStr">
        <is>
          <t>DILM-9-10</t>
        </is>
      </c>
      <c r="F11209" t="inlineStr">
        <is>
          <t>#KALK!</t>
        </is>
      </c>
      <c r="G11209" t="inlineStr">
        <is>
          <t>LASTSCHUETZ</t>
        </is>
      </c>
      <c r="H11209" t="inlineStr">
        <is>
          <t>4kW 1S Federzugkl.</t>
        </is>
      </c>
      <c r="I11209">
        <v>740</v>
      </c>
      <c r="J11209">
        <f>GS51/581.6</f>
        <v>0</v>
      </c>
      <c r="K11209" t="inlineStr">
        <is>
          <t>DIL MC9</t>
        </is>
      </c>
      <c r="M11209" t="inlineStr">
        <is>
          <t>-581Q164.1</t>
        </is>
      </c>
    </row>
    <row r="11210">
      <c r="A11210">
        <v>11209</v>
      </c>
      <c r="B11210">
        <f>GS25</f>
        <v>0</v>
      </c>
      <c r="C11210" t="inlineStr">
        <is>
          <t>+LS13</t>
        </is>
      </c>
      <c r="D11210" t="inlineStr">
        <is>
          <t>-5823539.5</t>
        </is>
      </c>
      <c r="E11210" t="inlineStr">
        <is>
          <t>DIL_EM-10-G</t>
        </is>
      </c>
      <c r="F11210" t="inlineStr">
        <is>
          <t>#KALK!</t>
        </is>
      </c>
      <c r="G11210" t="inlineStr">
        <is>
          <t>LASTSCHUETZ</t>
        </is>
      </c>
      <c r="H11210" t="inlineStr">
        <is>
          <t>4kW 1S</t>
        </is>
      </c>
      <c r="I11210">
        <v>709</v>
      </c>
      <c r="J11210">
        <f>GS25/582.6</f>
        <v>0</v>
      </c>
      <c r="M11210" t="inlineStr">
        <is>
          <t>-5823539.5</t>
        </is>
      </c>
    </row>
    <row r="11211">
      <c r="A11211">
        <v>11210</v>
      </c>
      <c r="B11211">
        <f>GS25</f>
        <v>0</v>
      </c>
      <c r="C11211" t="inlineStr">
        <is>
          <t>+LS13</t>
        </is>
      </c>
      <c r="D11211" t="inlineStr">
        <is>
          <t>-5823539.6</t>
        </is>
      </c>
      <c r="E11211" t="inlineStr">
        <is>
          <t>DIL_EM-10-G</t>
        </is>
      </c>
      <c r="F11211" t="inlineStr">
        <is>
          <t>#KALK!</t>
        </is>
      </c>
      <c r="G11211" t="inlineStr">
        <is>
          <t>LASTSCHUETZ</t>
        </is>
      </c>
      <c r="H11211" t="inlineStr">
        <is>
          <t>4kW 1S</t>
        </is>
      </c>
      <c r="I11211">
        <v>709</v>
      </c>
      <c r="J11211">
        <f>GS25/582.7</f>
        <v>0</v>
      </c>
      <c r="M11211" t="inlineStr">
        <is>
          <t>-5823539.6</t>
        </is>
      </c>
    </row>
    <row r="11212">
      <c r="A11212">
        <v>11211</v>
      </c>
      <c r="B11212">
        <f>GS24</f>
        <v>0</v>
      </c>
      <c r="C11212" t="inlineStr">
        <is>
          <t>+LS12</t>
        </is>
      </c>
      <c r="D11212" t="inlineStr">
        <is>
          <t>-582K1</t>
        </is>
      </c>
      <c r="E11212" t="inlineStr">
        <is>
          <t>22_DIL-M</t>
        </is>
      </c>
      <c r="F11212" t="inlineStr">
        <is>
          <t>22_DIL-M</t>
        </is>
      </c>
      <c r="G11212" t="inlineStr">
        <is>
          <t>HILFSKONTAKTBLOCK</t>
        </is>
      </c>
      <c r="H11212" t="inlineStr">
        <is>
          <t>2S 2OE Lastschuetz DIL M</t>
        </is>
      </c>
      <c r="I11212">
        <v>514</v>
      </c>
      <c r="J11212">
        <f>GS24/582.2</f>
        <v>0</v>
      </c>
      <c r="K11212" t="inlineStr">
        <is>
          <t>DIL0AM</t>
        </is>
      </c>
      <c r="M11212" t="inlineStr">
        <is>
          <t>-582K1</t>
        </is>
      </c>
    </row>
    <row r="11213">
      <c r="A11213">
        <v>11212</v>
      </c>
      <c r="B11213">
        <f>GS24</f>
        <v>0</v>
      </c>
      <c r="C11213" t="inlineStr">
        <is>
          <t>+LS12</t>
        </is>
      </c>
      <c r="D11213" t="inlineStr">
        <is>
          <t>-582K1</t>
        </is>
      </c>
      <c r="E11213" t="inlineStr">
        <is>
          <t>DIL_0AM</t>
        </is>
      </c>
      <c r="F11213" t="inlineStr">
        <is>
          <t>22_DIL-M</t>
        </is>
      </c>
      <c r="G11213" t="inlineStr">
        <is>
          <t>LASTSCHUETZ</t>
        </is>
      </c>
      <c r="H11213" t="inlineStr">
        <is>
          <t>11 kW</t>
        </is>
      </c>
      <c r="I11213">
        <v>514</v>
      </c>
      <c r="J11213">
        <f>GS24/582.2</f>
        <v>0</v>
      </c>
      <c r="K11213" t="inlineStr">
        <is>
          <t>DIL0AM</t>
        </is>
      </c>
      <c r="M11213" t="inlineStr">
        <is>
          <t>-582K1</t>
        </is>
      </c>
    </row>
    <row r="11214">
      <c r="A11214">
        <v>11213</v>
      </c>
      <c r="B11214">
        <f>GS01</f>
        <v>0</v>
      </c>
      <c r="C11214" t="inlineStr">
        <is>
          <t>+LS13</t>
        </is>
      </c>
      <c r="D11214" t="inlineStr">
        <is>
          <t>-582K41.3</t>
        </is>
      </c>
      <c r="E11214" t="inlineStr">
        <is>
          <t>DIL_EM-10-G</t>
        </is>
      </c>
      <c r="F11214" t="inlineStr">
        <is>
          <t>#KALK!</t>
        </is>
      </c>
      <c r="G11214" t="inlineStr">
        <is>
          <t>LASTSCHUETZ</t>
        </is>
      </c>
      <c r="H11214" t="inlineStr">
        <is>
          <t>4kW 1S</t>
        </is>
      </c>
      <c r="I11214">
        <v>751</v>
      </c>
      <c r="J11214">
        <f>GS01/582.7</f>
        <v>0</v>
      </c>
      <c r="M11214" t="inlineStr">
        <is>
          <t>-582K41.3</t>
        </is>
      </c>
    </row>
    <row r="11215">
      <c r="A11215">
        <v>11214</v>
      </c>
      <c r="B11215">
        <f>GS90</f>
        <v>0</v>
      </c>
      <c r="C11215" t="inlineStr">
        <is>
          <t>+LS12</t>
        </is>
      </c>
      <c r="D11215" t="inlineStr">
        <is>
          <t>-582Q721.1</t>
        </is>
      </c>
      <c r="E11215" t="inlineStr">
        <is>
          <t>DILM-9-10</t>
        </is>
      </c>
      <c r="F11215" t="inlineStr">
        <is>
          <t>#KALK!</t>
        </is>
      </c>
      <c r="G11215" t="inlineStr">
        <is>
          <t>LASTSCHUETZ</t>
        </is>
      </c>
      <c r="H11215" t="inlineStr">
        <is>
          <t>4kW 1S Federzugkl.</t>
        </is>
      </c>
      <c r="I11215">
        <v>662</v>
      </c>
      <c r="J11215">
        <f>GS90/582.5</f>
        <v>0</v>
      </c>
      <c r="M11215" t="inlineStr">
        <is>
          <t>-582Q721.1</t>
        </is>
      </c>
    </row>
    <row r="11216">
      <c r="A11216">
        <v>11215</v>
      </c>
      <c r="B11216">
        <f>GS15</f>
        <v>0</v>
      </c>
      <c r="C11216" t="inlineStr">
        <is>
          <t>+LS11</t>
        </is>
      </c>
      <c r="D11216" t="inlineStr">
        <is>
          <t>-583K3514.5</t>
        </is>
      </c>
      <c r="E11216" t="inlineStr">
        <is>
          <t>DIL_EM-10-G</t>
        </is>
      </c>
      <c r="F11216" t="inlineStr">
        <is>
          <t>#KALK!</t>
        </is>
      </c>
      <c r="G11216" t="inlineStr">
        <is>
          <t>LASTSCHUETZ</t>
        </is>
      </c>
      <c r="H11216" t="inlineStr">
        <is>
          <t>4kW 1S</t>
        </is>
      </c>
      <c r="I11216">
        <v>1094</v>
      </c>
      <c r="J11216">
        <f>GS15/583.6</f>
        <v>0</v>
      </c>
      <c r="M11216" t="inlineStr">
        <is>
          <t>-583K3514.5</t>
        </is>
      </c>
    </row>
    <row r="11217">
      <c r="A11217">
        <v>11216</v>
      </c>
      <c r="B11217">
        <f>GS15</f>
        <v>0</v>
      </c>
      <c r="C11217" t="inlineStr">
        <is>
          <t>+LS11</t>
        </is>
      </c>
      <c r="D11217" t="inlineStr">
        <is>
          <t>-583K3514.6</t>
        </is>
      </c>
      <c r="E11217" t="inlineStr">
        <is>
          <t>DIL_EM-10-G</t>
        </is>
      </c>
      <c r="F11217" t="inlineStr">
        <is>
          <t>#KALK!</t>
        </is>
      </c>
      <c r="G11217" t="inlineStr">
        <is>
          <t>LASTSCHUETZ</t>
        </is>
      </c>
      <c r="H11217" t="inlineStr">
        <is>
          <t>4kW 1S</t>
        </is>
      </c>
      <c r="I11217">
        <v>1094</v>
      </c>
      <c r="J11217">
        <f>GS15/583.7</f>
        <v>0</v>
      </c>
      <c r="M11217" t="inlineStr">
        <is>
          <t>-583K3514.6</t>
        </is>
      </c>
    </row>
    <row r="11218">
      <c r="A11218">
        <v>11217</v>
      </c>
      <c r="B11218">
        <f>GS25</f>
        <v>0</v>
      </c>
      <c r="C11218" t="inlineStr">
        <is>
          <t>+LS13</t>
        </is>
      </c>
      <c r="D11218" t="inlineStr">
        <is>
          <t>-583K3539.7</t>
        </is>
      </c>
      <c r="E11218" t="inlineStr">
        <is>
          <t>DIL_EM-10-G</t>
        </is>
      </c>
      <c r="F11218" t="inlineStr">
        <is>
          <t>#KALK!</t>
        </is>
      </c>
      <c r="G11218" t="inlineStr">
        <is>
          <t>LASTSCHUETZ</t>
        </is>
      </c>
      <c r="H11218" t="inlineStr">
        <is>
          <t>4kW 1S</t>
        </is>
      </c>
      <c r="I11218">
        <v>710</v>
      </c>
      <c r="J11218">
        <f>GS25/583.6</f>
        <v>0</v>
      </c>
      <c r="M11218" t="inlineStr">
        <is>
          <t>-583K3539.7</t>
        </is>
      </c>
    </row>
    <row r="11219">
      <c r="A11219">
        <v>11218</v>
      </c>
      <c r="B11219">
        <f>GS25</f>
        <v>0</v>
      </c>
      <c r="C11219" t="inlineStr">
        <is>
          <t>+LS13</t>
        </is>
      </c>
      <c r="D11219" t="inlineStr">
        <is>
          <t>-583K3540.0</t>
        </is>
      </c>
      <c r="E11219" t="inlineStr">
        <is>
          <t>DIL_EM-10-G</t>
        </is>
      </c>
      <c r="F11219" t="inlineStr">
        <is>
          <t>#KALK!</t>
        </is>
      </c>
      <c r="G11219" t="inlineStr">
        <is>
          <t>LASTSCHUETZ</t>
        </is>
      </c>
      <c r="H11219" t="inlineStr">
        <is>
          <t>4kW 1S</t>
        </is>
      </c>
      <c r="I11219">
        <v>710</v>
      </c>
      <c r="J11219">
        <f>GS25/583.7</f>
        <v>0</v>
      </c>
      <c r="M11219" t="inlineStr">
        <is>
          <t>-583K3540.0</t>
        </is>
      </c>
    </row>
    <row r="11220">
      <c r="A11220">
        <v>11219</v>
      </c>
      <c r="B11220">
        <f>GS01</f>
        <v>0</v>
      </c>
      <c r="C11220" t="inlineStr">
        <is>
          <t>+LS13</t>
        </is>
      </c>
      <c r="D11220" t="inlineStr">
        <is>
          <t>-583K41.4</t>
        </is>
      </c>
      <c r="E11220" t="inlineStr">
        <is>
          <t>DIL_EM-10-G</t>
        </is>
      </c>
      <c r="F11220" t="inlineStr">
        <is>
          <t>#KALK!</t>
        </is>
      </c>
      <c r="G11220" t="inlineStr">
        <is>
          <t>LASTSCHUETZ</t>
        </is>
      </c>
      <c r="H11220" t="inlineStr">
        <is>
          <t>4kW 1S</t>
        </is>
      </c>
      <c r="I11220">
        <v>752</v>
      </c>
      <c r="J11220">
        <f>GS01/583.6</f>
        <v>0</v>
      </c>
      <c r="M11220" t="inlineStr">
        <is>
          <t>-583K41.4</t>
        </is>
      </c>
    </row>
    <row r="11221">
      <c r="A11221">
        <v>11220</v>
      </c>
      <c r="B11221">
        <f>GS16</f>
        <v>0</v>
      </c>
      <c r="C11221" t="inlineStr">
        <is>
          <t>+LS10</t>
        </is>
      </c>
      <c r="D11221" t="inlineStr">
        <is>
          <t>-584K3511.5</t>
        </is>
      </c>
      <c r="E11221" t="inlineStr">
        <is>
          <t>DIL_EM-10-G</t>
        </is>
      </c>
      <c r="F11221" t="inlineStr">
        <is>
          <t>#KALK!</t>
        </is>
      </c>
      <c r="G11221" t="inlineStr">
        <is>
          <t>LASTSCHUETZ</t>
        </is>
      </c>
      <c r="H11221" t="inlineStr">
        <is>
          <t>4kW 1S</t>
        </is>
      </c>
      <c r="I11221">
        <v>829</v>
      </c>
      <c r="J11221">
        <f>GS16/584.7</f>
        <v>0</v>
      </c>
      <c r="M11221" t="inlineStr">
        <is>
          <t>-584K3511.5</t>
        </is>
      </c>
    </row>
    <row r="11222">
      <c r="A11222">
        <v>11221</v>
      </c>
      <c r="B11222">
        <f>GS15</f>
        <v>0</v>
      </c>
      <c r="C11222" t="inlineStr">
        <is>
          <t>+LS11</t>
        </is>
      </c>
      <c r="D11222" t="inlineStr">
        <is>
          <t>-584K3514.4</t>
        </is>
      </c>
      <c r="E11222" t="inlineStr">
        <is>
          <t>DIL_EM-10-G</t>
        </is>
      </c>
      <c r="F11222" t="inlineStr">
        <is>
          <t>#KALK!</t>
        </is>
      </c>
      <c r="G11222" t="inlineStr">
        <is>
          <t>LASTSCHUETZ</t>
        </is>
      </c>
      <c r="H11222" t="inlineStr">
        <is>
          <t>4kW 1S</t>
        </is>
      </c>
      <c r="I11222">
        <v>1095</v>
      </c>
      <c r="J11222">
        <f>GS15/584.7</f>
        <v>0</v>
      </c>
      <c r="M11222" t="inlineStr">
        <is>
          <t>-584K3514.4</t>
        </is>
      </c>
    </row>
    <row r="11223">
      <c r="A11223">
        <v>11222</v>
      </c>
      <c r="B11223">
        <f>GS24</f>
        <v>0</v>
      </c>
      <c r="C11223" t="inlineStr">
        <is>
          <t>+LS12</t>
        </is>
      </c>
      <c r="D11223" t="inlineStr">
        <is>
          <t>-584K3518.0</t>
        </is>
      </c>
      <c r="E11223" t="inlineStr">
        <is>
          <t>DIL_EM-10-G</t>
        </is>
      </c>
      <c r="F11223" t="inlineStr">
        <is>
          <t>#KALK!</t>
        </is>
      </c>
      <c r="G11223" t="inlineStr">
        <is>
          <t>LASTSCHUETZ</t>
        </is>
      </c>
      <c r="H11223" t="inlineStr">
        <is>
          <t>4kW 1S</t>
        </is>
      </c>
      <c r="I11223">
        <v>512</v>
      </c>
      <c r="J11223">
        <f>GS24/584.6</f>
        <v>0</v>
      </c>
      <c r="M11223" t="inlineStr">
        <is>
          <t>-584K3518.0</t>
        </is>
      </c>
    </row>
    <row r="11224">
      <c r="A11224">
        <v>11223</v>
      </c>
      <c r="B11224">
        <f>GS24</f>
        <v>0</v>
      </c>
      <c r="C11224" t="inlineStr">
        <is>
          <t>+LS12</t>
        </is>
      </c>
      <c r="D11224" t="inlineStr">
        <is>
          <t>-584K3518.1</t>
        </is>
      </c>
      <c r="E11224" t="inlineStr">
        <is>
          <t>DIL_EM-10-G</t>
        </is>
      </c>
      <c r="F11224" t="inlineStr">
        <is>
          <t>#KALK!</t>
        </is>
      </c>
      <c r="G11224" t="inlineStr">
        <is>
          <t>LASTSCHUETZ</t>
        </is>
      </c>
      <c r="H11224" t="inlineStr">
        <is>
          <t>4kW 1S</t>
        </is>
      </c>
      <c r="I11224">
        <v>512</v>
      </c>
      <c r="J11224">
        <f>GS24/584.6</f>
        <v>0</v>
      </c>
      <c r="M11224" t="inlineStr">
        <is>
          <t>-584K3518.1</t>
        </is>
      </c>
    </row>
    <row r="11225">
      <c r="A11225">
        <v>11224</v>
      </c>
      <c r="B11225">
        <f>GS01</f>
        <v>0</v>
      </c>
      <c r="C11225" t="inlineStr">
        <is>
          <t>+LS13</t>
        </is>
      </c>
      <c r="D11225" t="inlineStr">
        <is>
          <t>-584K41.5</t>
        </is>
      </c>
      <c r="E11225" t="inlineStr">
        <is>
          <t>DIL_EM-10-G</t>
        </is>
      </c>
      <c r="F11225" t="inlineStr">
        <is>
          <t>#KALK!</t>
        </is>
      </c>
      <c r="G11225" t="inlineStr">
        <is>
          <t>LASTSCHUETZ</t>
        </is>
      </c>
      <c r="H11225" t="inlineStr">
        <is>
          <t>4kW 1S</t>
        </is>
      </c>
      <c r="I11225">
        <v>753</v>
      </c>
      <c r="J11225">
        <f>GS01/584.6</f>
        <v>0</v>
      </c>
      <c r="M11225" t="inlineStr">
        <is>
          <t>-584K41.5</t>
        </is>
      </c>
    </row>
    <row r="11226">
      <c r="A11226">
        <v>11225</v>
      </c>
      <c r="B11226">
        <f>GS01</f>
        <v>0</v>
      </c>
      <c r="C11226" t="inlineStr">
        <is>
          <t>+LS13</t>
        </is>
      </c>
      <c r="D11226" t="inlineStr">
        <is>
          <t>-584K41.6</t>
        </is>
      </c>
      <c r="E11226" t="inlineStr">
        <is>
          <t>DIL_EM-10-G</t>
        </is>
      </c>
      <c r="F11226" t="inlineStr">
        <is>
          <t>#KALK!</t>
        </is>
      </c>
      <c r="G11226" t="inlineStr">
        <is>
          <t>LASTSCHUETZ</t>
        </is>
      </c>
      <c r="H11226" t="inlineStr">
        <is>
          <t>4kW 1S</t>
        </is>
      </c>
      <c r="I11226">
        <v>753</v>
      </c>
      <c r="J11226">
        <f>GS01/584.6</f>
        <v>0</v>
      </c>
      <c r="M11226" t="inlineStr">
        <is>
          <t>-584K41.6</t>
        </is>
      </c>
    </row>
    <row r="11227">
      <c r="A11227">
        <v>11226</v>
      </c>
      <c r="B11227">
        <f>GS51</f>
        <v>0</v>
      </c>
      <c r="C11227" t="inlineStr">
        <is>
          <t>+LS09</t>
        </is>
      </c>
      <c r="D11227" t="inlineStr">
        <is>
          <t>-584Q164.3</t>
        </is>
      </c>
      <c r="E11227" t="inlineStr">
        <is>
          <t>DILM-9-10</t>
        </is>
      </c>
      <c r="F11227" t="inlineStr">
        <is>
          <t>#KALK!</t>
        </is>
      </c>
      <c r="G11227" t="inlineStr">
        <is>
          <t>LASTSCHUETZ</t>
        </is>
      </c>
      <c r="H11227" t="inlineStr">
        <is>
          <t>4kW 1S Federzugkl.</t>
        </is>
      </c>
      <c r="I11227">
        <v>744</v>
      </c>
      <c r="J11227">
        <f>GS51/584.6</f>
        <v>0</v>
      </c>
      <c r="K11227" t="inlineStr">
        <is>
          <t>DIL MC9</t>
        </is>
      </c>
      <c r="M11227" t="inlineStr">
        <is>
          <t>-584Q164.3</t>
        </is>
      </c>
    </row>
    <row r="11228">
      <c r="A11228">
        <v>11227</v>
      </c>
      <c r="B11228">
        <f>GS35</f>
        <v>0</v>
      </c>
      <c r="C11228" t="inlineStr">
        <is>
          <t>+LS14</t>
        </is>
      </c>
      <c r="D11228" t="inlineStr">
        <is>
          <t>-584Q488.4</t>
        </is>
      </c>
      <c r="E11228" t="inlineStr">
        <is>
          <t>DILM-9-10</t>
        </is>
      </c>
      <c r="F11228" t="inlineStr">
        <is>
          <t>#KALK!</t>
        </is>
      </c>
      <c r="G11228" t="inlineStr">
        <is>
          <t>LASTSCHUETZ</t>
        </is>
      </c>
      <c r="H11228" t="inlineStr">
        <is>
          <t>4kW 1S Federzugkl.</t>
        </is>
      </c>
      <c r="I11228">
        <v>738</v>
      </c>
      <c r="J11228">
        <f>GS35/584.5</f>
        <v>0</v>
      </c>
      <c r="M11228" t="inlineStr">
        <is>
          <t>-584Q488.4</t>
        </is>
      </c>
    </row>
    <row r="11229">
      <c r="A11229">
        <v>11228</v>
      </c>
      <c r="B11229">
        <f>GS16</f>
        <v>0</v>
      </c>
      <c r="C11229" t="inlineStr">
        <is>
          <t>+LS10</t>
        </is>
      </c>
      <c r="D11229" t="inlineStr">
        <is>
          <t>-585K3512.0</t>
        </is>
      </c>
      <c r="E11229" t="inlineStr">
        <is>
          <t>DIL_EM-01-G</t>
        </is>
      </c>
      <c r="F11229" t="inlineStr">
        <is>
          <t>#KALK!</t>
        </is>
      </c>
      <c r="G11229" t="inlineStr">
        <is>
          <t>LASTSCHUETZ</t>
        </is>
      </c>
      <c r="H11229" t="inlineStr">
        <is>
          <t>4kW 1OE</t>
        </is>
      </c>
      <c r="I11229">
        <v>830</v>
      </c>
      <c r="J11229">
        <f>GS16/585.6</f>
        <v>0</v>
      </c>
      <c r="M11229" t="inlineStr">
        <is>
          <t>-585K3512.0</t>
        </is>
      </c>
    </row>
    <row r="11230">
      <c r="A11230">
        <v>11229</v>
      </c>
      <c r="B11230">
        <f>GS16</f>
        <v>0</v>
      </c>
      <c r="C11230" t="inlineStr">
        <is>
          <t>+LS10</t>
        </is>
      </c>
      <c r="D11230" t="inlineStr">
        <is>
          <t>-585K3512.1</t>
        </is>
      </c>
      <c r="E11230" t="inlineStr">
        <is>
          <t>DIL_EM-01-G</t>
        </is>
      </c>
      <c r="F11230" t="inlineStr">
        <is>
          <t>#KALK!</t>
        </is>
      </c>
      <c r="G11230" t="inlineStr">
        <is>
          <t>LASTSCHUETZ</t>
        </is>
      </c>
      <c r="H11230" t="inlineStr">
        <is>
          <t>4kW 1OE</t>
        </is>
      </c>
      <c r="I11230">
        <v>830</v>
      </c>
      <c r="J11230">
        <f>GS16/585.6</f>
        <v>0</v>
      </c>
      <c r="M11230" t="inlineStr">
        <is>
          <t>-585K3512.1</t>
        </is>
      </c>
    </row>
    <row r="11231">
      <c r="A11231">
        <v>11230</v>
      </c>
      <c r="B11231">
        <f>GS15</f>
        <v>0</v>
      </c>
      <c r="C11231" t="inlineStr">
        <is>
          <t>+LS11</t>
        </is>
      </c>
      <c r="D11231" t="inlineStr">
        <is>
          <t>-585K3514.0</t>
        </is>
      </c>
      <c r="E11231" t="inlineStr">
        <is>
          <t>DIL_EM-10-G</t>
        </is>
      </c>
      <c r="F11231" t="inlineStr">
        <is>
          <t>#KALK!</t>
        </is>
      </c>
      <c r="G11231" t="inlineStr">
        <is>
          <t>LASTSCHUETZ</t>
        </is>
      </c>
      <c r="H11231" t="inlineStr">
        <is>
          <t>4kW 1S</t>
        </is>
      </c>
      <c r="I11231">
        <v>1096</v>
      </c>
      <c r="J11231">
        <f>GS15/585.6</f>
        <v>0</v>
      </c>
      <c r="M11231" t="inlineStr">
        <is>
          <t>-585K3514.0</t>
        </is>
      </c>
    </row>
    <row r="11232">
      <c r="A11232">
        <v>11231</v>
      </c>
      <c r="B11232">
        <f>GS01</f>
        <v>0</v>
      </c>
      <c r="C11232" t="inlineStr">
        <is>
          <t>+LS13</t>
        </is>
      </c>
      <c r="D11232" t="inlineStr">
        <is>
          <t>-585K41.7</t>
        </is>
      </c>
      <c r="E11232" t="inlineStr">
        <is>
          <t>DIL_EM-10-G</t>
        </is>
      </c>
      <c r="F11232" t="inlineStr">
        <is>
          <t>#KALK!</t>
        </is>
      </c>
      <c r="G11232" t="inlineStr">
        <is>
          <t>LASTSCHUETZ</t>
        </is>
      </c>
      <c r="H11232" t="inlineStr">
        <is>
          <t>4kW 1S</t>
        </is>
      </c>
      <c r="I11232">
        <v>754</v>
      </c>
      <c r="J11232">
        <f>GS01/585.6</f>
        <v>0</v>
      </c>
      <c r="M11232" t="inlineStr">
        <is>
          <t>-585K41.7</t>
        </is>
      </c>
    </row>
    <row r="11233">
      <c r="A11233">
        <v>11232</v>
      </c>
      <c r="B11233">
        <f>GS01</f>
        <v>0</v>
      </c>
      <c r="C11233" t="inlineStr">
        <is>
          <t>+LS13</t>
        </is>
      </c>
      <c r="D11233" t="inlineStr">
        <is>
          <t>-585K42.0</t>
        </is>
      </c>
      <c r="E11233" t="inlineStr">
        <is>
          <t>DIL_EM-10-G</t>
        </is>
      </c>
      <c r="F11233" t="inlineStr">
        <is>
          <t>#KALK!</t>
        </is>
      </c>
      <c r="G11233" t="inlineStr">
        <is>
          <t>LASTSCHUETZ</t>
        </is>
      </c>
      <c r="H11233" t="inlineStr">
        <is>
          <t>4kW 1S</t>
        </is>
      </c>
      <c r="I11233">
        <v>754</v>
      </c>
      <c r="J11233">
        <f>GS01/585.6</f>
        <v>0</v>
      </c>
      <c r="M11233" t="inlineStr">
        <is>
          <t>-585K42.0</t>
        </is>
      </c>
    </row>
    <row r="11234">
      <c r="A11234">
        <v>11233</v>
      </c>
      <c r="B11234">
        <f>GS91</f>
        <v>0</v>
      </c>
      <c r="C11234" t="inlineStr">
        <is>
          <t>+LS11</t>
        </is>
      </c>
      <c r="D11234" t="inlineStr">
        <is>
          <t>-585K482.4</t>
        </is>
      </c>
      <c r="E11234" t="inlineStr">
        <is>
          <t>DILA-40</t>
        </is>
      </c>
      <c r="F11234" t="inlineStr">
        <is>
          <t>#KALK!</t>
        </is>
      </c>
      <c r="G11234" t="inlineStr">
        <is>
          <t>HILFSSCHUETZ</t>
        </is>
      </c>
      <c r="H11234" t="inlineStr">
        <is>
          <t>4S Federzugkl.</t>
        </is>
      </c>
      <c r="I11234">
        <v>733</v>
      </c>
      <c r="J11234">
        <f>GS91/585.7</f>
        <v>0</v>
      </c>
      <c r="M11234" t="inlineStr">
        <is>
          <t>-585K482.4</t>
        </is>
      </c>
    </row>
    <row r="11235">
      <c r="A11235">
        <v>11234</v>
      </c>
      <c r="B11235">
        <f>GS90</f>
        <v>0</v>
      </c>
      <c r="C11235" t="inlineStr">
        <is>
          <t>+LS12</t>
        </is>
      </c>
      <c r="D11235" t="inlineStr">
        <is>
          <t>-585K724.0</t>
        </is>
      </c>
      <c r="E11235" t="inlineStr">
        <is>
          <t>DILA-40</t>
        </is>
      </c>
      <c r="F11235" t="inlineStr">
        <is>
          <t>#KALK!</t>
        </is>
      </c>
      <c r="G11235" t="inlineStr">
        <is>
          <t>HILFSSCHUETZ</t>
        </is>
      </c>
      <c r="H11235" t="inlineStr">
        <is>
          <t>4S Federzugkl.</t>
        </is>
      </c>
      <c r="I11235">
        <v>659</v>
      </c>
      <c r="J11235">
        <f>GS90/585.7</f>
        <v>0</v>
      </c>
      <c r="M11235" t="inlineStr">
        <is>
          <t>-585K724.0</t>
        </is>
      </c>
    </row>
    <row r="11236">
      <c r="A11236">
        <v>11235</v>
      </c>
      <c r="B11236">
        <f>GS93</f>
        <v>0</v>
      </c>
      <c r="C11236" t="inlineStr">
        <is>
          <t>+LS11</t>
        </is>
      </c>
      <c r="D11236" t="inlineStr">
        <is>
          <t>-585K759.0</t>
        </is>
      </c>
      <c r="E11236" t="inlineStr">
        <is>
          <t>DILA-40</t>
        </is>
      </c>
      <c r="F11236" t="inlineStr">
        <is>
          <t>#KALK!</t>
        </is>
      </c>
      <c r="G11236" t="inlineStr">
        <is>
          <t>HILFSSCHUETZ</t>
        </is>
      </c>
      <c r="H11236" t="inlineStr">
        <is>
          <t>4S Federzugkl.</t>
        </is>
      </c>
      <c r="I11236">
        <v>1134</v>
      </c>
      <c r="J11236">
        <f>GS93/585.7</f>
        <v>0</v>
      </c>
      <c r="M11236" t="inlineStr">
        <is>
          <t>-585K759.0</t>
        </is>
      </c>
    </row>
    <row r="11237">
      <c r="A11237">
        <v>11236</v>
      </c>
      <c r="B11237">
        <f>GS05</f>
        <v>0</v>
      </c>
      <c r="C11237" t="inlineStr">
        <is>
          <t>+LS09</t>
        </is>
      </c>
      <c r="D11237" t="inlineStr">
        <is>
          <t>-585Q1</t>
        </is>
      </c>
      <c r="E11237" t="inlineStr">
        <is>
          <t>DILA-XHI22</t>
        </is>
      </c>
      <c r="F11237" t="inlineStr">
        <is>
          <t>DILA-XHI22</t>
        </is>
      </c>
      <c r="G11237" t="inlineStr">
        <is>
          <t>HILFSKONTAKTBLOCK</t>
        </is>
      </c>
      <c r="H11237" t="inlineStr">
        <is>
          <t>2S 2OE Last+Hilfssch. Cage</t>
        </is>
      </c>
      <c r="I11237">
        <v>2574</v>
      </c>
      <c r="J11237">
        <f>GS05/585.6</f>
        <v>0</v>
      </c>
      <c r="K11237" t="inlineStr">
        <is>
          <t>DIL MC25</t>
        </is>
      </c>
      <c r="M11237" t="inlineStr">
        <is>
          <t>-585Q1</t>
        </is>
      </c>
    </row>
    <row r="11238">
      <c r="A11238">
        <v>11237</v>
      </c>
      <c r="B11238">
        <f>GS05</f>
        <v>0</v>
      </c>
      <c r="C11238" t="inlineStr">
        <is>
          <t>+LS09</t>
        </is>
      </c>
      <c r="D11238" t="inlineStr">
        <is>
          <t>-585Q1</t>
        </is>
      </c>
      <c r="E11238" t="inlineStr">
        <is>
          <t>DILMC25-10(RDC24)</t>
        </is>
      </c>
      <c r="F11238" t="inlineStr">
        <is>
          <t>DILA-XHI22</t>
        </is>
      </c>
      <c r="G11238" t="inlineStr">
        <is>
          <t>LASTSCHUETZ</t>
        </is>
      </c>
      <c r="H11238" t="inlineStr">
        <is>
          <t>11kW 1S Federzugkl.</t>
        </is>
      </c>
      <c r="I11238">
        <v>2574</v>
      </c>
      <c r="J11238">
        <f>GS05/585.6</f>
        <v>0</v>
      </c>
      <c r="K11238" t="inlineStr">
        <is>
          <t>DIL MC25</t>
        </is>
      </c>
      <c r="M11238" t="inlineStr">
        <is>
          <t>-585Q1</t>
        </is>
      </c>
    </row>
    <row r="11239">
      <c r="A11239">
        <v>11238</v>
      </c>
      <c r="B11239">
        <f>GS06</f>
        <v>0</v>
      </c>
      <c r="C11239" t="inlineStr">
        <is>
          <t>+LS09</t>
        </is>
      </c>
      <c r="D11239" t="inlineStr">
        <is>
          <t>-585Q1</t>
        </is>
      </c>
      <c r="E11239" t="inlineStr">
        <is>
          <t>DILA-XHI22</t>
        </is>
      </c>
      <c r="F11239" t="inlineStr">
        <is>
          <t>DILA-XHI22</t>
        </is>
      </c>
      <c r="G11239" t="inlineStr">
        <is>
          <t>HILFSKONTAKTBLOCK</t>
        </is>
      </c>
      <c r="H11239" t="inlineStr">
        <is>
          <t>2S 2OE Last+Hilfssch. Cage</t>
        </is>
      </c>
      <c r="I11239">
        <v>977</v>
      </c>
      <c r="J11239">
        <f>GS06/585.6</f>
        <v>0</v>
      </c>
      <c r="K11239" t="inlineStr">
        <is>
          <t>DIL MC25</t>
        </is>
      </c>
      <c r="M11239" t="inlineStr">
        <is>
          <t>-585Q1</t>
        </is>
      </c>
    </row>
    <row r="11240">
      <c r="A11240">
        <v>11239</v>
      </c>
      <c r="B11240">
        <f>GS06</f>
        <v>0</v>
      </c>
      <c r="C11240" t="inlineStr">
        <is>
          <t>+LS09</t>
        </is>
      </c>
      <c r="D11240" t="inlineStr">
        <is>
          <t>-585Q1</t>
        </is>
      </c>
      <c r="E11240" t="inlineStr">
        <is>
          <t>DILMC25-10(RDC24)</t>
        </is>
      </c>
      <c r="F11240" t="inlineStr">
        <is>
          <t>DILA-XHI22</t>
        </is>
      </c>
      <c r="G11240" t="inlineStr">
        <is>
          <t>LASTSCHUETZ</t>
        </is>
      </c>
      <c r="H11240" t="inlineStr">
        <is>
          <t>11kW 1S Federzugkl.</t>
        </is>
      </c>
      <c r="I11240">
        <v>977</v>
      </c>
      <c r="J11240">
        <f>GS06/585.6</f>
        <v>0</v>
      </c>
      <c r="K11240" t="inlineStr">
        <is>
          <t>DIL MC25</t>
        </is>
      </c>
      <c r="M11240" t="inlineStr">
        <is>
          <t>-585Q1</t>
        </is>
      </c>
    </row>
    <row r="11241">
      <c r="A11241">
        <v>11240</v>
      </c>
      <c r="B11241">
        <f>GS90</f>
        <v>0</v>
      </c>
      <c r="C11241" t="inlineStr">
        <is>
          <t>+LS12</t>
        </is>
      </c>
      <c r="D11241" t="inlineStr">
        <is>
          <t>-585Q1</t>
        </is>
      </c>
      <c r="E11241" t="inlineStr">
        <is>
          <t>DILMC25-10(RDC24)</t>
        </is>
      </c>
      <c r="F11241" t="inlineStr">
        <is>
          <t>DILA-XHI22</t>
        </is>
      </c>
      <c r="G11241" t="inlineStr">
        <is>
          <t>LASTSCHUETZ</t>
        </is>
      </c>
      <c r="H11241" t="inlineStr">
        <is>
          <t>11kW 1S Federzugkl.</t>
        </is>
      </c>
      <c r="I11241">
        <v>659</v>
      </c>
      <c r="J11241">
        <f>GS90/585.4</f>
        <v>0</v>
      </c>
      <c r="K11241" t="inlineStr">
        <is>
          <t>DIL MC25</t>
        </is>
      </c>
      <c r="M11241" t="inlineStr">
        <is>
          <t>-585Q1</t>
        </is>
      </c>
    </row>
    <row r="11242">
      <c r="A11242">
        <v>11241</v>
      </c>
      <c r="B11242">
        <f>GS90</f>
        <v>0</v>
      </c>
      <c r="C11242" t="inlineStr">
        <is>
          <t>+LS12</t>
        </is>
      </c>
      <c r="D11242" t="inlineStr">
        <is>
          <t>-585Q1</t>
        </is>
      </c>
      <c r="E11242" t="inlineStr">
        <is>
          <t>DILA-XHI22</t>
        </is>
      </c>
      <c r="F11242" t="inlineStr">
        <is>
          <t>DILA-XHI22</t>
        </is>
      </c>
      <c r="G11242" t="inlineStr">
        <is>
          <t>HILFSKONTAKTBLOCK</t>
        </is>
      </c>
      <c r="H11242" t="inlineStr">
        <is>
          <t>2S 2OE Last+Hilfssch. Cage</t>
        </is>
      </c>
      <c r="I11242">
        <v>659</v>
      </c>
      <c r="J11242">
        <f>GS90/585.4</f>
        <v>0</v>
      </c>
      <c r="K11242" t="inlineStr">
        <is>
          <t>DIL MC25</t>
        </is>
      </c>
      <c r="M11242" t="inlineStr">
        <is>
          <t>-585Q1</t>
        </is>
      </c>
    </row>
    <row r="11243">
      <c r="A11243">
        <v>11242</v>
      </c>
      <c r="B11243">
        <f>GS91</f>
        <v>0</v>
      </c>
      <c r="C11243" t="inlineStr">
        <is>
          <t>+LS11</t>
        </is>
      </c>
      <c r="D11243" t="inlineStr">
        <is>
          <t>-585Q1</t>
        </is>
      </c>
      <c r="E11243" t="inlineStr">
        <is>
          <t>DILA-XHI22</t>
        </is>
      </c>
      <c r="F11243" t="inlineStr">
        <is>
          <t>DILA-XHI22</t>
        </is>
      </c>
      <c r="G11243" t="inlineStr">
        <is>
          <t>HILFSKONTAKTBLOCK</t>
        </is>
      </c>
      <c r="H11243" t="inlineStr">
        <is>
          <t>2S 2OE Last+Hilfssch. Cage</t>
        </is>
      </c>
      <c r="I11243">
        <v>733</v>
      </c>
      <c r="J11243">
        <f>GS91/585.4</f>
        <v>0</v>
      </c>
      <c r="K11243" t="inlineStr">
        <is>
          <t>DIL MC25</t>
        </is>
      </c>
      <c r="M11243" t="inlineStr">
        <is>
          <t>-585Q1</t>
        </is>
      </c>
    </row>
    <row r="11244">
      <c r="A11244">
        <v>11243</v>
      </c>
      <c r="B11244">
        <f>GS91</f>
        <v>0</v>
      </c>
      <c r="C11244" t="inlineStr">
        <is>
          <t>+LS11</t>
        </is>
      </c>
      <c r="D11244" t="inlineStr">
        <is>
          <t>-585Q1</t>
        </is>
      </c>
      <c r="E11244" t="inlineStr">
        <is>
          <t>DILMC25-10(RDC24)</t>
        </is>
      </c>
      <c r="F11244" t="inlineStr">
        <is>
          <t>DILA-XHI22</t>
        </is>
      </c>
      <c r="G11244" t="inlineStr">
        <is>
          <t>LASTSCHUETZ</t>
        </is>
      </c>
      <c r="H11244" t="inlineStr">
        <is>
          <t>11kW 1S Federzugkl.</t>
        </is>
      </c>
      <c r="I11244">
        <v>733</v>
      </c>
      <c r="J11244">
        <f>GS91/585.4</f>
        <v>0</v>
      </c>
      <c r="K11244" t="inlineStr">
        <is>
          <t>DIL MC25</t>
        </is>
      </c>
      <c r="M11244" t="inlineStr">
        <is>
          <t>-585Q1</t>
        </is>
      </c>
    </row>
    <row r="11245">
      <c r="A11245">
        <v>11244</v>
      </c>
      <c r="B11245">
        <f>GS93</f>
        <v>0</v>
      </c>
      <c r="C11245" t="inlineStr">
        <is>
          <t>+LS11</t>
        </is>
      </c>
      <c r="D11245" t="inlineStr">
        <is>
          <t>-585Q1</t>
        </is>
      </c>
      <c r="E11245" t="inlineStr">
        <is>
          <t>DILA-XHI22</t>
        </is>
      </c>
      <c r="F11245" t="inlineStr">
        <is>
          <t>DILA-XHI22</t>
        </is>
      </c>
      <c r="G11245" t="inlineStr">
        <is>
          <t>HILFSKONTAKTBLOCK</t>
        </is>
      </c>
      <c r="H11245" t="inlineStr">
        <is>
          <t>2S 2OE Last+Hilfssch. Cage</t>
        </is>
      </c>
      <c r="I11245">
        <v>1134</v>
      </c>
      <c r="J11245">
        <f>GS93/585.4</f>
        <v>0</v>
      </c>
      <c r="K11245" t="inlineStr">
        <is>
          <t>DIL MC25</t>
        </is>
      </c>
      <c r="M11245" t="inlineStr">
        <is>
          <t>-585Q1</t>
        </is>
      </c>
    </row>
    <row r="11246">
      <c r="A11246">
        <v>11245</v>
      </c>
      <c r="B11246">
        <f>GS93</f>
        <v>0</v>
      </c>
      <c r="C11246" t="inlineStr">
        <is>
          <t>+LS11</t>
        </is>
      </c>
      <c r="D11246" t="inlineStr">
        <is>
          <t>-585Q1</t>
        </is>
      </c>
      <c r="E11246" t="inlineStr">
        <is>
          <t>DILMC25-10(RDC24)</t>
        </is>
      </c>
      <c r="F11246" t="inlineStr">
        <is>
          <t>DILA-XHI22</t>
        </is>
      </c>
      <c r="G11246" t="inlineStr">
        <is>
          <t>LASTSCHUETZ</t>
        </is>
      </c>
      <c r="H11246" t="inlineStr">
        <is>
          <t>11kW 1S Federzugkl.</t>
        </is>
      </c>
      <c r="I11246">
        <v>1134</v>
      </c>
      <c r="J11246">
        <f>GS93/585.4</f>
        <v>0</v>
      </c>
      <c r="K11246" t="inlineStr">
        <is>
          <t>DIL MC25</t>
        </is>
      </c>
      <c r="M11246" t="inlineStr">
        <is>
          <t>-585Q1</t>
        </is>
      </c>
    </row>
    <row r="11247">
      <c r="A11247">
        <v>11246</v>
      </c>
      <c r="B11247">
        <f>GS35</f>
        <v>0</v>
      </c>
      <c r="C11247" t="inlineStr">
        <is>
          <t>+LS14</t>
        </is>
      </c>
      <c r="D11247" t="inlineStr">
        <is>
          <t>-585Q488.5</t>
        </is>
      </c>
      <c r="E11247" t="inlineStr">
        <is>
          <t>DILM-12-10</t>
        </is>
      </c>
      <c r="F11247" t="inlineStr">
        <is>
          <t>#KALK!</t>
        </is>
      </c>
      <c r="G11247" t="inlineStr">
        <is>
          <t>LASTSCHUETZ</t>
        </is>
      </c>
      <c r="H11247" t="inlineStr">
        <is>
          <t>5,5kW 1S Federzugkl.</t>
        </is>
      </c>
      <c r="I11247">
        <v>739</v>
      </c>
      <c r="J11247">
        <f>GS35/585.5</f>
        <v>0</v>
      </c>
      <c r="K11247" t="inlineStr">
        <is>
          <t>DIL MC12</t>
        </is>
      </c>
      <c r="M11247" t="inlineStr">
        <is>
          <t>-585Q488.5</t>
        </is>
      </c>
    </row>
    <row r="11248">
      <c r="A11248">
        <v>11247</v>
      </c>
      <c r="B11248">
        <f>GS15</f>
        <v>0</v>
      </c>
      <c r="C11248" t="inlineStr">
        <is>
          <t>+LS11</t>
        </is>
      </c>
      <c r="D11248" t="inlineStr">
        <is>
          <t>-586K3514.7</t>
        </is>
      </c>
      <c r="E11248" t="inlineStr">
        <is>
          <t>DIL_EM-10-G</t>
        </is>
      </c>
      <c r="F11248" t="inlineStr">
        <is>
          <t>#KALK!</t>
        </is>
      </c>
      <c r="G11248" t="inlineStr">
        <is>
          <t>LASTSCHUETZ</t>
        </is>
      </c>
      <c r="H11248" t="inlineStr">
        <is>
          <t>4kW 1S</t>
        </is>
      </c>
      <c r="I11248">
        <v>1097</v>
      </c>
      <c r="J11248">
        <f>GS15/586.6</f>
        <v>0</v>
      </c>
      <c r="M11248" t="inlineStr">
        <is>
          <t>-586K3514.7</t>
        </is>
      </c>
    </row>
    <row r="11249">
      <c r="A11249">
        <v>11248</v>
      </c>
      <c r="B11249">
        <f>GS15</f>
        <v>0</v>
      </c>
      <c r="C11249" t="inlineStr">
        <is>
          <t>+LS11</t>
        </is>
      </c>
      <c r="D11249" t="inlineStr">
        <is>
          <t>-586K3515.0</t>
        </is>
      </c>
      <c r="E11249" t="inlineStr">
        <is>
          <t>DIL_EM-10-G</t>
        </is>
      </c>
      <c r="F11249" t="inlineStr">
        <is>
          <t>#KALK!</t>
        </is>
      </c>
      <c r="G11249" t="inlineStr">
        <is>
          <t>LASTSCHUETZ</t>
        </is>
      </c>
      <c r="H11249" t="inlineStr">
        <is>
          <t>4kW 1S</t>
        </is>
      </c>
      <c r="I11249">
        <v>1097</v>
      </c>
      <c r="J11249">
        <f>GS15/586.7</f>
        <v>0</v>
      </c>
      <c r="M11249" t="inlineStr">
        <is>
          <t>-586K3515.0</t>
        </is>
      </c>
    </row>
    <row r="11250">
      <c r="A11250">
        <v>11249</v>
      </c>
      <c r="B11250">
        <f>GS24</f>
        <v>0</v>
      </c>
      <c r="C11250" t="inlineStr">
        <is>
          <t>+LS12</t>
        </is>
      </c>
      <c r="D11250" t="inlineStr">
        <is>
          <t>-586K3518.7</t>
        </is>
      </c>
      <c r="E11250" t="inlineStr">
        <is>
          <t>DIL_EM-10-G</t>
        </is>
      </c>
      <c r="F11250" t="inlineStr">
        <is>
          <t>#KALK!</t>
        </is>
      </c>
      <c r="G11250" t="inlineStr">
        <is>
          <t>LASTSCHUETZ</t>
        </is>
      </c>
      <c r="H11250" t="inlineStr">
        <is>
          <t>4kW 1S</t>
        </is>
      </c>
      <c r="I11250">
        <v>510</v>
      </c>
      <c r="J11250">
        <f>GS24/586.5</f>
        <v>0</v>
      </c>
      <c r="M11250" t="inlineStr">
        <is>
          <t>-586K3518.7</t>
        </is>
      </c>
    </row>
    <row r="11251">
      <c r="A11251">
        <v>11250</v>
      </c>
      <c r="B11251">
        <f>GS24</f>
        <v>0</v>
      </c>
      <c r="C11251" t="inlineStr">
        <is>
          <t>+LS12</t>
        </is>
      </c>
      <c r="D11251" t="inlineStr">
        <is>
          <t>-586K3519.0</t>
        </is>
      </c>
      <c r="E11251" t="inlineStr">
        <is>
          <t>DIL_EM-10-G</t>
        </is>
      </c>
      <c r="F11251" t="inlineStr">
        <is>
          <t>#KALK!</t>
        </is>
      </c>
      <c r="G11251" t="inlineStr">
        <is>
          <t>LASTSCHUETZ</t>
        </is>
      </c>
      <c r="H11251" t="inlineStr">
        <is>
          <t>4kW 1S</t>
        </is>
      </c>
      <c r="I11251">
        <v>510</v>
      </c>
      <c r="J11251">
        <f>GS24/586.6</f>
        <v>0</v>
      </c>
      <c r="M11251" t="inlineStr">
        <is>
          <t>-586K3519.0</t>
        </is>
      </c>
    </row>
    <row r="11252">
      <c r="A11252">
        <v>11251</v>
      </c>
      <c r="B11252">
        <f>GS24</f>
        <v>0</v>
      </c>
      <c r="C11252" t="inlineStr">
        <is>
          <t>+LS12</t>
        </is>
      </c>
      <c r="D11252" t="inlineStr">
        <is>
          <t>-586K3519.1</t>
        </is>
      </c>
      <c r="E11252" t="inlineStr">
        <is>
          <t>DIL_EM-01-G</t>
        </is>
      </c>
      <c r="F11252" t="inlineStr">
        <is>
          <t>#KALK!</t>
        </is>
      </c>
      <c r="G11252" t="inlineStr">
        <is>
          <t>LASTSCHUETZ</t>
        </is>
      </c>
      <c r="H11252" t="inlineStr">
        <is>
          <t>4kW 1OE</t>
        </is>
      </c>
      <c r="I11252">
        <v>510</v>
      </c>
      <c r="J11252">
        <f>GS24/586.7</f>
        <v>0</v>
      </c>
      <c r="M11252" t="inlineStr">
        <is>
          <t>-586K3519.1</t>
        </is>
      </c>
    </row>
    <row r="11253">
      <c r="A11253">
        <v>11252</v>
      </c>
      <c r="B11253">
        <f>GS24</f>
        <v>0</v>
      </c>
      <c r="C11253" t="inlineStr">
        <is>
          <t>+LS12</t>
        </is>
      </c>
      <c r="D11253" t="inlineStr">
        <is>
          <t>-586K3519.2</t>
        </is>
      </c>
      <c r="E11253" t="inlineStr">
        <is>
          <t>DIL_EM-01-G</t>
        </is>
      </c>
      <c r="F11253" t="inlineStr">
        <is>
          <t>#KALK!</t>
        </is>
      </c>
      <c r="G11253" t="inlineStr">
        <is>
          <t>LASTSCHUETZ</t>
        </is>
      </c>
      <c r="H11253" t="inlineStr">
        <is>
          <t>4kW 1OE</t>
        </is>
      </c>
      <c r="I11253">
        <v>510</v>
      </c>
      <c r="J11253">
        <f>GS24/586.8</f>
        <v>0</v>
      </c>
      <c r="M11253" t="inlineStr">
        <is>
          <t>-586K3519.2</t>
        </is>
      </c>
    </row>
    <row r="11254">
      <c r="A11254">
        <v>11253</v>
      </c>
      <c r="B11254">
        <f>GS01</f>
        <v>0</v>
      </c>
      <c r="C11254" t="inlineStr">
        <is>
          <t>+LS13</t>
        </is>
      </c>
      <c r="D11254" t="inlineStr">
        <is>
          <t>-586K42.1</t>
        </is>
      </c>
      <c r="E11254" t="inlineStr">
        <is>
          <t>DIL_EM-10-G</t>
        </is>
      </c>
      <c r="F11254" t="inlineStr">
        <is>
          <t>#KALK!</t>
        </is>
      </c>
      <c r="G11254" t="inlineStr">
        <is>
          <t>LASTSCHUETZ</t>
        </is>
      </c>
      <c r="H11254" t="inlineStr">
        <is>
          <t>4kW 1S</t>
        </is>
      </c>
      <c r="I11254">
        <v>755</v>
      </c>
      <c r="J11254">
        <f>GS01/586.6</f>
        <v>0</v>
      </c>
      <c r="M11254" t="inlineStr">
        <is>
          <t>-586K42.1</t>
        </is>
      </c>
    </row>
    <row r="11255">
      <c r="A11255">
        <v>11254</v>
      </c>
      <c r="B11255">
        <f>GS01</f>
        <v>0</v>
      </c>
      <c r="C11255" t="inlineStr">
        <is>
          <t>+LS13</t>
        </is>
      </c>
      <c r="D11255" t="inlineStr">
        <is>
          <t>-586K42.2</t>
        </is>
      </c>
      <c r="E11255" t="inlineStr">
        <is>
          <t>DIL_EM-10-G</t>
        </is>
      </c>
      <c r="F11255" t="inlineStr">
        <is>
          <t>#KALK!</t>
        </is>
      </c>
      <c r="G11255" t="inlineStr">
        <is>
          <t>LASTSCHUETZ</t>
        </is>
      </c>
      <c r="H11255" t="inlineStr">
        <is>
          <t>4kW 1S</t>
        </is>
      </c>
      <c r="I11255">
        <v>755</v>
      </c>
      <c r="J11255">
        <f>GS01/586.6</f>
        <v>0</v>
      </c>
      <c r="M11255" t="inlineStr">
        <is>
          <t>-586K42.2</t>
        </is>
      </c>
    </row>
    <row r="11256">
      <c r="A11256">
        <v>11255</v>
      </c>
      <c r="B11256">
        <f>GS51</f>
        <v>0</v>
      </c>
      <c r="C11256" t="inlineStr">
        <is>
          <t>+LS09</t>
        </is>
      </c>
      <c r="D11256" t="inlineStr">
        <is>
          <t>-586Q1</t>
        </is>
      </c>
      <c r="E11256" t="inlineStr">
        <is>
          <t>DILM-9-10</t>
        </is>
      </c>
      <c r="F11256" t="inlineStr">
        <is>
          <t>#KALK!</t>
        </is>
      </c>
      <c r="G11256" t="inlineStr">
        <is>
          <t>LASTSCHUETZ</t>
        </is>
      </c>
      <c r="H11256" t="inlineStr">
        <is>
          <t>4kW 1S Federzugkl.</t>
        </is>
      </c>
      <c r="I11256">
        <v>746</v>
      </c>
      <c r="J11256">
        <f>GS51/586.8</f>
        <v>0</v>
      </c>
      <c r="M11256" t="inlineStr">
        <is>
          <t>-586Q1</t>
        </is>
      </c>
    </row>
    <row r="11257">
      <c r="A11257">
        <v>11256</v>
      </c>
      <c r="B11257">
        <f>GS93</f>
        <v>0</v>
      </c>
      <c r="C11257" t="inlineStr">
        <is>
          <t>+LS11</t>
        </is>
      </c>
      <c r="D11257" t="inlineStr">
        <is>
          <t>-586Q759.1</t>
        </is>
      </c>
      <c r="E11257" t="inlineStr">
        <is>
          <t>DILA-XHI22</t>
        </is>
      </c>
      <c r="F11257" t="inlineStr">
        <is>
          <t>DILA-XHI22</t>
        </is>
      </c>
      <c r="G11257" t="inlineStr">
        <is>
          <t>HILFSKONTAKTBLOCK</t>
        </is>
      </c>
      <c r="H11257" t="inlineStr">
        <is>
          <t>2S 2OE Last+Hilfssch. Cage</t>
        </is>
      </c>
      <c r="I11257">
        <v>1135</v>
      </c>
      <c r="J11257">
        <f>GS93/586.5</f>
        <v>0</v>
      </c>
      <c r="M11257" t="inlineStr">
        <is>
          <t>-586Q759.1</t>
        </is>
      </c>
    </row>
    <row r="11258">
      <c r="A11258">
        <v>11257</v>
      </c>
      <c r="B11258">
        <f>GS93</f>
        <v>0</v>
      </c>
      <c r="C11258" t="inlineStr">
        <is>
          <t>+LS11</t>
        </is>
      </c>
      <c r="D11258" t="inlineStr">
        <is>
          <t>-586Q759.1</t>
        </is>
      </c>
      <c r="E11258" t="inlineStr">
        <is>
          <t>DILM-9-10</t>
        </is>
      </c>
      <c r="F11258" t="inlineStr">
        <is>
          <t>DILA-XHI22</t>
        </is>
      </c>
      <c r="G11258" t="inlineStr">
        <is>
          <t>LASTSCHUETZ</t>
        </is>
      </c>
      <c r="H11258" t="inlineStr">
        <is>
          <t>4kW 1S Federzugkl.</t>
        </is>
      </c>
      <c r="I11258">
        <v>1135</v>
      </c>
      <c r="J11258">
        <f>GS93/586.5</f>
        <v>0</v>
      </c>
      <c r="M11258" t="inlineStr">
        <is>
          <t>-586Q759.1</t>
        </is>
      </c>
    </row>
    <row r="11259">
      <c r="A11259">
        <v>11258</v>
      </c>
      <c r="B11259">
        <f>GS93</f>
        <v>0</v>
      </c>
      <c r="C11259" t="inlineStr">
        <is>
          <t>+LS11</t>
        </is>
      </c>
      <c r="D11259" t="inlineStr">
        <is>
          <t>-586Q759.2</t>
        </is>
      </c>
      <c r="E11259" t="inlineStr">
        <is>
          <t>DILA-XHI22</t>
        </is>
      </c>
      <c r="F11259" t="inlineStr">
        <is>
          <t>DILA-XHI22</t>
        </is>
      </c>
      <c r="G11259" t="inlineStr">
        <is>
          <t>HILFSKONTAKTBLOCK</t>
        </is>
      </c>
      <c r="H11259" t="inlineStr">
        <is>
          <t>2S 2OE Last+Hilfssch. Cage</t>
        </is>
      </c>
      <c r="I11259">
        <v>1135</v>
      </c>
      <c r="J11259">
        <f>GS93/586.6</f>
        <v>0</v>
      </c>
      <c r="M11259" t="inlineStr">
        <is>
          <t>-586Q759.2</t>
        </is>
      </c>
    </row>
    <row r="11260">
      <c r="A11260">
        <v>11259</v>
      </c>
      <c r="B11260">
        <f>GS93</f>
        <v>0</v>
      </c>
      <c r="C11260" t="inlineStr">
        <is>
          <t>+LS11</t>
        </is>
      </c>
      <c r="D11260" t="inlineStr">
        <is>
          <t>-586Q759.2</t>
        </is>
      </c>
      <c r="E11260" t="inlineStr">
        <is>
          <t>DILM-9-10</t>
        </is>
      </c>
      <c r="F11260" t="inlineStr">
        <is>
          <t>DILA-XHI22</t>
        </is>
      </c>
      <c r="G11260" t="inlineStr">
        <is>
          <t>LASTSCHUETZ</t>
        </is>
      </c>
      <c r="H11260" t="inlineStr">
        <is>
          <t>4kW 1S Federzugkl.</t>
        </is>
      </c>
      <c r="I11260">
        <v>1135</v>
      </c>
      <c r="J11260">
        <f>GS93/586.6</f>
        <v>0</v>
      </c>
      <c r="M11260" t="inlineStr">
        <is>
          <t>-586Q759.2</t>
        </is>
      </c>
    </row>
    <row r="11261">
      <c r="A11261">
        <v>11260</v>
      </c>
      <c r="B11261">
        <f>GS16</f>
        <v>0</v>
      </c>
      <c r="C11261" t="inlineStr">
        <is>
          <t>+LS10</t>
        </is>
      </c>
      <c r="D11261" t="inlineStr">
        <is>
          <t>-587K3513.0</t>
        </is>
      </c>
      <c r="E11261" t="inlineStr">
        <is>
          <t>DIL_EM-01-G</t>
        </is>
      </c>
      <c r="F11261" t="inlineStr">
        <is>
          <t>#KALK!</t>
        </is>
      </c>
      <c r="G11261" t="inlineStr">
        <is>
          <t>LASTSCHUETZ</t>
        </is>
      </c>
      <c r="H11261" t="inlineStr">
        <is>
          <t>4kW 1OE</t>
        </is>
      </c>
      <c r="I11261">
        <v>832</v>
      </c>
      <c r="J11261">
        <f>GS16/587.6</f>
        <v>0</v>
      </c>
      <c r="M11261" t="inlineStr">
        <is>
          <t>-587K3513.0</t>
        </is>
      </c>
    </row>
    <row r="11262">
      <c r="A11262">
        <v>11261</v>
      </c>
      <c r="B11262">
        <f>GS16</f>
        <v>0</v>
      </c>
      <c r="C11262" t="inlineStr">
        <is>
          <t>+LS10</t>
        </is>
      </c>
      <c r="D11262" t="inlineStr">
        <is>
          <t>-587K3513.1</t>
        </is>
      </c>
      <c r="E11262" t="inlineStr">
        <is>
          <t>DIL_EM-01-G</t>
        </is>
      </c>
      <c r="F11262" t="inlineStr">
        <is>
          <t>#KALK!</t>
        </is>
      </c>
      <c r="G11262" t="inlineStr">
        <is>
          <t>LASTSCHUETZ</t>
        </is>
      </c>
      <c r="H11262" t="inlineStr">
        <is>
          <t>4kW 1OE</t>
        </is>
      </c>
      <c r="I11262">
        <v>832</v>
      </c>
      <c r="J11262">
        <f>GS16/587.6</f>
        <v>0</v>
      </c>
      <c r="M11262" t="inlineStr">
        <is>
          <t>-587K3513.1</t>
        </is>
      </c>
    </row>
    <row r="11263">
      <c r="A11263">
        <v>11262</v>
      </c>
      <c r="B11263">
        <f>GS15</f>
        <v>0</v>
      </c>
      <c r="C11263" t="inlineStr">
        <is>
          <t>+LS11</t>
        </is>
      </c>
      <c r="D11263" t="inlineStr">
        <is>
          <t>-587K3515.1</t>
        </is>
      </c>
      <c r="E11263" t="inlineStr">
        <is>
          <t>DIL_EM-10-G</t>
        </is>
      </c>
      <c r="F11263" t="inlineStr">
        <is>
          <t>#KALK!</t>
        </is>
      </c>
      <c r="G11263" t="inlineStr">
        <is>
          <t>LASTSCHUETZ</t>
        </is>
      </c>
      <c r="H11263" t="inlineStr">
        <is>
          <t>4kW 1S</t>
        </is>
      </c>
      <c r="I11263">
        <v>1098</v>
      </c>
      <c r="J11263">
        <f>GS15/587.6</f>
        <v>0</v>
      </c>
      <c r="M11263" t="inlineStr">
        <is>
          <t>-587K3515.1</t>
        </is>
      </c>
    </row>
    <row r="11264">
      <c r="A11264">
        <v>11263</v>
      </c>
      <c r="B11264">
        <f>GS15</f>
        <v>0</v>
      </c>
      <c r="C11264" t="inlineStr">
        <is>
          <t>+LS11</t>
        </is>
      </c>
      <c r="D11264" t="inlineStr">
        <is>
          <t>-587K3515.2</t>
        </is>
      </c>
      <c r="E11264" t="inlineStr">
        <is>
          <t>DIL_EM-10-G</t>
        </is>
      </c>
      <c r="F11264" t="inlineStr">
        <is>
          <t>#KALK!</t>
        </is>
      </c>
      <c r="G11264" t="inlineStr">
        <is>
          <t>LASTSCHUETZ</t>
        </is>
      </c>
      <c r="H11264" t="inlineStr">
        <is>
          <t>4kW 1S</t>
        </is>
      </c>
      <c r="I11264">
        <v>1098</v>
      </c>
      <c r="J11264">
        <f>GS15/587.7</f>
        <v>0</v>
      </c>
      <c r="M11264" t="inlineStr">
        <is>
          <t>-587K3515.2</t>
        </is>
      </c>
    </row>
    <row r="11265">
      <c r="A11265">
        <v>11264</v>
      </c>
      <c r="B11265">
        <f>GS01</f>
        <v>0</v>
      </c>
      <c r="C11265" t="inlineStr">
        <is>
          <t>+LS13</t>
        </is>
      </c>
      <c r="D11265" t="inlineStr">
        <is>
          <t>-587K42.3</t>
        </is>
      </c>
      <c r="E11265" t="inlineStr">
        <is>
          <t>DIL_EM-10-G</t>
        </is>
      </c>
      <c r="F11265" t="inlineStr">
        <is>
          <t>#KALK!</t>
        </is>
      </c>
      <c r="G11265" t="inlineStr">
        <is>
          <t>LASTSCHUETZ</t>
        </is>
      </c>
      <c r="H11265" t="inlineStr">
        <is>
          <t>4kW 1S</t>
        </is>
      </c>
      <c r="I11265">
        <v>756</v>
      </c>
      <c r="J11265">
        <f>GS01/587.6</f>
        <v>0</v>
      </c>
      <c r="M11265" t="inlineStr">
        <is>
          <t>-587K42.3</t>
        </is>
      </c>
    </row>
    <row r="11266">
      <c r="A11266">
        <v>11265</v>
      </c>
      <c r="B11266">
        <f>GS01</f>
        <v>0</v>
      </c>
      <c r="C11266" t="inlineStr">
        <is>
          <t>+LS13</t>
        </is>
      </c>
      <c r="D11266" t="inlineStr">
        <is>
          <t>-587K42.4</t>
        </is>
      </c>
      <c r="E11266" t="inlineStr">
        <is>
          <t>DIL_EM-10-G</t>
        </is>
      </c>
      <c r="F11266" t="inlineStr">
        <is>
          <t>#KALK!</t>
        </is>
      </c>
      <c r="G11266" t="inlineStr">
        <is>
          <t>LASTSCHUETZ</t>
        </is>
      </c>
      <c r="H11266" t="inlineStr">
        <is>
          <t>4kW 1S</t>
        </is>
      </c>
      <c r="I11266">
        <v>756</v>
      </c>
      <c r="J11266">
        <f>GS01/587.6</f>
        <v>0</v>
      </c>
      <c r="M11266" t="inlineStr">
        <is>
          <t>-587K42.4</t>
        </is>
      </c>
    </row>
    <row r="11267">
      <c r="A11267">
        <v>11266</v>
      </c>
      <c r="B11267">
        <f>GS91</f>
        <v>0</v>
      </c>
      <c r="C11267" t="inlineStr">
        <is>
          <t>+LS11</t>
        </is>
      </c>
      <c r="D11267" t="inlineStr">
        <is>
          <t>-587Q482.5</t>
        </is>
      </c>
      <c r="E11267" t="inlineStr">
        <is>
          <t>DILM-9-10</t>
        </is>
      </c>
      <c r="F11267" t="inlineStr">
        <is>
          <t>#KALK!</t>
        </is>
      </c>
      <c r="G11267" t="inlineStr">
        <is>
          <t>LASTSCHUETZ</t>
        </is>
      </c>
      <c r="H11267" t="inlineStr">
        <is>
          <t>4kW 1S Federzugkl.</t>
        </is>
      </c>
      <c r="I11267">
        <v>735</v>
      </c>
      <c r="J11267">
        <f>GS91/587.5</f>
        <v>0</v>
      </c>
      <c r="M11267" t="inlineStr">
        <is>
          <t>-587Q482.5</t>
        </is>
      </c>
    </row>
    <row r="11268">
      <c r="A11268">
        <v>11267</v>
      </c>
      <c r="B11268">
        <f>GS93</f>
        <v>0</v>
      </c>
      <c r="C11268" t="inlineStr">
        <is>
          <t>+LS11</t>
        </is>
      </c>
      <c r="D11268" t="inlineStr">
        <is>
          <t>-587Q759.3</t>
        </is>
      </c>
      <c r="E11268" t="inlineStr">
        <is>
          <t>DILM-9-10</t>
        </is>
      </c>
      <c r="F11268" t="inlineStr">
        <is>
          <t>#KALK!</t>
        </is>
      </c>
      <c r="G11268" t="inlineStr">
        <is>
          <t>LASTSCHUETZ</t>
        </is>
      </c>
      <c r="H11268" t="inlineStr">
        <is>
          <t>4kW 1S Federzugkl.</t>
        </is>
      </c>
      <c r="I11268">
        <v>1136</v>
      </c>
      <c r="J11268">
        <f>GS93/587.5</f>
        <v>0</v>
      </c>
      <c r="M11268" t="inlineStr">
        <is>
          <t>-587Q759.3</t>
        </is>
      </c>
    </row>
    <row r="11269">
      <c r="A11269">
        <v>11268</v>
      </c>
      <c r="B11269">
        <f>GS13</f>
        <v>0</v>
      </c>
      <c r="C11269" t="inlineStr">
        <is>
          <t>+LS14</t>
        </is>
      </c>
      <c r="D11269" t="inlineStr">
        <is>
          <t>-58830.3</t>
        </is>
      </c>
      <c r="E11269" t="inlineStr">
        <is>
          <t>DIL_EM-10-G</t>
        </is>
      </c>
      <c r="F11269" t="inlineStr">
        <is>
          <t>#KALK!</t>
        </is>
      </c>
      <c r="G11269" t="inlineStr">
        <is>
          <t>LASTSCHUETZ</t>
        </is>
      </c>
      <c r="H11269" t="inlineStr">
        <is>
          <t>4kW 1S</t>
        </is>
      </c>
      <c r="I11269">
        <v>847</v>
      </c>
      <c r="J11269">
        <f>GS13/588.7</f>
        <v>0</v>
      </c>
      <c r="M11269" t="inlineStr">
        <is>
          <t>-58830.3</t>
        </is>
      </c>
    </row>
    <row r="11270">
      <c r="A11270">
        <v>11269</v>
      </c>
      <c r="B11270">
        <f>GS23</f>
        <v>0</v>
      </c>
      <c r="C11270" t="inlineStr">
        <is>
          <t>+LS14</t>
        </is>
      </c>
      <c r="D11270" t="inlineStr">
        <is>
          <t>-588K30.3</t>
        </is>
      </c>
      <c r="E11270" t="inlineStr">
        <is>
          <t>DIL_EM-10-G</t>
        </is>
      </c>
      <c r="F11270" t="inlineStr">
        <is>
          <t>#KALK!</t>
        </is>
      </c>
      <c r="G11270" t="inlineStr">
        <is>
          <t>LASTSCHUETZ</t>
        </is>
      </c>
      <c r="H11270" t="inlineStr">
        <is>
          <t>4kW 1S</t>
        </is>
      </c>
      <c r="I11270">
        <v>900</v>
      </c>
      <c r="J11270">
        <f>GS23/588.7</f>
        <v>0</v>
      </c>
      <c r="M11270" t="inlineStr">
        <is>
          <t>-588K30.3</t>
        </is>
      </c>
    </row>
    <row r="11271">
      <c r="A11271">
        <v>11270</v>
      </c>
      <c r="B11271">
        <f>GS24</f>
        <v>0</v>
      </c>
      <c r="C11271" t="inlineStr">
        <is>
          <t>+LS12</t>
        </is>
      </c>
      <c r="D11271" t="inlineStr">
        <is>
          <t>-588K3520.1</t>
        </is>
      </c>
      <c r="E11271" t="inlineStr">
        <is>
          <t>DIL_EM-10-G</t>
        </is>
      </c>
      <c r="F11271" t="inlineStr">
        <is>
          <t>#KALK!</t>
        </is>
      </c>
      <c r="G11271" t="inlineStr">
        <is>
          <t>LASTSCHUETZ</t>
        </is>
      </c>
      <c r="H11271" t="inlineStr">
        <is>
          <t>4kW 1S</t>
        </is>
      </c>
      <c r="I11271">
        <v>508</v>
      </c>
      <c r="J11271">
        <f>GS24/588.5</f>
        <v>0</v>
      </c>
      <c r="M11271" t="inlineStr">
        <is>
          <t>-588K3520.1</t>
        </is>
      </c>
    </row>
    <row r="11272">
      <c r="A11272">
        <v>11271</v>
      </c>
      <c r="B11272">
        <f>GS24</f>
        <v>0</v>
      </c>
      <c r="C11272" t="inlineStr">
        <is>
          <t>+LS12</t>
        </is>
      </c>
      <c r="D11272" t="inlineStr">
        <is>
          <t>-588K3520.2</t>
        </is>
      </c>
      <c r="E11272" t="inlineStr">
        <is>
          <t>DIL_EM-10-G</t>
        </is>
      </c>
      <c r="F11272" t="inlineStr">
        <is>
          <t>#KALK!</t>
        </is>
      </c>
      <c r="G11272" t="inlineStr">
        <is>
          <t>LASTSCHUETZ</t>
        </is>
      </c>
      <c r="H11272" t="inlineStr">
        <is>
          <t>4kW 1S</t>
        </is>
      </c>
      <c r="I11272">
        <v>508</v>
      </c>
      <c r="J11272">
        <f>GS24/588.6</f>
        <v>0</v>
      </c>
      <c r="M11272" t="inlineStr">
        <is>
          <t>-588K3520.2</t>
        </is>
      </c>
    </row>
    <row r="11273">
      <c r="A11273">
        <v>11272</v>
      </c>
      <c r="B11273">
        <f>GS24</f>
        <v>0</v>
      </c>
      <c r="C11273" t="inlineStr">
        <is>
          <t>+LS12</t>
        </is>
      </c>
      <c r="D11273" t="inlineStr">
        <is>
          <t>-588K3520.3</t>
        </is>
      </c>
      <c r="E11273" t="inlineStr">
        <is>
          <t>DIL_EM-01-G</t>
        </is>
      </c>
      <c r="F11273" t="inlineStr">
        <is>
          <t>#KALK!</t>
        </is>
      </c>
      <c r="G11273" t="inlineStr">
        <is>
          <t>LASTSCHUETZ</t>
        </is>
      </c>
      <c r="H11273" t="inlineStr">
        <is>
          <t>4kW 1OE</t>
        </is>
      </c>
      <c r="I11273">
        <v>508</v>
      </c>
      <c r="J11273">
        <f>GS24/588.7</f>
        <v>0</v>
      </c>
      <c r="M11273" t="inlineStr">
        <is>
          <t>-588K3520.3</t>
        </is>
      </c>
    </row>
    <row r="11274">
      <c r="A11274">
        <v>11273</v>
      </c>
      <c r="B11274">
        <f>GS24</f>
        <v>0</v>
      </c>
      <c r="C11274" t="inlineStr">
        <is>
          <t>+LS12</t>
        </is>
      </c>
      <c r="D11274" t="inlineStr">
        <is>
          <t>-588K3520.4</t>
        </is>
      </c>
      <c r="E11274" t="inlineStr">
        <is>
          <t>DIL_EM-01-G</t>
        </is>
      </c>
      <c r="F11274" t="inlineStr">
        <is>
          <t>#KALK!</t>
        </is>
      </c>
      <c r="G11274" t="inlineStr">
        <is>
          <t>LASTSCHUETZ</t>
        </is>
      </c>
      <c r="H11274" t="inlineStr">
        <is>
          <t>4kW 1OE</t>
        </is>
      </c>
      <c r="I11274">
        <v>508</v>
      </c>
      <c r="J11274">
        <f>GS24/588.8</f>
        <v>0</v>
      </c>
      <c r="M11274" t="inlineStr">
        <is>
          <t>-588K3520.4</t>
        </is>
      </c>
    </row>
    <row r="11275">
      <c r="A11275">
        <v>11274</v>
      </c>
      <c r="B11275">
        <f>GS13</f>
        <v>0</v>
      </c>
      <c r="C11275" t="inlineStr">
        <is>
          <t>+LS14</t>
        </is>
      </c>
      <c r="D11275" t="inlineStr">
        <is>
          <t>-58930.7</t>
        </is>
      </c>
      <c r="E11275" t="inlineStr">
        <is>
          <t>DIL_EM-10-G</t>
        </is>
      </c>
      <c r="F11275" t="inlineStr">
        <is>
          <t>#KALK!</t>
        </is>
      </c>
      <c r="G11275" t="inlineStr">
        <is>
          <t>LASTSCHUETZ</t>
        </is>
      </c>
      <c r="H11275" t="inlineStr">
        <is>
          <t>4kW 1S</t>
        </is>
      </c>
      <c r="I11275">
        <v>848</v>
      </c>
      <c r="J11275">
        <f>GS13/589.7</f>
        <v>0</v>
      </c>
      <c r="M11275" t="inlineStr">
        <is>
          <t>-58930.7</t>
        </is>
      </c>
    </row>
    <row r="11276">
      <c r="A11276">
        <v>11275</v>
      </c>
      <c r="B11276">
        <f>GS23</f>
        <v>0</v>
      </c>
      <c r="C11276" t="inlineStr">
        <is>
          <t>+LS14</t>
        </is>
      </c>
      <c r="D11276" t="inlineStr">
        <is>
          <t>-589K30.7</t>
        </is>
      </c>
      <c r="E11276" t="inlineStr">
        <is>
          <t>DIL_EM-10-G</t>
        </is>
      </c>
      <c r="F11276" t="inlineStr">
        <is>
          <t>#KALK!</t>
        </is>
      </c>
      <c r="G11276" t="inlineStr">
        <is>
          <t>LASTSCHUETZ</t>
        </is>
      </c>
      <c r="H11276" t="inlineStr">
        <is>
          <t>4kW 1S</t>
        </is>
      </c>
      <c r="I11276">
        <v>901</v>
      </c>
      <c r="J11276">
        <f>GS23/589.7</f>
        <v>0</v>
      </c>
      <c r="M11276" t="inlineStr">
        <is>
          <t>-589K30.7</t>
        </is>
      </c>
    </row>
    <row r="11277">
      <c r="A11277">
        <v>11276</v>
      </c>
      <c r="B11277">
        <f>GS16</f>
        <v>0</v>
      </c>
      <c r="C11277" t="inlineStr">
        <is>
          <t>+LS10</t>
        </is>
      </c>
      <c r="D11277" t="inlineStr">
        <is>
          <t>-589K3513.2</t>
        </is>
      </c>
      <c r="E11277" t="inlineStr">
        <is>
          <t>DIL_EM-01-G</t>
        </is>
      </c>
      <c r="F11277" t="inlineStr">
        <is>
          <t>#KALK!</t>
        </is>
      </c>
      <c r="G11277" t="inlineStr">
        <is>
          <t>LASTSCHUETZ</t>
        </is>
      </c>
      <c r="H11277" t="inlineStr">
        <is>
          <t>4kW 1OE</t>
        </is>
      </c>
      <c r="I11277">
        <v>834</v>
      </c>
      <c r="J11277">
        <f>GS16/589.6</f>
        <v>0</v>
      </c>
      <c r="M11277" t="inlineStr">
        <is>
          <t>-589K3513.2</t>
        </is>
      </c>
    </row>
    <row r="11278">
      <c r="A11278">
        <v>11277</v>
      </c>
      <c r="B11278">
        <f>GS16</f>
        <v>0</v>
      </c>
      <c r="C11278" t="inlineStr">
        <is>
          <t>+LS10</t>
        </is>
      </c>
      <c r="D11278" t="inlineStr">
        <is>
          <t>-589K3513.3</t>
        </is>
      </c>
      <c r="E11278" t="inlineStr">
        <is>
          <t>DIL_EM-01-G</t>
        </is>
      </c>
      <c r="F11278" t="inlineStr">
        <is>
          <t>#KALK!</t>
        </is>
      </c>
      <c r="G11278" t="inlineStr">
        <is>
          <t>LASTSCHUETZ</t>
        </is>
      </c>
      <c r="H11278" t="inlineStr">
        <is>
          <t>4kW 1OE</t>
        </is>
      </c>
      <c r="I11278">
        <v>834</v>
      </c>
      <c r="J11278">
        <f>GS16/589.6</f>
        <v>0</v>
      </c>
      <c r="M11278" t="inlineStr">
        <is>
          <t>-589K3513.3</t>
        </is>
      </c>
    </row>
    <row r="11279">
      <c r="A11279">
        <v>11278</v>
      </c>
      <c r="B11279">
        <f>GS24</f>
        <v>0</v>
      </c>
      <c r="C11279" t="inlineStr">
        <is>
          <t>+LS12</t>
        </is>
      </c>
      <c r="D11279" t="inlineStr">
        <is>
          <t>-589K3520.5</t>
        </is>
      </c>
      <c r="E11279" t="inlineStr">
        <is>
          <t>DIL_EM-10-G</t>
        </is>
      </c>
      <c r="F11279" t="inlineStr">
        <is>
          <t>#KALK!</t>
        </is>
      </c>
      <c r="G11279" t="inlineStr">
        <is>
          <t>LASTSCHUETZ</t>
        </is>
      </c>
      <c r="H11279" t="inlineStr">
        <is>
          <t>4kW 1S</t>
        </is>
      </c>
      <c r="I11279">
        <v>507</v>
      </c>
      <c r="J11279">
        <f>GS24/589.6</f>
        <v>0</v>
      </c>
      <c r="M11279" t="inlineStr">
        <is>
          <t>-589K3520.5</t>
        </is>
      </c>
    </row>
    <row r="11280">
      <c r="A11280">
        <v>11279</v>
      </c>
      <c r="B11280">
        <f>GS24</f>
        <v>0</v>
      </c>
      <c r="C11280" t="inlineStr">
        <is>
          <t>+LS12</t>
        </is>
      </c>
      <c r="D11280" t="inlineStr">
        <is>
          <t>-589K3520.6</t>
        </is>
      </c>
      <c r="E11280" t="inlineStr">
        <is>
          <t>DIL_EM-10-G</t>
        </is>
      </c>
      <c r="F11280" t="inlineStr">
        <is>
          <t>#KALK!</t>
        </is>
      </c>
      <c r="G11280" t="inlineStr">
        <is>
          <t>LASTSCHUETZ</t>
        </is>
      </c>
      <c r="H11280" t="inlineStr">
        <is>
          <t>4kW 1S</t>
        </is>
      </c>
      <c r="I11280">
        <v>507</v>
      </c>
      <c r="J11280">
        <f>GS24/589.6</f>
        <v>0</v>
      </c>
      <c r="M11280" t="inlineStr">
        <is>
          <t>-589K3520.6</t>
        </is>
      </c>
    </row>
    <row r="11281">
      <c r="A11281">
        <v>11280</v>
      </c>
      <c r="B11281">
        <f>GS05</f>
        <v>0</v>
      </c>
      <c r="C11281" t="inlineStr">
        <is>
          <t>+LS09</t>
        </is>
      </c>
      <c r="D11281" t="inlineStr">
        <is>
          <t>-589Q421.5</t>
        </is>
      </c>
      <c r="E11281" t="inlineStr">
        <is>
          <t>DILM-9-10</t>
        </is>
      </c>
      <c r="F11281" t="inlineStr">
        <is>
          <t>#KALK!</t>
        </is>
      </c>
      <c r="G11281" t="inlineStr">
        <is>
          <t>LASTSCHUETZ</t>
        </is>
      </c>
      <c r="H11281" t="inlineStr">
        <is>
          <t>4kW 1S Federzugkl.</t>
        </is>
      </c>
      <c r="I11281">
        <v>2578</v>
      </c>
      <c r="J11281">
        <f>GS05/589.6</f>
        <v>0</v>
      </c>
      <c r="K11281" t="inlineStr">
        <is>
          <t>DIL MC9</t>
        </is>
      </c>
      <c r="M11281" t="inlineStr">
        <is>
          <t>-589Q421.5</t>
        </is>
      </c>
    </row>
    <row r="11282">
      <c r="A11282">
        <v>11281</v>
      </c>
      <c r="B11282">
        <f>GS16</f>
        <v>0</v>
      </c>
      <c r="C11282" t="inlineStr">
        <is>
          <t>+LS10</t>
        </is>
      </c>
      <c r="D11282" t="inlineStr">
        <is>
          <t>-590K3514.4</t>
        </is>
      </c>
      <c r="E11282" t="inlineStr">
        <is>
          <t>DIL_EM-10-G</t>
        </is>
      </c>
      <c r="F11282" t="inlineStr">
        <is>
          <t>#KALK!</t>
        </is>
      </c>
      <c r="G11282" t="inlineStr">
        <is>
          <t>LASTSCHUETZ</t>
        </is>
      </c>
      <c r="H11282" t="inlineStr">
        <is>
          <t>4kW 1S</t>
        </is>
      </c>
      <c r="I11282">
        <v>835</v>
      </c>
      <c r="J11282">
        <f>GS16/590.7</f>
        <v>0</v>
      </c>
      <c r="M11282" t="inlineStr">
        <is>
          <t>-590K3514.4</t>
        </is>
      </c>
    </row>
    <row r="11283">
      <c r="A11283">
        <v>11282</v>
      </c>
      <c r="B11283">
        <f>GS06</f>
        <v>0</v>
      </c>
      <c r="C11283" t="inlineStr">
        <is>
          <t>+LS09</t>
        </is>
      </c>
      <c r="D11283" t="inlineStr">
        <is>
          <t>-590Q418.5</t>
        </is>
      </c>
      <c r="E11283" t="inlineStr">
        <is>
          <t>DILM-9-10</t>
        </is>
      </c>
      <c r="F11283" t="inlineStr">
        <is>
          <t>#KALK!</t>
        </is>
      </c>
      <c r="G11283" t="inlineStr">
        <is>
          <t>LASTSCHUETZ</t>
        </is>
      </c>
      <c r="H11283" t="inlineStr">
        <is>
          <t>4kW 1S Federzugkl.</t>
        </is>
      </c>
      <c r="I11283">
        <v>1004</v>
      </c>
      <c r="J11283">
        <f>GS06/590.6</f>
        <v>0</v>
      </c>
      <c r="K11283" t="inlineStr">
        <is>
          <t>DIL MC9</t>
        </is>
      </c>
      <c r="M11283" t="inlineStr">
        <is>
          <t>-590Q418.5</t>
        </is>
      </c>
    </row>
    <row r="11284">
      <c r="A11284">
        <v>11283</v>
      </c>
      <c r="B11284">
        <f>GS16</f>
        <v>0</v>
      </c>
      <c r="C11284" t="inlineStr">
        <is>
          <t>+LS10</t>
        </is>
      </c>
      <c r="D11284" t="inlineStr">
        <is>
          <t>-591K3515.4</t>
        </is>
      </c>
      <c r="E11284" t="inlineStr">
        <is>
          <t>DIL_EM-10-G</t>
        </is>
      </c>
      <c r="F11284" t="inlineStr">
        <is>
          <t>#KALK!</t>
        </is>
      </c>
      <c r="G11284" t="inlineStr">
        <is>
          <t>LASTSCHUETZ</t>
        </is>
      </c>
      <c r="H11284" t="inlineStr">
        <is>
          <t>4kW 1S</t>
        </is>
      </c>
      <c r="I11284">
        <v>836</v>
      </c>
      <c r="J11284">
        <f>GS16/591.7</f>
        <v>0</v>
      </c>
      <c r="M11284" t="inlineStr">
        <is>
          <t>-591K3515.4</t>
        </is>
      </c>
    </row>
    <row r="11285">
      <c r="A11285">
        <v>11284</v>
      </c>
      <c r="B11285">
        <f>GS01</f>
        <v>0</v>
      </c>
      <c r="C11285" t="inlineStr">
        <is>
          <t>+LS13</t>
        </is>
      </c>
      <c r="D11285" t="inlineStr">
        <is>
          <t>-593K1</t>
        </is>
      </c>
      <c r="E11285" t="inlineStr">
        <is>
          <t>22_DIL-M</t>
        </is>
      </c>
      <c r="F11285" t="inlineStr">
        <is>
          <t>22_DIL-M</t>
        </is>
      </c>
      <c r="G11285" t="inlineStr">
        <is>
          <t>HILFSKONTAKTBLOCK</t>
        </is>
      </c>
      <c r="H11285" t="inlineStr">
        <is>
          <t>2S 2OE Lastschuetz DIL M</t>
        </is>
      </c>
      <c r="I11285">
        <v>762</v>
      </c>
      <c r="J11285">
        <f>GS01/593.2</f>
        <v>0</v>
      </c>
      <c r="K11285" t="inlineStr">
        <is>
          <t>DIL0AM</t>
        </is>
      </c>
      <c r="M11285" t="inlineStr">
        <is>
          <t>-593K1</t>
        </is>
      </c>
    </row>
    <row r="11286">
      <c r="A11286">
        <v>11285</v>
      </c>
      <c r="B11286">
        <f>GS01</f>
        <v>0</v>
      </c>
      <c r="C11286" t="inlineStr">
        <is>
          <t>+LS13</t>
        </is>
      </c>
      <c r="D11286" t="inlineStr">
        <is>
          <t>-593K1</t>
        </is>
      </c>
      <c r="E11286" t="inlineStr">
        <is>
          <t>DIL_0AM</t>
        </is>
      </c>
      <c r="F11286" t="inlineStr">
        <is>
          <t>22_DIL-M</t>
        </is>
      </c>
      <c r="G11286" t="inlineStr">
        <is>
          <t>LASTSCHUETZ</t>
        </is>
      </c>
      <c r="H11286" t="inlineStr">
        <is>
          <t>11 kW</t>
        </is>
      </c>
      <c r="I11286">
        <v>762</v>
      </c>
      <c r="J11286">
        <f>GS01/593.2</f>
        <v>0</v>
      </c>
      <c r="K11286" t="inlineStr">
        <is>
          <t>DIL0AM</t>
        </is>
      </c>
      <c r="M11286" t="inlineStr">
        <is>
          <t>-593K1</t>
        </is>
      </c>
    </row>
    <row r="11287">
      <c r="A11287">
        <v>11286</v>
      </c>
      <c r="B11287">
        <f>GS15</f>
        <v>0</v>
      </c>
      <c r="C11287" t="inlineStr">
        <is>
          <t>+LS11</t>
        </is>
      </c>
      <c r="D11287" t="inlineStr">
        <is>
          <t>-594K1</t>
        </is>
      </c>
      <c r="E11287" t="inlineStr">
        <is>
          <t>22_DIL-M</t>
        </is>
      </c>
      <c r="F11287" t="inlineStr">
        <is>
          <t>22_DIL-M</t>
        </is>
      </c>
      <c r="G11287" t="inlineStr">
        <is>
          <t>HILFSKONTAKTBLOCK</t>
        </is>
      </c>
      <c r="H11287" t="inlineStr">
        <is>
          <t>2S 2OE Lastschuetz DIL M</t>
        </is>
      </c>
      <c r="I11287">
        <v>1105</v>
      </c>
      <c r="J11287">
        <f>GS15/594.2</f>
        <v>0</v>
      </c>
      <c r="K11287" t="inlineStr">
        <is>
          <t>DIL0AM</t>
        </is>
      </c>
      <c r="M11287" t="inlineStr">
        <is>
          <t>-594K1</t>
        </is>
      </c>
    </row>
    <row r="11288">
      <c r="A11288">
        <v>11287</v>
      </c>
      <c r="B11288">
        <f>GS15</f>
        <v>0</v>
      </c>
      <c r="C11288" t="inlineStr">
        <is>
          <t>+LS11</t>
        </is>
      </c>
      <c r="D11288" t="inlineStr">
        <is>
          <t>-594K1</t>
        </is>
      </c>
      <c r="E11288" t="inlineStr">
        <is>
          <t>DIL_0AM</t>
        </is>
      </c>
      <c r="F11288" t="inlineStr">
        <is>
          <t>22_DIL-M</t>
        </is>
      </c>
      <c r="G11288" t="inlineStr">
        <is>
          <t>LASTSCHUETZ</t>
        </is>
      </c>
      <c r="H11288" t="inlineStr">
        <is>
          <t>11 kW</t>
        </is>
      </c>
      <c r="I11288">
        <v>1105</v>
      </c>
      <c r="J11288">
        <f>GS15/594.2</f>
        <v>0</v>
      </c>
      <c r="K11288" t="inlineStr">
        <is>
          <t>DIL0AM</t>
        </is>
      </c>
      <c r="M11288" t="inlineStr">
        <is>
          <t>-594K1</t>
        </is>
      </c>
    </row>
    <row r="11289">
      <c r="A11289">
        <v>11288</v>
      </c>
      <c r="B11289">
        <f>GS06</f>
        <v>0</v>
      </c>
      <c r="C11289" t="inlineStr">
        <is>
          <t>+LS09</t>
        </is>
      </c>
      <c r="D11289" t="inlineStr">
        <is>
          <t>-594Q420.4</t>
        </is>
      </c>
      <c r="E11289" t="inlineStr">
        <is>
          <t>DILM-9-10</t>
        </is>
      </c>
      <c r="F11289" t="inlineStr">
        <is>
          <t>#KALK!</t>
        </is>
      </c>
      <c r="G11289" t="inlineStr">
        <is>
          <t>LASTSCHUETZ</t>
        </is>
      </c>
      <c r="H11289" t="inlineStr">
        <is>
          <t>4kW 1S Federzugkl.</t>
        </is>
      </c>
      <c r="I11289">
        <v>757</v>
      </c>
      <c r="J11289">
        <f>GS06/594.6</f>
        <v>0</v>
      </c>
      <c r="K11289" t="inlineStr">
        <is>
          <t>DIL MC9</t>
        </is>
      </c>
      <c r="M11289" t="inlineStr">
        <is>
          <t>-594Q420.4</t>
        </is>
      </c>
    </row>
    <row r="11290">
      <c r="A11290">
        <v>11289</v>
      </c>
      <c r="B11290">
        <f>GS25</f>
        <v>0</v>
      </c>
      <c r="C11290" t="inlineStr">
        <is>
          <t>+LS14</t>
        </is>
      </c>
      <c r="D11290" t="inlineStr">
        <is>
          <t>-595K1</t>
        </is>
      </c>
      <c r="E11290" t="inlineStr">
        <is>
          <t>DIL_0AM</t>
        </is>
      </c>
      <c r="F11290" t="inlineStr">
        <is>
          <t>22_DIL-M</t>
        </is>
      </c>
      <c r="G11290" t="inlineStr">
        <is>
          <t>LASTSCHUETZ</t>
        </is>
      </c>
      <c r="H11290" t="inlineStr">
        <is>
          <t>11 kW</t>
        </is>
      </c>
      <c r="I11290">
        <v>722</v>
      </c>
      <c r="J11290">
        <f>GS25/595.2</f>
        <v>0</v>
      </c>
      <c r="K11290" t="inlineStr">
        <is>
          <t>DIL0AM</t>
        </is>
      </c>
      <c r="M11290" t="inlineStr">
        <is>
          <t>-595K1</t>
        </is>
      </c>
    </row>
    <row r="11291">
      <c r="A11291">
        <v>11290</v>
      </c>
      <c r="B11291">
        <f>GS25</f>
        <v>0</v>
      </c>
      <c r="C11291" t="inlineStr">
        <is>
          <t>+LS14</t>
        </is>
      </c>
      <c r="D11291" t="inlineStr">
        <is>
          <t>-595K1</t>
        </is>
      </c>
      <c r="E11291" t="inlineStr">
        <is>
          <t>22_DIL-M</t>
        </is>
      </c>
      <c r="F11291" t="inlineStr">
        <is>
          <t>22_DIL-M</t>
        </is>
      </c>
      <c r="G11291" t="inlineStr">
        <is>
          <t>HILFSKONTAKTBLOCK</t>
        </is>
      </c>
      <c r="H11291" t="inlineStr">
        <is>
          <t>2S 2OE Lastschuetz DIL M</t>
        </is>
      </c>
      <c r="I11291">
        <v>722</v>
      </c>
      <c r="J11291">
        <f>GS25/595.2</f>
        <v>0</v>
      </c>
      <c r="K11291" t="inlineStr">
        <is>
          <t>DIL0AM</t>
        </is>
      </c>
      <c r="M11291" t="inlineStr">
        <is>
          <t>-595K1</t>
        </is>
      </c>
    </row>
    <row r="11292">
      <c r="A11292">
        <v>11291</v>
      </c>
      <c r="B11292">
        <f>GS51</f>
        <v>0</v>
      </c>
      <c r="C11292" t="inlineStr">
        <is>
          <t>+LS09</t>
        </is>
      </c>
      <c r="D11292" t="inlineStr">
        <is>
          <t>-595K164.6</t>
        </is>
      </c>
      <c r="E11292" t="inlineStr">
        <is>
          <t>DILA-22</t>
        </is>
      </c>
      <c r="F11292" t="inlineStr">
        <is>
          <t>#KALK!</t>
        </is>
      </c>
      <c r="G11292" t="inlineStr">
        <is>
          <t>HILFSSCHUETZ</t>
        </is>
      </c>
      <c r="H11292" t="inlineStr">
        <is>
          <t>2S 2Oe Federzugkl.</t>
        </is>
      </c>
      <c r="I11292">
        <v>755</v>
      </c>
      <c r="J11292">
        <f>GS51/595.2</f>
        <v>0</v>
      </c>
      <c r="M11292" t="inlineStr">
        <is>
          <t>-595K164.6</t>
        </is>
      </c>
    </row>
    <row r="11293">
      <c r="A11293">
        <v>11292</v>
      </c>
      <c r="B11293">
        <f>GS92</f>
        <v>0</v>
      </c>
      <c r="C11293" t="inlineStr">
        <is>
          <t>+LS11</t>
        </is>
      </c>
      <c r="D11293" t="inlineStr">
        <is>
          <t>-595K480.0</t>
        </is>
      </c>
      <c r="E11293" t="inlineStr">
        <is>
          <t>DILA-40</t>
        </is>
      </c>
      <c r="F11293" t="inlineStr">
        <is>
          <t>#KALK!</t>
        </is>
      </c>
      <c r="G11293" t="inlineStr">
        <is>
          <t>HILFSSCHUETZ</t>
        </is>
      </c>
      <c r="H11293" t="inlineStr">
        <is>
          <t>4S Federzugkl.</t>
        </is>
      </c>
      <c r="I11293">
        <v>736</v>
      </c>
      <c r="J11293">
        <f>GS92/595.7</f>
        <v>0</v>
      </c>
      <c r="M11293" t="inlineStr">
        <is>
          <t>-595K480.0</t>
        </is>
      </c>
    </row>
    <row r="11294">
      <c r="A11294">
        <v>11293</v>
      </c>
      <c r="B11294">
        <f>GS20</f>
        <v>0</v>
      </c>
      <c r="C11294" t="inlineStr">
        <is>
          <t>+LS16</t>
        </is>
      </c>
      <c r="D11294" t="inlineStr">
        <is>
          <t>-595K727.0</t>
        </is>
      </c>
      <c r="E11294" t="inlineStr">
        <is>
          <t>DILA-40</t>
        </is>
      </c>
      <c r="F11294" t="inlineStr">
        <is>
          <t>#KALK!</t>
        </is>
      </c>
      <c r="G11294" t="inlineStr">
        <is>
          <t>HILFSSCHUETZ</t>
        </is>
      </c>
      <c r="H11294" t="inlineStr">
        <is>
          <t>4S Federzugkl.</t>
        </is>
      </c>
      <c r="I11294">
        <v>860</v>
      </c>
      <c r="J11294">
        <f>GS20/595.7</f>
        <v>0</v>
      </c>
      <c r="M11294" t="inlineStr">
        <is>
          <t>-595K727.0</t>
        </is>
      </c>
    </row>
    <row r="11295">
      <c r="A11295">
        <v>11294</v>
      </c>
      <c r="B11295">
        <f>GS93</f>
        <v>0</v>
      </c>
      <c r="C11295" t="inlineStr">
        <is>
          <t>+LS11</t>
        </is>
      </c>
      <c r="D11295" t="inlineStr">
        <is>
          <t>-595K760.4</t>
        </is>
      </c>
      <c r="E11295" t="inlineStr">
        <is>
          <t>DILA-40</t>
        </is>
      </c>
      <c r="F11295" t="inlineStr">
        <is>
          <t>#KALK!</t>
        </is>
      </c>
      <c r="G11295" t="inlineStr">
        <is>
          <t>HILFSSCHUETZ</t>
        </is>
      </c>
      <c r="H11295" t="inlineStr">
        <is>
          <t>4S Federzugkl.</t>
        </is>
      </c>
      <c r="I11295">
        <v>1144</v>
      </c>
      <c r="J11295">
        <f>GS93/595.7</f>
        <v>0</v>
      </c>
      <c r="M11295" t="inlineStr">
        <is>
          <t>-595K760.4</t>
        </is>
      </c>
    </row>
    <row r="11296">
      <c r="A11296">
        <v>11295</v>
      </c>
      <c r="B11296">
        <f>GS20</f>
        <v>0</v>
      </c>
      <c r="C11296" t="inlineStr">
        <is>
          <t>+LS16</t>
        </is>
      </c>
      <c r="D11296" t="inlineStr">
        <is>
          <t>-595Q1</t>
        </is>
      </c>
      <c r="E11296" t="inlineStr">
        <is>
          <t>DILA-XHI22</t>
        </is>
      </c>
      <c r="F11296" t="inlineStr">
        <is>
          <t>DILA-XHI22</t>
        </is>
      </c>
      <c r="G11296" t="inlineStr">
        <is>
          <t>HILFSKONTAKTBLOCK</t>
        </is>
      </c>
      <c r="H11296" t="inlineStr">
        <is>
          <t>2S 2OE Last+Hilfssch. Cage</t>
        </is>
      </c>
      <c r="I11296">
        <v>860</v>
      </c>
      <c r="J11296">
        <f>GS20/595.4</f>
        <v>0</v>
      </c>
      <c r="K11296" t="inlineStr">
        <is>
          <t>DIL MC25</t>
        </is>
      </c>
      <c r="M11296" t="inlineStr">
        <is>
          <t>-595Q1</t>
        </is>
      </c>
    </row>
    <row r="11297">
      <c r="A11297">
        <v>11296</v>
      </c>
      <c r="B11297">
        <f>GS20</f>
        <v>0</v>
      </c>
      <c r="C11297" t="inlineStr">
        <is>
          <t>+LS16</t>
        </is>
      </c>
      <c r="D11297" t="inlineStr">
        <is>
          <t>-595Q1</t>
        </is>
      </c>
      <c r="E11297" t="inlineStr">
        <is>
          <t>DILMC25-10(RDC24)</t>
        </is>
      </c>
      <c r="F11297" t="inlineStr">
        <is>
          <t>DILA-XHI22</t>
        </is>
      </c>
      <c r="G11297" t="inlineStr">
        <is>
          <t>LASTSCHUETZ</t>
        </is>
      </c>
      <c r="H11297" t="inlineStr">
        <is>
          <t>11kW 1S Federzugkl.</t>
        </is>
      </c>
      <c r="I11297">
        <v>860</v>
      </c>
      <c r="J11297">
        <f>GS20/595.4</f>
        <v>0</v>
      </c>
      <c r="K11297" t="inlineStr">
        <is>
          <t>DIL MC25</t>
        </is>
      </c>
      <c r="M11297" t="inlineStr">
        <is>
          <t>-595Q1</t>
        </is>
      </c>
    </row>
    <row r="11298">
      <c r="A11298">
        <v>11297</v>
      </c>
      <c r="B11298">
        <f>GS92</f>
        <v>0</v>
      </c>
      <c r="C11298" t="inlineStr">
        <is>
          <t>+LS11</t>
        </is>
      </c>
      <c r="D11298" t="inlineStr">
        <is>
          <t>-595Q1</t>
        </is>
      </c>
      <c r="E11298" t="inlineStr">
        <is>
          <t>DILMC25-10(RDC24)</t>
        </is>
      </c>
      <c r="F11298" t="inlineStr">
        <is>
          <t>DILA-XHI22</t>
        </is>
      </c>
      <c r="G11298" t="inlineStr">
        <is>
          <t>LASTSCHUETZ</t>
        </is>
      </c>
      <c r="H11298" t="inlineStr">
        <is>
          <t>11kW 1S Federzugkl.</t>
        </is>
      </c>
      <c r="I11298">
        <v>736</v>
      </c>
      <c r="J11298">
        <f>GS92/595.4</f>
        <v>0</v>
      </c>
      <c r="K11298" t="inlineStr">
        <is>
          <t>DIL MC25</t>
        </is>
      </c>
      <c r="M11298" t="inlineStr">
        <is>
          <t>-595Q1</t>
        </is>
      </c>
    </row>
    <row r="11299">
      <c r="A11299">
        <v>11298</v>
      </c>
      <c r="B11299">
        <f>GS92</f>
        <v>0</v>
      </c>
      <c r="C11299" t="inlineStr">
        <is>
          <t>+LS11</t>
        </is>
      </c>
      <c r="D11299" t="inlineStr">
        <is>
          <t>-595Q1</t>
        </is>
      </c>
      <c r="E11299" t="inlineStr">
        <is>
          <t>DILA-XHI22</t>
        </is>
      </c>
      <c r="F11299" t="inlineStr">
        <is>
          <t>DILA-XHI22</t>
        </is>
      </c>
      <c r="G11299" t="inlineStr">
        <is>
          <t>HILFSKONTAKTBLOCK</t>
        </is>
      </c>
      <c r="H11299" t="inlineStr">
        <is>
          <t>2S 2OE Last+Hilfssch. Cage</t>
        </is>
      </c>
      <c r="I11299">
        <v>736</v>
      </c>
      <c r="J11299">
        <f>GS92/595.4</f>
        <v>0</v>
      </c>
      <c r="K11299" t="inlineStr">
        <is>
          <t>DIL MC25</t>
        </is>
      </c>
      <c r="M11299" t="inlineStr">
        <is>
          <t>-595Q1</t>
        </is>
      </c>
    </row>
    <row r="11300">
      <c r="A11300">
        <v>11299</v>
      </c>
      <c r="B11300">
        <f>GS93</f>
        <v>0</v>
      </c>
      <c r="C11300" t="inlineStr">
        <is>
          <t>+LS11</t>
        </is>
      </c>
      <c r="D11300" t="inlineStr">
        <is>
          <t>-595Q1</t>
        </is>
      </c>
      <c r="E11300" t="inlineStr">
        <is>
          <t>DILA-XHI22</t>
        </is>
      </c>
      <c r="F11300" t="inlineStr">
        <is>
          <t>DILA-XHI22</t>
        </is>
      </c>
      <c r="G11300" t="inlineStr">
        <is>
          <t>HILFSKONTAKTBLOCK</t>
        </is>
      </c>
      <c r="H11300" t="inlineStr">
        <is>
          <t>2S 2OE Last+Hilfssch. Cage</t>
        </is>
      </c>
      <c r="I11300">
        <v>1144</v>
      </c>
      <c r="J11300">
        <f>GS93/595.4</f>
        <v>0</v>
      </c>
      <c r="K11300" t="inlineStr">
        <is>
          <t>DIL MC25</t>
        </is>
      </c>
      <c r="M11300" t="inlineStr">
        <is>
          <t>-595Q1</t>
        </is>
      </c>
    </row>
    <row r="11301">
      <c r="A11301">
        <v>11300</v>
      </c>
      <c r="B11301">
        <f>GS93</f>
        <v>0</v>
      </c>
      <c r="C11301" t="inlineStr">
        <is>
          <t>+LS11</t>
        </is>
      </c>
      <c r="D11301" t="inlineStr">
        <is>
          <t>-595Q1</t>
        </is>
      </c>
      <c r="E11301" t="inlineStr">
        <is>
          <t>DILMC25-10(RDC24)</t>
        </is>
      </c>
      <c r="F11301" t="inlineStr">
        <is>
          <t>DILA-XHI22</t>
        </is>
      </c>
      <c r="G11301" t="inlineStr">
        <is>
          <t>LASTSCHUETZ</t>
        </is>
      </c>
      <c r="H11301" t="inlineStr">
        <is>
          <t>11kW 1S Federzugkl.</t>
        </is>
      </c>
      <c r="I11301">
        <v>1144</v>
      </c>
      <c r="J11301">
        <f>GS93/595.4</f>
        <v>0</v>
      </c>
      <c r="K11301" t="inlineStr">
        <is>
          <t>DIL MC25</t>
        </is>
      </c>
      <c r="M11301" t="inlineStr">
        <is>
          <t>-595Q1</t>
        </is>
      </c>
    </row>
    <row r="11302">
      <c r="A11302">
        <v>11301</v>
      </c>
      <c r="B11302">
        <f>GS51</f>
        <v>0</v>
      </c>
      <c r="C11302" t="inlineStr">
        <is>
          <t>+LS09</t>
        </is>
      </c>
      <c r="D11302" t="inlineStr">
        <is>
          <t>-595Q164.7</t>
        </is>
      </c>
      <c r="E11302" t="inlineStr">
        <is>
          <t>DILM-9-10</t>
        </is>
      </c>
      <c r="F11302" t="inlineStr">
        <is>
          <t>#KALK!</t>
        </is>
      </c>
      <c r="G11302" t="inlineStr">
        <is>
          <t>LASTSCHUETZ</t>
        </is>
      </c>
      <c r="H11302" t="inlineStr">
        <is>
          <t>4kW 1S Federzugkl.</t>
        </is>
      </c>
      <c r="I11302">
        <v>755</v>
      </c>
      <c r="J11302">
        <f>GS51/595.3</f>
        <v>0</v>
      </c>
      <c r="K11302" t="inlineStr">
        <is>
          <t>DIL MC9</t>
        </is>
      </c>
      <c r="M11302" t="inlineStr">
        <is>
          <t>-595Q164.7</t>
        </is>
      </c>
    </row>
    <row r="11303">
      <c r="A11303">
        <v>11302</v>
      </c>
      <c r="B11303">
        <f>GS13</f>
        <v>0</v>
      </c>
      <c r="C11303" t="inlineStr">
        <is>
          <t>+LS14</t>
        </is>
      </c>
      <c r="D11303" t="inlineStr">
        <is>
          <t>-596K1</t>
        </is>
      </c>
      <c r="E11303" t="inlineStr">
        <is>
          <t>DIL_0AM</t>
        </is>
      </c>
      <c r="F11303" t="inlineStr">
        <is>
          <t>22_DIL-M</t>
        </is>
      </c>
      <c r="G11303" t="inlineStr">
        <is>
          <t>LASTSCHUETZ</t>
        </is>
      </c>
      <c r="H11303" t="inlineStr">
        <is>
          <t>11 kW</t>
        </is>
      </c>
      <c r="I11303">
        <v>855</v>
      </c>
      <c r="J11303">
        <f>GS13/596.2</f>
        <v>0</v>
      </c>
      <c r="K11303" t="inlineStr">
        <is>
          <t>DIL0AM</t>
        </is>
      </c>
      <c r="M11303" t="inlineStr">
        <is>
          <t>-596K1</t>
        </is>
      </c>
    </row>
    <row r="11304">
      <c r="A11304">
        <v>11303</v>
      </c>
      <c r="B11304">
        <f>GS13</f>
        <v>0</v>
      </c>
      <c r="C11304" t="inlineStr">
        <is>
          <t>+LS14</t>
        </is>
      </c>
      <c r="D11304" t="inlineStr">
        <is>
          <t>-596K1</t>
        </is>
      </c>
      <c r="E11304" t="inlineStr">
        <is>
          <t>22_DIL-M</t>
        </is>
      </c>
      <c r="F11304" t="inlineStr">
        <is>
          <t>22_DIL-M</t>
        </is>
      </c>
      <c r="G11304" t="inlineStr">
        <is>
          <t>HILFSKONTAKTBLOCK</t>
        </is>
      </c>
      <c r="H11304" t="inlineStr">
        <is>
          <t>2S 2OE Lastschuetz DIL M</t>
        </is>
      </c>
      <c r="I11304">
        <v>855</v>
      </c>
      <c r="J11304">
        <f>GS13/596.2</f>
        <v>0</v>
      </c>
      <c r="K11304" t="inlineStr">
        <is>
          <t>DIL0AM</t>
        </is>
      </c>
      <c r="M11304" t="inlineStr">
        <is>
          <t>-596K1</t>
        </is>
      </c>
    </row>
    <row r="11305">
      <c r="A11305">
        <v>11304</v>
      </c>
      <c r="B11305">
        <f>GS23</f>
        <v>0</v>
      </c>
      <c r="C11305" t="inlineStr">
        <is>
          <t>+LS14</t>
        </is>
      </c>
      <c r="D11305" t="inlineStr">
        <is>
          <t>-596K1</t>
        </is>
      </c>
      <c r="E11305" t="inlineStr">
        <is>
          <t>22_DIL-M</t>
        </is>
      </c>
      <c r="F11305" t="inlineStr">
        <is>
          <t>22_DIL-M</t>
        </is>
      </c>
      <c r="G11305" t="inlineStr">
        <is>
          <t>HILFSKONTAKTBLOCK</t>
        </is>
      </c>
      <c r="H11305" t="inlineStr">
        <is>
          <t>2S 2OE Lastschuetz DIL M</t>
        </is>
      </c>
      <c r="I11305">
        <v>908</v>
      </c>
      <c r="J11305">
        <f>GS23/596.2</f>
        <v>0</v>
      </c>
      <c r="K11305" t="inlineStr">
        <is>
          <t>DIL0AM</t>
        </is>
      </c>
      <c r="M11305" t="inlineStr">
        <is>
          <t>-596K1</t>
        </is>
      </c>
    </row>
    <row r="11306">
      <c r="A11306">
        <v>11305</v>
      </c>
      <c r="B11306">
        <f>GS23</f>
        <v>0</v>
      </c>
      <c r="C11306" t="inlineStr">
        <is>
          <t>+LS14</t>
        </is>
      </c>
      <c r="D11306" t="inlineStr">
        <is>
          <t>-596K1</t>
        </is>
      </c>
      <c r="E11306" t="inlineStr">
        <is>
          <t>DIL_0AM</t>
        </is>
      </c>
      <c r="F11306" t="inlineStr">
        <is>
          <t>22_DIL-M</t>
        </is>
      </c>
      <c r="G11306" t="inlineStr">
        <is>
          <t>LASTSCHUETZ</t>
        </is>
      </c>
      <c r="H11306" t="inlineStr">
        <is>
          <t>11 kW</t>
        </is>
      </c>
      <c r="I11306">
        <v>908</v>
      </c>
      <c r="J11306">
        <f>GS23/596.2</f>
        <v>0</v>
      </c>
      <c r="K11306" t="inlineStr">
        <is>
          <t>DIL0AM</t>
        </is>
      </c>
      <c r="M11306" t="inlineStr">
        <is>
          <t>-596K1</t>
        </is>
      </c>
    </row>
    <row r="11307">
      <c r="A11307">
        <v>11306</v>
      </c>
      <c r="B11307">
        <f>GS15</f>
        <v>0</v>
      </c>
      <c r="C11307" t="inlineStr">
        <is>
          <t>+LS11</t>
        </is>
      </c>
      <c r="D11307" t="inlineStr">
        <is>
          <t>-596K3516.0</t>
        </is>
      </c>
      <c r="E11307" t="inlineStr">
        <is>
          <t>DIL_EM-10-G</t>
        </is>
      </c>
      <c r="F11307" t="inlineStr">
        <is>
          <t>#KALK!</t>
        </is>
      </c>
      <c r="G11307" t="inlineStr">
        <is>
          <t>LASTSCHUETZ</t>
        </is>
      </c>
      <c r="H11307" t="inlineStr">
        <is>
          <t>4kW 1S</t>
        </is>
      </c>
      <c r="I11307">
        <v>1107</v>
      </c>
      <c r="J11307">
        <f>GS15/596.6</f>
        <v>0</v>
      </c>
      <c r="M11307" t="inlineStr">
        <is>
          <t>-596K3516.0</t>
        </is>
      </c>
    </row>
    <row r="11308">
      <c r="A11308">
        <v>11307</v>
      </c>
      <c r="B11308">
        <f>GS15</f>
        <v>0</v>
      </c>
      <c r="C11308" t="inlineStr">
        <is>
          <t>+LS11</t>
        </is>
      </c>
      <c r="D11308" t="inlineStr">
        <is>
          <t>-596K3516.1</t>
        </is>
      </c>
      <c r="E11308" t="inlineStr">
        <is>
          <t>DIL_EM-10-G</t>
        </is>
      </c>
      <c r="F11308" t="inlineStr">
        <is>
          <t>#KALK!</t>
        </is>
      </c>
      <c r="G11308" t="inlineStr">
        <is>
          <t>LASTSCHUETZ</t>
        </is>
      </c>
      <c r="H11308" t="inlineStr">
        <is>
          <t>4kW 1S</t>
        </is>
      </c>
      <c r="I11308">
        <v>1107</v>
      </c>
      <c r="J11308">
        <f>GS15/596.7</f>
        <v>0</v>
      </c>
      <c r="M11308" t="inlineStr">
        <is>
          <t>-596K3516.1</t>
        </is>
      </c>
    </row>
    <row r="11309">
      <c r="A11309">
        <v>11308</v>
      </c>
      <c r="B11309">
        <f>GS01</f>
        <v>0</v>
      </c>
      <c r="C11309" t="inlineStr">
        <is>
          <t>+LS13</t>
        </is>
      </c>
      <c r="D11309" t="inlineStr">
        <is>
          <t>-596K43.5</t>
        </is>
      </c>
      <c r="E11309" t="inlineStr">
        <is>
          <t>DIL_EM-10-G</t>
        </is>
      </c>
      <c r="F11309" t="inlineStr">
        <is>
          <t>#KALK!</t>
        </is>
      </c>
      <c r="G11309" t="inlineStr">
        <is>
          <t>LASTSCHUETZ</t>
        </is>
      </c>
      <c r="H11309" t="inlineStr">
        <is>
          <t>4kW 1S</t>
        </is>
      </c>
      <c r="I11309">
        <v>765</v>
      </c>
      <c r="J11309">
        <f>GS01/596.7</f>
        <v>0</v>
      </c>
      <c r="M11309" t="inlineStr">
        <is>
          <t>-596K43.5</t>
        </is>
      </c>
    </row>
    <row r="11310">
      <c r="A11310">
        <v>11309</v>
      </c>
      <c r="B11310">
        <f>GS15</f>
        <v>0</v>
      </c>
      <c r="C11310" t="inlineStr">
        <is>
          <t>+LS11</t>
        </is>
      </c>
      <c r="D11310" t="inlineStr">
        <is>
          <t>-597K3516.2</t>
        </is>
      </c>
      <c r="E11310" t="inlineStr">
        <is>
          <t>DIL_EM-10-G</t>
        </is>
      </c>
      <c r="F11310" t="inlineStr">
        <is>
          <t>#KALK!</t>
        </is>
      </c>
      <c r="G11310" t="inlineStr">
        <is>
          <t>LASTSCHUETZ</t>
        </is>
      </c>
      <c r="H11310" t="inlineStr">
        <is>
          <t>4kW 1S</t>
        </is>
      </c>
      <c r="I11310">
        <v>1108</v>
      </c>
      <c r="J11310">
        <f>GS15/597.6</f>
        <v>0</v>
      </c>
      <c r="M11310" t="inlineStr">
        <is>
          <t>-597K3516.2</t>
        </is>
      </c>
    </row>
    <row r="11311">
      <c r="A11311">
        <v>11310</v>
      </c>
      <c r="B11311">
        <f>GS15</f>
        <v>0</v>
      </c>
      <c r="C11311" t="inlineStr">
        <is>
          <t>+LS11</t>
        </is>
      </c>
      <c r="D11311" t="inlineStr">
        <is>
          <t>-597K3516.3</t>
        </is>
      </c>
      <c r="E11311" t="inlineStr">
        <is>
          <t>DIL_EM-10-G</t>
        </is>
      </c>
      <c r="F11311" t="inlineStr">
        <is>
          <t>#KALK!</t>
        </is>
      </c>
      <c r="G11311" t="inlineStr">
        <is>
          <t>LASTSCHUETZ</t>
        </is>
      </c>
      <c r="H11311" t="inlineStr">
        <is>
          <t>4kW 1S</t>
        </is>
      </c>
      <c r="I11311">
        <v>1108</v>
      </c>
      <c r="J11311">
        <f>GS15/597.7</f>
        <v>0</v>
      </c>
      <c r="M11311" t="inlineStr">
        <is>
          <t>-597K3516.3</t>
        </is>
      </c>
    </row>
    <row r="11312">
      <c r="A11312">
        <v>11311</v>
      </c>
      <c r="B11312">
        <f>GS25</f>
        <v>0</v>
      </c>
      <c r="C11312" t="inlineStr">
        <is>
          <t>+LS14</t>
        </is>
      </c>
      <c r="D11312" t="inlineStr">
        <is>
          <t>-597K3518.0</t>
        </is>
      </c>
      <c r="E11312" t="inlineStr">
        <is>
          <t>DIL_EM-10-G</t>
        </is>
      </c>
      <c r="F11312" t="inlineStr">
        <is>
          <t>#KALK!</t>
        </is>
      </c>
      <c r="G11312" t="inlineStr">
        <is>
          <t>LASTSCHUETZ</t>
        </is>
      </c>
      <c r="H11312" t="inlineStr">
        <is>
          <t>4kW 1S</t>
        </is>
      </c>
      <c r="I11312">
        <v>724</v>
      </c>
      <c r="J11312">
        <f>GS25/597.6</f>
        <v>0</v>
      </c>
      <c r="M11312" t="inlineStr">
        <is>
          <t>-597K3518.0</t>
        </is>
      </c>
    </row>
    <row r="11313">
      <c r="A11313">
        <v>11312</v>
      </c>
      <c r="B11313">
        <f>GS25</f>
        <v>0</v>
      </c>
      <c r="C11313" t="inlineStr">
        <is>
          <t>+LS14</t>
        </is>
      </c>
      <c r="D11313" t="inlineStr">
        <is>
          <t>-597K3518.1</t>
        </is>
      </c>
      <c r="E11313" t="inlineStr">
        <is>
          <t>DIL_EM-10-G</t>
        </is>
      </c>
      <c r="F11313" t="inlineStr">
        <is>
          <t>#KALK!</t>
        </is>
      </c>
      <c r="G11313" t="inlineStr">
        <is>
          <t>LASTSCHUETZ</t>
        </is>
      </c>
      <c r="H11313" t="inlineStr">
        <is>
          <t>4kW 1S</t>
        </is>
      </c>
      <c r="I11313">
        <v>724</v>
      </c>
      <c r="J11313">
        <f>GS25/597.6</f>
        <v>0</v>
      </c>
      <c r="M11313" t="inlineStr">
        <is>
          <t>-597K3518.1</t>
        </is>
      </c>
    </row>
    <row r="11314">
      <c r="A11314">
        <v>11313</v>
      </c>
      <c r="B11314">
        <f>GS01</f>
        <v>0</v>
      </c>
      <c r="C11314" t="inlineStr">
        <is>
          <t>+LS13</t>
        </is>
      </c>
      <c r="D11314" t="inlineStr">
        <is>
          <t>-597K44.5</t>
        </is>
      </c>
      <c r="E11314" t="inlineStr">
        <is>
          <t>DIL_EM-10-G</t>
        </is>
      </c>
      <c r="F11314" t="inlineStr">
        <is>
          <t>#KALK!</t>
        </is>
      </c>
      <c r="G11314" t="inlineStr">
        <is>
          <t>LASTSCHUETZ</t>
        </is>
      </c>
      <c r="H11314" t="inlineStr">
        <is>
          <t>4kW 1S</t>
        </is>
      </c>
      <c r="I11314">
        <v>766</v>
      </c>
      <c r="J11314">
        <f>GS01/597.7</f>
        <v>0</v>
      </c>
      <c r="M11314" t="inlineStr">
        <is>
          <t>-597K44.5</t>
        </is>
      </c>
    </row>
    <row r="11315">
      <c r="A11315">
        <v>11314</v>
      </c>
      <c r="B11315">
        <f>GS92</f>
        <v>0</v>
      </c>
      <c r="C11315" t="inlineStr">
        <is>
          <t>+LS11</t>
        </is>
      </c>
      <c r="D11315" t="inlineStr">
        <is>
          <t>-597Q480.2</t>
        </is>
      </c>
      <c r="E11315" t="inlineStr">
        <is>
          <t>DILM-9-10</t>
        </is>
      </c>
      <c r="F11315" t="inlineStr">
        <is>
          <t>#KALK!</t>
        </is>
      </c>
      <c r="G11315" t="inlineStr">
        <is>
          <t>LASTSCHUETZ</t>
        </is>
      </c>
      <c r="H11315" t="inlineStr">
        <is>
          <t>4kW 1S Federzugkl.</t>
        </is>
      </c>
      <c r="I11315">
        <v>738</v>
      </c>
      <c r="J11315">
        <f>GS92/597.5</f>
        <v>0</v>
      </c>
      <c r="M11315" t="inlineStr">
        <is>
          <t>-597Q480.2</t>
        </is>
      </c>
    </row>
    <row r="11316">
      <c r="A11316">
        <v>11315</v>
      </c>
      <c r="B11316">
        <f>GS93</f>
        <v>0</v>
      </c>
      <c r="C11316" t="inlineStr">
        <is>
          <t>+LS11</t>
        </is>
      </c>
      <c r="D11316" t="inlineStr">
        <is>
          <t>-597Q760.5</t>
        </is>
      </c>
      <c r="E11316" t="inlineStr">
        <is>
          <t>DILM-9-10</t>
        </is>
      </c>
      <c r="F11316" t="inlineStr">
        <is>
          <t>#KALK!</t>
        </is>
      </c>
      <c r="G11316" t="inlineStr">
        <is>
          <t>LASTSCHUETZ</t>
        </is>
      </c>
      <c r="H11316" t="inlineStr">
        <is>
          <t>4kW 1S Federzugkl.</t>
        </is>
      </c>
      <c r="I11316">
        <v>1146</v>
      </c>
      <c r="J11316">
        <f>GS93/597.5</f>
        <v>0</v>
      </c>
      <c r="M11316" t="inlineStr">
        <is>
          <t>-597Q760.5</t>
        </is>
      </c>
    </row>
    <row r="11317">
      <c r="A11317">
        <v>11316</v>
      </c>
      <c r="B11317">
        <f>GS13</f>
        <v>0</v>
      </c>
      <c r="C11317" t="inlineStr">
        <is>
          <t>+LS14</t>
        </is>
      </c>
      <c r="D11317" t="inlineStr">
        <is>
          <t>-59836.3</t>
        </is>
      </c>
      <c r="E11317" t="inlineStr">
        <is>
          <t>DIL_EM-10-G</t>
        </is>
      </c>
      <c r="F11317" t="inlineStr">
        <is>
          <t>#KALK!</t>
        </is>
      </c>
      <c r="G11317" t="inlineStr">
        <is>
          <t>LASTSCHUETZ</t>
        </is>
      </c>
      <c r="H11317" t="inlineStr">
        <is>
          <t>4kW 1S</t>
        </is>
      </c>
      <c r="I11317">
        <v>857</v>
      </c>
      <c r="J11317">
        <f>GS13/598.7</f>
        <v>0</v>
      </c>
      <c r="M11317" t="inlineStr">
        <is>
          <t>-59836.3</t>
        </is>
      </c>
    </row>
    <row r="11318">
      <c r="A11318">
        <v>11317</v>
      </c>
      <c r="B11318">
        <f>GS15</f>
        <v>0</v>
      </c>
      <c r="C11318" t="inlineStr">
        <is>
          <t>+LS11</t>
        </is>
      </c>
      <c r="D11318" t="inlineStr">
        <is>
          <t>-598K3516.4</t>
        </is>
      </c>
      <c r="E11318" t="inlineStr">
        <is>
          <t>DIL_EM-10-G</t>
        </is>
      </c>
      <c r="F11318" t="inlineStr">
        <is>
          <t>#KALK!</t>
        </is>
      </c>
      <c r="G11318" t="inlineStr">
        <is>
          <t>LASTSCHUETZ</t>
        </is>
      </c>
      <c r="H11318" t="inlineStr">
        <is>
          <t>4kW 1S</t>
        </is>
      </c>
      <c r="I11318">
        <v>1109</v>
      </c>
      <c r="J11318">
        <f>GS15/598.6</f>
        <v>0</v>
      </c>
      <c r="M11318" t="inlineStr">
        <is>
          <t>-598K3516.4</t>
        </is>
      </c>
    </row>
    <row r="11319">
      <c r="A11319">
        <v>11318</v>
      </c>
      <c r="B11319">
        <f>GS15</f>
        <v>0</v>
      </c>
      <c r="C11319" t="inlineStr">
        <is>
          <t>+LS11</t>
        </is>
      </c>
      <c r="D11319" t="inlineStr">
        <is>
          <t>-598K3516.5</t>
        </is>
      </c>
      <c r="E11319" t="inlineStr">
        <is>
          <t>DIL_EM-10-G</t>
        </is>
      </c>
      <c r="F11319" t="inlineStr">
        <is>
          <t>#KALK!</t>
        </is>
      </c>
      <c r="G11319" t="inlineStr">
        <is>
          <t>LASTSCHUETZ</t>
        </is>
      </c>
      <c r="H11319" t="inlineStr">
        <is>
          <t>4kW 1S</t>
        </is>
      </c>
      <c r="I11319">
        <v>1109</v>
      </c>
      <c r="J11319">
        <f>GS15/598.7</f>
        <v>0</v>
      </c>
      <c r="M11319" t="inlineStr">
        <is>
          <t>-598K3516.5</t>
        </is>
      </c>
    </row>
    <row r="11320">
      <c r="A11320">
        <v>11319</v>
      </c>
      <c r="B11320">
        <f>GS23</f>
        <v>0</v>
      </c>
      <c r="C11320" t="inlineStr">
        <is>
          <t>+LS14</t>
        </is>
      </c>
      <c r="D11320" t="inlineStr">
        <is>
          <t>-598K36.3</t>
        </is>
      </c>
      <c r="E11320" t="inlineStr">
        <is>
          <t>DIL_EM-10-G</t>
        </is>
      </c>
      <c r="F11320" t="inlineStr">
        <is>
          <t>#KALK!</t>
        </is>
      </c>
      <c r="G11320" t="inlineStr">
        <is>
          <t>LASTSCHUETZ</t>
        </is>
      </c>
      <c r="H11320" t="inlineStr">
        <is>
          <t>4kW 1S</t>
        </is>
      </c>
      <c r="I11320">
        <v>910</v>
      </c>
      <c r="J11320">
        <f>GS23/598.7</f>
        <v>0</v>
      </c>
      <c r="M11320" t="inlineStr">
        <is>
          <t>-598K36.3</t>
        </is>
      </c>
    </row>
    <row r="11321">
      <c r="A11321">
        <v>11320</v>
      </c>
      <c r="B11321">
        <f>GS01</f>
        <v>0</v>
      </c>
      <c r="C11321" t="inlineStr">
        <is>
          <t>+LS13</t>
        </is>
      </c>
      <c r="D11321" t="inlineStr">
        <is>
          <t>-598K45.0</t>
        </is>
      </c>
      <c r="E11321" t="inlineStr">
        <is>
          <t>DIL_EM-10-G</t>
        </is>
      </c>
      <c r="F11321" t="inlineStr">
        <is>
          <t>#KALK!</t>
        </is>
      </c>
      <c r="G11321" t="inlineStr">
        <is>
          <t>LASTSCHUETZ</t>
        </is>
      </c>
      <c r="H11321" t="inlineStr">
        <is>
          <t>4kW 1S</t>
        </is>
      </c>
      <c r="I11321">
        <v>767</v>
      </c>
      <c r="J11321">
        <f>GS01/598.6</f>
        <v>0</v>
      </c>
      <c r="M11321" t="inlineStr">
        <is>
          <t>-598K45.0</t>
        </is>
      </c>
    </row>
    <row r="11322">
      <c r="A11322">
        <v>11321</v>
      </c>
      <c r="B11322">
        <f>GS01</f>
        <v>0</v>
      </c>
      <c r="C11322" t="inlineStr">
        <is>
          <t>+LS13</t>
        </is>
      </c>
      <c r="D11322" t="inlineStr">
        <is>
          <t>-598K45.1</t>
        </is>
      </c>
      <c r="E11322" t="inlineStr">
        <is>
          <t>DIL_EM-10-G</t>
        </is>
      </c>
      <c r="F11322" t="inlineStr">
        <is>
          <t>#KALK!</t>
        </is>
      </c>
      <c r="G11322" t="inlineStr">
        <is>
          <t>LASTSCHUETZ</t>
        </is>
      </c>
      <c r="H11322" t="inlineStr">
        <is>
          <t>4kW 1S</t>
        </is>
      </c>
      <c r="I11322">
        <v>767</v>
      </c>
      <c r="J11322">
        <f>GS01/598.6</f>
        <v>0</v>
      </c>
      <c r="M11322" t="inlineStr">
        <is>
          <t>-598K45.1</t>
        </is>
      </c>
    </row>
    <row r="11323">
      <c r="A11323">
        <v>11322</v>
      </c>
      <c r="B11323">
        <f>GS93</f>
        <v>0</v>
      </c>
      <c r="C11323" t="inlineStr">
        <is>
          <t>+LS11</t>
        </is>
      </c>
      <c r="D11323" t="inlineStr">
        <is>
          <t>-598Q760.6</t>
        </is>
      </c>
      <c r="E11323" t="inlineStr">
        <is>
          <t>DILM-9-10</t>
        </is>
      </c>
      <c r="F11323" t="inlineStr">
        <is>
          <t>#KALK!</t>
        </is>
      </c>
      <c r="G11323" t="inlineStr">
        <is>
          <t>LASTSCHUETZ</t>
        </is>
      </c>
      <c r="H11323" t="inlineStr">
        <is>
          <t>4kW 1S Federzugkl.</t>
        </is>
      </c>
      <c r="I11323">
        <v>1147</v>
      </c>
      <c r="J11323">
        <f>GS93/598.5</f>
        <v>0</v>
      </c>
      <c r="M11323" t="inlineStr">
        <is>
          <t>-598Q760.6</t>
        </is>
      </c>
    </row>
    <row r="11324">
      <c r="A11324">
        <v>11323</v>
      </c>
      <c r="B11324">
        <f>GS13</f>
        <v>0</v>
      </c>
      <c r="C11324" t="inlineStr">
        <is>
          <t>+LS14</t>
        </is>
      </c>
      <c r="D11324" t="inlineStr">
        <is>
          <t>-59936.4</t>
        </is>
      </c>
      <c r="E11324" t="inlineStr">
        <is>
          <t>DIL_EM-10-G</t>
        </is>
      </c>
      <c r="F11324" t="inlineStr">
        <is>
          <t>#KALK!</t>
        </is>
      </c>
      <c r="G11324" t="inlineStr">
        <is>
          <t>LASTSCHUETZ</t>
        </is>
      </c>
      <c r="H11324" t="inlineStr">
        <is>
          <t>4kW 1S</t>
        </is>
      </c>
      <c r="I11324">
        <v>858</v>
      </c>
      <c r="J11324">
        <f>GS13/599.6</f>
        <v>0</v>
      </c>
      <c r="M11324" t="inlineStr">
        <is>
          <t>-59936.4</t>
        </is>
      </c>
    </row>
    <row r="11325">
      <c r="A11325">
        <v>11324</v>
      </c>
      <c r="B11325">
        <f>GS13</f>
        <v>0</v>
      </c>
      <c r="C11325" t="inlineStr">
        <is>
          <t>+LS14</t>
        </is>
      </c>
      <c r="D11325" t="inlineStr">
        <is>
          <t>-59936.5</t>
        </is>
      </c>
      <c r="E11325" t="inlineStr">
        <is>
          <t>DIL_EM-10-G</t>
        </is>
      </c>
      <c r="F11325" t="inlineStr">
        <is>
          <t>#KALK!</t>
        </is>
      </c>
      <c r="G11325" t="inlineStr">
        <is>
          <t>LASTSCHUETZ</t>
        </is>
      </c>
      <c r="H11325" t="inlineStr">
        <is>
          <t>4kW 1S</t>
        </is>
      </c>
      <c r="I11325">
        <v>858</v>
      </c>
      <c r="J11325">
        <f>GS13/599.6</f>
        <v>0</v>
      </c>
      <c r="M11325" t="inlineStr">
        <is>
          <t>-59936.5</t>
        </is>
      </c>
    </row>
    <row r="11326">
      <c r="A11326">
        <v>11325</v>
      </c>
      <c r="B11326">
        <f>GS25</f>
        <v>0</v>
      </c>
      <c r="C11326" t="inlineStr">
        <is>
          <t>+LS14</t>
        </is>
      </c>
      <c r="D11326" t="inlineStr">
        <is>
          <t>-599K3518.7</t>
        </is>
      </c>
      <c r="E11326" t="inlineStr">
        <is>
          <t>DIL_EM-10-G</t>
        </is>
      </c>
      <c r="F11326" t="inlineStr">
        <is>
          <t>#KALK!</t>
        </is>
      </c>
      <c r="G11326" t="inlineStr">
        <is>
          <t>LASTSCHUETZ</t>
        </is>
      </c>
      <c r="H11326" t="inlineStr">
        <is>
          <t>4kW 1S</t>
        </is>
      </c>
      <c r="I11326">
        <v>726</v>
      </c>
      <c r="J11326">
        <f>GS25/599.5</f>
        <v>0</v>
      </c>
      <c r="M11326" t="inlineStr">
        <is>
          <t>-599K3518.7</t>
        </is>
      </c>
    </row>
    <row r="11327">
      <c r="A11327">
        <v>11326</v>
      </c>
      <c r="B11327">
        <f>GS25</f>
        <v>0</v>
      </c>
      <c r="C11327" t="inlineStr">
        <is>
          <t>+LS14</t>
        </is>
      </c>
      <c r="D11327" t="inlineStr">
        <is>
          <t>-599K3519.0</t>
        </is>
      </c>
      <c r="E11327" t="inlineStr">
        <is>
          <t>DIL_EM-10-G</t>
        </is>
      </c>
      <c r="F11327" t="inlineStr">
        <is>
          <t>#KALK!</t>
        </is>
      </c>
      <c r="G11327" t="inlineStr">
        <is>
          <t>LASTSCHUETZ</t>
        </is>
      </c>
      <c r="H11327" t="inlineStr">
        <is>
          <t>4kW 1S</t>
        </is>
      </c>
      <c r="I11327">
        <v>726</v>
      </c>
      <c r="J11327">
        <f>GS25/599.6</f>
        <v>0</v>
      </c>
      <c r="M11327" t="inlineStr">
        <is>
          <t>-599K3519.0</t>
        </is>
      </c>
    </row>
    <row r="11328">
      <c r="A11328">
        <v>11327</v>
      </c>
      <c r="B11328">
        <f>GS25</f>
        <v>0</v>
      </c>
      <c r="C11328" t="inlineStr">
        <is>
          <t>+LS14</t>
        </is>
      </c>
      <c r="D11328" t="inlineStr">
        <is>
          <t>-599K3519.1</t>
        </is>
      </c>
      <c r="E11328" t="inlineStr">
        <is>
          <t>DIL_EM-01-G</t>
        </is>
      </c>
      <c r="F11328" t="inlineStr">
        <is>
          <t>#KALK!</t>
        </is>
      </c>
      <c r="G11328" t="inlineStr">
        <is>
          <t>LASTSCHUETZ</t>
        </is>
      </c>
      <c r="H11328" t="inlineStr">
        <is>
          <t>4kW 1OE</t>
        </is>
      </c>
      <c r="I11328">
        <v>726</v>
      </c>
      <c r="J11328">
        <f>GS25/599.7</f>
        <v>0</v>
      </c>
      <c r="M11328" t="inlineStr">
        <is>
          <t>-599K3519.1</t>
        </is>
      </c>
    </row>
    <row r="11329">
      <c r="A11329">
        <v>11328</v>
      </c>
      <c r="B11329">
        <f>GS25</f>
        <v>0</v>
      </c>
      <c r="C11329" t="inlineStr">
        <is>
          <t>+LS14</t>
        </is>
      </c>
      <c r="D11329" t="inlineStr">
        <is>
          <t>-599K3519.2</t>
        </is>
      </c>
      <c r="E11329" t="inlineStr">
        <is>
          <t>DIL_EM-01-G</t>
        </is>
      </c>
      <c r="F11329" t="inlineStr">
        <is>
          <t>#KALK!</t>
        </is>
      </c>
      <c r="G11329" t="inlineStr">
        <is>
          <t>LASTSCHUETZ</t>
        </is>
      </c>
      <c r="H11329" t="inlineStr">
        <is>
          <t>4kW 1OE</t>
        </is>
      </c>
      <c r="I11329">
        <v>726</v>
      </c>
      <c r="J11329">
        <f>GS25/599.8</f>
        <v>0</v>
      </c>
      <c r="M11329" t="inlineStr">
        <is>
          <t>-599K3519.2</t>
        </is>
      </c>
    </row>
    <row r="11330">
      <c r="A11330">
        <v>11329</v>
      </c>
      <c r="B11330">
        <f>GS23</f>
        <v>0</v>
      </c>
      <c r="C11330" t="inlineStr">
        <is>
          <t>+LS14</t>
        </is>
      </c>
      <c r="D11330" t="inlineStr">
        <is>
          <t>-599K36.4</t>
        </is>
      </c>
      <c r="E11330" t="inlineStr">
        <is>
          <t>DIL_EM-10-G</t>
        </is>
      </c>
      <c r="F11330" t="inlineStr">
        <is>
          <t>#KALK!</t>
        </is>
      </c>
      <c r="G11330" t="inlineStr">
        <is>
          <t>LASTSCHUETZ</t>
        </is>
      </c>
      <c r="H11330" t="inlineStr">
        <is>
          <t>4kW 1S</t>
        </is>
      </c>
      <c r="I11330">
        <v>911</v>
      </c>
      <c r="J11330">
        <f>GS23/599.6</f>
        <v>0</v>
      </c>
      <c r="M11330" t="inlineStr">
        <is>
          <t>-599K36.4</t>
        </is>
      </c>
    </row>
    <row r="11331">
      <c r="A11331">
        <v>11330</v>
      </c>
      <c r="B11331">
        <f>GS23</f>
        <v>0</v>
      </c>
      <c r="C11331" t="inlineStr">
        <is>
          <t>+LS14</t>
        </is>
      </c>
      <c r="D11331" t="inlineStr">
        <is>
          <t>-599K36.5</t>
        </is>
      </c>
      <c r="E11331" t="inlineStr">
        <is>
          <t>DIL_EM-10-G</t>
        </is>
      </c>
      <c r="F11331" t="inlineStr">
        <is>
          <t>#KALK!</t>
        </is>
      </c>
      <c r="G11331" t="inlineStr">
        <is>
          <t>LASTSCHUETZ</t>
        </is>
      </c>
      <c r="H11331" t="inlineStr">
        <is>
          <t>4kW 1S</t>
        </is>
      </c>
      <c r="I11331">
        <v>911</v>
      </c>
      <c r="J11331">
        <f>GS23/599.6</f>
        <v>0</v>
      </c>
      <c r="M11331" t="inlineStr">
        <is>
          <t>-599K36.5</t>
        </is>
      </c>
    </row>
    <row r="11332">
      <c r="A11332">
        <v>11331</v>
      </c>
      <c r="B11332">
        <f>GS01</f>
        <v>0</v>
      </c>
      <c r="C11332" t="inlineStr">
        <is>
          <t>+LS13</t>
        </is>
      </c>
      <c r="D11332" t="inlineStr">
        <is>
          <t>-599K45.2</t>
        </is>
      </c>
      <c r="E11332" t="inlineStr">
        <is>
          <t>DIL_EM-10-G</t>
        </is>
      </c>
      <c r="F11332" t="inlineStr">
        <is>
          <t>#KALK!</t>
        </is>
      </c>
      <c r="G11332" t="inlineStr">
        <is>
          <t>LASTSCHUETZ</t>
        </is>
      </c>
      <c r="H11332" t="inlineStr">
        <is>
          <t>4kW 1S</t>
        </is>
      </c>
      <c r="I11332">
        <v>768</v>
      </c>
      <c r="J11332">
        <f>GS01/599.6</f>
        <v>0</v>
      </c>
      <c r="M11332" t="inlineStr">
        <is>
          <t>-599K45.2</t>
        </is>
      </c>
    </row>
    <row r="11333">
      <c r="A11333">
        <v>11332</v>
      </c>
      <c r="B11333">
        <f>GS01</f>
        <v>0</v>
      </c>
      <c r="C11333" t="inlineStr">
        <is>
          <t>+LS13</t>
        </is>
      </c>
      <c r="D11333" t="inlineStr">
        <is>
          <t>-599K45.3</t>
        </is>
      </c>
      <c r="E11333" t="inlineStr">
        <is>
          <t>DIL_EM-10-G</t>
        </is>
      </c>
      <c r="F11333" t="inlineStr">
        <is>
          <t>#KALK!</t>
        </is>
      </c>
      <c r="G11333" t="inlineStr">
        <is>
          <t>LASTSCHUETZ</t>
        </is>
      </c>
      <c r="H11333" t="inlineStr">
        <is>
          <t>4kW 1S</t>
        </is>
      </c>
      <c r="I11333">
        <v>768</v>
      </c>
      <c r="J11333">
        <f>GS01/599.6</f>
        <v>0</v>
      </c>
      <c r="M11333" t="inlineStr">
        <is>
          <t>-599K45.3</t>
        </is>
      </c>
    </row>
    <row r="11334">
      <c r="A11334">
        <v>11333</v>
      </c>
      <c r="B11334">
        <f>GS69</f>
        <v>0</v>
      </c>
      <c r="C11334" t="inlineStr">
        <is>
          <t>+LS[I1]</t>
        </is>
      </c>
      <c r="D11334" t="inlineStr">
        <is>
          <t>-5Q1</t>
        </is>
      </c>
      <c r="E11334" t="inlineStr">
        <is>
          <t>DILM150-XHIC22</t>
        </is>
      </c>
      <c r="F11334" t="inlineStr">
        <is>
          <t>DILM150-XHIC22</t>
        </is>
      </c>
      <c r="G11334" t="inlineStr">
        <is>
          <t>HILFSKONTAKTBLOCK</t>
        </is>
      </c>
      <c r="H11334" t="inlineStr">
        <is>
          <t>2S 2OE ab DILMC40</t>
        </is>
      </c>
      <c r="I11334">
        <v>1089</v>
      </c>
      <c r="J11334">
        <f>GS69/5.5</f>
        <v>0</v>
      </c>
      <c r="K11334" t="inlineStr">
        <is>
          <t>DIL MC40</t>
        </is>
      </c>
      <c r="M11334" t="inlineStr">
        <is>
          <t>-5Q1</t>
        </is>
      </c>
    </row>
    <row r="11335">
      <c r="A11335">
        <v>11334</v>
      </c>
      <c r="B11335">
        <f>GS69</f>
        <v>0</v>
      </c>
      <c r="C11335" t="inlineStr">
        <is>
          <t>+LS[I1]</t>
        </is>
      </c>
      <c r="D11335" t="inlineStr">
        <is>
          <t>-5Q1</t>
        </is>
      </c>
      <c r="E11335" t="inlineStr">
        <is>
          <t>DILMC40(RDC24)</t>
        </is>
      </c>
      <c r="F11335" t="inlineStr">
        <is>
          <t>DILM150-XHIC22</t>
        </is>
      </c>
      <c r="G11335" t="inlineStr">
        <is>
          <t>LASTSCHUETZ</t>
        </is>
      </c>
      <c r="H11335" t="inlineStr">
        <is>
          <t>18,5kW Federzugkl.</t>
        </is>
      </c>
      <c r="I11335">
        <v>1089</v>
      </c>
      <c r="J11335">
        <f>GS69/5.5</f>
        <v>0</v>
      </c>
      <c r="K11335" t="inlineStr">
        <is>
          <t>DIL MC40</t>
        </is>
      </c>
      <c r="M11335" t="inlineStr">
        <is>
          <t>-5Q1</t>
        </is>
      </c>
    </row>
    <row r="11336">
      <c r="A11336">
        <v>11335</v>
      </c>
      <c r="B11336">
        <f>GS13</f>
        <v>0</v>
      </c>
      <c r="C11336" t="inlineStr">
        <is>
          <t>+LS14</t>
        </is>
      </c>
      <c r="D11336" t="inlineStr">
        <is>
          <t>-60036.6</t>
        </is>
      </c>
      <c r="E11336" t="inlineStr">
        <is>
          <t>DIL_EM-10-G</t>
        </is>
      </c>
      <c r="F11336" t="inlineStr">
        <is>
          <t>#KALK!</t>
        </is>
      </c>
      <c r="G11336" t="inlineStr">
        <is>
          <t>LASTSCHUETZ</t>
        </is>
      </c>
      <c r="H11336" t="inlineStr">
        <is>
          <t>4kW 1S</t>
        </is>
      </c>
      <c r="I11336">
        <v>859</v>
      </c>
      <c r="J11336">
        <f>GS13/600.6</f>
        <v>0</v>
      </c>
      <c r="M11336" t="inlineStr">
        <is>
          <t>-60036.6</t>
        </is>
      </c>
    </row>
    <row r="11337">
      <c r="A11337">
        <v>11336</v>
      </c>
      <c r="B11337">
        <f>GS13</f>
        <v>0</v>
      </c>
      <c r="C11337" t="inlineStr">
        <is>
          <t>+LS14</t>
        </is>
      </c>
      <c r="D11337" t="inlineStr">
        <is>
          <t>-60036.7</t>
        </is>
      </c>
      <c r="E11337" t="inlineStr">
        <is>
          <t>DIL_EM-10-G</t>
        </is>
      </c>
      <c r="F11337" t="inlineStr">
        <is>
          <t>#KALK!</t>
        </is>
      </c>
      <c r="G11337" t="inlineStr">
        <is>
          <t>LASTSCHUETZ</t>
        </is>
      </c>
      <c r="H11337" t="inlineStr">
        <is>
          <t>4kW 1S</t>
        </is>
      </c>
      <c r="I11337">
        <v>859</v>
      </c>
      <c r="J11337">
        <f>GS13/600.6</f>
        <v>0</v>
      </c>
      <c r="M11337" t="inlineStr">
        <is>
          <t>-60036.7</t>
        </is>
      </c>
    </row>
    <row r="11338">
      <c r="A11338">
        <v>11337</v>
      </c>
      <c r="B11338">
        <f>GS24</f>
        <v>0</v>
      </c>
      <c r="C11338" t="inlineStr">
        <is>
          <t>+LS13</t>
        </is>
      </c>
      <c r="D11338" t="inlineStr">
        <is>
          <t>-600K1</t>
        </is>
      </c>
      <c r="E11338" t="inlineStr">
        <is>
          <t>22_DIL-M</t>
        </is>
      </c>
      <c r="F11338" t="inlineStr">
        <is>
          <t>22_DIL-M</t>
        </is>
      </c>
      <c r="G11338" t="inlineStr">
        <is>
          <t>HILFSKONTAKTBLOCK</t>
        </is>
      </c>
      <c r="H11338" t="inlineStr">
        <is>
          <t>2S 2OE Lastschuetz DIL M</t>
        </is>
      </c>
      <c r="I11338">
        <v>496</v>
      </c>
      <c r="J11338">
        <f>GS24/600.2</f>
        <v>0</v>
      </c>
      <c r="K11338" t="inlineStr">
        <is>
          <t>DIL0AM</t>
        </is>
      </c>
      <c r="M11338" t="inlineStr">
        <is>
          <t>-600K1</t>
        </is>
      </c>
    </row>
    <row r="11339">
      <c r="A11339">
        <v>11338</v>
      </c>
      <c r="B11339">
        <f>GS24</f>
        <v>0</v>
      </c>
      <c r="C11339" t="inlineStr">
        <is>
          <t>+LS13</t>
        </is>
      </c>
      <c r="D11339" t="inlineStr">
        <is>
          <t>-600K1</t>
        </is>
      </c>
      <c r="E11339" t="inlineStr">
        <is>
          <t>DIL_0AM</t>
        </is>
      </c>
      <c r="F11339" t="inlineStr">
        <is>
          <t>22_DIL-M</t>
        </is>
      </c>
      <c r="G11339" t="inlineStr">
        <is>
          <t>LASTSCHUETZ</t>
        </is>
      </c>
      <c r="H11339" t="inlineStr">
        <is>
          <t>11 kW</t>
        </is>
      </c>
      <c r="I11339">
        <v>496</v>
      </c>
      <c r="J11339">
        <f>GS24/600.2</f>
        <v>0</v>
      </c>
      <c r="K11339" t="inlineStr">
        <is>
          <t>DIL0AM</t>
        </is>
      </c>
      <c r="M11339" t="inlineStr">
        <is>
          <t>-600K1</t>
        </is>
      </c>
    </row>
    <row r="11340">
      <c r="A11340">
        <v>11339</v>
      </c>
      <c r="B11340">
        <f>GS23</f>
        <v>0</v>
      </c>
      <c r="C11340" t="inlineStr">
        <is>
          <t>+LS14</t>
        </is>
      </c>
      <c r="D11340" t="inlineStr">
        <is>
          <t>-600K36.6</t>
        </is>
      </c>
      <c r="E11340" t="inlineStr">
        <is>
          <t>DIL_EM-10-G</t>
        </is>
      </c>
      <c r="F11340" t="inlineStr">
        <is>
          <t>#KALK!</t>
        </is>
      </c>
      <c r="G11340" t="inlineStr">
        <is>
          <t>LASTSCHUETZ</t>
        </is>
      </c>
      <c r="H11340" t="inlineStr">
        <is>
          <t>4kW 1S</t>
        </is>
      </c>
      <c r="I11340">
        <v>912</v>
      </c>
      <c r="J11340">
        <f>GS23/600.6</f>
        <v>0</v>
      </c>
      <c r="M11340" t="inlineStr">
        <is>
          <t>-600K36.6</t>
        </is>
      </c>
    </row>
    <row r="11341">
      <c r="A11341">
        <v>11340</v>
      </c>
      <c r="B11341">
        <f>GS23</f>
        <v>0</v>
      </c>
      <c r="C11341" t="inlineStr">
        <is>
          <t>+LS14</t>
        </is>
      </c>
      <c r="D11341" t="inlineStr">
        <is>
          <t>-600K36.7</t>
        </is>
      </c>
      <c r="E11341" t="inlineStr">
        <is>
          <t>DIL_EM-10-G</t>
        </is>
      </c>
      <c r="F11341" t="inlineStr">
        <is>
          <t>#KALK!</t>
        </is>
      </c>
      <c r="G11341" t="inlineStr">
        <is>
          <t>LASTSCHUETZ</t>
        </is>
      </c>
      <c r="H11341" t="inlineStr">
        <is>
          <t>4kW 1S</t>
        </is>
      </c>
      <c r="I11341">
        <v>912</v>
      </c>
      <c r="J11341">
        <f>GS23/600.6</f>
        <v>0</v>
      </c>
      <c r="M11341" t="inlineStr">
        <is>
          <t>-600K36.7</t>
        </is>
      </c>
    </row>
    <row r="11342">
      <c r="A11342">
        <v>11341</v>
      </c>
      <c r="B11342">
        <f>GS13</f>
        <v>0</v>
      </c>
      <c r="C11342" t="inlineStr">
        <is>
          <t>+LS14</t>
        </is>
      </c>
      <c r="D11342" t="inlineStr">
        <is>
          <t>-60137.0</t>
        </is>
      </c>
      <c r="E11342" t="inlineStr">
        <is>
          <t>DIL_EM-10-G</t>
        </is>
      </c>
      <c r="F11342" t="inlineStr">
        <is>
          <t>#KALK!</t>
        </is>
      </c>
      <c r="G11342" t="inlineStr">
        <is>
          <t>LASTSCHUETZ</t>
        </is>
      </c>
      <c r="H11342" t="inlineStr">
        <is>
          <t>4kW 1S</t>
        </is>
      </c>
      <c r="I11342">
        <v>860</v>
      </c>
      <c r="J11342">
        <f>GS13/601.6</f>
        <v>0</v>
      </c>
      <c r="M11342" t="inlineStr">
        <is>
          <t>-60137.0</t>
        </is>
      </c>
    </row>
    <row r="11343">
      <c r="A11343">
        <v>11342</v>
      </c>
      <c r="B11343">
        <f>GS13</f>
        <v>0</v>
      </c>
      <c r="C11343" t="inlineStr">
        <is>
          <t>+LS14</t>
        </is>
      </c>
      <c r="D11343" t="inlineStr">
        <is>
          <t>-60137.1</t>
        </is>
      </c>
      <c r="E11343" t="inlineStr">
        <is>
          <t>DIL_EM-10-G</t>
        </is>
      </c>
      <c r="F11343" t="inlineStr">
        <is>
          <t>#KALK!</t>
        </is>
      </c>
      <c r="G11343" t="inlineStr">
        <is>
          <t>LASTSCHUETZ</t>
        </is>
      </c>
      <c r="H11343" t="inlineStr">
        <is>
          <t>4kW 1S</t>
        </is>
      </c>
      <c r="I11343">
        <v>860</v>
      </c>
      <c r="J11343">
        <f>GS13/601.6</f>
        <v>0</v>
      </c>
      <c r="M11343" t="inlineStr">
        <is>
          <t>-60137.1</t>
        </is>
      </c>
    </row>
    <row r="11344">
      <c r="A11344">
        <v>11343</v>
      </c>
      <c r="B11344">
        <f>GS25</f>
        <v>0</v>
      </c>
      <c r="C11344" t="inlineStr">
        <is>
          <t>+LS14</t>
        </is>
      </c>
      <c r="D11344" t="inlineStr">
        <is>
          <t>-601K3520.1</t>
        </is>
      </c>
      <c r="E11344" t="inlineStr">
        <is>
          <t>DIL_EM-10-G</t>
        </is>
      </c>
      <c r="F11344" t="inlineStr">
        <is>
          <t>#KALK!</t>
        </is>
      </c>
      <c r="G11344" t="inlineStr">
        <is>
          <t>LASTSCHUETZ</t>
        </is>
      </c>
      <c r="H11344" t="inlineStr">
        <is>
          <t>4kW 1S</t>
        </is>
      </c>
      <c r="I11344">
        <v>728</v>
      </c>
      <c r="J11344">
        <f>GS25/601.5</f>
        <v>0</v>
      </c>
      <c r="M11344" t="inlineStr">
        <is>
          <t>-601K3520.1</t>
        </is>
      </c>
    </row>
    <row r="11345">
      <c r="A11345">
        <v>11344</v>
      </c>
      <c r="B11345">
        <f>GS25</f>
        <v>0</v>
      </c>
      <c r="C11345" t="inlineStr">
        <is>
          <t>+LS14</t>
        </is>
      </c>
      <c r="D11345" t="inlineStr">
        <is>
          <t>-601K3520.2</t>
        </is>
      </c>
      <c r="E11345" t="inlineStr">
        <is>
          <t>DIL_EM-10-G</t>
        </is>
      </c>
      <c r="F11345" t="inlineStr">
        <is>
          <t>#KALK!</t>
        </is>
      </c>
      <c r="G11345" t="inlineStr">
        <is>
          <t>LASTSCHUETZ</t>
        </is>
      </c>
      <c r="H11345" t="inlineStr">
        <is>
          <t>4kW 1S</t>
        </is>
      </c>
      <c r="I11345">
        <v>728</v>
      </c>
      <c r="J11345">
        <f>GS25/601.6</f>
        <v>0</v>
      </c>
      <c r="M11345" t="inlineStr">
        <is>
          <t>-601K3520.2</t>
        </is>
      </c>
    </row>
    <row r="11346">
      <c r="A11346">
        <v>11345</v>
      </c>
      <c r="B11346">
        <f>GS25</f>
        <v>0</v>
      </c>
      <c r="C11346" t="inlineStr">
        <is>
          <t>+LS14</t>
        </is>
      </c>
      <c r="D11346" t="inlineStr">
        <is>
          <t>-601K3520.3</t>
        </is>
      </c>
      <c r="E11346" t="inlineStr">
        <is>
          <t>DIL_EM-01-G</t>
        </is>
      </c>
      <c r="F11346" t="inlineStr">
        <is>
          <t>#KALK!</t>
        </is>
      </c>
      <c r="G11346" t="inlineStr">
        <is>
          <t>LASTSCHUETZ</t>
        </is>
      </c>
      <c r="H11346" t="inlineStr">
        <is>
          <t>4kW 1OE</t>
        </is>
      </c>
      <c r="I11346">
        <v>728</v>
      </c>
      <c r="J11346">
        <f>GS25/601.7</f>
        <v>0</v>
      </c>
      <c r="M11346" t="inlineStr">
        <is>
          <t>-601K3520.3</t>
        </is>
      </c>
    </row>
    <row r="11347">
      <c r="A11347">
        <v>11346</v>
      </c>
      <c r="B11347">
        <f>GS25</f>
        <v>0</v>
      </c>
      <c r="C11347" t="inlineStr">
        <is>
          <t>+LS14</t>
        </is>
      </c>
      <c r="D11347" t="inlineStr">
        <is>
          <t>-601K3520.4</t>
        </is>
      </c>
      <c r="E11347" t="inlineStr">
        <is>
          <t>DIL_EM-01-G</t>
        </is>
      </c>
      <c r="F11347" t="inlineStr">
        <is>
          <t>#KALK!</t>
        </is>
      </c>
      <c r="G11347" t="inlineStr">
        <is>
          <t>LASTSCHUETZ</t>
        </is>
      </c>
      <c r="H11347" t="inlineStr">
        <is>
          <t>4kW 1OE</t>
        </is>
      </c>
      <c r="I11347">
        <v>728</v>
      </c>
      <c r="J11347">
        <f>GS25/601.8</f>
        <v>0</v>
      </c>
      <c r="M11347" t="inlineStr">
        <is>
          <t>-601K3520.4</t>
        </is>
      </c>
    </row>
    <row r="11348">
      <c r="A11348">
        <v>11347</v>
      </c>
      <c r="B11348">
        <f>GS23</f>
        <v>0</v>
      </c>
      <c r="C11348" t="inlineStr">
        <is>
          <t>+LS14</t>
        </is>
      </c>
      <c r="D11348" t="inlineStr">
        <is>
          <t>-601K37.0</t>
        </is>
      </c>
      <c r="E11348" t="inlineStr">
        <is>
          <t>DIL_EM-10-G</t>
        </is>
      </c>
      <c r="F11348" t="inlineStr">
        <is>
          <t>#KALK!</t>
        </is>
      </c>
      <c r="G11348" t="inlineStr">
        <is>
          <t>LASTSCHUETZ</t>
        </is>
      </c>
      <c r="H11348" t="inlineStr">
        <is>
          <t>4kW 1S</t>
        </is>
      </c>
      <c r="I11348">
        <v>913</v>
      </c>
      <c r="J11348">
        <f>GS23/601.6</f>
        <v>0</v>
      </c>
      <c r="M11348" t="inlineStr">
        <is>
          <t>-601K37.0</t>
        </is>
      </c>
    </row>
    <row r="11349">
      <c r="A11349">
        <v>11348</v>
      </c>
      <c r="B11349">
        <f>GS23</f>
        <v>0</v>
      </c>
      <c r="C11349" t="inlineStr">
        <is>
          <t>+LS14</t>
        </is>
      </c>
      <c r="D11349" t="inlineStr">
        <is>
          <t>-601K37.1</t>
        </is>
      </c>
      <c r="E11349" t="inlineStr">
        <is>
          <t>DIL_EM-10-G</t>
        </is>
      </c>
      <c r="F11349" t="inlineStr">
        <is>
          <t>#KALK!</t>
        </is>
      </c>
      <c r="G11349" t="inlineStr">
        <is>
          <t>LASTSCHUETZ</t>
        </is>
      </c>
      <c r="H11349" t="inlineStr">
        <is>
          <t>4kW 1S</t>
        </is>
      </c>
      <c r="I11349">
        <v>913</v>
      </c>
      <c r="J11349">
        <f>GS23/601.6</f>
        <v>0</v>
      </c>
      <c r="M11349" t="inlineStr">
        <is>
          <t>-601K37.1</t>
        </is>
      </c>
    </row>
    <row r="11350">
      <c r="A11350">
        <v>11349</v>
      </c>
      <c r="B11350">
        <f>GS13</f>
        <v>0</v>
      </c>
      <c r="C11350" t="inlineStr">
        <is>
          <t>+LS14</t>
        </is>
      </c>
      <c r="D11350" t="inlineStr">
        <is>
          <t>-60237.5</t>
        </is>
      </c>
      <c r="E11350" t="inlineStr">
        <is>
          <t>DIL_EM-10-G</t>
        </is>
      </c>
      <c r="F11350" t="inlineStr">
        <is>
          <t>#KALK!</t>
        </is>
      </c>
      <c r="G11350" t="inlineStr">
        <is>
          <t>LASTSCHUETZ</t>
        </is>
      </c>
      <c r="H11350" t="inlineStr">
        <is>
          <t>4kW 1S</t>
        </is>
      </c>
      <c r="I11350">
        <v>861</v>
      </c>
      <c r="J11350">
        <f>GS13/602.7</f>
        <v>0</v>
      </c>
      <c r="M11350" t="inlineStr">
        <is>
          <t>-60237.5</t>
        </is>
      </c>
    </row>
    <row r="11351">
      <c r="A11351">
        <v>11350</v>
      </c>
      <c r="B11351">
        <f>GS25</f>
        <v>0</v>
      </c>
      <c r="C11351" t="inlineStr">
        <is>
          <t>+LS14</t>
        </is>
      </c>
      <c r="D11351" t="inlineStr">
        <is>
          <t>-602K3520.5</t>
        </is>
      </c>
      <c r="E11351" t="inlineStr">
        <is>
          <t>DIL_EM-10-G</t>
        </is>
      </c>
      <c r="F11351" t="inlineStr">
        <is>
          <t>#KALK!</t>
        </is>
      </c>
      <c r="G11351" t="inlineStr">
        <is>
          <t>LASTSCHUETZ</t>
        </is>
      </c>
      <c r="H11351" t="inlineStr">
        <is>
          <t>4kW 1S</t>
        </is>
      </c>
      <c r="I11351">
        <v>729</v>
      </c>
      <c r="J11351">
        <f>GS25/602.6</f>
        <v>0</v>
      </c>
      <c r="M11351" t="inlineStr">
        <is>
          <t>-602K3520.5</t>
        </is>
      </c>
    </row>
    <row r="11352">
      <c r="A11352">
        <v>11351</v>
      </c>
      <c r="B11352">
        <f>GS25</f>
        <v>0</v>
      </c>
      <c r="C11352" t="inlineStr">
        <is>
          <t>+LS14</t>
        </is>
      </c>
      <c r="D11352" t="inlineStr">
        <is>
          <t>-602K3520.6</t>
        </is>
      </c>
      <c r="E11352" t="inlineStr">
        <is>
          <t>DIL_EM-10-G</t>
        </is>
      </c>
      <c r="F11352" t="inlineStr">
        <is>
          <t>#KALK!</t>
        </is>
      </c>
      <c r="G11352" t="inlineStr">
        <is>
          <t>LASTSCHUETZ</t>
        </is>
      </c>
      <c r="H11352" t="inlineStr">
        <is>
          <t>4kW 1S</t>
        </is>
      </c>
      <c r="I11352">
        <v>729</v>
      </c>
      <c r="J11352">
        <f>GS25/602.6</f>
        <v>0</v>
      </c>
      <c r="M11352" t="inlineStr">
        <is>
          <t>-602K3520.6</t>
        </is>
      </c>
    </row>
    <row r="11353">
      <c r="A11353">
        <v>11352</v>
      </c>
      <c r="B11353">
        <f>GS24</f>
        <v>0</v>
      </c>
      <c r="C11353" t="inlineStr">
        <is>
          <t>+LS13</t>
        </is>
      </c>
      <c r="D11353" t="inlineStr">
        <is>
          <t>-602K3522.0</t>
        </is>
      </c>
      <c r="E11353" t="inlineStr">
        <is>
          <t>DIL_EM-10-G</t>
        </is>
      </c>
      <c r="F11353" t="inlineStr">
        <is>
          <t>#KALK!</t>
        </is>
      </c>
      <c r="G11353" t="inlineStr">
        <is>
          <t>LASTSCHUETZ</t>
        </is>
      </c>
      <c r="H11353" t="inlineStr">
        <is>
          <t>4kW 1S</t>
        </is>
      </c>
      <c r="I11353">
        <v>494</v>
      </c>
      <c r="J11353">
        <f>GS24/602.6</f>
        <v>0</v>
      </c>
      <c r="M11353" t="inlineStr">
        <is>
          <t>-602K3522.0</t>
        </is>
      </c>
    </row>
    <row r="11354">
      <c r="A11354">
        <v>11353</v>
      </c>
      <c r="B11354">
        <f>GS24</f>
        <v>0</v>
      </c>
      <c r="C11354" t="inlineStr">
        <is>
          <t>+LS13</t>
        </is>
      </c>
      <c r="D11354" t="inlineStr">
        <is>
          <t>-602K3522.1</t>
        </is>
      </c>
      <c r="E11354" t="inlineStr">
        <is>
          <t>DIL_EM-10-G</t>
        </is>
      </c>
      <c r="F11354" t="inlineStr">
        <is>
          <t>#KALK!</t>
        </is>
      </c>
      <c r="G11354" t="inlineStr">
        <is>
          <t>LASTSCHUETZ</t>
        </is>
      </c>
      <c r="H11354" t="inlineStr">
        <is>
          <t>4kW 1S</t>
        </is>
      </c>
      <c r="I11354">
        <v>494</v>
      </c>
      <c r="J11354">
        <f>GS24/602.6</f>
        <v>0</v>
      </c>
      <c r="M11354" t="inlineStr">
        <is>
          <t>-602K3522.1</t>
        </is>
      </c>
    </row>
    <row r="11355">
      <c r="A11355">
        <v>11354</v>
      </c>
      <c r="B11355">
        <f>GS23</f>
        <v>0</v>
      </c>
      <c r="C11355" t="inlineStr">
        <is>
          <t>+LS14</t>
        </is>
      </c>
      <c r="D11355" t="inlineStr">
        <is>
          <t>-602K37.5</t>
        </is>
      </c>
      <c r="E11355" t="inlineStr">
        <is>
          <t>DIL_EM-10-G</t>
        </is>
      </c>
      <c r="F11355" t="inlineStr">
        <is>
          <t>#KALK!</t>
        </is>
      </c>
      <c r="G11355" t="inlineStr">
        <is>
          <t>LASTSCHUETZ</t>
        </is>
      </c>
      <c r="H11355" t="inlineStr">
        <is>
          <t>4kW 1S</t>
        </is>
      </c>
      <c r="I11355">
        <v>914</v>
      </c>
      <c r="J11355">
        <f>GS23/602.7</f>
        <v>0</v>
      </c>
      <c r="M11355" t="inlineStr">
        <is>
          <t>-602K37.5</t>
        </is>
      </c>
    </row>
    <row r="11356">
      <c r="A11356">
        <v>11355</v>
      </c>
      <c r="B11356">
        <f>GS13</f>
        <v>0</v>
      </c>
      <c r="C11356" t="inlineStr">
        <is>
          <t>+LS14</t>
        </is>
      </c>
      <c r="D11356" t="inlineStr">
        <is>
          <t>-60337.6</t>
        </is>
      </c>
      <c r="E11356" t="inlineStr">
        <is>
          <t>DIL_EM-10-G</t>
        </is>
      </c>
      <c r="F11356" t="inlineStr">
        <is>
          <t>#KALK!</t>
        </is>
      </c>
      <c r="G11356" t="inlineStr">
        <is>
          <t>LASTSCHUETZ</t>
        </is>
      </c>
      <c r="H11356" t="inlineStr">
        <is>
          <t>4kW 1S</t>
        </is>
      </c>
      <c r="I11356">
        <v>862</v>
      </c>
      <c r="J11356">
        <f>GS13/603.6</f>
        <v>0</v>
      </c>
      <c r="M11356" t="inlineStr">
        <is>
          <t>-60337.6</t>
        </is>
      </c>
    </row>
    <row r="11357">
      <c r="A11357">
        <v>11356</v>
      </c>
      <c r="B11357">
        <f>GS13</f>
        <v>0</v>
      </c>
      <c r="C11357" t="inlineStr">
        <is>
          <t>+LS14</t>
        </is>
      </c>
      <c r="D11357" t="inlineStr">
        <is>
          <t>-60337.7</t>
        </is>
      </c>
      <c r="E11357" t="inlineStr">
        <is>
          <t>DIL_EM-10-G</t>
        </is>
      </c>
      <c r="F11357" t="inlineStr">
        <is>
          <t>#KALK!</t>
        </is>
      </c>
      <c r="G11357" t="inlineStr">
        <is>
          <t>LASTSCHUETZ</t>
        </is>
      </c>
      <c r="H11357" t="inlineStr">
        <is>
          <t>4kW 1S</t>
        </is>
      </c>
      <c r="I11357">
        <v>862</v>
      </c>
      <c r="J11357">
        <f>GS13/603.6</f>
        <v>0</v>
      </c>
      <c r="M11357" t="inlineStr">
        <is>
          <t>-60337.7</t>
        </is>
      </c>
    </row>
    <row r="11358">
      <c r="A11358">
        <v>11357</v>
      </c>
      <c r="B11358">
        <f>GS23</f>
        <v>0</v>
      </c>
      <c r="C11358" t="inlineStr">
        <is>
          <t>+LS14</t>
        </is>
      </c>
      <c r="D11358" t="inlineStr">
        <is>
          <t>-603K37.6</t>
        </is>
      </c>
      <c r="E11358" t="inlineStr">
        <is>
          <t>DIL_EM-10-G</t>
        </is>
      </c>
      <c r="F11358" t="inlineStr">
        <is>
          <t>#KALK!</t>
        </is>
      </c>
      <c r="G11358" t="inlineStr">
        <is>
          <t>LASTSCHUETZ</t>
        </is>
      </c>
      <c r="H11358" t="inlineStr">
        <is>
          <t>4kW 1S</t>
        </is>
      </c>
      <c r="I11358">
        <v>915</v>
      </c>
      <c r="J11358">
        <f>GS23/603.6</f>
        <v>0</v>
      </c>
      <c r="M11358" t="inlineStr">
        <is>
          <t>-603K37.6</t>
        </is>
      </c>
    </row>
    <row r="11359">
      <c r="A11359">
        <v>11358</v>
      </c>
      <c r="B11359">
        <f>GS23</f>
        <v>0</v>
      </c>
      <c r="C11359" t="inlineStr">
        <is>
          <t>+LS14</t>
        </is>
      </c>
      <c r="D11359" t="inlineStr">
        <is>
          <t>-603K37.7</t>
        </is>
      </c>
      <c r="E11359" t="inlineStr">
        <is>
          <t>DIL_EM-10-G</t>
        </is>
      </c>
      <c r="F11359" t="inlineStr">
        <is>
          <t>#KALK!</t>
        </is>
      </c>
      <c r="G11359" t="inlineStr">
        <is>
          <t>LASTSCHUETZ</t>
        </is>
      </c>
      <c r="H11359" t="inlineStr">
        <is>
          <t>4kW 1S</t>
        </is>
      </c>
      <c r="I11359">
        <v>915</v>
      </c>
      <c r="J11359">
        <f>GS23/603.6</f>
        <v>0</v>
      </c>
      <c r="M11359" t="inlineStr">
        <is>
          <t>-603K37.7</t>
        </is>
      </c>
    </row>
    <row r="11360">
      <c r="A11360">
        <v>11359</v>
      </c>
      <c r="B11360">
        <f>GS13</f>
        <v>0</v>
      </c>
      <c r="C11360" t="inlineStr">
        <is>
          <t>+LS14</t>
        </is>
      </c>
      <c r="D11360" t="inlineStr">
        <is>
          <t>-60438.0</t>
        </is>
      </c>
      <c r="E11360" t="inlineStr">
        <is>
          <t>DIL_EM-10-G</t>
        </is>
      </c>
      <c r="F11360" t="inlineStr">
        <is>
          <t>#KALK!</t>
        </is>
      </c>
      <c r="G11360" t="inlineStr">
        <is>
          <t>LASTSCHUETZ</t>
        </is>
      </c>
      <c r="H11360" t="inlineStr">
        <is>
          <t>4kW 1S</t>
        </is>
      </c>
      <c r="I11360">
        <v>863</v>
      </c>
      <c r="J11360">
        <f>GS13/604.6</f>
        <v>0</v>
      </c>
      <c r="M11360" t="inlineStr">
        <is>
          <t>-60438.0</t>
        </is>
      </c>
    </row>
    <row r="11361">
      <c r="A11361">
        <v>11360</v>
      </c>
      <c r="B11361">
        <f>GS13</f>
        <v>0</v>
      </c>
      <c r="C11361" t="inlineStr">
        <is>
          <t>+LS14</t>
        </is>
      </c>
      <c r="D11361" t="inlineStr">
        <is>
          <t>-60438.1</t>
        </is>
      </c>
      <c r="E11361" t="inlineStr">
        <is>
          <t>DIL_EM-10-G</t>
        </is>
      </c>
      <c r="F11361" t="inlineStr">
        <is>
          <t>#KALK!</t>
        </is>
      </c>
      <c r="G11361" t="inlineStr">
        <is>
          <t>LASTSCHUETZ</t>
        </is>
      </c>
      <c r="H11361" t="inlineStr">
        <is>
          <t>4kW 1S</t>
        </is>
      </c>
      <c r="I11361">
        <v>863</v>
      </c>
      <c r="J11361">
        <f>GS13/604.6</f>
        <v>0</v>
      </c>
      <c r="M11361" t="inlineStr">
        <is>
          <t>-60438.1</t>
        </is>
      </c>
    </row>
    <row r="11362">
      <c r="A11362">
        <v>11361</v>
      </c>
      <c r="B11362">
        <f>GS24</f>
        <v>0</v>
      </c>
      <c r="C11362" t="inlineStr">
        <is>
          <t>+LS13</t>
        </is>
      </c>
      <c r="D11362" t="inlineStr">
        <is>
          <t>-604K3522.7</t>
        </is>
      </c>
      <c r="E11362" t="inlineStr">
        <is>
          <t>DIL_EM-10-G</t>
        </is>
      </c>
      <c r="F11362" t="inlineStr">
        <is>
          <t>#KALK!</t>
        </is>
      </c>
      <c r="G11362" t="inlineStr">
        <is>
          <t>LASTSCHUETZ</t>
        </is>
      </c>
      <c r="H11362" t="inlineStr">
        <is>
          <t>4kW 1S</t>
        </is>
      </c>
      <c r="I11362">
        <v>492</v>
      </c>
      <c r="J11362">
        <f>GS24/604.5</f>
        <v>0</v>
      </c>
      <c r="M11362" t="inlineStr">
        <is>
          <t>-604K3522.7</t>
        </is>
      </c>
    </row>
    <row r="11363">
      <c r="A11363">
        <v>11362</v>
      </c>
      <c r="B11363">
        <f>GS24</f>
        <v>0</v>
      </c>
      <c r="C11363" t="inlineStr">
        <is>
          <t>+LS13</t>
        </is>
      </c>
      <c r="D11363" t="inlineStr">
        <is>
          <t>-604K3523.0</t>
        </is>
      </c>
      <c r="E11363" t="inlineStr">
        <is>
          <t>DIL_EM-10-G</t>
        </is>
      </c>
      <c r="F11363" t="inlineStr">
        <is>
          <t>#KALK!</t>
        </is>
      </c>
      <c r="G11363" t="inlineStr">
        <is>
          <t>LASTSCHUETZ</t>
        </is>
      </c>
      <c r="H11363" t="inlineStr">
        <is>
          <t>4kW 1S</t>
        </is>
      </c>
      <c r="I11363">
        <v>492</v>
      </c>
      <c r="J11363">
        <f>GS24/604.6</f>
        <v>0</v>
      </c>
      <c r="M11363" t="inlineStr">
        <is>
          <t>-604K3523.0</t>
        </is>
      </c>
    </row>
    <row r="11364">
      <c r="A11364">
        <v>11363</v>
      </c>
      <c r="B11364">
        <f>GS24</f>
        <v>0</v>
      </c>
      <c r="C11364" t="inlineStr">
        <is>
          <t>+LS13</t>
        </is>
      </c>
      <c r="D11364" t="inlineStr">
        <is>
          <t>-604K3523.1</t>
        </is>
      </c>
      <c r="E11364" t="inlineStr">
        <is>
          <t>DIL_EM-01-G</t>
        </is>
      </c>
      <c r="F11364" t="inlineStr">
        <is>
          <t>#KALK!</t>
        </is>
      </c>
      <c r="G11364" t="inlineStr">
        <is>
          <t>LASTSCHUETZ</t>
        </is>
      </c>
      <c r="H11364" t="inlineStr">
        <is>
          <t>4kW 1OE</t>
        </is>
      </c>
      <c r="I11364">
        <v>492</v>
      </c>
      <c r="J11364">
        <f>GS24/604.7</f>
        <v>0</v>
      </c>
      <c r="M11364" t="inlineStr">
        <is>
          <t>-604K3523.1</t>
        </is>
      </c>
    </row>
    <row r="11365">
      <c r="A11365">
        <v>11364</v>
      </c>
      <c r="B11365">
        <f>GS24</f>
        <v>0</v>
      </c>
      <c r="C11365" t="inlineStr">
        <is>
          <t>+LS13</t>
        </is>
      </c>
      <c r="D11365" t="inlineStr">
        <is>
          <t>-604K3523.2</t>
        </is>
      </c>
      <c r="E11365" t="inlineStr">
        <is>
          <t>DIL_EM-01-G</t>
        </is>
      </c>
      <c r="F11365" t="inlineStr">
        <is>
          <t>#KALK!</t>
        </is>
      </c>
      <c r="G11365" t="inlineStr">
        <is>
          <t>LASTSCHUETZ</t>
        </is>
      </c>
      <c r="H11365" t="inlineStr">
        <is>
          <t>4kW 1OE</t>
        </is>
      </c>
      <c r="I11365">
        <v>492</v>
      </c>
      <c r="J11365">
        <f>GS24/604.8</f>
        <v>0</v>
      </c>
      <c r="M11365" t="inlineStr">
        <is>
          <t>-604K3523.2</t>
        </is>
      </c>
    </row>
    <row r="11366">
      <c r="A11366">
        <v>11365</v>
      </c>
      <c r="B11366">
        <f>GS23</f>
        <v>0</v>
      </c>
      <c r="C11366" t="inlineStr">
        <is>
          <t>+LS14</t>
        </is>
      </c>
      <c r="D11366" t="inlineStr">
        <is>
          <t>-604K38.0</t>
        </is>
      </c>
      <c r="E11366" t="inlineStr">
        <is>
          <t>DIL_EM-10-G</t>
        </is>
      </c>
      <c r="F11366" t="inlineStr">
        <is>
          <t>#KALK!</t>
        </is>
      </c>
      <c r="G11366" t="inlineStr">
        <is>
          <t>LASTSCHUETZ</t>
        </is>
      </c>
      <c r="H11366" t="inlineStr">
        <is>
          <t>4kW 1S</t>
        </is>
      </c>
      <c r="I11366">
        <v>916</v>
      </c>
      <c r="J11366">
        <f>GS23/604.6</f>
        <v>0</v>
      </c>
      <c r="M11366" t="inlineStr">
        <is>
          <t>-604K38.0</t>
        </is>
      </c>
    </row>
    <row r="11367">
      <c r="A11367">
        <v>11366</v>
      </c>
      <c r="B11367">
        <f>GS23</f>
        <v>0</v>
      </c>
      <c r="C11367" t="inlineStr">
        <is>
          <t>+LS14</t>
        </is>
      </c>
      <c r="D11367" t="inlineStr">
        <is>
          <t>-604K38.1</t>
        </is>
      </c>
      <c r="E11367" t="inlineStr">
        <is>
          <t>DIL_EM-10-G</t>
        </is>
      </c>
      <c r="F11367" t="inlineStr">
        <is>
          <t>#KALK!</t>
        </is>
      </c>
      <c r="G11367" t="inlineStr">
        <is>
          <t>LASTSCHUETZ</t>
        </is>
      </c>
      <c r="H11367" t="inlineStr">
        <is>
          <t>4kW 1S</t>
        </is>
      </c>
      <c r="I11367">
        <v>916</v>
      </c>
      <c r="J11367">
        <f>GS23/604.6</f>
        <v>0</v>
      </c>
      <c r="M11367" t="inlineStr">
        <is>
          <t>-604K38.1</t>
        </is>
      </c>
    </row>
    <row r="11368">
      <c r="A11368">
        <v>11367</v>
      </c>
      <c r="B11368">
        <f>GS13</f>
        <v>0</v>
      </c>
      <c r="C11368" t="inlineStr">
        <is>
          <t>+LS14</t>
        </is>
      </c>
      <c r="D11368" t="inlineStr">
        <is>
          <t>-60538.2</t>
        </is>
      </c>
      <c r="E11368" t="inlineStr">
        <is>
          <t>DIL_EM-10-G</t>
        </is>
      </c>
      <c r="F11368" t="inlineStr">
        <is>
          <t>#KALK!</t>
        </is>
      </c>
      <c r="G11368" t="inlineStr">
        <is>
          <t>LASTSCHUETZ</t>
        </is>
      </c>
      <c r="H11368" t="inlineStr">
        <is>
          <t>4kW 1S</t>
        </is>
      </c>
      <c r="I11368">
        <v>864</v>
      </c>
      <c r="J11368">
        <f>GS13/605.6</f>
        <v>0</v>
      </c>
      <c r="M11368" t="inlineStr">
        <is>
          <t>-60538.2</t>
        </is>
      </c>
    </row>
    <row r="11369">
      <c r="A11369">
        <v>11368</v>
      </c>
      <c r="B11369">
        <f>GS13</f>
        <v>0</v>
      </c>
      <c r="C11369" t="inlineStr">
        <is>
          <t>+LS14</t>
        </is>
      </c>
      <c r="D11369" t="inlineStr">
        <is>
          <t>-60538.3</t>
        </is>
      </c>
      <c r="E11369" t="inlineStr">
        <is>
          <t>DIL_EM-10-G</t>
        </is>
      </c>
      <c r="F11369" t="inlineStr">
        <is>
          <t>#KALK!</t>
        </is>
      </c>
      <c r="G11369" t="inlineStr">
        <is>
          <t>LASTSCHUETZ</t>
        </is>
      </c>
      <c r="H11369" t="inlineStr">
        <is>
          <t>4kW 1S</t>
        </is>
      </c>
      <c r="I11369">
        <v>864</v>
      </c>
      <c r="J11369">
        <f>GS13/605.6</f>
        <v>0</v>
      </c>
      <c r="M11369" t="inlineStr">
        <is>
          <t>-60538.3</t>
        </is>
      </c>
    </row>
    <row r="11370">
      <c r="A11370">
        <v>11369</v>
      </c>
      <c r="B11370">
        <f>GS08</f>
        <v>0</v>
      </c>
      <c r="C11370" t="inlineStr">
        <is>
          <t>+LS10</t>
        </is>
      </c>
      <c r="D11370" t="inlineStr">
        <is>
          <t>-605K1</t>
        </is>
      </c>
      <c r="E11370" t="inlineStr">
        <is>
          <t>DILA-22</t>
        </is>
      </c>
      <c r="F11370" t="inlineStr">
        <is>
          <t>#KALK!</t>
        </is>
      </c>
      <c r="G11370" t="inlineStr">
        <is>
          <t>HILFSSCHUETZ</t>
        </is>
      </c>
      <c r="H11370" t="inlineStr">
        <is>
          <t>2S 2Oe Federzugkl.</t>
        </is>
      </c>
      <c r="I11370">
        <v>2361</v>
      </c>
      <c r="J11370">
        <f>GS08/605.8</f>
        <v>0</v>
      </c>
      <c r="M11370" t="inlineStr">
        <is>
          <t>-605K1</t>
        </is>
      </c>
    </row>
    <row r="11371">
      <c r="A11371">
        <v>11370</v>
      </c>
      <c r="B11371">
        <f>GS15</f>
        <v>0</v>
      </c>
      <c r="C11371" t="inlineStr">
        <is>
          <t>+LS11</t>
        </is>
      </c>
      <c r="D11371" t="inlineStr">
        <is>
          <t>-605K1</t>
        </is>
      </c>
      <c r="E11371" t="inlineStr">
        <is>
          <t>22_DIL-M</t>
        </is>
      </c>
      <c r="F11371" t="inlineStr">
        <is>
          <t>22_DIL-M</t>
        </is>
      </c>
      <c r="G11371" t="inlineStr">
        <is>
          <t>HILFSKONTAKTBLOCK</t>
        </is>
      </c>
      <c r="H11371" t="inlineStr">
        <is>
          <t>2S 2OE Lastschuetz DIL M</t>
        </is>
      </c>
      <c r="I11371">
        <v>1116</v>
      </c>
      <c r="J11371">
        <f>GS15/605.2</f>
        <v>0</v>
      </c>
      <c r="K11371" t="inlineStr">
        <is>
          <t>DIL0AM</t>
        </is>
      </c>
      <c r="M11371" t="inlineStr">
        <is>
          <t>-605K1</t>
        </is>
      </c>
    </row>
    <row r="11372">
      <c r="A11372">
        <v>11371</v>
      </c>
      <c r="B11372">
        <f>GS15</f>
        <v>0</v>
      </c>
      <c r="C11372" t="inlineStr">
        <is>
          <t>+LS11</t>
        </is>
      </c>
      <c r="D11372" t="inlineStr">
        <is>
          <t>-605K1</t>
        </is>
      </c>
      <c r="E11372" t="inlineStr">
        <is>
          <t>DIL_0AM</t>
        </is>
      </c>
      <c r="F11372" t="inlineStr">
        <is>
          <t>22_DIL-M</t>
        </is>
      </c>
      <c r="G11372" t="inlineStr">
        <is>
          <t>LASTSCHUETZ</t>
        </is>
      </c>
      <c r="H11372" t="inlineStr">
        <is>
          <t>11 kW</t>
        </is>
      </c>
      <c r="I11372">
        <v>1116</v>
      </c>
      <c r="J11372">
        <f>GS15/605.2</f>
        <v>0</v>
      </c>
      <c r="K11372" t="inlineStr">
        <is>
          <t>DIL0AM</t>
        </is>
      </c>
      <c r="M11372" t="inlineStr">
        <is>
          <t>-605K1</t>
        </is>
      </c>
    </row>
    <row r="11373">
      <c r="A11373">
        <v>11372</v>
      </c>
      <c r="B11373">
        <f>GS23</f>
        <v>0</v>
      </c>
      <c r="C11373" t="inlineStr">
        <is>
          <t>+LS14</t>
        </is>
      </c>
      <c r="D11373" t="inlineStr">
        <is>
          <t>-605K38.2</t>
        </is>
      </c>
      <c r="E11373" t="inlineStr">
        <is>
          <t>DIL_EM-10-G</t>
        </is>
      </c>
      <c r="F11373" t="inlineStr">
        <is>
          <t>#KALK!</t>
        </is>
      </c>
      <c r="G11373" t="inlineStr">
        <is>
          <t>LASTSCHUETZ</t>
        </is>
      </c>
      <c r="H11373" t="inlineStr">
        <is>
          <t>4kW 1S</t>
        </is>
      </c>
      <c r="I11373">
        <v>917</v>
      </c>
      <c r="J11373">
        <f>GS23/605.6</f>
        <v>0</v>
      </c>
      <c r="M11373" t="inlineStr">
        <is>
          <t>-605K38.2</t>
        </is>
      </c>
    </row>
    <row r="11374">
      <c r="A11374">
        <v>11373</v>
      </c>
      <c r="B11374">
        <f>GS23</f>
        <v>0</v>
      </c>
      <c r="C11374" t="inlineStr">
        <is>
          <t>+LS14</t>
        </is>
      </c>
      <c r="D11374" t="inlineStr">
        <is>
          <t>-605K38.3</t>
        </is>
      </c>
      <c r="E11374" t="inlineStr">
        <is>
          <t>DIL_EM-10-G</t>
        </is>
      </c>
      <c r="F11374" t="inlineStr">
        <is>
          <t>#KALK!</t>
        </is>
      </c>
      <c r="G11374" t="inlineStr">
        <is>
          <t>LASTSCHUETZ</t>
        </is>
      </c>
      <c r="H11374" t="inlineStr">
        <is>
          <t>4kW 1S</t>
        </is>
      </c>
      <c r="I11374">
        <v>917</v>
      </c>
      <c r="J11374">
        <f>GS23/605.6</f>
        <v>0</v>
      </c>
      <c r="M11374" t="inlineStr">
        <is>
          <t>-605K38.3</t>
        </is>
      </c>
    </row>
    <row r="11375">
      <c r="A11375">
        <v>11374</v>
      </c>
      <c r="B11375">
        <f>GS92</f>
        <v>0</v>
      </c>
      <c r="C11375" t="inlineStr">
        <is>
          <t>+LS11</t>
        </is>
      </c>
      <c r="D11375" t="inlineStr">
        <is>
          <t>-605K481.0</t>
        </is>
      </c>
      <c r="E11375" t="inlineStr">
        <is>
          <t>DILA-40</t>
        </is>
      </c>
      <c r="F11375" t="inlineStr">
        <is>
          <t>#KALK!</t>
        </is>
      </c>
      <c r="G11375" t="inlineStr">
        <is>
          <t>HILFSSCHUETZ</t>
        </is>
      </c>
      <c r="H11375" t="inlineStr">
        <is>
          <t>4S Federzugkl.</t>
        </is>
      </c>
      <c r="I11375">
        <v>745</v>
      </c>
      <c r="J11375">
        <f>GS92/605.7</f>
        <v>0</v>
      </c>
      <c r="M11375" t="inlineStr">
        <is>
          <t>-605K481.0</t>
        </is>
      </c>
    </row>
    <row r="11376">
      <c r="A11376">
        <v>11375</v>
      </c>
      <c r="B11376">
        <f>GS91</f>
        <v>0</v>
      </c>
      <c r="C11376" t="inlineStr">
        <is>
          <t>+LS12</t>
        </is>
      </c>
      <c r="D11376" t="inlineStr">
        <is>
          <t>-605K720.0</t>
        </is>
      </c>
      <c r="E11376" t="inlineStr">
        <is>
          <t>DILA-40</t>
        </is>
      </c>
      <c r="F11376" t="inlineStr">
        <is>
          <t>#KALK!</t>
        </is>
      </c>
      <c r="G11376" t="inlineStr">
        <is>
          <t>HILFSSCHUETZ</t>
        </is>
      </c>
      <c r="H11376" t="inlineStr">
        <is>
          <t>4S Federzugkl.</t>
        </is>
      </c>
      <c r="I11376">
        <v>753</v>
      </c>
      <c r="J11376">
        <f>GS91/605.7</f>
        <v>0</v>
      </c>
      <c r="M11376" t="inlineStr">
        <is>
          <t>-605K720.0</t>
        </is>
      </c>
    </row>
    <row r="11377">
      <c r="A11377">
        <v>11376</v>
      </c>
      <c r="B11377">
        <f>GS93</f>
        <v>0</v>
      </c>
      <c r="C11377" t="inlineStr">
        <is>
          <t>+LS11</t>
        </is>
      </c>
      <c r="D11377" t="inlineStr">
        <is>
          <t>-605K762.4</t>
        </is>
      </c>
      <c r="E11377" t="inlineStr">
        <is>
          <t>DILA-40</t>
        </is>
      </c>
      <c r="F11377" t="inlineStr">
        <is>
          <t>#KALK!</t>
        </is>
      </c>
      <c r="G11377" t="inlineStr">
        <is>
          <t>HILFSSCHUETZ</t>
        </is>
      </c>
      <c r="H11377" t="inlineStr">
        <is>
          <t>4S Federzugkl.</t>
        </is>
      </c>
      <c r="I11377">
        <v>1154</v>
      </c>
      <c r="J11377">
        <f>GS93/605.7</f>
        <v>0</v>
      </c>
      <c r="M11377" t="inlineStr">
        <is>
          <t>-605K762.4</t>
        </is>
      </c>
    </row>
    <row r="11378">
      <c r="A11378">
        <v>11377</v>
      </c>
      <c r="B11378">
        <f>GS90</f>
        <v>0</v>
      </c>
      <c r="C11378" t="inlineStr">
        <is>
          <t>+LS13</t>
        </is>
      </c>
      <c r="D11378" t="inlineStr">
        <is>
          <t>-605K820.0</t>
        </is>
      </c>
      <c r="E11378" t="inlineStr">
        <is>
          <t>DILA-40</t>
        </is>
      </c>
      <c r="F11378" t="inlineStr">
        <is>
          <t>#KALK!</t>
        </is>
      </c>
      <c r="G11378" t="inlineStr">
        <is>
          <t>HILFSSCHUETZ</t>
        </is>
      </c>
      <c r="H11378" t="inlineStr">
        <is>
          <t>4S Federzugkl.</t>
        </is>
      </c>
      <c r="I11378">
        <v>644</v>
      </c>
      <c r="J11378">
        <f>GS90/605.7</f>
        <v>0</v>
      </c>
      <c r="M11378" t="inlineStr">
        <is>
          <t>-605K820.0</t>
        </is>
      </c>
    </row>
    <row r="11379">
      <c r="A11379">
        <v>11378</v>
      </c>
      <c r="B11379">
        <f>GS08</f>
        <v>0</v>
      </c>
      <c r="C11379" t="inlineStr">
        <is>
          <t>+LS10</t>
        </is>
      </c>
      <c r="D11379" t="inlineStr">
        <is>
          <t>-605Q1</t>
        </is>
      </c>
      <c r="E11379" t="inlineStr">
        <is>
          <t>DILMC40(RDC24)</t>
        </is>
      </c>
      <c r="F11379" t="inlineStr">
        <is>
          <t>DILM150-XHIC22</t>
        </is>
      </c>
      <c r="G11379" t="inlineStr">
        <is>
          <t>LASTSCHUETZ</t>
        </is>
      </c>
      <c r="H11379" t="inlineStr">
        <is>
          <t>18,5kW Federzugkl.</t>
        </is>
      </c>
      <c r="I11379">
        <v>2361</v>
      </c>
      <c r="J11379">
        <f>GS08/605.7</f>
        <v>0</v>
      </c>
      <c r="K11379" t="inlineStr">
        <is>
          <t>DIL MC40</t>
        </is>
      </c>
      <c r="M11379" t="inlineStr">
        <is>
          <t>-605Q1</t>
        </is>
      </c>
    </row>
    <row r="11380">
      <c r="A11380">
        <v>11379</v>
      </c>
      <c r="B11380">
        <f>GS08</f>
        <v>0</v>
      </c>
      <c r="C11380" t="inlineStr">
        <is>
          <t>+LS10</t>
        </is>
      </c>
      <c r="D11380" t="inlineStr">
        <is>
          <t>-605Q1</t>
        </is>
      </c>
      <c r="E11380" t="inlineStr">
        <is>
          <t>DILM150-XHIC22</t>
        </is>
      </c>
      <c r="F11380" t="inlineStr">
        <is>
          <t>DILM150-XHIC22</t>
        </is>
      </c>
      <c r="G11380" t="inlineStr">
        <is>
          <t>HILFSKONTAKTBLOCK</t>
        </is>
      </c>
      <c r="H11380" t="inlineStr">
        <is>
          <t>2S 2OE ab DILMC40</t>
        </is>
      </c>
      <c r="I11380">
        <v>2361</v>
      </c>
      <c r="J11380">
        <f>GS08/605.7</f>
        <v>0</v>
      </c>
      <c r="K11380" t="inlineStr">
        <is>
          <t>DIL MC40</t>
        </is>
      </c>
      <c r="M11380" t="inlineStr">
        <is>
          <t>-605Q1</t>
        </is>
      </c>
    </row>
    <row r="11381">
      <c r="A11381">
        <v>11380</v>
      </c>
      <c r="B11381">
        <f>GS55</f>
        <v>0</v>
      </c>
      <c r="C11381" t="inlineStr">
        <is>
          <t>+LS09</t>
        </is>
      </c>
      <c r="D11381" t="inlineStr">
        <is>
          <t>-605Q1</t>
        </is>
      </c>
      <c r="E11381" t="inlineStr">
        <is>
          <t>DILA-XHI22</t>
        </is>
      </c>
      <c r="F11381" t="inlineStr">
        <is>
          <t>DILA-XHI22</t>
        </is>
      </c>
      <c r="G11381" t="inlineStr">
        <is>
          <t>HILFSKONTAKTBLOCK</t>
        </is>
      </c>
      <c r="H11381" t="inlineStr">
        <is>
          <t>2S 2OE Last+Hilfssch. Cage</t>
        </is>
      </c>
      <c r="I11381">
        <v>848</v>
      </c>
      <c r="J11381">
        <f>GS55/605.6</f>
        <v>0</v>
      </c>
      <c r="K11381" t="inlineStr">
        <is>
          <t>DIL MC25</t>
        </is>
      </c>
      <c r="M11381" t="inlineStr">
        <is>
          <t>-605Q1</t>
        </is>
      </c>
    </row>
    <row r="11382">
      <c r="A11382">
        <v>11381</v>
      </c>
      <c r="B11382">
        <f>GS55</f>
        <v>0</v>
      </c>
      <c r="C11382" t="inlineStr">
        <is>
          <t>+LS09</t>
        </is>
      </c>
      <c r="D11382" t="inlineStr">
        <is>
          <t>-605Q1</t>
        </is>
      </c>
      <c r="E11382" t="inlineStr">
        <is>
          <t>DILMC25-10(RDC24)</t>
        </is>
      </c>
      <c r="F11382" t="inlineStr">
        <is>
          <t>DILA-XHI22</t>
        </is>
      </c>
      <c r="G11382" t="inlineStr">
        <is>
          <t>LASTSCHUETZ</t>
        </is>
      </c>
      <c r="H11382" t="inlineStr">
        <is>
          <t>11kW 1S Federzugkl.</t>
        </is>
      </c>
      <c r="I11382">
        <v>848</v>
      </c>
      <c r="J11382">
        <f>GS55/605.6</f>
        <v>0</v>
      </c>
      <c r="K11382" t="inlineStr">
        <is>
          <t>DIL MC25</t>
        </is>
      </c>
      <c r="M11382" t="inlineStr">
        <is>
          <t>-605Q1</t>
        </is>
      </c>
    </row>
    <row r="11383">
      <c r="A11383">
        <v>11382</v>
      </c>
      <c r="B11383">
        <f>GS90</f>
        <v>0</v>
      </c>
      <c r="C11383" t="inlineStr">
        <is>
          <t>+LS13</t>
        </is>
      </c>
      <c r="D11383" t="inlineStr">
        <is>
          <t>-605Q1</t>
        </is>
      </c>
      <c r="E11383" t="inlineStr">
        <is>
          <t>DILM150-XHIC22</t>
        </is>
      </c>
      <c r="F11383" t="inlineStr">
        <is>
          <t>DILM150-XHIC22</t>
        </is>
      </c>
      <c r="G11383" t="inlineStr">
        <is>
          <t>HILFSKONTAKTBLOCK</t>
        </is>
      </c>
      <c r="H11383" t="inlineStr">
        <is>
          <t>2S 2OE ab DILMC40</t>
        </is>
      </c>
      <c r="I11383">
        <v>644</v>
      </c>
      <c r="J11383">
        <f>GS90/605.4</f>
        <v>0</v>
      </c>
      <c r="K11383" t="inlineStr">
        <is>
          <t>DIL MC 40</t>
        </is>
      </c>
      <c r="M11383" t="inlineStr">
        <is>
          <t>-605Q1</t>
        </is>
      </c>
    </row>
    <row r="11384">
      <c r="A11384">
        <v>11383</v>
      </c>
      <c r="B11384">
        <f>GS90</f>
        <v>0</v>
      </c>
      <c r="C11384" t="inlineStr">
        <is>
          <t>+LS13</t>
        </is>
      </c>
      <c r="D11384" t="inlineStr">
        <is>
          <t>-605Q1</t>
        </is>
      </c>
      <c r="E11384" t="inlineStr">
        <is>
          <t>DILMC40(RDC24)</t>
        </is>
      </c>
      <c r="F11384" t="inlineStr">
        <is>
          <t>DILM150-XHIC22</t>
        </is>
      </c>
      <c r="G11384" t="inlineStr">
        <is>
          <t>LASTSCHUETZ</t>
        </is>
      </c>
      <c r="H11384" t="inlineStr">
        <is>
          <t>18,5kW Federzugkl.</t>
        </is>
      </c>
      <c r="I11384">
        <v>644</v>
      </c>
      <c r="J11384">
        <f>GS90/605.4</f>
        <v>0</v>
      </c>
      <c r="K11384" t="inlineStr">
        <is>
          <t>DIL MC 40</t>
        </is>
      </c>
      <c r="M11384" t="inlineStr">
        <is>
          <t>-605Q1</t>
        </is>
      </c>
    </row>
    <row r="11385">
      <c r="A11385">
        <v>11384</v>
      </c>
      <c r="B11385">
        <f>GS91</f>
        <v>0</v>
      </c>
      <c r="C11385" t="inlineStr">
        <is>
          <t>+LS12</t>
        </is>
      </c>
      <c r="D11385" t="inlineStr">
        <is>
          <t>-605Q1</t>
        </is>
      </c>
      <c r="E11385" t="inlineStr">
        <is>
          <t>DILMC40(RDC24)</t>
        </is>
      </c>
      <c r="F11385" t="inlineStr">
        <is>
          <t>DILM150-XHIC22</t>
        </is>
      </c>
      <c r="G11385" t="inlineStr">
        <is>
          <t>LASTSCHUETZ</t>
        </is>
      </c>
      <c r="H11385" t="inlineStr">
        <is>
          <t>18,5kW Federzugkl.</t>
        </is>
      </c>
      <c r="I11385">
        <v>753</v>
      </c>
      <c r="J11385">
        <f>GS91/605.4</f>
        <v>0</v>
      </c>
      <c r="K11385" t="inlineStr">
        <is>
          <t>DIL MC 40</t>
        </is>
      </c>
      <c r="M11385" t="inlineStr">
        <is>
          <t>-605Q1</t>
        </is>
      </c>
    </row>
    <row r="11386">
      <c r="A11386">
        <v>11385</v>
      </c>
      <c r="B11386">
        <f>GS91</f>
        <v>0</v>
      </c>
      <c r="C11386" t="inlineStr">
        <is>
          <t>+LS12</t>
        </is>
      </c>
      <c r="D11386" t="inlineStr">
        <is>
          <t>-605Q1</t>
        </is>
      </c>
      <c r="E11386" t="inlineStr">
        <is>
          <t>DILM150-XHIC22</t>
        </is>
      </c>
      <c r="F11386" t="inlineStr">
        <is>
          <t>DILM150-XHIC22</t>
        </is>
      </c>
      <c r="G11386" t="inlineStr">
        <is>
          <t>HILFSKONTAKTBLOCK</t>
        </is>
      </c>
      <c r="H11386" t="inlineStr">
        <is>
          <t>2S 2OE ab DILMC40</t>
        </is>
      </c>
      <c r="I11386">
        <v>753</v>
      </c>
      <c r="J11386">
        <f>GS91/605.4</f>
        <v>0</v>
      </c>
      <c r="K11386" t="inlineStr">
        <is>
          <t>DIL MC 40</t>
        </is>
      </c>
      <c r="M11386" t="inlineStr">
        <is>
          <t>-605Q1</t>
        </is>
      </c>
    </row>
    <row r="11387">
      <c r="A11387">
        <v>11386</v>
      </c>
      <c r="B11387">
        <f>GS92</f>
        <v>0</v>
      </c>
      <c r="C11387" t="inlineStr">
        <is>
          <t>+LS11</t>
        </is>
      </c>
      <c r="D11387" t="inlineStr">
        <is>
          <t>-605Q1</t>
        </is>
      </c>
      <c r="E11387" t="inlineStr">
        <is>
          <t>DILMC25-10(RDC24)</t>
        </is>
      </c>
      <c r="F11387" t="inlineStr">
        <is>
          <t>DILA-XHI22</t>
        </is>
      </c>
      <c r="G11387" t="inlineStr">
        <is>
          <t>LASTSCHUETZ</t>
        </is>
      </c>
      <c r="H11387" t="inlineStr">
        <is>
          <t>11kW 1S Federzugkl.</t>
        </is>
      </c>
      <c r="I11387">
        <v>745</v>
      </c>
      <c r="J11387">
        <f>GS92/605.4</f>
        <v>0</v>
      </c>
      <c r="K11387" t="inlineStr">
        <is>
          <t>DIL MC25</t>
        </is>
      </c>
      <c r="M11387" t="inlineStr">
        <is>
          <t>-605Q1</t>
        </is>
      </c>
    </row>
    <row r="11388">
      <c r="A11388">
        <v>11387</v>
      </c>
      <c r="B11388">
        <f>GS92</f>
        <v>0</v>
      </c>
      <c r="C11388" t="inlineStr">
        <is>
          <t>+LS11</t>
        </is>
      </c>
      <c r="D11388" t="inlineStr">
        <is>
          <t>-605Q1</t>
        </is>
      </c>
      <c r="E11388" t="inlineStr">
        <is>
          <t>DILA-XHI22</t>
        </is>
      </c>
      <c r="F11388" t="inlineStr">
        <is>
          <t>DILA-XHI22</t>
        </is>
      </c>
      <c r="G11388" t="inlineStr">
        <is>
          <t>HILFSKONTAKTBLOCK</t>
        </is>
      </c>
      <c r="H11388" t="inlineStr">
        <is>
          <t>2S 2OE Last+Hilfssch. Cage</t>
        </is>
      </c>
      <c r="I11388">
        <v>745</v>
      </c>
      <c r="J11388">
        <f>GS92/605.4</f>
        <v>0</v>
      </c>
      <c r="K11388" t="inlineStr">
        <is>
          <t>DIL MC25</t>
        </is>
      </c>
      <c r="M11388" t="inlineStr">
        <is>
          <t>-605Q1</t>
        </is>
      </c>
    </row>
    <row r="11389">
      <c r="A11389">
        <v>11388</v>
      </c>
      <c r="B11389">
        <f>GS93</f>
        <v>0</v>
      </c>
      <c r="C11389" t="inlineStr">
        <is>
          <t>+LS11</t>
        </is>
      </c>
      <c r="D11389" t="inlineStr">
        <is>
          <t>-605Q1</t>
        </is>
      </c>
      <c r="E11389" t="inlineStr">
        <is>
          <t>DILA-XHI22</t>
        </is>
      </c>
      <c r="F11389" t="inlineStr">
        <is>
          <t>DILA-XHI22</t>
        </is>
      </c>
      <c r="G11389" t="inlineStr">
        <is>
          <t>HILFSKONTAKTBLOCK</t>
        </is>
      </c>
      <c r="H11389" t="inlineStr">
        <is>
          <t>2S 2OE Last+Hilfssch. Cage</t>
        </is>
      </c>
      <c r="I11389">
        <v>1154</v>
      </c>
      <c r="J11389">
        <f>GS93/605.4</f>
        <v>0</v>
      </c>
      <c r="K11389" t="inlineStr">
        <is>
          <t>DIL MC25</t>
        </is>
      </c>
      <c r="M11389" t="inlineStr">
        <is>
          <t>-605Q1</t>
        </is>
      </c>
    </row>
    <row r="11390">
      <c r="A11390">
        <v>11389</v>
      </c>
      <c r="B11390">
        <f>GS93</f>
        <v>0</v>
      </c>
      <c r="C11390" t="inlineStr">
        <is>
          <t>+LS11</t>
        </is>
      </c>
      <c r="D11390" t="inlineStr">
        <is>
          <t>-605Q1</t>
        </is>
      </c>
      <c r="E11390" t="inlineStr">
        <is>
          <t>DILMC25-10(RDC24)</t>
        </is>
      </c>
      <c r="F11390" t="inlineStr">
        <is>
          <t>DILA-XHI22</t>
        </is>
      </c>
      <c r="G11390" t="inlineStr">
        <is>
          <t>LASTSCHUETZ</t>
        </is>
      </c>
      <c r="H11390" t="inlineStr">
        <is>
          <t>11kW 1S Federzugkl.</t>
        </is>
      </c>
      <c r="I11390">
        <v>1154</v>
      </c>
      <c r="J11390">
        <f>GS93/605.4</f>
        <v>0</v>
      </c>
      <c r="K11390" t="inlineStr">
        <is>
          <t>DIL MC25</t>
        </is>
      </c>
      <c r="M11390" t="inlineStr">
        <is>
          <t>-605Q1</t>
        </is>
      </c>
    </row>
    <row r="11391">
      <c r="A11391">
        <v>11390</v>
      </c>
      <c r="B11391">
        <f>GS24</f>
        <v>0</v>
      </c>
      <c r="C11391" t="inlineStr">
        <is>
          <t>+LS13</t>
        </is>
      </c>
      <c r="D11391" t="inlineStr">
        <is>
          <t>-606K3524.1</t>
        </is>
      </c>
      <c r="E11391" t="inlineStr">
        <is>
          <t>DIL_EM-10-G</t>
        </is>
      </c>
      <c r="F11391" t="inlineStr">
        <is>
          <t>#KALK!</t>
        </is>
      </c>
      <c r="G11391" t="inlineStr">
        <is>
          <t>LASTSCHUETZ</t>
        </is>
      </c>
      <c r="H11391" t="inlineStr">
        <is>
          <t>4kW 1S</t>
        </is>
      </c>
      <c r="I11391">
        <v>490</v>
      </c>
      <c r="J11391">
        <f>GS24/606.5</f>
        <v>0</v>
      </c>
      <c r="M11391" t="inlineStr">
        <is>
          <t>-606K3524.1</t>
        </is>
      </c>
    </row>
    <row r="11392">
      <c r="A11392">
        <v>11391</v>
      </c>
      <c r="B11392">
        <f>GS24</f>
        <v>0</v>
      </c>
      <c r="C11392" t="inlineStr">
        <is>
          <t>+LS13</t>
        </is>
      </c>
      <c r="D11392" t="inlineStr">
        <is>
          <t>-606K3524.2</t>
        </is>
      </c>
      <c r="E11392" t="inlineStr">
        <is>
          <t>DIL_EM-10-G</t>
        </is>
      </c>
      <c r="F11392" t="inlineStr">
        <is>
          <t>#KALK!</t>
        </is>
      </c>
      <c r="G11392" t="inlineStr">
        <is>
          <t>LASTSCHUETZ</t>
        </is>
      </c>
      <c r="H11392" t="inlineStr">
        <is>
          <t>4kW 1S</t>
        </is>
      </c>
      <c r="I11392">
        <v>490</v>
      </c>
      <c r="J11392">
        <f>GS24/606.6</f>
        <v>0</v>
      </c>
      <c r="M11392" t="inlineStr">
        <is>
          <t>-606K3524.2</t>
        </is>
      </c>
    </row>
    <row r="11393">
      <c r="A11393">
        <v>11392</v>
      </c>
      <c r="B11393">
        <f>GS24</f>
        <v>0</v>
      </c>
      <c r="C11393" t="inlineStr">
        <is>
          <t>+LS13</t>
        </is>
      </c>
      <c r="D11393" t="inlineStr">
        <is>
          <t>-606K3524.3</t>
        </is>
      </c>
      <c r="E11393" t="inlineStr">
        <is>
          <t>DIL_EM-01-G</t>
        </is>
      </c>
      <c r="F11393" t="inlineStr">
        <is>
          <t>#KALK!</t>
        </is>
      </c>
      <c r="G11393" t="inlineStr">
        <is>
          <t>LASTSCHUETZ</t>
        </is>
      </c>
      <c r="H11393" t="inlineStr">
        <is>
          <t>4kW 1OE</t>
        </is>
      </c>
      <c r="I11393">
        <v>490</v>
      </c>
      <c r="J11393">
        <f>GS24/606.7</f>
        <v>0</v>
      </c>
      <c r="M11393" t="inlineStr">
        <is>
          <t>-606K3524.3</t>
        </is>
      </c>
    </row>
    <row r="11394">
      <c r="A11394">
        <v>11393</v>
      </c>
      <c r="B11394">
        <f>GS24</f>
        <v>0</v>
      </c>
      <c r="C11394" t="inlineStr">
        <is>
          <t>+LS13</t>
        </is>
      </c>
      <c r="D11394" t="inlineStr">
        <is>
          <t>-606K3524.4</t>
        </is>
      </c>
      <c r="E11394" t="inlineStr">
        <is>
          <t>DIL_EM-01-G</t>
        </is>
      </c>
      <c r="F11394" t="inlineStr">
        <is>
          <t>#KALK!</t>
        </is>
      </c>
      <c r="G11394" t="inlineStr">
        <is>
          <t>LASTSCHUETZ</t>
        </is>
      </c>
      <c r="H11394" t="inlineStr">
        <is>
          <t>4kW 1OE</t>
        </is>
      </c>
      <c r="I11394">
        <v>490</v>
      </c>
      <c r="J11394">
        <f>GS24/606.8</f>
        <v>0</v>
      </c>
      <c r="M11394" t="inlineStr">
        <is>
          <t>-606K3524.4</t>
        </is>
      </c>
    </row>
    <row r="11395">
      <c r="A11395">
        <v>11394</v>
      </c>
      <c r="B11395">
        <f>GS55</f>
        <v>0</v>
      </c>
      <c r="C11395" t="inlineStr">
        <is>
          <t>+LS09</t>
        </is>
      </c>
      <c r="D11395" t="inlineStr">
        <is>
          <t>-606Q1613.1</t>
        </is>
      </c>
      <c r="E11395" t="inlineStr">
        <is>
          <t>DILM-9-10</t>
        </is>
      </c>
      <c r="F11395" t="inlineStr">
        <is>
          <t>DILA-XHI22</t>
        </is>
      </c>
      <c r="G11395" t="inlineStr">
        <is>
          <t>LASTSCHUETZ</t>
        </is>
      </c>
      <c r="H11395" t="inlineStr">
        <is>
          <t>4kW 1S Federzugkl.</t>
        </is>
      </c>
      <c r="I11395">
        <v>849</v>
      </c>
      <c r="J11395">
        <f>GS55/606.6</f>
        <v>0</v>
      </c>
      <c r="K11395" t="inlineStr">
        <is>
          <t>DIL MC9</t>
        </is>
      </c>
      <c r="M11395" t="inlineStr">
        <is>
          <t>-606Q1613.1</t>
        </is>
      </c>
    </row>
    <row r="11396">
      <c r="A11396">
        <v>11395</v>
      </c>
      <c r="B11396">
        <f>GS55</f>
        <v>0</v>
      </c>
      <c r="C11396" t="inlineStr">
        <is>
          <t>+LS09</t>
        </is>
      </c>
      <c r="D11396" t="inlineStr">
        <is>
          <t>-606Q1613.1</t>
        </is>
      </c>
      <c r="E11396" t="inlineStr">
        <is>
          <t>DILA-XHI22</t>
        </is>
      </c>
      <c r="F11396" t="inlineStr">
        <is>
          <t>DILA-XHI22</t>
        </is>
      </c>
      <c r="G11396" t="inlineStr">
        <is>
          <t>HILFSKONTAKTBLOCK</t>
        </is>
      </c>
      <c r="H11396" t="inlineStr">
        <is>
          <t>2S 2OE Last+Hilfssch. Cage</t>
        </is>
      </c>
      <c r="I11396">
        <v>849</v>
      </c>
      <c r="J11396">
        <f>GS55/606.6</f>
        <v>0</v>
      </c>
      <c r="K11396" t="inlineStr">
        <is>
          <t>DIL MC9</t>
        </is>
      </c>
      <c r="M11396" t="inlineStr">
        <is>
          <t>-606Q1613.1</t>
        </is>
      </c>
    </row>
    <row r="11397">
      <c r="A11397">
        <v>11396</v>
      </c>
      <c r="B11397">
        <f>GS55</f>
        <v>0</v>
      </c>
      <c r="C11397" t="inlineStr">
        <is>
          <t>+LS09</t>
        </is>
      </c>
      <c r="D11397" t="inlineStr">
        <is>
          <t>-606Q1613.2</t>
        </is>
      </c>
      <c r="E11397" t="inlineStr">
        <is>
          <t>DILM-9-10</t>
        </is>
      </c>
      <c r="F11397" t="inlineStr">
        <is>
          <t>DILA-XHI22</t>
        </is>
      </c>
      <c r="G11397" t="inlineStr">
        <is>
          <t>LASTSCHUETZ</t>
        </is>
      </c>
      <c r="H11397" t="inlineStr">
        <is>
          <t>4kW 1S Federzugkl.</t>
        </is>
      </c>
      <c r="I11397">
        <v>849</v>
      </c>
      <c r="J11397">
        <f>GS55/606.7</f>
        <v>0</v>
      </c>
      <c r="K11397" t="inlineStr">
        <is>
          <t>DIL MC9</t>
        </is>
      </c>
      <c r="M11397" t="inlineStr">
        <is>
          <t>-606Q1613.2</t>
        </is>
      </c>
    </row>
    <row r="11398">
      <c r="A11398">
        <v>11397</v>
      </c>
      <c r="B11398">
        <f>GS55</f>
        <v>0</v>
      </c>
      <c r="C11398" t="inlineStr">
        <is>
          <t>+LS09</t>
        </is>
      </c>
      <c r="D11398" t="inlineStr">
        <is>
          <t>-606Q1613.2</t>
        </is>
      </c>
      <c r="E11398" t="inlineStr">
        <is>
          <t>DILA-XHI22</t>
        </is>
      </c>
      <c r="F11398" t="inlineStr">
        <is>
          <t>DILA-XHI22</t>
        </is>
      </c>
      <c r="G11398" t="inlineStr">
        <is>
          <t>HILFSKONTAKTBLOCK</t>
        </is>
      </c>
      <c r="H11398" t="inlineStr">
        <is>
          <t>2S 2OE Last+Hilfssch. Cage</t>
        </is>
      </c>
      <c r="I11398">
        <v>849</v>
      </c>
      <c r="J11398">
        <f>GS55/606.7</f>
        <v>0</v>
      </c>
      <c r="K11398" t="inlineStr">
        <is>
          <t>DIL MC9</t>
        </is>
      </c>
      <c r="M11398" t="inlineStr">
        <is>
          <t>-606Q1613.2</t>
        </is>
      </c>
    </row>
    <row r="11399">
      <c r="A11399">
        <v>11398</v>
      </c>
      <c r="B11399">
        <f>GS92</f>
        <v>0</v>
      </c>
      <c r="C11399" t="inlineStr">
        <is>
          <t>+LS11</t>
        </is>
      </c>
      <c r="D11399" t="inlineStr">
        <is>
          <t>-606Q481.1</t>
        </is>
      </c>
      <c r="E11399" t="inlineStr">
        <is>
          <t>DILA-XHI22</t>
        </is>
      </c>
      <c r="F11399" t="inlineStr">
        <is>
          <t>DILA-XHI22</t>
        </is>
      </c>
      <c r="G11399" t="inlineStr">
        <is>
          <t>HILFSKONTAKTBLOCK</t>
        </is>
      </c>
      <c r="H11399" t="inlineStr">
        <is>
          <t>2S 2OE Last+Hilfssch. Cage</t>
        </is>
      </c>
      <c r="I11399">
        <v>746</v>
      </c>
      <c r="J11399">
        <f>GS92/606.5</f>
        <v>0</v>
      </c>
      <c r="M11399" t="inlineStr">
        <is>
          <t>-606Q481.1</t>
        </is>
      </c>
    </row>
    <row r="11400">
      <c r="A11400">
        <v>11399</v>
      </c>
      <c r="B11400">
        <f>GS92</f>
        <v>0</v>
      </c>
      <c r="C11400" t="inlineStr">
        <is>
          <t>+LS11</t>
        </is>
      </c>
      <c r="D11400" t="inlineStr">
        <is>
          <t>-606Q481.1</t>
        </is>
      </c>
      <c r="E11400" t="inlineStr">
        <is>
          <t>DILM-9-10</t>
        </is>
      </c>
      <c r="F11400" t="inlineStr">
        <is>
          <t>DILA-XHI22</t>
        </is>
      </c>
      <c r="G11400" t="inlineStr">
        <is>
          <t>LASTSCHUETZ</t>
        </is>
      </c>
      <c r="H11400" t="inlineStr">
        <is>
          <t>4kW 1S Federzugkl.</t>
        </is>
      </c>
      <c r="I11400">
        <v>746</v>
      </c>
      <c r="J11400">
        <f>GS92/606.5</f>
        <v>0</v>
      </c>
      <c r="M11400" t="inlineStr">
        <is>
          <t>-606Q481.1</t>
        </is>
      </c>
    </row>
    <row r="11401">
      <c r="A11401">
        <v>11400</v>
      </c>
      <c r="B11401">
        <f>GS92</f>
        <v>0</v>
      </c>
      <c r="C11401" t="inlineStr">
        <is>
          <t>+LS11</t>
        </is>
      </c>
      <c r="D11401" t="inlineStr">
        <is>
          <t>-606Q481.2</t>
        </is>
      </c>
      <c r="E11401" t="inlineStr">
        <is>
          <t>DILA-XHI22</t>
        </is>
      </c>
      <c r="F11401" t="inlineStr">
        <is>
          <t>DILA-XHI22</t>
        </is>
      </c>
      <c r="G11401" t="inlineStr">
        <is>
          <t>HILFSKONTAKTBLOCK</t>
        </is>
      </c>
      <c r="H11401" t="inlineStr">
        <is>
          <t>2S 2OE Last+Hilfssch. Cage</t>
        </is>
      </c>
      <c r="I11401">
        <v>746</v>
      </c>
      <c r="J11401">
        <f>GS92/606.6</f>
        <v>0</v>
      </c>
      <c r="M11401" t="inlineStr">
        <is>
          <t>-606Q481.2</t>
        </is>
      </c>
    </row>
    <row r="11402">
      <c r="A11402">
        <v>11401</v>
      </c>
      <c r="B11402">
        <f>GS92</f>
        <v>0</v>
      </c>
      <c r="C11402" t="inlineStr">
        <is>
          <t>+LS11</t>
        </is>
      </c>
      <c r="D11402" t="inlineStr">
        <is>
          <t>-606Q481.2</t>
        </is>
      </c>
      <c r="E11402" t="inlineStr">
        <is>
          <t>DILM-9-10</t>
        </is>
      </c>
      <c r="F11402" t="inlineStr">
        <is>
          <t>DILA-XHI22</t>
        </is>
      </c>
      <c r="G11402" t="inlineStr">
        <is>
          <t>LASTSCHUETZ</t>
        </is>
      </c>
      <c r="H11402" t="inlineStr">
        <is>
          <t>4kW 1S Federzugkl.</t>
        </is>
      </c>
      <c r="I11402">
        <v>746</v>
      </c>
      <c r="J11402">
        <f>GS92/606.6</f>
        <v>0</v>
      </c>
      <c r="M11402" t="inlineStr">
        <is>
          <t>-606Q481.2</t>
        </is>
      </c>
    </row>
    <row r="11403">
      <c r="A11403">
        <v>11402</v>
      </c>
      <c r="B11403">
        <f>GS93</f>
        <v>0</v>
      </c>
      <c r="C11403" t="inlineStr">
        <is>
          <t>+LS11</t>
        </is>
      </c>
      <c r="D11403" t="inlineStr">
        <is>
          <t>-606Q762.5</t>
        </is>
      </c>
      <c r="E11403" t="inlineStr">
        <is>
          <t>DILM-9-10</t>
        </is>
      </c>
      <c r="F11403" t="inlineStr">
        <is>
          <t>#KALK!</t>
        </is>
      </c>
      <c r="G11403" t="inlineStr">
        <is>
          <t>LASTSCHUETZ</t>
        </is>
      </c>
      <c r="H11403" t="inlineStr">
        <is>
          <t>4kW 1S Federzugkl.</t>
        </is>
      </c>
      <c r="I11403">
        <v>1155</v>
      </c>
      <c r="J11403">
        <f>GS93/606.5</f>
        <v>0</v>
      </c>
      <c r="M11403" t="inlineStr">
        <is>
          <t>-606Q762.5</t>
        </is>
      </c>
    </row>
    <row r="11404">
      <c r="A11404">
        <v>11403</v>
      </c>
      <c r="B11404">
        <f>GS15</f>
        <v>0</v>
      </c>
      <c r="C11404" t="inlineStr">
        <is>
          <t>+LS11</t>
        </is>
      </c>
      <c r="D11404" t="inlineStr">
        <is>
          <t>-607K3517.0</t>
        </is>
      </c>
      <c r="E11404" t="inlineStr">
        <is>
          <t>DIL_EM-10-G</t>
        </is>
      </c>
      <c r="F11404" t="inlineStr">
        <is>
          <t>#KALK!</t>
        </is>
      </c>
      <c r="G11404" t="inlineStr">
        <is>
          <t>LASTSCHUETZ</t>
        </is>
      </c>
      <c r="H11404" t="inlineStr">
        <is>
          <t>4kW 1S</t>
        </is>
      </c>
      <c r="I11404">
        <v>1118</v>
      </c>
      <c r="J11404">
        <f>GS15/607.6</f>
        <v>0</v>
      </c>
      <c r="M11404" t="inlineStr">
        <is>
          <t>-607K3517.0</t>
        </is>
      </c>
    </row>
    <row r="11405">
      <c r="A11405">
        <v>11404</v>
      </c>
      <c r="B11405">
        <f>GS15</f>
        <v>0</v>
      </c>
      <c r="C11405" t="inlineStr">
        <is>
          <t>+LS11</t>
        </is>
      </c>
      <c r="D11405" t="inlineStr">
        <is>
          <t>-607K3517.1</t>
        </is>
      </c>
      <c r="E11405" t="inlineStr">
        <is>
          <t>DIL_EM-10-G</t>
        </is>
      </c>
      <c r="F11405" t="inlineStr">
        <is>
          <t>#KALK!</t>
        </is>
      </c>
      <c r="G11405" t="inlineStr">
        <is>
          <t>LASTSCHUETZ</t>
        </is>
      </c>
      <c r="H11405" t="inlineStr">
        <is>
          <t>4kW 1S</t>
        </is>
      </c>
      <c r="I11405">
        <v>1118</v>
      </c>
      <c r="J11405">
        <f>GS15/607.7</f>
        <v>0</v>
      </c>
      <c r="M11405" t="inlineStr">
        <is>
          <t>-607K3517.1</t>
        </is>
      </c>
    </row>
    <row r="11406">
      <c r="A11406">
        <v>11405</v>
      </c>
      <c r="B11406">
        <f>GS24</f>
        <v>0</v>
      </c>
      <c r="C11406" t="inlineStr">
        <is>
          <t>+LS13</t>
        </is>
      </c>
      <c r="D11406" t="inlineStr">
        <is>
          <t>-607K3524.5</t>
        </is>
      </c>
      <c r="E11406" t="inlineStr">
        <is>
          <t>DIL_EM-10-G</t>
        </is>
      </c>
      <c r="F11406" t="inlineStr">
        <is>
          <t>#KALK!</t>
        </is>
      </c>
      <c r="G11406" t="inlineStr">
        <is>
          <t>LASTSCHUETZ</t>
        </is>
      </c>
      <c r="H11406" t="inlineStr">
        <is>
          <t>4kW 1S</t>
        </is>
      </c>
      <c r="I11406">
        <v>489</v>
      </c>
      <c r="J11406">
        <f>GS24/607.6</f>
        <v>0</v>
      </c>
      <c r="M11406" t="inlineStr">
        <is>
          <t>-607K3524.5</t>
        </is>
      </c>
    </row>
    <row r="11407">
      <c r="A11407">
        <v>11406</v>
      </c>
      <c r="B11407">
        <f>GS24</f>
        <v>0</v>
      </c>
      <c r="C11407" t="inlineStr">
        <is>
          <t>+LS13</t>
        </is>
      </c>
      <c r="D11407" t="inlineStr">
        <is>
          <t>-607K3524.6</t>
        </is>
      </c>
      <c r="E11407" t="inlineStr">
        <is>
          <t>DIL_EM-10-G</t>
        </is>
      </c>
      <c r="F11407" t="inlineStr">
        <is>
          <t>#KALK!</t>
        </is>
      </c>
      <c r="G11407" t="inlineStr">
        <is>
          <t>LASTSCHUETZ</t>
        </is>
      </c>
      <c r="H11407" t="inlineStr">
        <is>
          <t>4kW 1S</t>
        </is>
      </c>
      <c r="I11407">
        <v>489</v>
      </c>
      <c r="J11407">
        <f>GS24/607.6</f>
        <v>0</v>
      </c>
      <c r="M11407" t="inlineStr">
        <is>
          <t>-607K3524.6</t>
        </is>
      </c>
    </row>
    <row r="11408">
      <c r="A11408">
        <v>11407</v>
      </c>
      <c r="B11408">
        <f>GS92</f>
        <v>0</v>
      </c>
      <c r="C11408" t="inlineStr">
        <is>
          <t>+LS11</t>
        </is>
      </c>
      <c r="D11408" t="inlineStr">
        <is>
          <t>-607Q481.3</t>
        </is>
      </c>
      <c r="E11408" t="inlineStr">
        <is>
          <t>DILM-9-10</t>
        </is>
      </c>
      <c r="F11408" t="inlineStr">
        <is>
          <t>#KALK!</t>
        </is>
      </c>
      <c r="G11408" t="inlineStr">
        <is>
          <t>LASTSCHUETZ</t>
        </is>
      </c>
      <c r="H11408" t="inlineStr">
        <is>
          <t>4kW 1S Federzugkl.</t>
        </is>
      </c>
      <c r="I11408">
        <v>747</v>
      </c>
      <c r="J11408">
        <f>GS92/607.5</f>
        <v>0</v>
      </c>
      <c r="M11408" t="inlineStr">
        <is>
          <t>-607Q481.3</t>
        </is>
      </c>
    </row>
    <row r="11409">
      <c r="A11409">
        <v>11408</v>
      </c>
      <c r="B11409">
        <f>GS93</f>
        <v>0</v>
      </c>
      <c r="C11409" t="inlineStr">
        <is>
          <t>+LS11</t>
        </is>
      </c>
      <c r="D11409" t="inlineStr">
        <is>
          <t>-607Q762.6</t>
        </is>
      </c>
      <c r="E11409" t="inlineStr">
        <is>
          <t>DILM-9-10</t>
        </is>
      </c>
      <c r="F11409" t="inlineStr">
        <is>
          <t>#KALK!</t>
        </is>
      </c>
      <c r="G11409" t="inlineStr">
        <is>
          <t>LASTSCHUETZ</t>
        </is>
      </c>
      <c r="H11409" t="inlineStr">
        <is>
          <t>4kW 1S Federzugkl.</t>
        </is>
      </c>
      <c r="I11409">
        <v>1156</v>
      </c>
      <c r="J11409">
        <f>GS93/607.5</f>
        <v>0</v>
      </c>
      <c r="M11409" t="inlineStr">
        <is>
          <t>-607Q762.6</t>
        </is>
      </c>
    </row>
    <row r="11410">
      <c r="A11410">
        <v>11409</v>
      </c>
      <c r="B11410">
        <f>GS08</f>
        <v>0</v>
      </c>
      <c r="C11410" t="inlineStr">
        <is>
          <t>+LS10</t>
        </is>
      </c>
      <c r="D11410" t="inlineStr">
        <is>
          <t>-608K1</t>
        </is>
      </c>
      <c r="E11410" t="inlineStr">
        <is>
          <t>DILM-9-10</t>
        </is>
      </c>
      <c r="F11410" t="inlineStr">
        <is>
          <t>#KALK!</t>
        </is>
      </c>
      <c r="G11410" t="inlineStr">
        <is>
          <t>LASTSCHUETZ</t>
        </is>
      </c>
      <c r="H11410" t="inlineStr">
        <is>
          <t>4kW 1S Federzugkl.</t>
        </is>
      </c>
      <c r="I11410">
        <v>970</v>
      </c>
      <c r="J11410">
        <f>GS08/608.5</f>
        <v>0</v>
      </c>
      <c r="M11410" t="inlineStr">
        <is>
          <t>-608K1</t>
        </is>
      </c>
    </row>
    <row r="11411">
      <c r="A11411">
        <v>11410</v>
      </c>
      <c r="B11411">
        <f>GS15</f>
        <v>0</v>
      </c>
      <c r="C11411" t="inlineStr">
        <is>
          <t>+LS11</t>
        </is>
      </c>
      <c r="D11411" t="inlineStr">
        <is>
          <t>-608K3517.2</t>
        </is>
      </c>
      <c r="E11411" t="inlineStr">
        <is>
          <t>DIL_EM-10-G</t>
        </is>
      </c>
      <c r="F11411" t="inlineStr">
        <is>
          <t>#KALK!</t>
        </is>
      </c>
      <c r="G11411" t="inlineStr">
        <is>
          <t>LASTSCHUETZ</t>
        </is>
      </c>
      <c r="H11411" t="inlineStr">
        <is>
          <t>4kW 1S</t>
        </is>
      </c>
      <c r="I11411">
        <v>1119</v>
      </c>
      <c r="J11411">
        <f>GS15/608.6</f>
        <v>0</v>
      </c>
      <c r="M11411" t="inlineStr">
        <is>
          <t>-608K3517.2</t>
        </is>
      </c>
    </row>
    <row r="11412">
      <c r="A11412">
        <v>11411</v>
      </c>
      <c r="B11412">
        <f>GS15</f>
        <v>0</v>
      </c>
      <c r="C11412" t="inlineStr">
        <is>
          <t>+LS11</t>
        </is>
      </c>
      <c r="D11412" t="inlineStr">
        <is>
          <t>-608K3517.3</t>
        </is>
      </c>
      <c r="E11412" t="inlineStr">
        <is>
          <t>DIL_EM-10-G</t>
        </is>
      </c>
      <c r="F11412" t="inlineStr">
        <is>
          <t>#KALK!</t>
        </is>
      </c>
      <c r="G11412" t="inlineStr">
        <is>
          <t>LASTSCHUETZ</t>
        </is>
      </c>
      <c r="H11412" t="inlineStr">
        <is>
          <t>4kW 1S</t>
        </is>
      </c>
      <c r="I11412">
        <v>1119</v>
      </c>
      <c r="J11412">
        <f>GS15/608.7</f>
        <v>0</v>
      </c>
      <c r="M11412" t="inlineStr">
        <is>
          <t>-608K3517.3</t>
        </is>
      </c>
    </row>
    <row r="11413">
      <c r="A11413">
        <v>11412</v>
      </c>
      <c r="B11413">
        <f>GS91</f>
        <v>0</v>
      </c>
      <c r="C11413" t="inlineStr">
        <is>
          <t>+LS12</t>
        </is>
      </c>
      <c r="D11413" t="inlineStr">
        <is>
          <t>-608K720.2</t>
        </is>
      </c>
      <c r="E11413" t="inlineStr">
        <is>
          <t>DILA-22</t>
        </is>
      </c>
      <c r="F11413" t="inlineStr">
        <is>
          <t>#KALK!</t>
        </is>
      </c>
      <c r="G11413" t="inlineStr">
        <is>
          <t>HILFSSCHUETZ</t>
        </is>
      </c>
      <c r="H11413" t="inlineStr">
        <is>
          <t>2S 2Oe Federzugkl.</t>
        </is>
      </c>
      <c r="I11413">
        <v>756</v>
      </c>
      <c r="J11413">
        <f>GS91/608.5</f>
        <v>0</v>
      </c>
      <c r="M11413" t="inlineStr">
        <is>
          <t>-608K720.2</t>
        </is>
      </c>
    </row>
    <row r="11414">
      <c r="A11414">
        <v>11413</v>
      </c>
      <c r="B11414">
        <f>GS90</f>
        <v>0</v>
      </c>
      <c r="C11414" t="inlineStr">
        <is>
          <t>+LS13</t>
        </is>
      </c>
      <c r="D11414" t="inlineStr">
        <is>
          <t>-608K820.2</t>
        </is>
      </c>
      <c r="E11414" t="inlineStr">
        <is>
          <t>DILA-22</t>
        </is>
      </c>
      <c r="F11414" t="inlineStr">
        <is>
          <t>#KALK!</t>
        </is>
      </c>
      <c r="G11414" t="inlineStr">
        <is>
          <t>HILFSSCHUETZ</t>
        </is>
      </c>
      <c r="H11414" t="inlineStr">
        <is>
          <t>2S 2Oe Federzugkl.</t>
        </is>
      </c>
      <c r="I11414">
        <v>641</v>
      </c>
      <c r="J11414">
        <f>GS90/608.5</f>
        <v>0</v>
      </c>
      <c r="M11414" t="inlineStr">
        <is>
          <t>-608K820.2</t>
        </is>
      </c>
    </row>
    <row r="11415">
      <c r="A11415">
        <v>11414</v>
      </c>
      <c r="B11415">
        <f>GS91</f>
        <v>0</v>
      </c>
      <c r="C11415" t="inlineStr">
        <is>
          <t>+LS12</t>
        </is>
      </c>
      <c r="D11415" t="inlineStr">
        <is>
          <t>-608Q720.4</t>
        </is>
      </c>
      <c r="E11415" t="inlineStr">
        <is>
          <t>DILM-9-10</t>
        </is>
      </c>
      <c r="F11415" t="inlineStr">
        <is>
          <t>#KALK!</t>
        </is>
      </c>
      <c r="G11415" t="inlineStr">
        <is>
          <t>LASTSCHUETZ</t>
        </is>
      </c>
      <c r="H11415" t="inlineStr">
        <is>
          <t>4kW 1S Federzugkl.</t>
        </is>
      </c>
      <c r="I11415">
        <v>756</v>
      </c>
      <c r="J11415">
        <f>GS91/608.7</f>
        <v>0</v>
      </c>
      <c r="M11415" t="inlineStr">
        <is>
          <t>-608Q720.4</t>
        </is>
      </c>
    </row>
    <row r="11416">
      <c r="A11416">
        <v>11415</v>
      </c>
      <c r="B11416">
        <f>GS90</f>
        <v>0</v>
      </c>
      <c r="C11416" t="inlineStr">
        <is>
          <t>+LS13</t>
        </is>
      </c>
      <c r="D11416" t="inlineStr">
        <is>
          <t>-608Q820.4</t>
        </is>
      </c>
      <c r="E11416" t="inlineStr">
        <is>
          <t>DILM-9-10</t>
        </is>
      </c>
      <c r="F11416" t="inlineStr">
        <is>
          <t>#KALK!</t>
        </is>
      </c>
      <c r="G11416" t="inlineStr">
        <is>
          <t>LASTSCHUETZ</t>
        </is>
      </c>
      <c r="H11416" t="inlineStr">
        <is>
          <t>4kW 1S Federzugkl.</t>
        </is>
      </c>
      <c r="I11416">
        <v>641</v>
      </c>
      <c r="J11416">
        <f>GS90/608.7</f>
        <v>0</v>
      </c>
      <c r="M11416" t="inlineStr">
        <is>
          <t>-608Q820.4</t>
        </is>
      </c>
    </row>
    <row r="11417">
      <c r="A11417">
        <v>11416</v>
      </c>
      <c r="B11417">
        <f>GS15</f>
        <v>0</v>
      </c>
      <c r="C11417" t="inlineStr">
        <is>
          <t>+LS11</t>
        </is>
      </c>
      <c r="D11417" t="inlineStr">
        <is>
          <t>-609K3517.4</t>
        </is>
      </c>
      <c r="E11417" t="inlineStr">
        <is>
          <t>DIL_EM-10-G</t>
        </is>
      </c>
      <c r="F11417" t="inlineStr">
        <is>
          <t>#KALK!</t>
        </is>
      </c>
      <c r="G11417" t="inlineStr">
        <is>
          <t>LASTSCHUETZ</t>
        </is>
      </c>
      <c r="H11417" t="inlineStr">
        <is>
          <t>4kW 1S</t>
        </is>
      </c>
      <c r="I11417">
        <v>1120</v>
      </c>
      <c r="J11417">
        <f>GS15/609.6</f>
        <v>0</v>
      </c>
      <c r="M11417" t="inlineStr">
        <is>
          <t>-609K3517.4</t>
        </is>
      </c>
    </row>
    <row r="11418">
      <c r="A11418">
        <v>11417</v>
      </c>
      <c r="B11418">
        <f>GS15</f>
        <v>0</v>
      </c>
      <c r="C11418" t="inlineStr">
        <is>
          <t>+LS11</t>
        </is>
      </c>
      <c r="D11418" t="inlineStr">
        <is>
          <t>-609K3517.5</t>
        </is>
      </c>
      <c r="E11418" t="inlineStr">
        <is>
          <t>DIL_EM-10-G</t>
        </is>
      </c>
      <c r="F11418" t="inlineStr">
        <is>
          <t>#KALK!</t>
        </is>
      </c>
      <c r="G11418" t="inlineStr">
        <is>
          <t>LASTSCHUETZ</t>
        </is>
      </c>
      <c r="H11418" t="inlineStr">
        <is>
          <t>4kW 1S</t>
        </is>
      </c>
      <c r="I11418">
        <v>1120</v>
      </c>
      <c r="J11418">
        <f>GS15/609.7</f>
        <v>0</v>
      </c>
      <c r="M11418" t="inlineStr">
        <is>
          <t>-609K3517.5</t>
        </is>
      </c>
    </row>
    <row r="11419">
      <c r="A11419">
        <v>11418</v>
      </c>
      <c r="B11419">
        <f>GS25</f>
        <v>0</v>
      </c>
      <c r="C11419" t="inlineStr">
        <is>
          <t>+LS14</t>
        </is>
      </c>
      <c r="D11419" t="inlineStr">
        <is>
          <t>-610K1</t>
        </is>
      </c>
      <c r="E11419" t="inlineStr">
        <is>
          <t>DIL_0AM</t>
        </is>
      </c>
      <c r="F11419" t="inlineStr">
        <is>
          <t>22_DIL-M</t>
        </is>
      </c>
      <c r="G11419" t="inlineStr">
        <is>
          <t>LASTSCHUETZ</t>
        </is>
      </c>
      <c r="H11419" t="inlineStr">
        <is>
          <t>11 kW</t>
        </is>
      </c>
      <c r="I11419">
        <v>736</v>
      </c>
      <c r="J11419">
        <f>GS25/610.2</f>
        <v>0</v>
      </c>
      <c r="K11419" t="inlineStr">
        <is>
          <t>DIL0AM</t>
        </is>
      </c>
      <c r="M11419" t="inlineStr">
        <is>
          <t>-610K1</t>
        </is>
      </c>
    </row>
    <row r="11420">
      <c r="A11420">
        <v>11419</v>
      </c>
      <c r="B11420">
        <f>GS25</f>
        <v>0</v>
      </c>
      <c r="C11420" t="inlineStr">
        <is>
          <t>+LS14</t>
        </is>
      </c>
      <c r="D11420" t="inlineStr">
        <is>
          <t>-610K1</t>
        </is>
      </c>
      <c r="E11420" t="inlineStr">
        <is>
          <t>22_DIL-M</t>
        </is>
      </c>
      <c r="F11420" t="inlineStr">
        <is>
          <t>22_DIL-M</t>
        </is>
      </c>
      <c r="G11420" t="inlineStr">
        <is>
          <t>HILFSKONTAKTBLOCK</t>
        </is>
      </c>
      <c r="H11420" t="inlineStr">
        <is>
          <t>2S 2OE Lastschuetz DIL M</t>
        </is>
      </c>
      <c r="I11420">
        <v>736</v>
      </c>
      <c r="J11420">
        <f>GS25/610.2</f>
        <v>0</v>
      </c>
      <c r="K11420" t="inlineStr">
        <is>
          <t>DIL0AM</t>
        </is>
      </c>
      <c r="M11420" t="inlineStr">
        <is>
          <t>-610K1</t>
        </is>
      </c>
    </row>
    <row r="11421">
      <c r="A11421">
        <v>11420</v>
      </c>
      <c r="B11421">
        <f>GS91</f>
        <v>0</v>
      </c>
      <c r="C11421" t="inlineStr">
        <is>
          <t>+LS12</t>
        </is>
      </c>
      <c r="D11421" t="inlineStr">
        <is>
          <t>-610Q721.0</t>
        </is>
      </c>
      <c r="E11421" t="inlineStr">
        <is>
          <t>DILM-9-10</t>
        </is>
      </c>
      <c r="F11421" t="inlineStr">
        <is>
          <t>#KALK!</t>
        </is>
      </c>
      <c r="G11421" t="inlineStr">
        <is>
          <t>LASTSCHUETZ</t>
        </is>
      </c>
      <c r="H11421" t="inlineStr">
        <is>
          <t>4kW 1S Federzugkl.</t>
        </is>
      </c>
      <c r="I11421">
        <v>758</v>
      </c>
      <c r="J11421">
        <f>GS91/610.5</f>
        <v>0</v>
      </c>
      <c r="M11421" t="inlineStr">
        <is>
          <t>-610Q721.0</t>
        </is>
      </c>
    </row>
    <row r="11422">
      <c r="A11422">
        <v>11421</v>
      </c>
      <c r="B11422">
        <f>GS90</f>
        <v>0</v>
      </c>
      <c r="C11422" t="inlineStr">
        <is>
          <t>+LS13</t>
        </is>
      </c>
      <c r="D11422" t="inlineStr">
        <is>
          <t>-610Q821.0</t>
        </is>
      </c>
      <c r="E11422" t="inlineStr">
        <is>
          <t>DILM-9-10</t>
        </is>
      </c>
      <c r="F11422" t="inlineStr">
        <is>
          <t>#KALK!</t>
        </is>
      </c>
      <c r="G11422" t="inlineStr">
        <is>
          <t>LASTSCHUETZ</t>
        </is>
      </c>
      <c r="H11422" t="inlineStr">
        <is>
          <t>4kW 1S Federzugkl.</t>
        </is>
      </c>
      <c r="I11422">
        <v>638</v>
      </c>
      <c r="J11422">
        <f>GS90/610.5</f>
        <v>0</v>
      </c>
      <c r="M11422" t="inlineStr">
        <is>
          <t>-610Q821.0</t>
        </is>
      </c>
    </row>
    <row r="11423">
      <c r="A11423">
        <v>11422</v>
      </c>
      <c r="B11423">
        <f>GS93</f>
        <v>0</v>
      </c>
      <c r="C11423" t="inlineStr">
        <is>
          <t>+LS11</t>
        </is>
      </c>
      <c r="D11423" t="inlineStr">
        <is>
          <t>-611Q763.0</t>
        </is>
      </c>
      <c r="E11423" t="inlineStr">
        <is>
          <t>DILM-9-10</t>
        </is>
      </c>
      <c r="F11423" t="inlineStr">
        <is>
          <t>#KALK!</t>
        </is>
      </c>
      <c r="G11423" t="inlineStr">
        <is>
          <t>LASTSCHUETZ</t>
        </is>
      </c>
      <c r="H11423" t="inlineStr">
        <is>
          <t>4kW 1S Federzugkl.</t>
        </is>
      </c>
      <c r="I11423">
        <v>1160</v>
      </c>
      <c r="J11423">
        <f>GS93/611.5</f>
        <v>0</v>
      </c>
      <c r="M11423" t="inlineStr">
        <is>
          <t>-611Q763.0</t>
        </is>
      </c>
    </row>
    <row r="11424">
      <c r="A11424">
        <v>11423</v>
      </c>
      <c r="B11424">
        <f>GS25</f>
        <v>0</v>
      </c>
      <c r="C11424" t="inlineStr">
        <is>
          <t>+LS14</t>
        </is>
      </c>
      <c r="D11424" t="inlineStr">
        <is>
          <t>-612K3522.0</t>
        </is>
      </c>
      <c r="E11424" t="inlineStr">
        <is>
          <t>DIL_EM-10-G</t>
        </is>
      </c>
      <c r="F11424" t="inlineStr">
        <is>
          <t>#KALK!</t>
        </is>
      </c>
      <c r="G11424" t="inlineStr">
        <is>
          <t>LASTSCHUETZ</t>
        </is>
      </c>
      <c r="H11424" t="inlineStr">
        <is>
          <t>4kW 1S</t>
        </is>
      </c>
      <c r="I11424">
        <v>738</v>
      </c>
      <c r="J11424">
        <f>GS25/612.6</f>
        <v>0</v>
      </c>
      <c r="M11424" t="inlineStr">
        <is>
          <t>-612K3522.0</t>
        </is>
      </c>
    </row>
    <row r="11425">
      <c r="A11425">
        <v>11424</v>
      </c>
      <c r="B11425">
        <f>GS25</f>
        <v>0</v>
      </c>
      <c r="C11425" t="inlineStr">
        <is>
          <t>+LS14</t>
        </is>
      </c>
      <c r="D11425" t="inlineStr">
        <is>
          <t>-612K3522.1</t>
        </is>
      </c>
      <c r="E11425" t="inlineStr">
        <is>
          <t>DIL_EM-10-G</t>
        </is>
      </c>
      <c r="F11425" t="inlineStr">
        <is>
          <t>#KALK!</t>
        </is>
      </c>
      <c r="G11425" t="inlineStr">
        <is>
          <t>LASTSCHUETZ</t>
        </is>
      </c>
      <c r="H11425" t="inlineStr">
        <is>
          <t>4kW 1S</t>
        </is>
      </c>
      <c r="I11425">
        <v>738</v>
      </c>
      <c r="J11425">
        <f>GS25/612.6</f>
        <v>0</v>
      </c>
      <c r="M11425" t="inlineStr">
        <is>
          <t>-612K3522.1</t>
        </is>
      </c>
    </row>
    <row r="11426">
      <c r="A11426">
        <v>11425</v>
      </c>
      <c r="B11426">
        <f>GS91</f>
        <v>0</v>
      </c>
      <c r="C11426" t="inlineStr">
        <is>
          <t>+LS12</t>
        </is>
      </c>
      <c r="D11426" t="inlineStr">
        <is>
          <t>-612Q721.1</t>
        </is>
      </c>
      <c r="E11426" t="inlineStr">
        <is>
          <t>DILM-9-10</t>
        </is>
      </c>
      <c r="F11426" t="inlineStr">
        <is>
          <t>#KALK!</t>
        </is>
      </c>
      <c r="G11426" t="inlineStr">
        <is>
          <t>LASTSCHUETZ</t>
        </is>
      </c>
      <c r="H11426" t="inlineStr">
        <is>
          <t>4kW 1S Federzugkl.</t>
        </is>
      </c>
      <c r="I11426">
        <v>760</v>
      </c>
      <c r="J11426">
        <f>GS91/612.5</f>
        <v>0</v>
      </c>
      <c r="M11426" t="inlineStr">
        <is>
          <t>-612Q721.1</t>
        </is>
      </c>
    </row>
    <row r="11427">
      <c r="A11427">
        <v>11426</v>
      </c>
      <c r="B11427">
        <f>GS93</f>
        <v>0</v>
      </c>
      <c r="C11427" t="inlineStr">
        <is>
          <t>+LS11</t>
        </is>
      </c>
      <c r="D11427" t="inlineStr">
        <is>
          <t>-612Q763.1</t>
        </is>
      </c>
      <c r="E11427" t="inlineStr">
        <is>
          <t>DILM-9-10</t>
        </is>
      </c>
      <c r="F11427" t="inlineStr">
        <is>
          <t>#KALK!</t>
        </is>
      </c>
      <c r="G11427" t="inlineStr">
        <is>
          <t>LASTSCHUETZ</t>
        </is>
      </c>
      <c r="H11427" t="inlineStr">
        <is>
          <t>4kW 1S Federzugkl.</t>
        </is>
      </c>
      <c r="I11427">
        <v>1161</v>
      </c>
      <c r="J11427">
        <f>GS93/612.5</f>
        <v>0</v>
      </c>
      <c r="M11427" t="inlineStr">
        <is>
          <t>-612Q763.1</t>
        </is>
      </c>
    </row>
    <row r="11428">
      <c r="A11428">
        <v>11427</v>
      </c>
      <c r="B11428">
        <f>GS90</f>
        <v>0</v>
      </c>
      <c r="C11428" t="inlineStr">
        <is>
          <t>+LS13</t>
        </is>
      </c>
      <c r="D11428" t="inlineStr">
        <is>
          <t>-612Q821.1</t>
        </is>
      </c>
      <c r="E11428" t="inlineStr">
        <is>
          <t>DILM-9-10</t>
        </is>
      </c>
      <c r="F11428" t="inlineStr">
        <is>
          <t>#KALK!</t>
        </is>
      </c>
      <c r="G11428" t="inlineStr">
        <is>
          <t>LASTSCHUETZ</t>
        </is>
      </c>
      <c r="H11428" t="inlineStr">
        <is>
          <t>4kW 1S Federzugkl.</t>
        </is>
      </c>
      <c r="I11428">
        <v>636</v>
      </c>
      <c r="J11428">
        <f>GS90/612.5</f>
        <v>0</v>
      </c>
      <c r="M11428" t="inlineStr">
        <is>
          <t>-612Q821.1</t>
        </is>
      </c>
    </row>
    <row r="11429">
      <c r="A11429">
        <v>11428</v>
      </c>
      <c r="B11429">
        <f>GS08</f>
        <v>0</v>
      </c>
      <c r="C11429" t="inlineStr">
        <is>
          <t>+LS10</t>
        </is>
      </c>
      <c r="D11429" t="inlineStr">
        <is>
          <t>-613Q525.4</t>
        </is>
      </c>
      <c r="E11429" t="inlineStr">
        <is>
          <t>DILM-9-10</t>
        </is>
      </c>
      <c r="F11429" t="inlineStr">
        <is>
          <t>#KALK!</t>
        </is>
      </c>
      <c r="G11429" t="inlineStr">
        <is>
          <t>LASTSCHUETZ</t>
        </is>
      </c>
      <c r="H11429" t="inlineStr">
        <is>
          <t>4kW 1S Federzugkl.</t>
        </is>
      </c>
      <c r="I11429">
        <v>2997</v>
      </c>
      <c r="J11429">
        <f>GS08/613.6</f>
        <v>0</v>
      </c>
      <c r="K11429" t="inlineStr">
        <is>
          <t>DIL MC9</t>
        </is>
      </c>
      <c r="M11429" t="inlineStr">
        <is>
          <t>-613Q525.4</t>
        </is>
      </c>
    </row>
    <row r="11430">
      <c r="A11430">
        <v>11429</v>
      </c>
      <c r="B11430">
        <f>GS25</f>
        <v>0</v>
      </c>
      <c r="C11430" t="inlineStr">
        <is>
          <t>+LS14</t>
        </is>
      </c>
      <c r="D11430" t="inlineStr">
        <is>
          <t>-614K3522.7</t>
        </is>
      </c>
      <c r="E11430" t="inlineStr">
        <is>
          <t>DIL_EM-10-G</t>
        </is>
      </c>
      <c r="F11430" t="inlineStr">
        <is>
          <t>#KALK!</t>
        </is>
      </c>
      <c r="G11430" t="inlineStr">
        <is>
          <t>LASTSCHUETZ</t>
        </is>
      </c>
      <c r="H11430" t="inlineStr">
        <is>
          <t>4kW 1S</t>
        </is>
      </c>
      <c r="I11430">
        <v>740</v>
      </c>
      <c r="J11430">
        <f>GS25/614.5</f>
        <v>0</v>
      </c>
      <c r="M11430" t="inlineStr">
        <is>
          <t>-614K3522.7</t>
        </is>
      </c>
    </row>
    <row r="11431">
      <c r="A11431">
        <v>11430</v>
      </c>
      <c r="B11431">
        <f>GS25</f>
        <v>0</v>
      </c>
      <c r="C11431" t="inlineStr">
        <is>
          <t>+LS14</t>
        </is>
      </c>
      <c r="D11431" t="inlineStr">
        <is>
          <t>-614K3523.0</t>
        </is>
      </c>
      <c r="E11431" t="inlineStr">
        <is>
          <t>DIL_EM-10-G</t>
        </is>
      </c>
      <c r="F11431" t="inlineStr">
        <is>
          <t>#KALK!</t>
        </is>
      </c>
      <c r="G11431" t="inlineStr">
        <is>
          <t>LASTSCHUETZ</t>
        </is>
      </c>
      <c r="H11431" t="inlineStr">
        <is>
          <t>4kW 1S</t>
        </is>
      </c>
      <c r="I11431">
        <v>740</v>
      </c>
      <c r="J11431">
        <f>GS25/614.6</f>
        <v>0</v>
      </c>
      <c r="M11431" t="inlineStr">
        <is>
          <t>-614K3523.0</t>
        </is>
      </c>
    </row>
    <row r="11432">
      <c r="A11432">
        <v>11431</v>
      </c>
      <c r="B11432">
        <f>GS25</f>
        <v>0</v>
      </c>
      <c r="C11432" t="inlineStr">
        <is>
          <t>+LS14</t>
        </is>
      </c>
      <c r="D11432" t="inlineStr">
        <is>
          <t>-614K3523.1</t>
        </is>
      </c>
      <c r="E11432" t="inlineStr">
        <is>
          <t>DIL_EM-01-G</t>
        </is>
      </c>
      <c r="F11432" t="inlineStr">
        <is>
          <t>#KALK!</t>
        </is>
      </c>
      <c r="G11432" t="inlineStr">
        <is>
          <t>LASTSCHUETZ</t>
        </is>
      </c>
      <c r="H11432" t="inlineStr">
        <is>
          <t>4kW 1OE</t>
        </is>
      </c>
      <c r="I11432">
        <v>740</v>
      </c>
      <c r="J11432">
        <f>GS25/614.7</f>
        <v>0</v>
      </c>
      <c r="M11432" t="inlineStr">
        <is>
          <t>-614K3523.1</t>
        </is>
      </c>
    </row>
    <row r="11433">
      <c r="A11433">
        <v>11432</v>
      </c>
      <c r="B11433">
        <f>GS25</f>
        <v>0</v>
      </c>
      <c r="C11433" t="inlineStr">
        <is>
          <t>+LS14</t>
        </is>
      </c>
      <c r="D11433" t="inlineStr">
        <is>
          <t>-614K3523.2</t>
        </is>
      </c>
      <c r="E11433" t="inlineStr">
        <is>
          <t>DIL_EM-01-G</t>
        </is>
      </c>
      <c r="F11433" t="inlineStr">
        <is>
          <t>#KALK!</t>
        </is>
      </c>
      <c r="G11433" t="inlineStr">
        <is>
          <t>LASTSCHUETZ</t>
        </is>
      </c>
      <c r="H11433" t="inlineStr">
        <is>
          <t>4kW 1OE</t>
        </is>
      </c>
      <c r="I11433">
        <v>740</v>
      </c>
      <c r="J11433">
        <f>GS25/614.8</f>
        <v>0</v>
      </c>
      <c r="M11433" t="inlineStr">
        <is>
          <t>-614K3523.2</t>
        </is>
      </c>
    </row>
    <row r="11434">
      <c r="A11434">
        <v>11433</v>
      </c>
      <c r="B11434">
        <f>GS13</f>
        <v>0</v>
      </c>
      <c r="C11434" t="inlineStr">
        <is>
          <t>+LS15</t>
        </is>
      </c>
      <c r="D11434" t="inlineStr">
        <is>
          <t>-615K1</t>
        </is>
      </c>
      <c r="E11434" t="inlineStr">
        <is>
          <t>DIL_0AM</t>
        </is>
      </c>
      <c r="F11434" t="inlineStr">
        <is>
          <t>22_DIL-M</t>
        </is>
      </c>
      <c r="G11434" t="inlineStr">
        <is>
          <t>LASTSCHUETZ</t>
        </is>
      </c>
      <c r="H11434" t="inlineStr">
        <is>
          <t>11 kW</t>
        </is>
      </c>
      <c r="I11434">
        <v>874</v>
      </c>
      <c r="J11434">
        <f>GS13/615.2</f>
        <v>0</v>
      </c>
      <c r="K11434" t="inlineStr">
        <is>
          <t>DIL0AM</t>
        </is>
      </c>
      <c r="M11434" t="inlineStr">
        <is>
          <t>-615K1</t>
        </is>
      </c>
    </row>
    <row r="11435">
      <c r="A11435">
        <v>11434</v>
      </c>
      <c r="B11435">
        <f>GS13</f>
        <v>0</v>
      </c>
      <c r="C11435" t="inlineStr">
        <is>
          <t>+LS15</t>
        </is>
      </c>
      <c r="D11435" t="inlineStr">
        <is>
          <t>-615K1</t>
        </is>
      </c>
      <c r="E11435" t="inlineStr">
        <is>
          <t>22_DIL-M</t>
        </is>
      </c>
      <c r="F11435" t="inlineStr">
        <is>
          <t>22_DIL-M</t>
        </is>
      </c>
      <c r="G11435" t="inlineStr">
        <is>
          <t>HILFSKONTAKTBLOCK</t>
        </is>
      </c>
      <c r="H11435" t="inlineStr">
        <is>
          <t>2S 2OE Lastschuetz DIL M</t>
        </is>
      </c>
      <c r="I11435">
        <v>874</v>
      </c>
      <c r="J11435">
        <f>GS13/615.2</f>
        <v>0</v>
      </c>
      <c r="K11435" t="inlineStr">
        <is>
          <t>DIL0AM</t>
        </is>
      </c>
      <c r="M11435" t="inlineStr">
        <is>
          <t>-615K1</t>
        </is>
      </c>
    </row>
    <row r="11436">
      <c r="A11436">
        <v>11435</v>
      </c>
      <c r="B11436">
        <f>GS23</f>
        <v>0</v>
      </c>
      <c r="C11436" t="inlineStr">
        <is>
          <t>+LS15</t>
        </is>
      </c>
      <c r="D11436" t="inlineStr">
        <is>
          <t>-615K1</t>
        </is>
      </c>
      <c r="E11436" t="inlineStr">
        <is>
          <t>22_DIL-M</t>
        </is>
      </c>
      <c r="F11436" t="inlineStr">
        <is>
          <t>22_DIL-M</t>
        </is>
      </c>
      <c r="G11436" t="inlineStr">
        <is>
          <t>HILFSKONTAKTBLOCK</t>
        </is>
      </c>
      <c r="H11436" t="inlineStr">
        <is>
          <t>2S 2OE Lastschuetz DIL M</t>
        </is>
      </c>
      <c r="I11436">
        <v>927</v>
      </c>
      <c r="J11436">
        <f>GS23/615.2</f>
        <v>0</v>
      </c>
      <c r="K11436" t="inlineStr">
        <is>
          <t>DIL0AM</t>
        </is>
      </c>
      <c r="M11436" t="inlineStr">
        <is>
          <t>-615K1</t>
        </is>
      </c>
    </row>
    <row r="11437">
      <c r="A11437">
        <v>11436</v>
      </c>
      <c r="B11437">
        <f>GS23</f>
        <v>0</v>
      </c>
      <c r="C11437" t="inlineStr">
        <is>
          <t>+LS15</t>
        </is>
      </c>
      <c r="D11437" t="inlineStr">
        <is>
          <t>-615K1</t>
        </is>
      </c>
      <c r="E11437" t="inlineStr">
        <is>
          <t>DIL_0AM</t>
        </is>
      </c>
      <c r="F11437" t="inlineStr">
        <is>
          <t>22_DIL-M</t>
        </is>
      </c>
      <c r="G11437" t="inlineStr">
        <is>
          <t>LASTSCHUETZ</t>
        </is>
      </c>
      <c r="H11437" t="inlineStr">
        <is>
          <t>11 kW</t>
        </is>
      </c>
      <c r="I11437">
        <v>927</v>
      </c>
      <c r="J11437">
        <f>GS23/615.2</f>
        <v>0</v>
      </c>
      <c r="K11437" t="inlineStr">
        <is>
          <t>DIL0AM</t>
        </is>
      </c>
      <c r="M11437" t="inlineStr">
        <is>
          <t>-615K1</t>
        </is>
      </c>
    </row>
    <row r="11438">
      <c r="A11438">
        <v>11437</v>
      </c>
      <c r="B11438">
        <f>GS24</f>
        <v>0</v>
      </c>
      <c r="C11438" t="inlineStr">
        <is>
          <t>+LS13</t>
        </is>
      </c>
      <c r="D11438" t="inlineStr">
        <is>
          <t>-615K1</t>
        </is>
      </c>
      <c r="E11438" t="inlineStr">
        <is>
          <t>22_DIL-M</t>
        </is>
      </c>
      <c r="F11438" t="inlineStr">
        <is>
          <t>22_DIL-M</t>
        </is>
      </c>
      <c r="G11438" t="inlineStr">
        <is>
          <t>HILFSKONTAKTBLOCK</t>
        </is>
      </c>
      <c r="H11438" t="inlineStr">
        <is>
          <t>2S 2OE Lastschuetz DIL M</t>
        </is>
      </c>
      <c r="I11438">
        <v>481</v>
      </c>
      <c r="J11438">
        <f>GS24/615.2</f>
        <v>0</v>
      </c>
      <c r="K11438" t="inlineStr">
        <is>
          <t>DIL0AM</t>
        </is>
      </c>
      <c r="M11438" t="inlineStr">
        <is>
          <t>-615K1</t>
        </is>
      </c>
    </row>
    <row r="11439">
      <c r="A11439">
        <v>11438</v>
      </c>
      <c r="B11439">
        <f>GS24</f>
        <v>0</v>
      </c>
      <c r="C11439" t="inlineStr">
        <is>
          <t>+LS13</t>
        </is>
      </c>
      <c r="D11439" t="inlineStr">
        <is>
          <t>-615K1</t>
        </is>
      </c>
      <c r="E11439" t="inlineStr">
        <is>
          <t>DIL_0AM</t>
        </is>
      </c>
      <c r="F11439" t="inlineStr">
        <is>
          <t>22_DIL-M</t>
        </is>
      </c>
      <c r="G11439" t="inlineStr">
        <is>
          <t>LASTSCHUETZ</t>
        </is>
      </c>
      <c r="H11439" t="inlineStr">
        <is>
          <t>11 kW</t>
        </is>
      </c>
      <c r="I11439">
        <v>481</v>
      </c>
      <c r="J11439">
        <f>GS24/615.2</f>
        <v>0</v>
      </c>
      <c r="K11439" t="inlineStr">
        <is>
          <t>DIL0AM</t>
        </is>
      </c>
      <c r="M11439" t="inlineStr">
        <is>
          <t>-615K1</t>
        </is>
      </c>
    </row>
    <row r="11440">
      <c r="A11440">
        <v>11439</v>
      </c>
      <c r="B11440">
        <f>GS55</f>
        <v>0</v>
      </c>
      <c r="C11440" t="inlineStr">
        <is>
          <t>+LS09</t>
        </is>
      </c>
      <c r="D11440" t="inlineStr">
        <is>
          <t>-615K1</t>
        </is>
      </c>
      <c r="E11440" t="inlineStr">
        <is>
          <t>DILA-22</t>
        </is>
      </c>
      <c r="F11440" t="inlineStr">
        <is>
          <t>#KALK!</t>
        </is>
      </c>
      <c r="G11440" t="inlineStr">
        <is>
          <t>HILFSSCHUETZ</t>
        </is>
      </c>
      <c r="H11440" t="inlineStr">
        <is>
          <t>2S 2Oe Federzugkl.</t>
        </is>
      </c>
      <c r="I11440">
        <v>881</v>
      </c>
      <c r="J11440">
        <f>GS55/615.7</f>
        <v>0</v>
      </c>
      <c r="M11440" t="inlineStr">
        <is>
          <t>-615K1</t>
        </is>
      </c>
    </row>
    <row r="11441">
      <c r="A11441">
        <v>11440</v>
      </c>
      <c r="B11441">
        <f>GS92</f>
        <v>0</v>
      </c>
      <c r="C11441" t="inlineStr">
        <is>
          <t>+LS11</t>
        </is>
      </c>
      <c r="D11441" t="inlineStr">
        <is>
          <t>-615K482.0</t>
        </is>
      </c>
      <c r="E11441" t="inlineStr">
        <is>
          <t>DILA-40</t>
        </is>
      </c>
      <c r="F11441" t="inlineStr">
        <is>
          <t>#KALK!</t>
        </is>
      </c>
      <c r="G11441" t="inlineStr">
        <is>
          <t>HILFSSCHUETZ</t>
        </is>
      </c>
      <c r="H11441" t="inlineStr">
        <is>
          <t>4S Federzugkl.</t>
        </is>
      </c>
      <c r="I11441">
        <v>755</v>
      </c>
      <c r="J11441">
        <f>GS92/615.7</f>
        <v>0</v>
      </c>
      <c r="M11441" t="inlineStr">
        <is>
          <t>-615K482.0</t>
        </is>
      </c>
    </row>
    <row r="11442">
      <c r="A11442">
        <v>11441</v>
      </c>
      <c r="B11442">
        <f>GS91</f>
        <v>0</v>
      </c>
      <c r="C11442" t="inlineStr">
        <is>
          <t>+LS12</t>
        </is>
      </c>
      <c r="D11442" t="inlineStr">
        <is>
          <t>-615K724.0</t>
        </is>
      </c>
      <c r="E11442" t="inlineStr">
        <is>
          <t>DILA-40</t>
        </is>
      </c>
      <c r="F11442" t="inlineStr">
        <is>
          <t>#KALK!</t>
        </is>
      </c>
      <c r="G11442" t="inlineStr">
        <is>
          <t>HILFSSCHUETZ</t>
        </is>
      </c>
      <c r="H11442" t="inlineStr">
        <is>
          <t>4S Federzugkl.</t>
        </is>
      </c>
      <c r="I11442">
        <v>763</v>
      </c>
      <c r="J11442">
        <f>GS91/615.7</f>
        <v>0</v>
      </c>
      <c r="M11442" t="inlineStr">
        <is>
          <t>-615K724.0</t>
        </is>
      </c>
    </row>
    <row r="11443">
      <c r="A11443">
        <v>11442</v>
      </c>
      <c r="B11443">
        <f>GS93</f>
        <v>0</v>
      </c>
      <c r="C11443" t="inlineStr">
        <is>
          <t>+LS11</t>
        </is>
      </c>
      <c r="D11443" t="inlineStr">
        <is>
          <t>-615K763.3</t>
        </is>
      </c>
      <c r="E11443" t="inlineStr">
        <is>
          <t>DILA-22</t>
        </is>
      </c>
      <c r="F11443" t="inlineStr">
        <is>
          <t>#KALK!</t>
        </is>
      </c>
      <c r="G11443" t="inlineStr">
        <is>
          <t>HILFSSCHUETZ</t>
        </is>
      </c>
      <c r="H11443" t="inlineStr">
        <is>
          <t>2S 2Oe Federzugkl.</t>
        </is>
      </c>
      <c r="I11443">
        <v>1164</v>
      </c>
      <c r="J11443">
        <f>GS93/615.6</f>
        <v>0</v>
      </c>
      <c r="M11443" t="inlineStr">
        <is>
          <t>-615K763.3</t>
        </is>
      </c>
    </row>
    <row r="11444">
      <c r="A11444">
        <v>11443</v>
      </c>
      <c r="B11444">
        <f>GS90</f>
        <v>0</v>
      </c>
      <c r="C11444" t="inlineStr">
        <is>
          <t>+LS13</t>
        </is>
      </c>
      <c r="D11444" t="inlineStr">
        <is>
          <t>-615K824.0</t>
        </is>
      </c>
      <c r="E11444" t="inlineStr">
        <is>
          <t>DILA-40</t>
        </is>
      </c>
      <c r="F11444" t="inlineStr">
        <is>
          <t>#KALK!</t>
        </is>
      </c>
      <c r="G11444" t="inlineStr">
        <is>
          <t>HILFSSCHUETZ</t>
        </is>
      </c>
      <c r="H11444" t="inlineStr">
        <is>
          <t>4S Federzugkl.</t>
        </is>
      </c>
      <c r="I11444">
        <v>633</v>
      </c>
      <c r="J11444">
        <f>GS90/615.7</f>
        <v>0</v>
      </c>
      <c r="M11444" t="inlineStr">
        <is>
          <t>-615K824.0</t>
        </is>
      </c>
    </row>
    <row r="11445">
      <c r="A11445">
        <v>11444</v>
      </c>
      <c r="B11445">
        <f>GS55</f>
        <v>0</v>
      </c>
      <c r="C11445" t="inlineStr">
        <is>
          <t>+LS09</t>
        </is>
      </c>
      <c r="D11445" t="inlineStr">
        <is>
          <t>-615Q1</t>
        </is>
      </c>
      <c r="E11445" t="inlineStr">
        <is>
          <t>DILM150-XHIC22</t>
        </is>
      </c>
      <c r="F11445" t="inlineStr">
        <is>
          <t>DILM150-XHIC22</t>
        </is>
      </c>
      <c r="G11445" t="inlineStr">
        <is>
          <t>HILFSKONTAKTBLOCK</t>
        </is>
      </c>
      <c r="H11445" t="inlineStr">
        <is>
          <t>2S 2OE ab DILMC40</t>
        </is>
      </c>
      <c r="I11445">
        <v>881</v>
      </c>
      <c r="J11445">
        <f>GS55/615.6</f>
        <v>0</v>
      </c>
      <c r="K11445" t="inlineStr">
        <is>
          <t>DIL MC40</t>
        </is>
      </c>
      <c r="M11445" t="inlineStr">
        <is>
          <t>-615Q1</t>
        </is>
      </c>
    </row>
    <row r="11446">
      <c r="A11446">
        <v>11445</v>
      </c>
      <c r="B11446">
        <f>GS55</f>
        <v>0</v>
      </c>
      <c r="C11446" t="inlineStr">
        <is>
          <t>+LS09</t>
        </is>
      </c>
      <c r="D11446" t="inlineStr">
        <is>
          <t>-615Q1</t>
        </is>
      </c>
      <c r="E11446" t="inlineStr">
        <is>
          <t>DILMC40(RDC24)</t>
        </is>
      </c>
      <c r="F11446" t="inlineStr">
        <is>
          <t>DILM150-XHIC22</t>
        </is>
      </c>
      <c r="G11446" t="inlineStr">
        <is>
          <t>LASTSCHUETZ</t>
        </is>
      </c>
      <c r="H11446" t="inlineStr">
        <is>
          <t>18,5kW Federzugkl.</t>
        </is>
      </c>
      <c r="I11446">
        <v>881</v>
      </c>
      <c r="J11446">
        <f>GS55/615.6</f>
        <v>0</v>
      </c>
      <c r="K11446" t="inlineStr">
        <is>
          <t>DIL MC40</t>
        </is>
      </c>
      <c r="M11446" t="inlineStr">
        <is>
          <t>-615Q1</t>
        </is>
      </c>
    </row>
    <row r="11447">
      <c r="A11447">
        <v>11446</v>
      </c>
      <c r="B11447">
        <f>GS90</f>
        <v>0</v>
      </c>
      <c r="C11447" t="inlineStr">
        <is>
          <t>+LS13</t>
        </is>
      </c>
      <c r="D11447" t="inlineStr">
        <is>
          <t>-615Q1</t>
        </is>
      </c>
      <c r="E11447" t="inlineStr">
        <is>
          <t>DILMC25-10(RDC24)</t>
        </is>
      </c>
      <c r="F11447" t="inlineStr">
        <is>
          <t>DILA-XHI22</t>
        </is>
      </c>
      <c r="G11447" t="inlineStr">
        <is>
          <t>LASTSCHUETZ</t>
        </is>
      </c>
      <c r="H11447" t="inlineStr">
        <is>
          <t>11kW 1S Federzugkl.</t>
        </is>
      </c>
      <c r="I11447">
        <v>633</v>
      </c>
      <c r="J11447">
        <f>GS90/615.4</f>
        <v>0</v>
      </c>
      <c r="K11447" t="inlineStr">
        <is>
          <t>DIL MC25</t>
        </is>
      </c>
      <c r="M11447" t="inlineStr">
        <is>
          <t>-615Q1</t>
        </is>
      </c>
    </row>
    <row r="11448">
      <c r="A11448">
        <v>11447</v>
      </c>
      <c r="B11448">
        <f>GS90</f>
        <v>0</v>
      </c>
      <c r="C11448" t="inlineStr">
        <is>
          <t>+LS13</t>
        </is>
      </c>
      <c r="D11448" t="inlineStr">
        <is>
          <t>-615Q1</t>
        </is>
      </c>
      <c r="E11448" t="inlineStr">
        <is>
          <t>DILA-XHI22</t>
        </is>
      </c>
      <c r="F11448" t="inlineStr">
        <is>
          <t>DILA-XHI22</t>
        </is>
      </c>
      <c r="G11448" t="inlineStr">
        <is>
          <t>HILFSKONTAKTBLOCK</t>
        </is>
      </c>
      <c r="H11448" t="inlineStr">
        <is>
          <t>2S 2OE Last+Hilfssch. Cage</t>
        </is>
      </c>
      <c r="I11448">
        <v>633</v>
      </c>
      <c r="J11448">
        <f>GS90/615.4</f>
        <v>0</v>
      </c>
      <c r="K11448" t="inlineStr">
        <is>
          <t>DIL MC25</t>
        </is>
      </c>
      <c r="M11448" t="inlineStr">
        <is>
          <t>-615Q1</t>
        </is>
      </c>
    </row>
    <row r="11449">
      <c r="A11449">
        <v>11448</v>
      </c>
      <c r="B11449">
        <f>GS91</f>
        <v>0</v>
      </c>
      <c r="C11449" t="inlineStr">
        <is>
          <t>+LS12</t>
        </is>
      </c>
      <c r="D11449" t="inlineStr">
        <is>
          <t>-615Q1</t>
        </is>
      </c>
      <c r="E11449" t="inlineStr">
        <is>
          <t>DILA-XHI22</t>
        </is>
      </c>
      <c r="F11449" t="inlineStr">
        <is>
          <t>DILA-XHI22</t>
        </is>
      </c>
      <c r="G11449" t="inlineStr">
        <is>
          <t>HILFSKONTAKTBLOCK</t>
        </is>
      </c>
      <c r="H11449" t="inlineStr">
        <is>
          <t>2S 2OE Last+Hilfssch. Cage</t>
        </is>
      </c>
      <c r="I11449">
        <v>763</v>
      </c>
      <c r="J11449">
        <f>GS91/615.4</f>
        <v>0</v>
      </c>
      <c r="K11449" t="inlineStr">
        <is>
          <t>DIL MC25</t>
        </is>
      </c>
      <c r="M11449" t="inlineStr">
        <is>
          <t>-615Q1</t>
        </is>
      </c>
    </row>
    <row r="11450">
      <c r="A11450">
        <v>11449</v>
      </c>
      <c r="B11450">
        <f>GS91</f>
        <v>0</v>
      </c>
      <c r="C11450" t="inlineStr">
        <is>
          <t>+LS12</t>
        </is>
      </c>
      <c r="D11450" t="inlineStr">
        <is>
          <t>-615Q1</t>
        </is>
      </c>
      <c r="E11450" t="inlineStr">
        <is>
          <t>DILMC25-10(RDC24)</t>
        </is>
      </c>
      <c r="F11450" t="inlineStr">
        <is>
          <t>DILA-XHI22</t>
        </is>
      </c>
      <c r="G11450" t="inlineStr">
        <is>
          <t>LASTSCHUETZ</t>
        </is>
      </c>
      <c r="H11450" t="inlineStr">
        <is>
          <t>11kW 1S Federzugkl.</t>
        </is>
      </c>
      <c r="I11450">
        <v>763</v>
      </c>
      <c r="J11450">
        <f>GS91/615.4</f>
        <v>0</v>
      </c>
      <c r="K11450" t="inlineStr">
        <is>
          <t>DIL MC25</t>
        </is>
      </c>
      <c r="M11450" t="inlineStr">
        <is>
          <t>-615Q1</t>
        </is>
      </c>
    </row>
    <row r="11451">
      <c r="A11451">
        <v>11450</v>
      </c>
      <c r="B11451">
        <f>GS92</f>
        <v>0</v>
      </c>
      <c r="C11451" t="inlineStr">
        <is>
          <t>+LS11</t>
        </is>
      </c>
      <c r="D11451" t="inlineStr">
        <is>
          <t>-615Q1</t>
        </is>
      </c>
      <c r="E11451" t="inlineStr">
        <is>
          <t>DILMC25-10(RDC24)</t>
        </is>
      </c>
      <c r="F11451" t="inlineStr">
        <is>
          <t>DILA-XHI22</t>
        </is>
      </c>
      <c r="G11451" t="inlineStr">
        <is>
          <t>LASTSCHUETZ</t>
        </is>
      </c>
      <c r="H11451" t="inlineStr">
        <is>
          <t>11kW 1S Federzugkl.</t>
        </is>
      </c>
      <c r="I11451">
        <v>755</v>
      </c>
      <c r="J11451">
        <f>GS92/615.4</f>
        <v>0</v>
      </c>
      <c r="K11451" t="inlineStr">
        <is>
          <t>DIL MC25</t>
        </is>
      </c>
      <c r="M11451" t="inlineStr">
        <is>
          <t>-615Q1</t>
        </is>
      </c>
    </row>
    <row r="11452">
      <c r="A11452">
        <v>11451</v>
      </c>
      <c r="B11452">
        <f>GS92</f>
        <v>0</v>
      </c>
      <c r="C11452" t="inlineStr">
        <is>
          <t>+LS11</t>
        </is>
      </c>
      <c r="D11452" t="inlineStr">
        <is>
          <t>-615Q1</t>
        </is>
      </c>
      <c r="E11452" t="inlineStr">
        <is>
          <t>DILA-XHI22</t>
        </is>
      </c>
      <c r="F11452" t="inlineStr">
        <is>
          <t>DILA-XHI22</t>
        </is>
      </c>
      <c r="G11452" t="inlineStr">
        <is>
          <t>HILFSKONTAKTBLOCK</t>
        </is>
      </c>
      <c r="H11452" t="inlineStr">
        <is>
          <t>2S 2OE Last+Hilfssch. Cage</t>
        </is>
      </c>
      <c r="I11452">
        <v>755</v>
      </c>
      <c r="J11452">
        <f>GS92/615.4</f>
        <v>0</v>
      </c>
      <c r="K11452" t="inlineStr">
        <is>
          <t>DIL MC25</t>
        </is>
      </c>
      <c r="M11452" t="inlineStr">
        <is>
          <t>-615Q1</t>
        </is>
      </c>
    </row>
    <row r="11453">
      <c r="A11453">
        <v>11452</v>
      </c>
      <c r="B11453">
        <f>GS93</f>
        <v>0</v>
      </c>
      <c r="C11453" t="inlineStr">
        <is>
          <t>+LS11</t>
        </is>
      </c>
      <c r="D11453" t="inlineStr">
        <is>
          <t>-615Q1</t>
        </is>
      </c>
      <c r="E11453" t="inlineStr">
        <is>
          <t>DILMC25-10(RDC24)</t>
        </is>
      </c>
      <c r="F11453" t="inlineStr">
        <is>
          <t>DILA-XHIC31</t>
        </is>
      </c>
      <c r="G11453" t="inlineStr">
        <is>
          <t>LASTSCHUETZ</t>
        </is>
      </c>
      <c r="H11453" t="inlineStr">
        <is>
          <t>11kW 1S Federzugkl.</t>
        </is>
      </c>
      <c r="I11453">
        <v>1164</v>
      </c>
      <c r="J11453">
        <f>GS93/615.2</f>
        <v>0</v>
      </c>
      <c r="M11453" t="inlineStr">
        <is>
          <t>-615Q1</t>
        </is>
      </c>
    </row>
    <row r="11454">
      <c r="A11454">
        <v>11453</v>
      </c>
      <c r="B11454">
        <f>GS93</f>
        <v>0</v>
      </c>
      <c r="C11454" t="inlineStr">
        <is>
          <t>+LS11</t>
        </is>
      </c>
      <c r="D11454" t="inlineStr">
        <is>
          <t>-615Q1</t>
        </is>
      </c>
      <c r="E11454" t="inlineStr">
        <is>
          <t>DILA-XHIC31</t>
        </is>
      </c>
      <c r="F11454" t="inlineStr">
        <is>
          <t>DILA-XHIC31</t>
        </is>
      </c>
      <c r="G11454" t="inlineStr">
        <is>
          <t>HILFSKONTAKTBLOCK</t>
        </is>
      </c>
      <c r="H11454" t="inlineStr">
        <is>
          <t>3S 1OE Last+Hilfssch. Cage</t>
        </is>
      </c>
      <c r="I11454">
        <v>1164</v>
      </c>
      <c r="J11454">
        <f>GS93/615.2</f>
        <v>0</v>
      </c>
      <c r="M11454" t="inlineStr">
        <is>
          <t>-615Q1</t>
        </is>
      </c>
    </row>
    <row r="11455">
      <c r="A11455">
        <v>11454</v>
      </c>
      <c r="B11455">
        <f>GS25</f>
        <v>0</v>
      </c>
      <c r="C11455" t="inlineStr">
        <is>
          <t>+LS14</t>
        </is>
      </c>
      <c r="D11455" t="inlineStr">
        <is>
          <t>-616K3524.1</t>
        </is>
      </c>
      <c r="E11455" t="inlineStr">
        <is>
          <t>DIL_EM-10-G</t>
        </is>
      </c>
      <c r="F11455" t="inlineStr">
        <is>
          <t>#KALK!</t>
        </is>
      </c>
      <c r="G11455" t="inlineStr">
        <is>
          <t>LASTSCHUETZ</t>
        </is>
      </c>
      <c r="H11455" t="inlineStr">
        <is>
          <t>4kW 1S</t>
        </is>
      </c>
      <c r="I11455">
        <v>742</v>
      </c>
      <c r="J11455">
        <f>GS25/616.5</f>
        <v>0</v>
      </c>
      <c r="M11455" t="inlineStr">
        <is>
          <t>-616K3524.1</t>
        </is>
      </c>
    </row>
    <row r="11456">
      <c r="A11456">
        <v>11455</v>
      </c>
      <c r="B11456">
        <f>GS25</f>
        <v>0</v>
      </c>
      <c r="C11456" t="inlineStr">
        <is>
          <t>+LS14</t>
        </is>
      </c>
      <c r="D11456" t="inlineStr">
        <is>
          <t>-616K3524.2</t>
        </is>
      </c>
      <c r="E11456" t="inlineStr">
        <is>
          <t>DIL_EM-10-G</t>
        </is>
      </c>
      <c r="F11456" t="inlineStr">
        <is>
          <t>#KALK!</t>
        </is>
      </c>
      <c r="G11456" t="inlineStr">
        <is>
          <t>LASTSCHUETZ</t>
        </is>
      </c>
      <c r="H11456" t="inlineStr">
        <is>
          <t>4kW 1S</t>
        </is>
      </c>
      <c r="I11456">
        <v>742</v>
      </c>
      <c r="J11456">
        <f>GS25/616.6</f>
        <v>0</v>
      </c>
      <c r="M11456" t="inlineStr">
        <is>
          <t>-616K3524.2</t>
        </is>
      </c>
    </row>
    <row r="11457">
      <c r="A11457">
        <v>11456</v>
      </c>
      <c r="B11457">
        <f>GS25</f>
        <v>0</v>
      </c>
      <c r="C11457" t="inlineStr">
        <is>
          <t>+LS14</t>
        </is>
      </c>
      <c r="D11457" t="inlineStr">
        <is>
          <t>-616K3524.3</t>
        </is>
      </c>
      <c r="E11457" t="inlineStr">
        <is>
          <t>DIL_EM-01-G</t>
        </is>
      </c>
      <c r="F11457" t="inlineStr">
        <is>
          <t>#KALK!</t>
        </is>
      </c>
      <c r="G11457" t="inlineStr">
        <is>
          <t>LASTSCHUETZ</t>
        </is>
      </c>
      <c r="H11457" t="inlineStr">
        <is>
          <t>4kW 1OE</t>
        </is>
      </c>
      <c r="I11457">
        <v>742</v>
      </c>
      <c r="J11457">
        <f>GS25/616.7</f>
        <v>0</v>
      </c>
      <c r="M11457" t="inlineStr">
        <is>
          <t>-616K3524.3</t>
        </is>
      </c>
    </row>
    <row r="11458">
      <c r="A11458">
        <v>11457</v>
      </c>
      <c r="B11458">
        <f>GS25</f>
        <v>0</v>
      </c>
      <c r="C11458" t="inlineStr">
        <is>
          <t>+LS14</t>
        </is>
      </c>
      <c r="D11458" t="inlineStr">
        <is>
          <t>-616K3524.4</t>
        </is>
      </c>
      <c r="E11458" t="inlineStr">
        <is>
          <t>DIL_EM-01-G</t>
        </is>
      </c>
      <c r="F11458" t="inlineStr">
        <is>
          <t>#KALK!</t>
        </is>
      </c>
      <c r="G11458" t="inlineStr">
        <is>
          <t>LASTSCHUETZ</t>
        </is>
      </c>
      <c r="H11458" t="inlineStr">
        <is>
          <t>4kW 1OE</t>
        </is>
      </c>
      <c r="I11458">
        <v>742</v>
      </c>
      <c r="J11458">
        <f>GS25/616.8</f>
        <v>0</v>
      </c>
      <c r="M11458" t="inlineStr">
        <is>
          <t>-616K3524.4</t>
        </is>
      </c>
    </row>
    <row r="11459">
      <c r="A11459">
        <v>11458</v>
      </c>
      <c r="B11459">
        <f>GS55</f>
        <v>0</v>
      </c>
      <c r="C11459" t="inlineStr">
        <is>
          <t>+LS09</t>
        </is>
      </c>
      <c r="D11459" t="inlineStr">
        <is>
          <t>-616Q1617.1</t>
        </is>
      </c>
      <c r="E11459" t="inlineStr">
        <is>
          <t>DILM-9-10</t>
        </is>
      </c>
      <c r="F11459" t="inlineStr">
        <is>
          <t>DILA-XHI22</t>
        </is>
      </c>
      <c r="G11459" t="inlineStr">
        <is>
          <t>LASTSCHUETZ</t>
        </is>
      </c>
      <c r="H11459" t="inlineStr">
        <is>
          <t>4kW 1S Federzugkl.</t>
        </is>
      </c>
      <c r="I11459">
        <v>884</v>
      </c>
      <c r="J11459">
        <f>GS55/616.6</f>
        <v>0</v>
      </c>
      <c r="K11459" t="inlineStr">
        <is>
          <t>DIL MC9</t>
        </is>
      </c>
      <c r="M11459" t="inlineStr">
        <is>
          <t>-616Q1617.1</t>
        </is>
      </c>
    </row>
    <row r="11460">
      <c r="A11460">
        <v>11459</v>
      </c>
      <c r="B11460">
        <f>GS55</f>
        <v>0</v>
      </c>
      <c r="C11460" t="inlineStr">
        <is>
          <t>+LS09</t>
        </is>
      </c>
      <c r="D11460" t="inlineStr">
        <is>
          <t>-616Q1617.1</t>
        </is>
      </c>
      <c r="E11460" t="inlineStr">
        <is>
          <t>DILA-XHI22</t>
        </is>
      </c>
      <c r="F11460" t="inlineStr">
        <is>
          <t>DILA-XHI22</t>
        </is>
      </c>
      <c r="G11460" t="inlineStr">
        <is>
          <t>HILFSKONTAKTBLOCK</t>
        </is>
      </c>
      <c r="H11460" t="inlineStr">
        <is>
          <t>2S 2OE Last+Hilfssch. Cage</t>
        </is>
      </c>
      <c r="I11460">
        <v>884</v>
      </c>
      <c r="J11460">
        <f>GS55/616.6</f>
        <v>0</v>
      </c>
      <c r="K11460" t="inlineStr">
        <is>
          <t>DIL MC9</t>
        </is>
      </c>
      <c r="M11460" t="inlineStr">
        <is>
          <t>-616Q1617.1</t>
        </is>
      </c>
    </row>
    <row r="11461">
      <c r="A11461">
        <v>11460</v>
      </c>
      <c r="B11461">
        <f>GS55</f>
        <v>0</v>
      </c>
      <c r="C11461" t="inlineStr">
        <is>
          <t>+LS09</t>
        </is>
      </c>
      <c r="D11461" t="inlineStr">
        <is>
          <t>-616Q1617.2</t>
        </is>
      </c>
      <c r="E11461" t="inlineStr">
        <is>
          <t>DILM-9-10</t>
        </is>
      </c>
      <c r="F11461" t="inlineStr">
        <is>
          <t>DILA-XHI22</t>
        </is>
      </c>
      <c r="G11461" t="inlineStr">
        <is>
          <t>LASTSCHUETZ</t>
        </is>
      </c>
      <c r="H11461" t="inlineStr">
        <is>
          <t>4kW 1S Federzugkl.</t>
        </is>
      </c>
      <c r="I11461">
        <v>884</v>
      </c>
      <c r="J11461">
        <f>GS55/616.7</f>
        <v>0</v>
      </c>
      <c r="K11461" t="inlineStr">
        <is>
          <t>DIL MC9</t>
        </is>
      </c>
      <c r="M11461" t="inlineStr">
        <is>
          <t>-616Q1617.2</t>
        </is>
      </c>
    </row>
    <row r="11462">
      <c r="A11462">
        <v>11461</v>
      </c>
      <c r="B11462">
        <f>GS55</f>
        <v>0</v>
      </c>
      <c r="C11462" t="inlineStr">
        <is>
          <t>+LS09</t>
        </is>
      </c>
      <c r="D11462" t="inlineStr">
        <is>
          <t>-616Q1617.2</t>
        </is>
      </c>
      <c r="E11462" t="inlineStr">
        <is>
          <t>DILA-XHI22</t>
        </is>
      </c>
      <c r="F11462" t="inlineStr">
        <is>
          <t>DILA-XHI22</t>
        </is>
      </c>
      <c r="G11462" t="inlineStr">
        <is>
          <t>HILFSKONTAKTBLOCK</t>
        </is>
      </c>
      <c r="H11462" t="inlineStr">
        <is>
          <t>2S 2OE Last+Hilfssch. Cage</t>
        </is>
      </c>
      <c r="I11462">
        <v>884</v>
      </c>
      <c r="J11462">
        <f>GS55/616.7</f>
        <v>0</v>
      </c>
      <c r="K11462" t="inlineStr">
        <is>
          <t>DIL MC9</t>
        </is>
      </c>
      <c r="M11462" t="inlineStr">
        <is>
          <t>-616Q1617.2</t>
        </is>
      </c>
    </row>
    <row r="11463">
      <c r="A11463">
        <v>11462</v>
      </c>
      <c r="B11463">
        <f>GS92</f>
        <v>0</v>
      </c>
      <c r="C11463" t="inlineStr">
        <is>
          <t>+LS11</t>
        </is>
      </c>
      <c r="D11463" t="inlineStr">
        <is>
          <t>-616Q482.1</t>
        </is>
      </c>
      <c r="E11463" t="inlineStr">
        <is>
          <t>DILA-XHI22</t>
        </is>
      </c>
      <c r="F11463" t="inlineStr">
        <is>
          <t>DILA-XHI22</t>
        </is>
      </c>
      <c r="G11463" t="inlineStr">
        <is>
          <t>HILFSKONTAKTBLOCK</t>
        </is>
      </c>
      <c r="H11463" t="inlineStr">
        <is>
          <t>2S 2OE Last+Hilfssch. Cage</t>
        </is>
      </c>
      <c r="I11463">
        <v>756</v>
      </c>
      <c r="J11463">
        <f>GS92/616.5</f>
        <v>0</v>
      </c>
      <c r="M11463" t="inlineStr">
        <is>
          <t>-616Q482.1</t>
        </is>
      </c>
    </row>
    <row r="11464">
      <c r="A11464">
        <v>11463</v>
      </c>
      <c r="B11464">
        <f>GS92</f>
        <v>0</v>
      </c>
      <c r="C11464" t="inlineStr">
        <is>
          <t>+LS11</t>
        </is>
      </c>
      <c r="D11464" t="inlineStr">
        <is>
          <t>-616Q482.1</t>
        </is>
      </c>
      <c r="E11464" t="inlineStr">
        <is>
          <t>DILM-9-10</t>
        </is>
      </c>
      <c r="F11464" t="inlineStr">
        <is>
          <t>DILA-XHI22</t>
        </is>
      </c>
      <c r="G11464" t="inlineStr">
        <is>
          <t>LASTSCHUETZ</t>
        </is>
      </c>
      <c r="H11464" t="inlineStr">
        <is>
          <t>4kW 1S Federzugkl.</t>
        </is>
      </c>
      <c r="I11464">
        <v>756</v>
      </c>
      <c r="J11464">
        <f>GS92/616.5</f>
        <v>0</v>
      </c>
      <c r="M11464" t="inlineStr">
        <is>
          <t>-616Q482.1</t>
        </is>
      </c>
    </row>
    <row r="11465">
      <c r="A11465">
        <v>11464</v>
      </c>
      <c r="B11465">
        <f>GS92</f>
        <v>0</v>
      </c>
      <c r="C11465" t="inlineStr">
        <is>
          <t>+LS11</t>
        </is>
      </c>
      <c r="D11465" t="inlineStr">
        <is>
          <t>-616Q482.2</t>
        </is>
      </c>
      <c r="E11465" t="inlineStr">
        <is>
          <t>DILA-XHI22</t>
        </is>
      </c>
      <c r="F11465" t="inlineStr">
        <is>
          <t>DILA-XHI22</t>
        </is>
      </c>
      <c r="G11465" t="inlineStr">
        <is>
          <t>HILFSKONTAKTBLOCK</t>
        </is>
      </c>
      <c r="H11465" t="inlineStr">
        <is>
          <t>2S 2OE Last+Hilfssch. Cage</t>
        </is>
      </c>
      <c r="I11465">
        <v>756</v>
      </c>
      <c r="J11465">
        <f>GS92/616.6</f>
        <v>0</v>
      </c>
      <c r="M11465" t="inlineStr">
        <is>
          <t>-616Q482.2</t>
        </is>
      </c>
    </row>
    <row r="11466">
      <c r="A11466">
        <v>11465</v>
      </c>
      <c r="B11466">
        <f>GS92</f>
        <v>0</v>
      </c>
      <c r="C11466" t="inlineStr">
        <is>
          <t>+LS11</t>
        </is>
      </c>
      <c r="D11466" t="inlineStr">
        <is>
          <t>-616Q482.2</t>
        </is>
      </c>
      <c r="E11466" t="inlineStr">
        <is>
          <t>DILM-9-10</t>
        </is>
      </c>
      <c r="F11466" t="inlineStr">
        <is>
          <t>DILA-XHI22</t>
        </is>
      </c>
      <c r="G11466" t="inlineStr">
        <is>
          <t>LASTSCHUETZ</t>
        </is>
      </c>
      <c r="H11466" t="inlineStr">
        <is>
          <t>4kW 1S Federzugkl.</t>
        </is>
      </c>
      <c r="I11466">
        <v>756</v>
      </c>
      <c r="J11466">
        <f>GS92/616.6</f>
        <v>0</v>
      </c>
      <c r="M11466" t="inlineStr">
        <is>
          <t>-616Q482.2</t>
        </is>
      </c>
    </row>
    <row r="11467">
      <c r="A11467">
        <v>11466</v>
      </c>
      <c r="B11467">
        <f>GS25</f>
        <v>0</v>
      </c>
      <c r="C11467" t="inlineStr">
        <is>
          <t>+LS14</t>
        </is>
      </c>
      <c r="D11467" t="inlineStr">
        <is>
          <t>-6173524.5</t>
        </is>
      </c>
      <c r="E11467" t="inlineStr">
        <is>
          <t>DIL_EM-10-G</t>
        </is>
      </c>
      <c r="F11467" t="inlineStr">
        <is>
          <t>#KALK!</t>
        </is>
      </c>
      <c r="G11467" t="inlineStr">
        <is>
          <t>LASTSCHUETZ</t>
        </is>
      </c>
      <c r="H11467" t="inlineStr">
        <is>
          <t>4kW 1S</t>
        </is>
      </c>
      <c r="I11467">
        <v>743</v>
      </c>
      <c r="J11467">
        <f>GS25/617.6</f>
        <v>0</v>
      </c>
      <c r="M11467" t="inlineStr">
        <is>
          <t>-6173524.5</t>
        </is>
      </c>
    </row>
    <row r="11468">
      <c r="A11468">
        <v>11467</v>
      </c>
      <c r="B11468">
        <f>GS25</f>
        <v>0</v>
      </c>
      <c r="C11468" t="inlineStr">
        <is>
          <t>+LS14</t>
        </is>
      </c>
      <c r="D11468" t="inlineStr">
        <is>
          <t>-6173524.6</t>
        </is>
      </c>
      <c r="E11468" t="inlineStr">
        <is>
          <t>DIL_EM-10-G</t>
        </is>
      </c>
      <c r="F11468" t="inlineStr">
        <is>
          <t>#KALK!</t>
        </is>
      </c>
      <c r="G11468" t="inlineStr">
        <is>
          <t>LASTSCHUETZ</t>
        </is>
      </c>
      <c r="H11468" t="inlineStr">
        <is>
          <t>4kW 1S</t>
        </is>
      </c>
      <c r="I11468">
        <v>743</v>
      </c>
      <c r="J11468">
        <f>GS25/617.6</f>
        <v>0</v>
      </c>
      <c r="M11468" t="inlineStr">
        <is>
          <t>-6173524.6</t>
        </is>
      </c>
    </row>
    <row r="11469">
      <c r="A11469">
        <v>11468</v>
      </c>
      <c r="B11469">
        <f>GS13</f>
        <v>0</v>
      </c>
      <c r="C11469" t="inlineStr">
        <is>
          <t>+LS15</t>
        </is>
      </c>
      <c r="D11469" t="inlineStr">
        <is>
          <t>-61740.0</t>
        </is>
      </c>
      <c r="E11469" t="inlineStr">
        <is>
          <t>DIL_EM-10-G</t>
        </is>
      </c>
      <c r="F11469" t="inlineStr">
        <is>
          <t>#KALK!</t>
        </is>
      </c>
      <c r="G11469" t="inlineStr">
        <is>
          <t>LASTSCHUETZ</t>
        </is>
      </c>
      <c r="H11469" t="inlineStr">
        <is>
          <t>4kW 1S</t>
        </is>
      </c>
      <c r="I11469">
        <v>876</v>
      </c>
      <c r="J11469">
        <f>GS13/617.6</f>
        <v>0</v>
      </c>
      <c r="M11469" t="inlineStr">
        <is>
          <t>-61740.0</t>
        </is>
      </c>
    </row>
    <row r="11470">
      <c r="A11470">
        <v>11469</v>
      </c>
      <c r="B11470">
        <f>GS13</f>
        <v>0</v>
      </c>
      <c r="C11470" t="inlineStr">
        <is>
          <t>+LS15</t>
        </is>
      </c>
      <c r="D11470" t="inlineStr">
        <is>
          <t>-61740.1</t>
        </is>
      </c>
      <c r="E11470" t="inlineStr">
        <is>
          <t>DIL_EM-10-G</t>
        </is>
      </c>
      <c r="F11470" t="inlineStr">
        <is>
          <t>#KALK!</t>
        </is>
      </c>
      <c r="G11470" t="inlineStr">
        <is>
          <t>LASTSCHUETZ</t>
        </is>
      </c>
      <c r="H11470" t="inlineStr">
        <is>
          <t>4kW 1S</t>
        </is>
      </c>
      <c r="I11470">
        <v>876</v>
      </c>
      <c r="J11470">
        <f>GS13/617.6</f>
        <v>0</v>
      </c>
      <c r="M11470" t="inlineStr">
        <is>
          <t>-61740.1</t>
        </is>
      </c>
    </row>
    <row r="11471">
      <c r="A11471">
        <v>11470</v>
      </c>
      <c r="B11471">
        <f>GS24</f>
        <v>0</v>
      </c>
      <c r="C11471" t="inlineStr">
        <is>
          <t>+LS13</t>
        </is>
      </c>
      <c r="D11471" t="inlineStr">
        <is>
          <t>-617K3526.0</t>
        </is>
      </c>
      <c r="E11471" t="inlineStr">
        <is>
          <t>DIL_EM-10-G</t>
        </is>
      </c>
      <c r="F11471" t="inlineStr">
        <is>
          <t>#KALK!</t>
        </is>
      </c>
      <c r="G11471" t="inlineStr">
        <is>
          <t>LASTSCHUETZ</t>
        </is>
      </c>
      <c r="H11471" t="inlineStr">
        <is>
          <t>4kW 1S</t>
        </is>
      </c>
      <c r="I11471">
        <v>479</v>
      </c>
      <c r="J11471">
        <f>GS24/617.6</f>
        <v>0</v>
      </c>
      <c r="M11471" t="inlineStr">
        <is>
          <t>-617K3526.0</t>
        </is>
      </c>
    </row>
    <row r="11472">
      <c r="A11472">
        <v>11471</v>
      </c>
      <c r="B11472">
        <f>GS24</f>
        <v>0</v>
      </c>
      <c r="C11472" t="inlineStr">
        <is>
          <t>+LS13</t>
        </is>
      </c>
      <c r="D11472" t="inlineStr">
        <is>
          <t>-617K3526.1</t>
        </is>
      </c>
      <c r="E11472" t="inlineStr">
        <is>
          <t>DIL_EM-10-G</t>
        </is>
      </c>
      <c r="F11472" t="inlineStr">
        <is>
          <t>#KALK!</t>
        </is>
      </c>
      <c r="G11472" t="inlineStr">
        <is>
          <t>LASTSCHUETZ</t>
        </is>
      </c>
      <c r="H11472" t="inlineStr">
        <is>
          <t>4kW 1S</t>
        </is>
      </c>
      <c r="I11472">
        <v>479</v>
      </c>
      <c r="J11472">
        <f>GS24/617.6</f>
        <v>0</v>
      </c>
      <c r="M11472" t="inlineStr">
        <is>
          <t>-617K3526.1</t>
        </is>
      </c>
    </row>
    <row r="11473">
      <c r="A11473">
        <v>11472</v>
      </c>
      <c r="B11473">
        <f>GS23</f>
        <v>0</v>
      </c>
      <c r="C11473" t="inlineStr">
        <is>
          <t>+LS15</t>
        </is>
      </c>
      <c r="D11473" t="inlineStr">
        <is>
          <t>-617K40.0</t>
        </is>
      </c>
      <c r="E11473" t="inlineStr">
        <is>
          <t>DIL_EM-10-G</t>
        </is>
      </c>
      <c r="F11473" t="inlineStr">
        <is>
          <t>#KALK!</t>
        </is>
      </c>
      <c r="G11473" t="inlineStr">
        <is>
          <t>LASTSCHUETZ</t>
        </is>
      </c>
      <c r="H11473" t="inlineStr">
        <is>
          <t>4kW 1S</t>
        </is>
      </c>
      <c r="I11473">
        <v>929</v>
      </c>
      <c r="J11473">
        <f>GS23/617.6</f>
        <v>0</v>
      </c>
      <c r="M11473" t="inlineStr">
        <is>
          <t>-617K40.0</t>
        </is>
      </c>
    </row>
    <row r="11474">
      <c r="A11474">
        <v>11473</v>
      </c>
      <c r="B11474">
        <f>GS23</f>
        <v>0</v>
      </c>
      <c r="C11474" t="inlineStr">
        <is>
          <t>+LS15</t>
        </is>
      </c>
      <c r="D11474" t="inlineStr">
        <is>
          <t>-617K40.1</t>
        </is>
      </c>
      <c r="E11474" t="inlineStr">
        <is>
          <t>DIL_EM-10-G</t>
        </is>
      </c>
      <c r="F11474" t="inlineStr">
        <is>
          <t>#KALK!</t>
        </is>
      </c>
      <c r="G11474" t="inlineStr">
        <is>
          <t>LASTSCHUETZ</t>
        </is>
      </c>
      <c r="H11474" t="inlineStr">
        <is>
          <t>4kW 1S</t>
        </is>
      </c>
      <c r="I11474">
        <v>929</v>
      </c>
      <c r="J11474">
        <f>GS23/617.6</f>
        <v>0</v>
      </c>
      <c r="M11474" t="inlineStr">
        <is>
          <t>-617K40.1</t>
        </is>
      </c>
    </row>
    <row r="11475">
      <c r="A11475">
        <v>11474</v>
      </c>
      <c r="B11475">
        <f>GS92</f>
        <v>0</v>
      </c>
      <c r="C11475" t="inlineStr">
        <is>
          <t>+LS11</t>
        </is>
      </c>
      <c r="D11475" t="inlineStr">
        <is>
          <t>-617Q482.3</t>
        </is>
      </c>
      <c r="E11475" t="inlineStr">
        <is>
          <t>DILM-9-10</t>
        </is>
      </c>
      <c r="F11475" t="inlineStr">
        <is>
          <t>#KALK!</t>
        </is>
      </c>
      <c r="G11475" t="inlineStr">
        <is>
          <t>LASTSCHUETZ</t>
        </is>
      </c>
      <c r="H11475" t="inlineStr">
        <is>
          <t>4kW 1S Federzugkl.</t>
        </is>
      </c>
      <c r="I11475">
        <v>757</v>
      </c>
      <c r="J11475">
        <f>GS92/617.5</f>
        <v>0</v>
      </c>
      <c r="M11475" t="inlineStr">
        <is>
          <t>-617Q482.3</t>
        </is>
      </c>
    </row>
    <row r="11476">
      <c r="A11476">
        <v>11475</v>
      </c>
      <c r="B11476">
        <f>GS13</f>
        <v>0</v>
      </c>
      <c r="C11476" t="inlineStr">
        <is>
          <t>+LS15</t>
        </is>
      </c>
      <c r="D11476" t="inlineStr">
        <is>
          <t>-61840.2</t>
        </is>
      </c>
      <c r="E11476" t="inlineStr">
        <is>
          <t>DIL_EM-10-G</t>
        </is>
      </c>
      <c r="F11476" t="inlineStr">
        <is>
          <t>#KALK!</t>
        </is>
      </c>
      <c r="G11476" t="inlineStr">
        <is>
          <t>LASTSCHUETZ</t>
        </is>
      </c>
      <c r="H11476" t="inlineStr">
        <is>
          <t>4kW 1S</t>
        </is>
      </c>
      <c r="I11476">
        <v>877</v>
      </c>
      <c r="J11476">
        <f>GS13/618.6</f>
        <v>0</v>
      </c>
      <c r="M11476" t="inlineStr">
        <is>
          <t>-61840.2</t>
        </is>
      </c>
    </row>
    <row r="11477">
      <c r="A11477">
        <v>11476</v>
      </c>
      <c r="B11477">
        <f>GS13</f>
        <v>0</v>
      </c>
      <c r="C11477" t="inlineStr">
        <is>
          <t>+LS15</t>
        </is>
      </c>
      <c r="D11477" t="inlineStr">
        <is>
          <t>-61840.3</t>
        </is>
      </c>
      <c r="E11477" t="inlineStr">
        <is>
          <t>DIL_EM-10-G</t>
        </is>
      </c>
      <c r="F11477" t="inlineStr">
        <is>
          <t>#KALK!</t>
        </is>
      </c>
      <c r="G11477" t="inlineStr">
        <is>
          <t>LASTSCHUETZ</t>
        </is>
      </c>
      <c r="H11477" t="inlineStr">
        <is>
          <t>4kW 1S</t>
        </is>
      </c>
      <c r="I11477">
        <v>877</v>
      </c>
      <c r="J11477">
        <f>GS13/618.6</f>
        <v>0</v>
      </c>
      <c r="M11477" t="inlineStr">
        <is>
          <t>-61840.3</t>
        </is>
      </c>
    </row>
    <row r="11478">
      <c r="A11478">
        <v>11477</v>
      </c>
      <c r="B11478">
        <f>GS23</f>
        <v>0</v>
      </c>
      <c r="C11478" t="inlineStr">
        <is>
          <t>+LS15</t>
        </is>
      </c>
      <c r="D11478" t="inlineStr">
        <is>
          <t>-618K40.2</t>
        </is>
      </c>
      <c r="E11478" t="inlineStr">
        <is>
          <t>DIL_EM-10-G</t>
        </is>
      </c>
      <c r="F11478" t="inlineStr">
        <is>
          <t>#KALK!</t>
        </is>
      </c>
      <c r="G11478" t="inlineStr">
        <is>
          <t>LASTSCHUETZ</t>
        </is>
      </c>
      <c r="H11478" t="inlineStr">
        <is>
          <t>4kW 1S</t>
        </is>
      </c>
      <c r="I11478">
        <v>930</v>
      </c>
      <c r="J11478">
        <f>GS23/618.6</f>
        <v>0</v>
      </c>
      <c r="M11478" t="inlineStr">
        <is>
          <t>-618K40.2</t>
        </is>
      </c>
    </row>
    <row r="11479">
      <c r="A11479">
        <v>11478</v>
      </c>
      <c r="B11479">
        <f>GS23</f>
        <v>0</v>
      </c>
      <c r="C11479" t="inlineStr">
        <is>
          <t>+LS15</t>
        </is>
      </c>
      <c r="D11479" t="inlineStr">
        <is>
          <t>-618K40.3</t>
        </is>
      </c>
      <c r="E11479" t="inlineStr">
        <is>
          <t>DIL_EM-10-G</t>
        </is>
      </c>
      <c r="F11479" t="inlineStr">
        <is>
          <t>#KALK!</t>
        </is>
      </c>
      <c r="G11479" t="inlineStr">
        <is>
          <t>LASTSCHUETZ</t>
        </is>
      </c>
      <c r="H11479" t="inlineStr">
        <is>
          <t>4kW 1S</t>
        </is>
      </c>
      <c r="I11479">
        <v>930</v>
      </c>
      <c r="J11479">
        <f>GS23/618.6</f>
        <v>0</v>
      </c>
      <c r="M11479" t="inlineStr">
        <is>
          <t>-618K40.3</t>
        </is>
      </c>
    </row>
    <row r="11480">
      <c r="A11480">
        <v>11479</v>
      </c>
      <c r="B11480">
        <f>GS13</f>
        <v>0</v>
      </c>
      <c r="C11480" t="inlineStr">
        <is>
          <t>+LS15</t>
        </is>
      </c>
      <c r="D11480" t="inlineStr">
        <is>
          <t>-61940.4</t>
        </is>
      </c>
      <c r="E11480" t="inlineStr">
        <is>
          <t>DIL_EM-10-G</t>
        </is>
      </c>
      <c r="F11480" t="inlineStr">
        <is>
          <t>#KALK!</t>
        </is>
      </c>
      <c r="G11480" t="inlineStr">
        <is>
          <t>LASTSCHUETZ</t>
        </is>
      </c>
      <c r="H11480" t="inlineStr">
        <is>
          <t>4kW 1S</t>
        </is>
      </c>
      <c r="I11480">
        <v>878</v>
      </c>
      <c r="J11480">
        <f>GS13/619.6</f>
        <v>0</v>
      </c>
      <c r="M11480" t="inlineStr">
        <is>
          <t>-61940.4</t>
        </is>
      </c>
    </row>
    <row r="11481">
      <c r="A11481">
        <v>11480</v>
      </c>
      <c r="B11481">
        <f>GS13</f>
        <v>0</v>
      </c>
      <c r="C11481" t="inlineStr">
        <is>
          <t>+LS15</t>
        </is>
      </c>
      <c r="D11481" t="inlineStr">
        <is>
          <t>-61940.5</t>
        </is>
      </c>
      <c r="E11481" t="inlineStr">
        <is>
          <t>DIL_EM-10-G</t>
        </is>
      </c>
      <c r="F11481" t="inlineStr">
        <is>
          <t>#KALK!</t>
        </is>
      </c>
      <c r="G11481" t="inlineStr">
        <is>
          <t>LASTSCHUETZ</t>
        </is>
      </c>
      <c r="H11481" t="inlineStr">
        <is>
          <t>4kW 1S</t>
        </is>
      </c>
      <c r="I11481">
        <v>878</v>
      </c>
      <c r="J11481">
        <f>GS13/619.6</f>
        <v>0</v>
      </c>
      <c r="M11481" t="inlineStr">
        <is>
          <t>-61940.5</t>
        </is>
      </c>
    </row>
    <row r="11482">
      <c r="A11482">
        <v>11481</v>
      </c>
      <c r="B11482">
        <f>GS24</f>
        <v>0</v>
      </c>
      <c r="C11482" t="inlineStr">
        <is>
          <t>+LS13</t>
        </is>
      </c>
      <c r="D11482" t="inlineStr">
        <is>
          <t>-619K3526.7</t>
        </is>
      </c>
      <c r="E11482" t="inlineStr">
        <is>
          <t>DIL_EM-10-G</t>
        </is>
      </c>
      <c r="F11482" t="inlineStr">
        <is>
          <t>#KALK!</t>
        </is>
      </c>
      <c r="G11482" t="inlineStr">
        <is>
          <t>LASTSCHUETZ</t>
        </is>
      </c>
      <c r="H11482" t="inlineStr">
        <is>
          <t>4kW 1S</t>
        </is>
      </c>
      <c r="I11482">
        <v>477</v>
      </c>
      <c r="J11482">
        <f>GS24/619.5</f>
        <v>0</v>
      </c>
      <c r="M11482" t="inlineStr">
        <is>
          <t>-619K3526.7</t>
        </is>
      </c>
    </row>
    <row r="11483">
      <c r="A11483">
        <v>11482</v>
      </c>
      <c r="B11483">
        <f>GS24</f>
        <v>0</v>
      </c>
      <c r="C11483" t="inlineStr">
        <is>
          <t>+LS13</t>
        </is>
      </c>
      <c r="D11483" t="inlineStr">
        <is>
          <t>-619K3527.0</t>
        </is>
      </c>
      <c r="E11483" t="inlineStr">
        <is>
          <t>DIL_EM-10-G</t>
        </is>
      </c>
      <c r="F11483" t="inlineStr">
        <is>
          <t>#KALK!</t>
        </is>
      </c>
      <c r="G11483" t="inlineStr">
        <is>
          <t>LASTSCHUETZ</t>
        </is>
      </c>
      <c r="H11483" t="inlineStr">
        <is>
          <t>4kW 1S</t>
        </is>
      </c>
      <c r="I11483">
        <v>477</v>
      </c>
      <c r="J11483">
        <f>GS24/619.6</f>
        <v>0</v>
      </c>
      <c r="M11483" t="inlineStr">
        <is>
          <t>-619K3527.0</t>
        </is>
      </c>
    </row>
    <row r="11484">
      <c r="A11484">
        <v>11483</v>
      </c>
      <c r="B11484">
        <f>GS24</f>
        <v>0</v>
      </c>
      <c r="C11484" t="inlineStr">
        <is>
          <t>+LS13</t>
        </is>
      </c>
      <c r="D11484" t="inlineStr">
        <is>
          <t>-619K3527.1</t>
        </is>
      </c>
      <c r="E11484" t="inlineStr">
        <is>
          <t>DIL_EM-01-G</t>
        </is>
      </c>
      <c r="F11484" t="inlineStr">
        <is>
          <t>#KALK!</t>
        </is>
      </c>
      <c r="G11484" t="inlineStr">
        <is>
          <t>LASTSCHUETZ</t>
        </is>
      </c>
      <c r="H11484" t="inlineStr">
        <is>
          <t>4kW 1OE</t>
        </is>
      </c>
      <c r="I11484">
        <v>477</v>
      </c>
      <c r="J11484">
        <f>GS24/619.7</f>
        <v>0</v>
      </c>
      <c r="M11484" t="inlineStr">
        <is>
          <t>-619K3527.1</t>
        </is>
      </c>
    </row>
    <row r="11485">
      <c r="A11485">
        <v>11484</v>
      </c>
      <c r="B11485">
        <f>GS24</f>
        <v>0</v>
      </c>
      <c r="C11485" t="inlineStr">
        <is>
          <t>+LS13</t>
        </is>
      </c>
      <c r="D11485" t="inlineStr">
        <is>
          <t>-619K3527.2</t>
        </is>
      </c>
      <c r="E11485" t="inlineStr">
        <is>
          <t>DIL_EM-01-G</t>
        </is>
      </c>
      <c r="F11485" t="inlineStr">
        <is>
          <t>#KALK!</t>
        </is>
      </c>
      <c r="G11485" t="inlineStr">
        <is>
          <t>LASTSCHUETZ</t>
        </is>
      </c>
      <c r="H11485" t="inlineStr">
        <is>
          <t>4kW 1OE</t>
        </is>
      </c>
      <c r="I11485">
        <v>477</v>
      </c>
      <c r="J11485">
        <f>GS24/619.8</f>
        <v>0</v>
      </c>
      <c r="M11485" t="inlineStr">
        <is>
          <t>-619K3527.2</t>
        </is>
      </c>
    </row>
    <row r="11486">
      <c r="A11486">
        <v>11485</v>
      </c>
      <c r="B11486">
        <f>GS23</f>
        <v>0</v>
      </c>
      <c r="C11486" t="inlineStr">
        <is>
          <t>+LS15</t>
        </is>
      </c>
      <c r="D11486" t="inlineStr">
        <is>
          <t>-619K40.4</t>
        </is>
      </c>
      <c r="E11486" t="inlineStr">
        <is>
          <t>DIL_EM-10-G</t>
        </is>
      </c>
      <c r="F11486" t="inlineStr">
        <is>
          <t>#KALK!</t>
        </is>
      </c>
      <c r="G11486" t="inlineStr">
        <is>
          <t>LASTSCHUETZ</t>
        </is>
      </c>
      <c r="H11486" t="inlineStr">
        <is>
          <t>4kW 1S</t>
        </is>
      </c>
      <c r="I11486">
        <v>931</v>
      </c>
      <c r="J11486">
        <f>GS23/619.6</f>
        <v>0</v>
      </c>
      <c r="M11486" t="inlineStr">
        <is>
          <t>-619K40.4</t>
        </is>
      </c>
    </row>
    <row r="11487">
      <c r="A11487">
        <v>11486</v>
      </c>
      <c r="B11487">
        <f>GS23</f>
        <v>0</v>
      </c>
      <c r="C11487" t="inlineStr">
        <is>
          <t>+LS15</t>
        </is>
      </c>
      <c r="D11487" t="inlineStr">
        <is>
          <t>-619K40.5</t>
        </is>
      </c>
      <c r="E11487" t="inlineStr">
        <is>
          <t>DIL_EM-10-G</t>
        </is>
      </c>
      <c r="F11487" t="inlineStr">
        <is>
          <t>#KALK!</t>
        </is>
      </c>
      <c r="G11487" t="inlineStr">
        <is>
          <t>LASTSCHUETZ</t>
        </is>
      </c>
      <c r="H11487" t="inlineStr">
        <is>
          <t>4kW 1S</t>
        </is>
      </c>
      <c r="I11487">
        <v>931</v>
      </c>
      <c r="J11487">
        <f>GS23/619.6</f>
        <v>0</v>
      </c>
      <c r="M11487" t="inlineStr">
        <is>
          <t>-619K40.5</t>
        </is>
      </c>
    </row>
    <row r="11488">
      <c r="A11488">
        <v>11487</v>
      </c>
      <c r="B11488">
        <f>GS55</f>
        <v>0</v>
      </c>
      <c r="C11488" t="inlineStr">
        <is>
          <t>+LS09</t>
        </is>
      </c>
      <c r="D11488" t="inlineStr">
        <is>
          <t>-619Q1617.3</t>
        </is>
      </c>
      <c r="E11488" t="inlineStr">
        <is>
          <t>DILM-9-10</t>
        </is>
      </c>
      <c r="F11488" t="inlineStr">
        <is>
          <t>#KALK!</t>
        </is>
      </c>
      <c r="G11488" t="inlineStr">
        <is>
          <t>LASTSCHUETZ</t>
        </is>
      </c>
      <c r="H11488" t="inlineStr">
        <is>
          <t>4kW 1S Federzugkl.</t>
        </is>
      </c>
      <c r="I11488">
        <v>886</v>
      </c>
      <c r="J11488">
        <f>GS55/619.6</f>
        <v>0</v>
      </c>
      <c r="K11488" t="inlineStr">
        <is>
          <t>DIL MC9</t>
        </is>
      </c>
      <c r="M11488" t="inlineStr">
        <is>
          <t>-619Q1617.3</t>
        </is>
      </c>
    </row>
    <row r="11489">
      <c r="A11489">
        <v>11488</v>
      </c>
      <c r="B11489">
        <f>GS61</f>
        <v>0</v>
      </c>
      <c r="C11489" t="inlineStr">
        <is>
          <t>+SPS</t>
        </is>
      </c>
      <c r="D11489" t="inlineStr">
        <is>
          <t>-61K52.2</t>
        </is>
      </c>
      <c r="E11489" t="inlineStr">
        <is>
          <t>DIL_ER-22-G</t>
        </is>
      </c>
      <c r="F11489" t="inlineStr">
        <is>
          <t>#KALK!</t>
        </is>
      </c>
      <c r="G11489" t="inlineStr">
        <is>
          <t>HILFSSCHUETZ</t>
        </is>
      </c>
      <c r="H11489" t="inlineStr">
        <is>
          <t>2S 2OE</t>
        </is>
      </c>
      <c r="I11489">
        <v>189</v>
      </c>
      <c r="J11489">
        <f>GS61/61.7</f>
        <v>0</v>
      </c>
      <c r="M11489" t="inlineStr">
        <is>
          <t>-61K52.2</t>
        </is>
      </c>
    </row>
    <row r="11490">
      <c r="A11490">
        <v>11489</v>
      </c>
      <c r="B11490">
        <f>GS62</f>
        <v>0</v>
      </c>
      <c r="C11490" t="inlineStr">
        <is>
          <t>+SPS</t>
        </is>
      </c>
      <c r="D11490" t="inlineStr">
        <is>
          <t>-61K52.2</t>
        </is>
      </c>
      <c r="E11490" t="inlineStr">
        <is>
          <t>DIL_ER-22-G</t>
        </is>
      </c>
      <c r="F11490" t="inlineStr">
        <is>
          <t>#KALK!</t>
        </is>
      </c>
      <c r="G11490" t="inlineStr">
        <is>
          <t>HILFSSCHUETZ</t>
        </is>
      </c>
      <c r="H11490" t="inlineStr">
        <is>
          <t>2S 2OE</t>
        </is>
      </c>
      <c r="I11490">
        <v>255</v>
      </c>
      <c r="J11490">
        <f>GS62/61.7</f>
        <v>0</v>
      </c>
      <c r="M11490" t="inlineStr">
        <is>
          <t>-61K52.2</t>
        </is>
      </c>
    </row>
    <row r="11491">
      <c r="A11491">
        <v>11490</v>
      </c>
      <c r="B11491">
        <f>GS13</f>
        <v>0</v>
      </c>
      <c r="C11491" t="inlineStr">
        <is>
          <t>+LS15</t>
        </is>
      </c>
      <c r="D11491" t="inlineStr">
        <is>
          <t>-62040.6</t>
        </is>
      </c>
      <c r="E11491" t="inlineStr">
        <is>
          <t>DIL_EM-10-G</t>
        </is>
      </c>
      <c r="F11491" t="inlineStr">
        <is>
          <t>#KALK!</t>
        </is>
      </c>
      <c r="G11491" t="inlineStr">
        <is>
          <t>LASTSCHUETZ</t>
        </is>
      </c>
      <c r="H11491" t="inlineStr">
        <is>
          <t>4kW 1S</t>
        </is>
      </c>
      <c r="I11491">
        <v>879</v>
      </c>
      <c r="J11491">
        <f>GS13/620.6</f>
        <v>0</v>
      </c>
      <c r="M11491" t="inlineStr">
        <is>
          <t>-62040.6</t>
        </is>
      </c>
    </row>
    <row r="11492">
      <c r="A11492">
        <v>11491</v>
      </c>
      <c r="B11492">
        <f>GS15</f>
        <v>0</v>
      </c>
      <c r="C11492" t="inlineStr">
        <is>
          <t>+LS12</t>
        </is>
      </c>
      <c r="D11492" t="inlineStr">
        <is>
          <t>-620K1</t>
        </is>
      </c>
      <c r="E11492" t="inlineStr">
        <is>
          <t>22_DIL-M</t>
        </is>
      </c>
      <c r="F11492" t="inlineStr">
        <is>
          <t>22_DIL-M</t>
        </is>
      </c>
      <c r="G11492" t="inlineStr">
        <is>
          <t>HILFSKONTAKTBLOCK</t>
        </is>
      </c>
      <c r="H11492" t="inlineStr">
        <is>
          <t>2S 2OE Lastschuetz DIL M</t>
        </is>
      </c>
      <c r="I11492">
        <v>1132</v>
      </c>
      <c r="J11492">
        <f>GS15/620.2</f>
        <v>0</v>
      </c>
      <c r="K11492" t="inlineStr">
        <is>
          <t>DIL0AM</t>
        </is>
      </c>
      <c r="M11492" t="inlineStr">
        <is>
          <t>-620K1</t>
        </is>
      </c>
    </row>
    <row r="11493">
      <c r="A11493">
        <v>11492</v>
      </c>
      <c r="B11493">
        <f>GS15</f>
        <v>0</v>
      </c>
      <c r="C11493" t="inlineStr">
        <is>
          <t>+LS12</t>
        </is>
      </c>
      <c r="D11493" t="inlineStr">
        <is>
          <t>-620K1</t>
        </is>
      </c>
      <c r="E11493" t="inlineStr">
        <is>
          <t>DIL_0AM</t>
        </is>
      </c>
      <c r="F11493" t="inlineStr">
        <is>
          <t>22_DIL-M</t>
        </is>
      </c>
      <c r="G11493" t="inlineStr">
        <is>
          <t>LASTSCHUETZ</t>
        </is>
      </c>
      <c r="H11493" t="inlineStr">
        <is>
          <t>11 kW</t>
        </is>
      </c>
      <c r="I11493">
        <v>1132</v>
      </c>
      <c r="J11493">
        <f>GS15/620.2</f>
        <v>0</v>
      </c>
      <c r="K11493" t="inlineStr">
        <is>
          <t>DIL0AM</t>
        </is>
      </c>
      <c r="M11493" t="inlineStr">
        <is>
          <t>-620K1</t>
        </is>
      </c>
    </row>
    <row r="11494">
      <c r="A11494">
        <v>11493</v>
      </c>
      <c r="B11494">
        <f>GS23</f>
        <v>0</v>
      </c>
      <c r="C11494" t="inlineStr">
        <is>
          <t>+LS15</t>
        </is>
      </c>
      <c r="D11494" t="inlineStr">
        <is>
          <t>-620K40.6</t>
        </is>
      </c>
      <c r="E11494" t="inlineStr">
        <is>
          <t>DIL_EM-10-G</t>
        </is>
      </c>
      <c r="F11494" t="inlineStr">
        <is>
          <t>#KALK!</t>
        </is>
      </c>
      <c r="G11494" t="inlineStr">
        <is>
          <t>LASTSCHUETZ</t>
        </is>
      </c>
      <c r="H11494" t="inlineStr">
        <is>
          <t>4kW 1S</t>
        </is>
      </c>
      <c r="I11494">
        <v>932</v>
      </c>
      <c r="J11494">
        <f>GS23/620.6</f>
        <v>0</v>
      </c>
      <c r="M11494" t="inlineStr">
        <is>
          <t>-620K40.6</t>
        </is>
      </c>
    </row>
    <row r="11495">
      <c r="A11495">
        <v>11494</v>
      </c>
      <c r="B11495">
        <f>GS13</f>
        <v>0</v>
      </c>
      <c r="C11495" t="inlineStr">
        <is>
          <t>+LS15</t>
        </is>
      </c>
      <c r="D11495" t="inlineStr">
        <is>
          <t>-62142.3</t>
        </is>
      </c>
      <c r="E11495" t="inlineStr">
        <is>
          <t>DIL_EM-10-G</t>
        </is>
      </c>
      <c r="F11495" t="inlineStr">
        <is>
          <t>#KALK!</t>
        </is>
      </c>
      <c r="G11495" t="inlineStr">
        <is>
          <t>LASTSCHUETZ</t>
        </is>
      </c>
      <c r="H11495" t="inlineStr">
        <is>
          <t>4kW 1S</t>
        </is>
      </c>
      <c r="I11495">
        <v>880</v>
      </c>
      <c r="J11495">
        <f>GS13/621.7</f>
        <v>0</v>
      </c>
      <c r="M11495" t="inlineStr">
        <is>
          <t>-62142.3</t>
        </is>
      </c>
    </row>
    <row r="11496">
      <c r="A11496">
        <v>11495</v>
      </c>
      <c r="B11496">
        <f>GS24</f>
        <v>0</v>
      </c>
      <c r="C11496" t="inlineStr">
        <is>
          <t>+LS13</t>
        </is>
      </c>
      <c r="D11496" t="inlineStr">
        <is>
          <t>-621K3528.1</t>
        </is>
      </c>
      <c r="E11496" t="inlineStr">
        <is>
          <t>DIL_EM-10-G</t>
        </is>
      </c>
      <c r="F11496" t="inlineStr">
        <is>
          <t>#KALK!</t>
        </is>
      </c>
      <c r="G11496" t="inlineStr">
        <is>
          <t>LASTSCHUETZ</t>
        </is>
      </c>
      <c r="H11496" t="inlineStr">
        <is>
          <t>4kW 1S</t>
        </is>
      </c>
      <c r="I11496">
        <v>475</v>
      </c>
      <c r="J11496">
        <f>GS24/621.5</f>
        <v>0</v>
      </c>
      <c r="M11496" t="inlineStr">
        <is>
          <t>-621K3528.1</t>
        </is>
      </c>
    </row>
    <row r="11497">
      <c r="A11497">
        <v>11496</v>
      </c>
      <c r="B11497">
        <f>GS24</f>
        <v>0</v>
      </c>
      <c r="C11497" t="inlineStr">
        <is>
          <t>+LS13</t>
        </is>
      </c>
      <c r="D11497" t="inlineStr">
        <is>
          <t>-621K3528.2</t>
        </is>
      </c>
      <c r="E11497" t="inlineStr">
        <is>
          <t>DIL_EM-10-G</t>
        </is>
      </c>
      <c r="F11497" t="inlineStr">
        <is>
          <t>#KALK!</t>
        </is>
      </c>
      <c r="G11497" t="inlineStr">
        <is>
          <t>LASTSCHUETZ</t>
        </is>
      </c>
      <c r="H11497" t="inlineStr">
        <is>
          <t>4kW 1S</t>
        </is>
      </c>
      <c r="I11497">
        <v>475</v>
      </c>
      <c r="J11497">
        <f>GS24/621.6</f>
        <v>0</v>
      </c>
      <c r="M11497" t="inlineStr">
        <is>
          <t>-621K3528.2</t>
        </is>
      </c>
    </row>
    <row r="11498">
      <c r="A11498">
        <v>11497</v>
      </c>
      <c r="B11498">
        <f>GS24</f>
        <v>0</v>
      </c>
      <c r="C11498" t="inlineStr">
        <is>
          <t>+LS13</t>
        </is>
      </c>
      <c r="D11498" t="inlineStr">
        <is>
          <t>-621K3528.3</t>
        </is>
      </c>
      <c r="E11498" t="inlineStr">
        <is>
          <t>DIL_EM-01-G</t>
        </is>
      </c>
      <c r="F11498" t="inlineStr">
        <is>
          <t>#KALK!</t>
        </is>
      </c>
      <c r="G11498" t="inlineStr">
        <is>
          <t>LASTSCHUETZ</t>
        </is>
      </c>
      <c r="H11498" t="inlineStr">
        <is>
          <t>4kW 1OE</t>
        </is>
      </c>
      <c r="I11498">
        <v>475</v>
      </c>
      <c r="J11498">
        <f>GS24/621.7</f>
        <v>0</v>
      </c>
      <c r="M11498" t="inlineStr">
        <is>
          <t>-621K3528.3</t>
        </is>
      </c>
    </row>
    <row r="11499">
      <c r="A11499">
        <v>11498</v>
      </c>
      <c r="B11499">
        <f>GS24</f>
        <v>0</v>
      </c>
      <c r="C11499" t="inlineStr">
        <is>
          <t>+LS13</t>
        </is>
      </c>
      <c r="D11499" t="inlineStr">
        <is>
          <t>-621K3528.4</t>
        </is>
      </c>
      <c r="E11499" t="inlineStr">
        <is>
          <t>DIL_EM-01-G</t>
        </is>
      </c>
      <c r="F11499" t="inlineStr">
        <is>
          <t>#KALK!</t>
        </is>
      </c>
      <c r="G11499" t="inlineStr">
        <is>
          <t>LASTSCHUETZ</t>
        </is>
      </c>
      <c r="H11499" t="inlineStr">
        <is>
          <t>4kW 1OE</t>
        </is>
      </c>
      <c r="I11499">
        <v>475</v>
      </c>
      <c r="J11499">
        <f>GS24/621.8</f>
        <v>0</v>
      </c>
      <c r="M11499" t="inlineStr">
        <is>
          <t>-621K3528.4</t>
        </is>
      </c>
    </row>
    <row r="11500">
      <c r="A11500">
        <v>11499</v>
      </c>
      <c r="B11500">
        <f>GS23</f>
        <v>0</v>
      </c>
      <c r="C11500" t="inlineStr">
        <is>
          <t>+LS15</t>
        </is>
      </c>
      <c r="D11500" t="inlineStr">
        <is>
          <t>-621K42.3</t>
        </is>
      </c>
      <c r="E11500" t="inlineStr">
        <is>
          <t>DIL_EM-10-G</t>
        </is>
      </c>
      <c r="F11500" t="inlineStr">
        <is>
          <t>#KALK!</t>
        </is>
      </c>
      <c r="G11500" t="inlineStr">
        <is>
          <t>LASTSCHUETZ</t>
        </is>
      </c>
      <c r="H11500" t="inlineStr">
        <is>
          <t>4kW 1S</t>
        </is>
      </c>
      <c r="I11500">
        <v>933</v>
      </c>
      <c r="J11500">
        <f>GS23/621.7</f>
        <v>0</v>
      </c>
      <c r="M11500" t="inlineStr">
        <is>
          <t>-621K42.3</t>
        </is>
      </c>
    </row>
    <row r="11501">
      <c r="A11501">
        <v>11500</v>
      </c>
      <c r="B11501">
        <f>GS55</f>
        <v>0</v>
      </c>
      <c r="C11501" t="inlineStr">
        <is>
          <t>+LS09</t>
        </is>
      </c>
      <c r="D11501" t="inlineStr">
        <is>
          <t>-621Q1</t>
        </is>
      </c>
      <c r="E11501" t="inlineStr">
        <is>
          <t>DILM-9-10</t>
        </is>
      </c>
      <c r="F11501" t="inlineStr">
        <is>
          <t>#KALK!</t>
        </is>
      </c>
      <c r="G11501" t="inlineStr">
        <is>
          <t>LASTSCHUETZ</t>
        </is>
      </c>
      <c r="H11501" t="inlineStr">
        <is>
          <t>4kW 1S Federzugkl.</t>
        </is>
      </c>
      <c r="I11501">
        <v>888</v>
      </c>
      <c r="J11501">
        <f>GS55/621.7</f>
        <v>0</v>
      </c>
      <c r="M11501" t="inlineStr">
        <is>
          <t>-621Q1</t>
        </is>
      </c>
    </row>
    <row r="11502">
      <c r="A11502">
        <v>11501</v>
      </c>
      <c r="B11502">
        <f>GS13</f>
        <v>0</v>
      </c>
      <c r="C11502" t="inlineStr">
        <is>
          <t>+LS15</t>
        </is>
      </c>
      <c r="D11502" t="inlineStr">
        <is>
          <t>-62244.7</t>
        </is>
      </c>
      <c r="E11502" t="inlineStr">
        <is>
          <t>DIL_EM-10-G</t>
        </is>
      </c>
      <c r="F11502" t="inlineStr">
        <is>
          <t>#KALK!</t>
        </is>
      </c>
      <c r="G11502" t="inlineStr">
        <is>
          <t>LASTSCHUETZ</t>
        </is>
      </c>
      <c r="H11502" t="inlineStr">
        <is>
          <t>4kW 1S</t>
        </is>
      </c>
      <c r="I11502">
        <v>881</v>
      </c>
      <c r="J11502">
        <f>GS13/622.7</f>
        <v>0</v>
      </c>
      <c r="M11502" t="inlineStr">
        <is>
          <t>-62244.7</t>
        </is>
      </c>
    </row>
    <row r="11503">
      <c r="A11503">
        <v>11502</v>
      </c>
      <c r="B11503">
        <f>GS15</f>
        <v>0</v>
      </c>
      <c r="C11503" t="inlineStr">
        <is>
          <t>+LS12</t>
        </is>
      </c>
      <c r="D11503" t="inlineStr">
        <is>
          <t>-622K3518.0</t>
        </is>
      </c>
      <c r="E11503" t="inlineStr">
        <is>
          <t>DIL_EM-10-G</t>
        </is>
      </c>
      <c r="F11503" t="inlineStr">
        <is>
          <t>#KALK!</t>
        </is>
      </c>
      <c r="G11503" t="inlineStr">
        <is>
          <t>LASTSCHUETZ</t>
        </is>
      </c>
      <c r="H11503" t="inlineStr">
        <is>
          <t>4kW 1S</t>
        </is>
      </c>
      <c r="I11503">
        <v>1134</v>
      </c>
      <c r="J11503">
        <f>GS15/622.6</f>
        <v>0</v>
      </c>
      <c r="M11503" t="inlineStr">
        <is>
          <t>-622K3518.0</t>
        </is>
      </c>
    </row>
    <row r="11504">
      <c r="A11504">
        <v>11503</v>
      </c>
      <c r="B11504">
        <f>GS15</f>
        <v>0</v>
      </c>
      <c r="C11504" t="inlineStr">
        <is>
          <t>+LS12</t>
        </is>
      </c>
      <c r="D11504" t="inlineStr">
        <is>
          <t>-622K3518.1</t>
        </is>
      </c>
      <c r="E11504" t="inlineStr">
        <is>
          <t>DIL_EM-10-G</t>
        </is>
      </c>
      <c r="F11504" t="inlineStr">
        <is>
          <t>#KALK!</t>
        </is>
      </c>
      <c r="G11504" t="inlineStr">
        <is>
          <t>LASTSCHUETZ</t>
        </is>
      </c>
      <c r="H11504" t="inlineStr">
        <is>
          <t>4kW 1S</t>
        </is>
      </c>
      <c r="I11504">
        <v>1134</v>
      </c>
      <c r="J11504">
        <f>GS15/622.6</f>
        <v>0</v>
      </c>
      <c r="M11504" t="inlineStr">
        <is>
          <t>-622K3518.1</t>
        </is>
      </c>
    </row>
    <row r="11505">
      <c r="A11505">
        <v>11504</v>
      </c>
      <c r="B11505">
        <f>GS24</f>
        <v>0</v>
      </c>
      <c r="C11505" t="inlineStr">
        <is>
          <t>+LS13</t>
        </is>
      </c>
      <c r="D11505" t="inlineStr">
        <is>
          <t>-622K3528.5</t>
        </is>
      </c>
      <c r="E11505" t="inlineStr">
        <is>
          <t>DIL_EM-10-G</t>
        </is>
      </c>
      <c r="F11505" t="inlineStr">
        <is>
          <t>#KALK!</t>
        </is>
      </c>
      <c r="G11505" t="inlineStr">
        <is>
          <t>LASTSCHUETZ</t>
        </is>
      </c>
      <c r="H11505" t="inlineStr">
        <is>
          <t>4kW 1S</t>
        </is>
      </c>
      <c r="I11505">
        <v>474</v>
      </c>
      <c r="J11505">
        <f>GS24/622.6</f>
        <v>0</v>
      </c>
      <c r="M11505" t="inlineStr">
        <is>
          <t>-622K3528.5</t>
        </is>
      </c>
    </row>
    <row r="11506">
      <c r="A11506">
        <v>11505</v>
      </c>
      <c r="B11506">
        <f>GS24</f>
        <v>0</v>
      </c>
      <c r="C11506" t="inlineStr">
        <is>
          <t>+LS13</t>
        </is>
      </c>
      <c r="D11506" t="inlineStr">
        <is>
          <t>-622K3528.6</t>
        </is>
      </c>
      <c r="E11506" t="inlineStr">
        <is>
          <t>DIL_EM-10-G</t>
        </is>
      </c>
      <c r="F11506" t="inlineStr">
        <is>
          <t>#KALK!</t>
        </is>
      </c>
      <c r="G11506" t="inlineStr">
        <is>
          <t>LASTSCHUETZ</t>
        </is>
      </c>
      <c r="H11506" t="inlineStr">
        <is>
          <t>4kW 1S</t>
        </is>
      </c>
      <c r="I11506">
        <v>474</v>
      </c>
      <c r="J11506">
        <f>GS24/622.6</f>
        <v>0</v>
      </c>
      <c r="M11506" t="inlineStr">
        <is>
          <t>-622K3528.6</t>
        </is>
      </c>
    </row>
    <row r="11507">
      <c r="A11507">
        <v>11506</v>
      </c>
      <c r="B11507">
        <f>GS23</f>
        <v>0</v>
      </c>
      <c r="C11507" t="inlineStr">
        <is>
          <t>+LS15</t>
        </is>
      </c>
      <c r="D11507" t="inlineStr">
        <is>
          <t>-622K44.7</t>
        </is>
      </c>
      <c r="E11507" t="inlineStr">
        <is>
          <t>DIL_EM-10-G</t>
        </is>
      </c>
      <c r="F11507" t="inlineStr">
        <is>
          <t>#KALK!</t>
        </is>
      </c>
      <c r="G11507" t="inlineStr">
        <is>
          <t>LASTSCHUETZ</t>
        </is>
      </c>
      <c r="H11507" t="inlineStr">
        <is>
          <t>4kW 1S</t>
        </is>
      </c>
      <c r="I11507">
        <v>934</v>
      </c>
      <c r="J11507">
        <f>GS23/622.7</f>
        <v>0</v>
      </c>
      <c r="M11507" t="inlineStr">
        <is>
          <t>-622K44.7</t>
        </is>
      </c>
    </row>
    <row r="11508">
      <c r="A11508">
        <v>11507</v>
      </c>
      <c r="B11508">
        <f>GS13</f>
        <v>0</v>
      </c>
      <c r="C11508" t="inlineStr">
        <is>
          <t>+LS15</t>
        </is>
      </c>
      <c r="D11508" t="inlineStr">
        <is>
          <t>-62344.0</t>
        </is>
      </c>
      <c r="E11508" t="inlineStr">
        <is>
          <t>DIL_EM-10-G</t>
        </is>
      </c>
      <c r="F11508" t="inlineStr">
        <is>
          <t>#KALK!</t>
        </is>
      </c>
      <c r="G11508" t="inlineStr">
        <is>
          <t>LASTSCHUETZ</t>
        </is>
      </c>
      <c r="H11508" t="inlineStr">
        <is>
          <t>4kW 1S</t>
        </is>
      </c>
      <c r="I11508">
        <v>882</v>
      </c>
      <c r="J11508">
        <f>GS13/623.6</f>
        <v>0</v>
      </c>
      <c r="M11508" t="inlineStr">
        <is>
          <t>-62344.0</t>
        </is>
      </c>
    </row>
    <row r="11509">
      <c r="A11509">
        <v>11508</v>
      </c>
      <c r="B11509">
        <f>GS23</f>
        <v>0</v>
      </c>
      <c r="C11509" t="inlineStr">
        <is>
          <t>+LS15</t>
        </is>
      </c>
      <c r="D11509" t="inlineStr">
        <is>
          <t>-623K44.0</t>
        </is>
      </c>
      <c r="E11509" t="inlineStr">
        <is>
          <t>DIL_EM-10-G</t>
        </is>
      </c>
      <c r="F11509" t="inlineStr">
        <is>
          <t>#KALK!</t>
        </is>
      </c>
      <c r="G11509" t="inlineStr">
        <is>
          <t>LASTSCHUETZ</t>
        </is>
      </c>
      <c r="H11509" t="inlineStr">
        <is>
          <t>4kW 1S</t>
        </is>
      </c>
      <c r="I11509">
        <v>935</v>
      </c>
      <c r="J11509">
        <f>GS23/623.6</f>
        <v>0</v>
      </c>
      <c r="M11509" t="inlineStr">
        <is>
          <t>-623K44.0</t>
        </is>
      </c>
    </row>
    <row r="11510">
      <c r="A11510">
        <v>11509</v>
      </c>
      <c r="B11510">
        <f>GS13</f>
        <v>0</v>
      </c>
      <c r="C11510" t="inlineStr">
        <is>
          <t>+LS15</t>
        </is>
      </c>
      <c r="D11510" t="inlineStr">
        <is>
          <t>-62443.3</t>
        </is>
      </c>
      <c r="E11510" t="inlineStr">
        <is>
          <t>DIL_EM-10-G</t>
        </is>
      </c>
      <c r="F11510" t="inlineStr">
        <is>
          <t>#KALK!</t>
        </is>
      </c>
      <c r="G11510" t="inlineStr">
        <is>
          <t>LASTSCHUETZ</t>
        </is>
      </c>
      <c r="H11510" t="inlineStr">
        <is>
          <t>4kW 1S</t>
        </is>
      </c>
      <c r="I11510">
        <v>883</v>
      </c>
      <c r="J11510">
        <f>GS13/624.7</f>
        <v>0</v>
      </c>
      <c r="M11510" t="inlineStr">
        <is>
          <t>-62443.3</t>
        </is>
      </c>
    </row>
    <row r="11511">
      <c r="A11511">
        <v>11510</v>
      </c>
      <c r="B11511">
        <f>GS25</f>
        <v>0</v>
      </c>
      <c r="C11511" t="inlineStr">
        <is>
          <t>+LS14</t>
        </is>
      </c>
      <c r="D11511" t="inlineStr">
        <is>
          <t>-624K1</t>
        </is>
      </c>
      <c r="E11511" t="inlineStr">
        <is>
          <t>DIL_0AM</t>
        </is>
      </c>
      <c r="F11511" t="inlineStr">
        <is>
          <t>22_DIL-M</t>
        </is>
      </c>
      <c r="G11511" t="inlineStr">
        <is>
          <t>LASTSCHUETZ</t>
        </is>
      </c>
      <c r="H11511" t="inlineStr">
        <is>
          <t>11 kW</t>
        </is>
      </c>
      <c r="I11511">
        <v>750</v>
      </c>
      <c r="J11511">
        <f>GS25/624.2</f>
        <v>0</v>
      </c>
      <c r="K11511" t="inlineStr">
        <is>
          <t>DIL0AM</t>
        </is>
      </c>
      <c r="M11511" t="inlineStr">
        <is>
          <t>-624K1</t>
        </is>
      </c>
    </row>
    <row r="11512">
      <c r="A11512">
        <v>11511</v>
      </c>
      <c r="B11512">
        <f>GS25</f>
        <v>0</v>
      </c>
      <c r="C11512" t="inlineStr">
        <is>
          <t>+LS14</t>
        </is>
      </c>
      <c r="D11512" t="inlineStr">
        <is>
          <t>-624K1</t>
        </is>
      </c>
      <c r="E11512" t="inlineStr">
        <is>
          <t>22_DIL-M</t>
        </is>
      </c>
      <c r="F11512" t="inlineStr">
        <is>
          <t>22_DIL-M</t>
        </is>
      </c>
      <c r="G11512" t="inlineStr">
        <is>
          <t>HILFSKONTAKTBLOCK</t>
        </is>
      </c>
      <c r="H11512" t="inlineStr">
        <is>
          <t>2S 2OE Lastschuetz DIL M</t>
        </is>
      </c>
      <c r="I11512">
        <v>750</v>
      </c>
      <c r="J11512">
        <f>GS25/624.2</f>
        <v>0</v>
      </c>
      <c r="K11512" t="inlineStr">
        <is>
          <t>DIL0AM</t>
        </is>
      </c>
      <c r="M11512" t="inlineStr">
        <is>
          <t>-624K1</t>
        </is>
      </c>
    </row>
    <row r="11513">
      <c r="A11513">
        <v>11512</v>
      </c>
      <c r="B11513">
        <f>GS15</f>
        <v>0</v>
      </c>
      <c r="C11513" t="inlineStr">
        <is>
          <t>+LS12</t>
        </is>
      </c>
      <c r="D11513" t="inlineStr">
        <is>
          <t>-624K3518.7</t>
        </is>
      </c>
      <c r="E11513" t="inlineStr">
        <is>
          <t>DIL_EM-10-G</t>
        </is>
      </c>
      <c r="F11513" t="inlineStr">
        <is>
          <t>#KALK!</t>
        </is>
      </c>
      <c r="G11513" t="inlineStr">
        <is>
          <t>LASTSCHUETZ</t>
        </is>
      </c>
      <c r="H11513" t="inlineStr">
        <is>
          <t>4kW 1S</t>
        </is>
      </c>
      <c r="I11513">
        <v>1136</v>
      </c>
      <c r="J11513">
        <f>GS15/624.5</f>
        <v>0</v>
      </c>
      <c r="M11513" t="inlineStr">
        <is>
          <t>-624K3518.7</t>
        </is>
      </c>
    </row>
    <row r="11514">
      <c r="A11514">
        <v>11513</v>
      </c>
      <c r="B11514">
        <f>GS15</f>
        <v>0</v>
      </c>
      <c r="C11514" t="inlineStr">
        <is>
          <t>+LS12</t>
        </is>
      </c>
      <c r="D11514" t="inlineStr">
        <is>
          <t>-624K3519.0</t>
        </is>
      </c>
      <c r="E11514" t="inlineStr">
        <is>
          <t>DIL_EM-10-G</t>
        </is>
      </c>
      <c r="F11514" t="inlineStr">
        <is>
          <t>#KALK!</t>
        </is>
      </c>
      <c r="G11514" t="inlineStr">
        <is>
          <t>LASTSCHUETZ</t>
        </is>
      </c>
      <c r="H11514" t="inlineStr">
        <is>
          <t>4kW 1S</t>
        </is>
      </c>
      <c r="I11514">
        <v>1136</v>
      </c>
      <c r="J11514">
        <f>GS15/624.6</f>
        <v>0</v>
      </c>
      <c r="M11514" t="inlineStr">
        <is>
          <t>-624K3519.0</t>
        </is>
      </c>
    </row>
    <row r="11515">
      <c r="A11515">
        <v>11514</v>
      </c>
      <c r="B11515">
        <f>GS15</f>
        <v>0</v>
      </c>
      <c r="C11515" t="inlineStr">
        <is>
          <t>+LS12</t>
        </is>
      </c>
      <c r="D11515" t="inlineStr">
        <is>
          <t>-624K3519.1</t>
        </is>
      </c>
      <c r="E11515" t="inlineStr">
        <is>
          <t>DIL_EM-01-G</t>
        </is>
      </c>
      <c r="F11515" t="inlineStr">
        <is>
          <t>#KALK!</t>
        </is>
      </c>
      <c r="G11515" t="inlineStr">
        <is>
          <t>LASTSCHUETZ</t>
        </is>
      </c>
      <c r="H11515" t="inlineStr">
        <is>
          <t>4kW 1OE</t>
        </is>
      </c>
      <c r="I11515">
        <v>1136</v>
      </c>
      <c r="J11515">
        <f>GS15/624.7</f>
        <v>0</v>
      </c>
      <c r="M11515" t="inlineStr">
        <is>
          <t>-624K3519.1</t>
        </is>
      </c>
    </row>
    <row r="11516">
      <c r="A11516">
        <v>11515</v>
      </c>
      <c r="B11516">
        <f>GS15</f>
        <v>0</v>
      </c>
      <c r="C11516" t="inlineStr">
        <is>
          <t>+LS12</t>
        </is>
      </c>
      <c r="D11516" t="inlineStr">
        <is>
          <t>-624K3519.2</t>
        </is>
      </c>
      <c r="E11516" t="inlineStr">
        <is>
          <t>DIL_EM-01-G</t>
        </is>
      </c>
      <c r="F11516" t="inlineStr">
        <is>
          <t>#KALK!</t>
        </is>
      </c>
      <c r="G11516" t="inlineStr">
        <is>
          <t>LASTSCHUETZ</t>
        </is>
      </c>
      <c r="H11516" t="inlineStr">
        <is>
          <t>4kW 1OE</t>
        </is>
      </c>
      <c r="I11516">
        <v>1136</v>
      </c>
      <c r="J11516">
        <f>GS15/624.8</f>
        <v>0</v>
      </c>
      <c r="M11516" t="inlineStr">
        <is>
          <t>-624K3519.2</t>
        </is>
      </c>
    </row>
    <row r="11517">
      <c r="A11517">
        <v>11516</v>
      </c>
      <c r="B11517">
        <f>GS23</f>
        <v>0</v>
      </c>
      <c r="C11517" t="inlineStr">
        <is>
          <t>+LS15</t>
        </is>
      </c>
      <c r="D11517" t="inlineStr">
        <is>
          <t>-624K43.3</t>
        </is>
      </c>
      <c r="E11517" t="inlineStr">
        <is>
          <t>DIL_EM-10-G</t>
        </is>
      </c>
      <c r="F11517" t="inlineStr">
        <is>
          <t>#KALK!</t>
        </is>
      </c>
      <c r="G11517" t="inlineStr">
        <is>
          <t>LASTSCHUETZ</t>
        </is>
      </c>
      <c r="H11517" t="inlineStr">
        <is>
          <t>4kW 1S</t>
        </is>
      </c>
      <c r="I11517">
        <v>936</v>
      </c>
      <c r="J11517">
        <f>GS23/624.7</f>
        <v>0</v>
      </c>
      <c r="M11517" t="inlineStr">
        <is>
          <t>-624K43.3</t>
        </is>
      </c>
    </row>
    <row r="11518">
      <c r="A11518">
        <v>11517</v>
      </c>
      <c r="B11518">
        <f>GS13</f>
        <v>0</v>
      </c>
      <c r="C11518" t="inlineStr">
        <is>
          <t>+LS15</t>
        </is>
      </c>
      <c r="D11518" t="inlineStr">
        <is>
          <t>-62543.7</t>
        </is>
      </c>
      <c r="E11518" t="inlineStr">
        <is>
          <t>DIL_EM-10-G</t>
        </is>
      </c>
      <c r="F11518" t="inlineStr">
        <is>
          <t>#KALK!</t>
        </is>
      </c>
      <c r="G11518" t="inlineStr">
        <is>
          <t>LASTSCHUETZ</t>
        </is>
      </c>
      <c r="H11518" t="inlineStr">
        <is>
          <t>4kW 1S</t>
        </is>
      </c>
      <c r="I11518">
        <v>884</v>
      </c>
      <c r="J11518">
        <f>GS13/625.7</f>
        <v>0</v>
      </c>
      <c r="M11518" t="inlineStr">
        <is>
          <t>-62543.7</t>
        </is>
      </c>
    </row>
    <row r="11519">
      <c r="A11519">
        <v>11518</v>
      </c>
      <c r="B11519">
        <f>GS55</f>
        <v>0</v>
      </c>
      <c r="C11519" t="inlineStr">
        <is>
          <t>+LS09</t>
        </is>
      </c>
      <c r="D11519" t="inlineStr">
        <is>
          <t>-625K1617.6</t>
        </is>
      </c>
      <c r="E11519" t="inlineStr">
        <is>
          <t>DILA-22</t>
        </is>
      </c>
      <c r="F11519" t="inlineStr">
        <is>
          <t>#KALK!</t>
        </is>
      </c>
      <c r="G11519" t="inlineStr">
        <is>
          <t>HILFSSCHUETZ</t>
        </is>
      </c>
      <c r="H11519" t="inlineStr">
        <is>
          <t>2S 2Oe Federzugkl.</t>
        </is>
      </c>
      <c r="I11519">
        <v>891</v>
      </c>
      <c r="J11519">
        <f>GS55/625.2</f>
        <v>0</v>
      </c>
      <c r="M11519" t="inlineStr">
        <is>
          <t>-625K1617.6</t>
        </is>
      </c>
    </row>
    <row r="11520">
      <c r="A11520">
        <v>11519</v>
      </c>
      <c r="B11520">
        <f>GS23</f>
        <v>0</v>
      </c>
      <c r="C11520" t="inlineStr">
        <is>
          <t>+LS15</t>
        </is>
      </c>
      <c r="D11520" t="inlineStr">
        <is>
          <t>-625K43.7</t>
        </is>
      </c>
      <c r="E11520" t="inlineStr">
        <is>
          <t>DIL_EM-10-G</t>
        </is>
      </c>
      <c r="F11520" t="inlineStr">
        <is>
          <t>#KALK!</t>
        </is>
      </c>
      <c r="G11520" t="inlineStr">
        <is>
          <t>LASTSCHUETZ</t>
        </is>
      </c>
      <c r="H11520" t="inlineStr">
        <is>
          <t>4kW 1S</t>
        </is>
      </c>
      <c r="I11520">
        <v>937</v>
      </c>
      <c r="J11520">
        <f>GS23/625.7</f>
        <v>0</v>
      </c>
      <c r="M11520" t="inlineStr">
        <is>
          <t>-625K43.7</t>
        </is>
      </c>
    </row>
    <row r="11521">
      <c r="A11521">
        <v>11520</v>
      </c>
      <c r="B11521">
        <f>GS93</f>
        <v>0</v>
      </c>
      <c r="C11521" t="inlineStr">
        <is>
          <t>+LS12</t>
        </is>
      </c>
      <c r="D11521" t="inlineStr">
        <is>
          <t>-625K766.4</t>
        </is>
      </c>
      <c r="E11521" t="inlineStr">
        <is>
          <t>DILA-40</t>
        </is>
      </c>
      <c r="F11521" t="inlineStr">
        <is>
          <t>#KALK!</t>
        </is>
      </c>
      <c r="G11521" t="inlineStr">
        <is>
          <t>HILFSSCHUETZ</t>
        </is>
      </c>
      <c r="H11521" t="inlineStr">
        <is>
          <t>4S Federzugkl.</t>
        </is>
      </c>
      <c r="I11521">
        <v>1174</v>
      </c>
      <c r="J11521">
        <f>GS93/625.7</f>
        <v>0</v>
      </c>
      <c r="M11521" t="inlineStr">
        <is>
          <t>-625K766.4</t>
        </is>
      </c>
    </row>
    <row r="11522">
      <c r="A11522">
        <v>11521</v>
      </c>
      <c r="B11522">
        <f>GS05</f>
        <v>0</v>
      </c>
      <c r="C11522" t="inlineStr">
        <is>
          <t>+LS10</t>
        </is>
      </c>
      <c r="D11522" t="inlineStr">
        <is>
          <t>-625Q1</t>
        </is>
      </c>
      <c r="E11522" t="inlineStr">
        <is>
          <t>DILA-XHI22</t>
        </is>
      </c>
      <c r="F11522" t="inlineStr">
        <is>
          <t>DILA-XHI22</t>
        </is>
      </c>
      <c r="G11522" t="inlineStr">
        <is>
          <t>HILFSKONTAKTBLOCK</t>
        </is>
      </c>
      <c r="H11522" t="inlineStr">
        <is>
          <t>2S 2OE Last+Hilfssch. Cage</t>
        </is>
      </c>
      <c r="I11522">
        <v>2724</v>
      </c>
      <c r="J11522">
        <f>GS05/625.6</f>
        <v>0</v>
      </c>
      <c r="K11522" t="inlineStr">
        <is>
          <t>DIL MC25</t>
        </is>
      </c>
      <c r="M11522" t="inlineStr">
        <is>
          <t>-625Q1</t>
        </is>
      </c>
    </row>
    <row r="11523">
      <c r="A11523">
        <v>11522</v>
      </c>
      <c r="B11523">
        <f>GS05</f>
        <v>0</v>
      </c>
      <c r="C11523" t="inlineStr">
        <is>
          <t>+LS10</t>
        </is>
      </c>
      <c r="D11523" t="inlineStr">
        <is>
          <t>-625Q1</t>
        </is>
      </c>
      <c r="E11523" t="inlineStr">
        <is>
          <t>DILMC25-10(RDC24)</t>
        </is>
      </c>
      <c r="F11523" t="inlineStr">
        <is>
          <t>DILA-XHI22</t>
        </is>
      </c>
      <c r="G11523" t="inlineStr">
        <is>
          <t>LASTSCHUETZ</t>
        </is>
      </c>
      <c r="H11523" t="inlineStr">
        <is>
          <t>11kW 1S Federzugkl.</t>
        </is>
      </c>
      <c r="I11523">
        <v>2724</v>
      </c>
      <c r="J11523">
        <f>GS05/625.6</f>
        <v>0</v>
      </c>
      <c r="K11523" t="inlineStr">
        <is>
          <t>DIL MC25</t>
        </is>
      </c>
      <c r="M11523" t="inlineStr">
        <is>
          <t>-625Q1</t>
        </is>
      </c>
    </row>
    <row r="11524">
      <c r="A11524">
        <v>11523</v>
      </c>
      <c r="B11524">
        <f>GS06</f>
        <v>0</v>
      </c>
      <c r="C11524" t="inlineStr">
        <is>
          <t>+LS10</t>
        </is>
      </c>
      <c r="D11524" t="inlineStr">
        <is>
          <t>-625Q1</t>
        </is>
      </c>
      <c r="E11524" t="inlineStr">
        <is>
          <t>DILA-XHI22</t>
        </is>
      </c>
      <c r="F11524" t="inlineStr">
        <is>
          <t>DILA-XHI22</t>
        </is>
      </c>
      <c r="G11524" t="inlineStr">
        <is>
          <t>HILFSKONTAKTBLOCK</t>
        </is>
      </c>
      <c r="H11524" t="inlineStr">
        <is>
          <t>2S 2OE Last+Hilfssch. Cage</t>
        </is>
      </c>
      <c r="I11524">
        <v>1187</v>
      </c>
      <c r="J11524">
        <f>GS06/625.6</f>
        <v>0</v>
      </c>
      <c r="K11524" t="inlineStr">
        <is>
          <t>DIL MC25</t>
        </is>
      </c>
      <c r="M11524" t="inlineStr">
        <is>
          <t>-625Q1</t>
        </is>
      </c>
    </row>
    <row r="11525">
      <c r="A11525">
        <v>11524</v>
      </c>
      <c r="B11525">
        <f>GS06</f>
        <v>0</v>
      </c>
      <c r="C11525" t="inlineStr">
        <is>
          <t>+LS10</t>
        </is>
      </c>
      <c r="D11525" t="inlineStr">
        <is>
          <t>-625Q1</t>
        </is>
      </c>
      <c r="E11525" t="inlineStr">
        <is>
          <t>DILMC25-10(RDC24)</t>
        </is>
      </c>
      <c r="F11525" t="inlineStr">
        <is>
          <t>DILA-XHI22</t>
        </is>
      </c>
      <c r="G11525" t="inlineStr">
        <is>
          <t>LASTSCHUETZ</t>
        </is>
      </c>
      <c r="H11525" t="inlineStr">
        <is>
          <t>11kW 1S Federzugkl.</t>
        </is>
      </c>
      <c r="I11525">
        <v>1187</v>
      </c>
      <c r="J11525">
        <f>GS06/625.6</f>
        <v>0</v>
      </c>
      <c r="K11525" t="inlineStr">
        <is>
          <t>DIL MC25</t>
        </is>
      </c>
      <c r="M11525" t="inlineStr">
        <is>
          <t>-625Q1</t>
        </is>
      </c>
    </row>
    <row r="11526">
      <c r="A11526">
        <v>11525</v>
      </c>
      <c r="B11526">
        <f>GS93</f>
        <v>0</v>
      </c>
      <c r="C11526" t="inlineStr">
        <is>
          <t>+LS12</t>
        </is>
      </c>
      <c r="D11526" t="inlineStr">
        <is>
          <t>-625Q1</t>
        </is>
      </c>
      <c r="E11526" t="inlineStr">
        <is>
          <t>DILA-XHI22</t>
        </is>
      </c>
      <c r="F11526" t="inlineStr">
        <is>
          <t>DILA-XHI22</t>
        </is>
      </c>
      <c r="G11526" t="inlineStr">
        <is>
          <t>HILFSKONTAKTBLOCK</t>
        </is>
      </c>
      <c r="H11526" t="inlineStr">
        <is>
          <t>2S 2OE Last+Hilfssch. Cage</t>
        </is>
      </c>
      <c r="I11526">
        <v>1174</v>
      </c>
      <c r="J11526">
        <f>GS93/625.4</f>
        <v>0</v>
      </c>
      <c r="K11526" t="inlineStr">
        <is>
          <t>DIL MC25</t>
        </is>
      </c>
      <c r="M11526" t="inlineStr">
        <is>
          <t>-625Q1</t>
        </is>
      </c>
    </row>
    <row r="11527">
      <c r="A11527">
        <v>11526</v>
      </c>
      <c r="B11527">
        <f>GS93</f>
        <v>0</v>
      </c>
      <c r="C11527" t="inlineStr">
        <is>
          <t>+LS12</t>
        </is>
      </c>
      <c r="D11527" t="inlineStr">
        <is>
          <t>-625Q1</t>
        </is>
      </c>
      <c r="E11527" t="inlineStr">
        <is>
          <t>DILMC25-10(RDC24)</t>
        </is>
      </c>
      <c r="F11527" t="inlineStr">
        <is>
          <t>DILA-XHI22</t>
        </is>
      </c>
      <c r="G11527" t="inlineStr">
        <is>
          <t>LASTSCHUETZ</t>
        </is>
      </c>
      <c r="H11527" t="inlineStr">
        <is>
          <t>11kW 1S Federzugkl.</t>
        </is>
      </c>
      <c r="I11527">
        <v>1174</v>
      </c>
      <c r="J11527">
        <f>GS93/625.4</f>
        <v>0</v>
      </c>
      <c r="K11527" t="inlineStr">
        <is>
          <t>DIL MC25</t>
        </is>
      </c>
      <c r="M11527" t="inlineStr">
        <is>
          <t>-625Q1</t>
        </is>
      </c>
    </row>
    <row r="11528">
      <c r="A11528">
        <v>11527</v>
      </c>
      <c r="B11528">
        <f>GS55</f>
        <v>0</v>
      </c>
      <c r="C11528" t="inlineStr">
        <is>
          <t>+LS09</t>
        </is>
      </c>
      <c r="D11528" t="inlineStr">
        <is>
          <t>-625Q1617.7</t>
        </is>
      </c>
      <c r="E11528" t="inlineStr">
        <is>
          <t>DILM-9-10</t>
        </is>
      </c>
      <c r="F11528" t="inlineStr">
        <is>
          <t>#KALK!</t>
        </is>
      </c>
      <c r="G11528" t="inlineStr">
        <is>
          <t>LASTSCHUETZ</t>
        </is>
      </c>
      <c r="H11528" t="inlineStr">
        <is>
          <t>4kW 1S Federzugkl.</t>
        </is>
      </c>
      <c r="I11528">
        <v>891</v>
      </c>
      <c r="J11528">
        <f>GS55/625.3</f>
        <v>0</v>
      </c>
      <c r="K11528" t="inlineStr">
        <is>
          <t>DIL MC9</t>
        </is>
      </c>
      <c r="M11528" t="inlineStr">
        <is>
          <t>-625Q1617.7</t>
        </is>
      </c>
    </row>
    <row r="11529">
      <c r="A11529">
        <v>11528</v>
      </c>
      <c r="B11529">
        <f>GS13</f>
        <v>0</v>
      </c>
      <c r="C11529" t="inlineStr">
        <is>
          <t>+LS15</t>
        </is>
      </c>
      <c r="D11529" t="inlineStr">
        <is>
          <t>-62641.0</t>
        </is>
      </c>
      <c r="E11529" t="inlineStr">
        <is>
          <t>DIL_EM-10-G</t>
        </is>
      </c>
      <c r="F11529" t="inlineStr">
        <is>
          <t>#KALK!</t>
        </is>
      </c>
      <c r="G11529" t="inlineStr">
        <is>
          <t>LASTSCHUETZ</t>
        </is>
      </c>
      <c r="H11529" t="inlineStr">
        <is>
          <t>4kW 1S</t>
        </is>
      </c>
      <c r="I11529">
        <v>885</v>
      </c>
      <c r="J11529">
        <f>GS13/626.6</f>
        <v>0</v>
      </c>
      <c r="M11529" t="inlineStr">
        <is>
          <t>-62641.0</t>
        </is>
      </c>
    </row>
    <row r="11530">
      <c r="A11530">
        <v>11529</v>
      </c>
      <c r="B11530">
        <f>GS13</f>
        <v>0</v>
      </c>
      <c r="C11530" t="inlineStr">
        <is>
          <t>+LS15</t>
        </is>
      </c>
      <c r="D11530" t="inlineStr">
        <is>
          <t>-62641.1</t>
        </is>
      </c>
      <c r="E11530" t="inlineStr">
        <is>
          <t>DIL_EM-10-G</t>
        </is>
      </c>
      <c r="F11530" t="inlineStr">
        <is>
          <t>#KALK!</t>
        </is>
      </c>
      <c r="G11530" t="inlineStr">
        <is>
          <t>LASTSCHUETZ</t>
        </is>
      </c>
      <c r="H11530" t="inlineStr">
        <is>
          <t>4kW 1S</t>
        </is>
      </c>
      <c r="I11530">
        <v>885</v>
      </c>
      <c r="J11530">
        <f>GS13/626.6</f>
        <v>0</v>
      </c>
      <c r="M11530" t="inlineStr">
        <is>
          <t>-62641.1</t>
        </is>
      </c>
    </row>
    <row r="11531">
      <c r="A11531">
        <v>11530</v>
      </c>
      <c r="B11531">
        <f>GS15</f>
        <v>0</v>
      </c>
      <c r="C11531" t="inlineStr">
        <is>
          <t>+LS12</t>
        </is>
      </c>
      <c r="D11531" t="inlineStr">
        <is>
          <t>-626K3520.1</t>
        </is>
      </c>
      <c r="E11531" t="inlineStr">
        <is>
          <t>DIL_EM-10-G</t>
        </is>
      </c>
      <c r="F11531" t="inlineStr">
        <is>
          <t>#KALK!</t>
        </is>
      </c>
      <c r="G11531" t="inlineStr">
        <is>
          <t>LASTSCHUETZ</t>
        </is>
      </c>
      <c r="H11531" t="inlineStr">
        <is>
          <t>4kW 1S</t>
        </is>
      </c>
      <c r="I11531">
        <v>1138</v>
      </c>
      <c r="J11531">
        <f>GS15/626.5</f>
        <v>0</v>
      </c>
      <c r="M11531" t="inlineStr">
        <is>
          <t>-626K3520.1</t>
        </is>
      </c>
    </row>
    <row r="11532">
      <c r="A11532">
        <v>11531</v>
      </c>
      <c r="B11532">
        <f>GS15</f>
        <v>0</v>
      </c>
      <c r="C11532" t="inlineStr">
        <is>
          <t>+LS12</t>
        </is>
      </c>
      <c r="D11532" t="inlineStr">
        <is>
          <t>-626K3520.2</t>
        </is>
      </c>
      <c r="E11532" t="inlineStr">
        <is>
          <t>DIL_EM-10-G</t>
        </is>
      </c>
      <c r="F11532" t="inlineStr">
        <is>
          <t>#KALK!</t>
        </is>
      </c>
      <c r="G11532" t="inlineStr">
        <is>
          <t>LASTSCHUETZ</t>
        </is>
      </c>
      <c r="H11532" t="inlineStr">
        <is>
          <t>4kW 1S</t>
        </is>
      </c>
      <c r="I11532">
        <v>1138</v>
      </c>
      <c r="J11532">
        <f>GS15/626.6</f>
        <v>0</v>
      </c>
      <c r="M11532" t="inlineStr">
        <is>
          <t>-626K3520.2</t>
        </is>
      </c>
    </row>
    <row r="11533">
      <c r="A11533">
        <v>11532</v>
      </c>
      <c r="B11533">
        <f>GS15</f>
        <v>0</v>
      </c>
      <c r="C11533" t="inlineStr">
        <is>
          <t>+LS12</t>
        </is>
      </c>
      <c r="D11533" t="inlineStr">
        <is>
          <t>-626K3520.3</t>
        </is>
      </c>
      <c r="E11533" t="inlineStr">
        <is>
          <t>DIL_EM-01-G</t>
        </is>
      </c>
      <c r="F11533" t="inlineStr">
        <is>
          <t>#KALK!</t>
        </is>
      </c>
      <c r="G11533" t="inlineStr">
        <is>
          <t>LASTSCHUETZ</t>
        </is>
      </c>
      <c r="H11533" t="inlineStr">
        <is>
          <t>4kW 1OE</t>
        </is>
      </c>
      <c r="I11533">
        <v>1138</v>
      </c>
      <c r="J11533">
        <f>GS15/626.7</f>
        <v>0</v>
      </c>
      <c r="M11533" t="inlineStr">
        <is>
          <t>-626K3520.3</t>
        </is>
      </c>
    </row>
    <row r="11534">
      <c r="A11534">
        <v>11533</v>
      </c>
      <c r="B11534">
        <f>GS15</f>
        <v>0</v>
      </c>
      <c r="C11534" t="inlineStr">
        <is>
          <t>+LS12</t>
        </is>
      </c>
      <c r="D11534" t="inlineStr">
        <is>
          <t>-626K3520.4</t>
        </is>
      </c>
      <c r="E11534" t="inlineStr">
        <is>
          <t>DIL_EM-01-G</t>
        </is>
      </c>
      <c r="F11534" t="inlineStr">
        <is>
          <t>#KALK!</t>
        </is>
      </c>
      <c r="G11534" t="inlineStr">
        <is>
          <t>LASTSCHUETZ</t>
        </is>
      </c>
      <c r="H11534" t="inlineStr">
        <is>
          <t>4kW 1OE</t>
        </is>
      </c>
      <c r="I11534">
        <v>1138</v>
      </c>
      <c r="J11534">
        <f>GS15/626.8</f>
        <v>0</v>
      </c>
      <c r="M11534" t="inlineStr">
        <is>
          <t>-626K3520.4</t>
        </is>
      </c>
    </row>
    <row r="11535">
      <c r="A11535">
        <v>11534</v>
      </c>
      <c r="B11535">
        <f>GS25</f>
        <v>0</v>
      </c>
      <c r="C11535" t="inlineStr">
        <is>
          <t>+LS14</t>
        </is>
      </c>
      <c r="D11535" t="inlineStr">
        <is>
          <t>-626K3526.0</t>
        </is>
      </c>
      <c r="E11535" t="inlineStr">
        <is>
          <t>DIL_EM-10-G</t>
        </is>
      </c>
      <c r="F11535" t="inlineStr">
        <is>
          <t>#KALK!</t>
        </is>
      </c>
      <c r="G11535" t="inlineStr">
        <is>
          <t>LASTSCHUETZ</t>
        </is>
      </c>
      <c r="H11535" t="inlineStr">
        <is>
          <t>4kW 1S</t>
        </is>
      </c>
      <c r="I11535">
        <v>752</v>
      </c>
      <c r="J11535">
        <f>GS25/626.6</f>
        <v>0</v>
      </c>
      <c r="M11535" t="inlineStr">
        <is>
          <t>-626K3526.0</t>
        </is>
      </c>
    </row>
    <row r="11536">
      <c r="A11536">
        <v>11535</v>
      </c>
      <c r="B11536">
        <f>GS25</f>
        <v>0</v>
      </c>
      <c r="C11536" t="inlineStr">
        <is>
          <t>+LS14</t>
        </is>
      </c>
      <c r="D11536" t="inlineStr">
        <is>
          <t>-626K3526.1</t>
        </is>
      </c>
      <c r="E11536" t="inlineStr">
        <is>
          <t>DIL_EM-10-G</t>
        </is>
      </c>
      <c r="F11536" t="inlineStr">
        <is>
          <t>#KALK!</t>
        </is>
      </c>
      <c r="G11536" t="inlineStr">
        <is>
          <t>LASTSCHUETZ</t>
        </is>
      </c>
      <c r="H11536" t="inlineStr">
        <is>
          <t>4kW 1S</t>
        </is>
      </c>
      <c r="I11536">
        <v>752</v>
      </c>
      <c r="J11536">
        <f>GS25/626.6</f>
        <v>0</v>
      </c>
      <c r="M11536" t="inlineStr">
        <is>
          <t>-626K3526.1</t>
        </is>
      </c>
    </row>
    <row r="11537">
      <c r="A11537">
        <v>11536</v>
      </c>
      <c r="B11537">
        <f>GS23</f>
        <v>0</v>
      </c>
      <c r="C11537" t="inlineStr">
        <is>
          <t>+LS15</t>
        </is>
      </c>
      <c r="D11537" t="inlineStr">
        <is>
          <t>-626K41.0</t>
        </is>
      </c>
      <c r="E11537" t="inlineStr">
        <is>
          <t>DIL_EM-10-G</t>
        </is>
      </c>
      <c r="F11537" t="inlineStr">
        <is>
          <t>#KALK!</t>
        </is>
      </c>
      <c r="G11537" t="inlineStr">
        <is>
          <t>LASTSCHUETZ</t>
        </is>
      </c>
      <c r="H11537" t="inlineStr">
        <is>
          <t>4kW 1S</t>
        </is>
      </c>
      <c r="I11537">
        <v>938</v>
      </c>
      <c r="J11537">
        <f>GS23/626.6</f>
        <v>0</v>
      </c>
      <c r="M11537" t="inlineStr">
        <is>
          <t>-626K41.0</t>
        </is>
      </c>
    </row>
    <row r="11538">
      <c r="A11538">
        <v>11537</v>
      </c>
      <c r="B11538">
        <f>GS23</f>
        <v>0</v>
      </c>
      <c r="C11538" t="inlineStr">
        <is>
          <t>+LS15</t>
        </is>
      </c>
      <c r="D11538" t="inlineStr">
        <is>
          <t>-626K41.1</t>
        </is>
      </c>
      <c r="E11538" t="inlineStr">
        <is>
          <t>DIL_EM-10-G</t>
        </is>
      </c>
      <c r="F11538" t="inlineStr">
        <is>
          <t>#KALK!</t>
        </is>
      </c>
      <c r="G11538" t="inlineStr">
        <is>
          <t>LASTSCHUETZ</t>
        </is>
      </c>
      <c r="H11538" t="inlineStr">
        <is>
          <t>4kW 1S</t>
        </is>
      </c>
      <c r="I11538">
        <v>938</v>
      </c>
      <c r="J11538">
        <f>GS23/626.6</f>
        <v>0</v>
      </c>
      <c r="M11538" t="inlineStr">
        <is>
          <t>-626K41.1</t>
        </is>
      </c>
    </row>
    <row r="11539">
      <c r="A11539">
        <v>11538</v>
      </c>
      <c r="B11539">
        <f>GS93</f>
        <v>0</v>
      </c>
      <c r="C11539" t="inlineStr">
        <is>
          <t>+LS12</t>
        </is>
      </c>
      <c r="D11539" t="inlineStr">
        <is>
          <t>-626Q766.5</t>
        </is>
      </c>
      <c r="E11539" t="inlineStr">
        <is>
          <t>DILA-XHI22</t>
        </is>
      </c>
      <c r="F11539" t="inlineStr">
        <is>
          <t>DILA-XHI22</t>
        </is>
      </c>
      <c r="G11539" t="inlineStr">
        <is>
          <t>HILFSKONTAKTBLOCK</t>
        </is>
      </c>
      <c r="H11539" t="inlineStr">
        <is>
          <t>2S 2OE Last+Hilfssch. Cage</t>
        </is>
      </c>
      <c r="I11539">
        <v>1175</v>
      </c>
      <c r="J11539">
        <f>GS93/626.5</f>
        <v>0</v>
      </c>
      <c r="M11539" t="inlineStr">
        <is>
          <t>-626Q766.5</t>
        </is>
      </c>
    </row>
    <row r="11540">
      <c r="A11540">
        <v>11539</v>
      </c>
      <c r="B11540">
        <f>GS93</f>
        <v>0</v>
      </c>
      <c r="C11540" t="inlineStr">
        <is>
          <t>+LS12</t>
        </is>
      </c>
      <c r="D11540" t="inlineStr">
        <is>
          <t>-626Q766.5</t>
        </is>
      </c>
      <c r="E11540" t="inlineStr">
        <is>
          <t>DILM-9-10</t>
        </is>
      </c>
      <c r="F11540" t="inlineStr">
        <is>
          <t>DILA-XHI22</t>
        </is>
      </c>
      <c r="G11540" t="inlineStr">
        <is>
          <t>LASTSCHUETZ</t>
        </is>
      </c>
      <c r="H11540" t="inlineStr">
        <is>
          <t>4kW 1S Federzugkl.</t>
        </is>
      </c>
      <c r="I11540">
        <v>1175</v>
      </c>
      <c r="J11540">
        <f>GS93/626.5</f>
        <v>0</v>
      </c>
      <c r="M11540" t="inlineStr">
        <is>
          <t>-626Q766.5</t>
        </is>
      </c>
    </row>
    <row r="11541">
      <c r="A11541">
        <v>11540</v>
      </c>
      <c r="B11541">
        <f>GS93</f>
        <v>0</v>
      </c>
      <c r="C11541" t="inlineStr">
        <is>
          <t>+LS12</t>
        </is>
      </c>
      <c r="D11541" t="inlineStr">
        <is>
          <t>-626Q766.6</t>
        </is>
      </c>
      <c r="E11541" t="inlineStr">
        <is>
          <t>DILA-XHI22</t>
        </is>
      </c>
      <c r="F11541" t="inlineStr">
        <is>
          <t>DILA-XHI22</t>
        </is>
      </c>
      <c r="G11541" t="inlineStr">
        <is>
          <t>HILFSKONTAKTBLOCK</t>
        </is>
      </c>
      <c r="H11541" t="inlineStr">
        <is>
          <t>2S 2OE Last+Hilfssch. Cage</t>
        </is>
      </c>
      <c r="I11541">
        <v>1175</v>
      </c>
      <c r="J11541">
        <f>GS93/626.6</f>
        <v>0</v>
      </c>
      <c r="M11541" t="inlineStr">
        <is>
          <t>-626Q766.6</t>
        </is>
      </c>
    </row>
    <row r="11542">
      <c r="A11542">
        <v>11541</v>
      </c>
      <c r="B11542">
        <f>GS93</f>
        <v>0</v>
      </c>
      <c r="C11542" t="inlineStr">
        <is>
          <t>+LS12</t>
        </is>
      </c>
      <c r="D11542" t="inlineStr">
        <is>
          <t>-626Q766.6</t>
        </is>
      </c>
      <c r="E11542" t="inlineStr">
        <is>
          <t>DILM-9-10</t>
        </is>
      </c>
      <c r="F11542" t="inlineStr">
        <is>
          <t>DILA-XHI22</t>
        </is>
      </c>
      <c r="G11542" t="inlineStr">
        <is>
          <t>LASTSCHUETZ</t>
        </is>
      </c>
      <c r="H11542" t="inlineStr">
        <is>
          <t>4kW 1S Federzugkl.</t>
        </is>
      </c>
      <c r="I11542">
        <v>1175</v>
      </c>
      <c r="J11542">
        <f>GS93/626.6</f>
        <v>0</v>
      </c>
      <c r="M11542" t="inlineStr">
        <is>
          <t>-626Q766.6</t>
        </is>
      </c>
    </row>
    <row r="11543">
      <c r="A11543">
        <v>11542</v>
      </c>
      <c r="B11543">
        <f>GS13</f>
        <v>0</v>
      </c>
      <c r="C11543" t="inlineStr">
        <is>
          <t>+LS15</t>
        </is>
      </c>
      <c r="D11543" t="inlineStr">
        <is>
          <t>-62741.2</t>
        </is>
      </c>
      <c r="E11543" t="inlineStr">
        <is>
          <t>DIL_EM-10-G</t>
        </is>
      </c>
      <c r="F11543" t="inlineStr">
        <is>
          <t>#KALK!</t>
        </is>
      </c>
      <c r="G11543" t="inlineStr">
        <is>
          <t>LASTSCHUETZ</t>
        </is>
      </c>
      <c r="H11543" t="inlineStr">
        <is>
          <t>4kW 1S</t>
        </is>
      </c>
      <c r="I11543">
        <v>886</v>
      </c>
      <c r="J11543">
        <f>GS13/627.6</f>
        <v>0</v>
      </c>
      <c r="M11543" t="inlineStr">
        <is>
          <t>-62741.2</t>
        </is>
      </c>
    </row>
    <row r="11544">
      <c r="A11544">
        <v>11543</v>
      </c>
      <c r="B11544">
        <f>GS13</f>
        <v>0</v>
      </c>
      <c r="C11544" t="inlineStr">
        <is>
          <t>+LS15</t>
        </is>
      </c>
      <c r="D11544" t="inlineStr">
        <is>
          <t>-62741.3</t>
        </is>
      </c>
      <c r="E11544" t="inlineStr">
        <is>
          <t>DIL_EM-10-G</t>
        </is>
      </c>
      <c r="F11544" t="inlineStr">
        <is>
          <t>#KALK!</t>
        </is>
      </c>
      <c r="G11544" t="inlineStr">
        <is>
          <t>LASTSCHUETZ</t>
        </is>
      </c>
      <c r="H11544" t="inlineStr">
        <is>
          <t>4kW 1S</t>
        </is>
      </c>
      <c r="I11544">
        <v>886</v>
      </c>
      <c r="J11544">
        <f>GS13/627.6</f>
        <v>0</v>
      </c>
      <c r="M11544" t="inlineStr">
        <is>
          <t>-62741.3</t>
        </is>
      </c>
    </row>
    <row r="11545">
      <c r="A11545">
        <v>11544</v>
      </c>
      <c r="B11545">
        <f>GS15</f>
        <v>0</v>
      </c>
      <c r="C11545" t="inlineStr">
        <is>
          <t>+LS12</t>
        </is>
      </c>
      <c r="D11545" t="inlineStr">
        <is>
          <t>-627K3520.5</t>
        </is>
      </c>
      <c r="E11545" t="inlineStr">
        <is>
          <t>DIL_EM-10-G</t>
        </is>
      </c>
      <c r="F11545" t="inlineStr">
        <is>
          <t>#KALK!</t>
        </is>
      </c>
      <c r="G11545" t="inlineStr">
        <is>
          <t>LASTSCHUETZ</t>
        </is>
      </c>
      <c r="H11545" t="inlineStr">
        <is>
          <t>4kW 1S</t>
        </is>
      </c>
      <c r="I11545">
        <v>1139</v>
      </c>
      <c r="J11545">
        <f>GS15/627.6</f>
        <v>0</v>
      </c>
      <c r="M11545" t="inlineStr">
        <is>
          <t>-627K3520.5</t>
        </is>
      </c>
    </row>
    <row r="11546">
      <c r="A11546">
        <v>11545</v>
      </c>
      <c r="B11546">
        <f>GS15</f>
        <v>0</v>
      </c>
      <c r="C11546" t="inlineStr">
        <is>
          <t>+LS12</t>
        </is>
      </c>
      <c r="D11546" t="inlineStr">
        <is>
          <t>-627K3520.6</t>
        </is>
      </c>
      <c r="E11546" t="inlineStr">
        <is>
          <t>DIL_EM-10-G</t>
        </is>
      </c>
      <c r="F11546" t="inlineStr">
        <is>
          <t>#KALK!</t>
        </is>
      </c>
      <c r="G11546" t="inlineStr">
        <is>
          <t>LASTSCHUETZ</t>
        </is>
      </c>
      <c r="H11546" t="inlineStr">
        <is>
          <t>4kW 1S</t>
        </is>
      </c>
      <c r="I11546">
        <v>1139</v>
      </c>
      <c r="J11546">
        <f>GS15/627.6</f>
        <v>0</v>
      </c>
      <c r="M11546" t="inlineStr">
        <is>
          <t>-627K3520.6</t>
        </is>
      </c>
    </row>
    <row r="11547">
      <c r="A11547">
        <v>11546</v>
      </c>
      <c r="B11547">
        <f>GS23</f>
        <v>0</v>
      </c>
      <c r="C11547" t="inlineStr">
        <is>
          <t>+LS15</t>
        </is>
      </c>
      <c r="D11547" t="inlineStr">
        <is>
          <t>-627K41.2</t>
        </is>
      </c>
      <c r="E11547" t="inlineStr">
        <is>
          <t>DIL_EM-10-G</t>
        </is>
      </c>
      <c r="F11547" t="inlineStr">
        <is>
          <t>#KALK!</t>
        </is>
      </c>
      <c r="G11547" t="inlineStr">
        <is>
          <t>LASTSCHUETZ</t>
        </is>
      </c>
      <c r="H11547" t="inlineStr">
        <is>
          <t>4kW 1S</t>
        </is>
      </c>
      <c r="I11547">
        <v>939</v>
      </c>
      <c r="J11547">
        <f>GS23/627.6</f>
        <v>0</v>
      </c>
      <c r="M11547" t="inlineStr">
        <is>
          <t>-627K41.2</t>
        </is>
      </c>
    </row>
    <row r="11548">
      <c r="A11548">
        <v>11547</v>
      </c>
      <c r="B11548">
        <f>GS23</f>
        <v>0</v>
      </c>
      <c r="C11548" t="inlineStr">
        <is>
          <t>+LS15</t>
        </is>
      </c>
      <c r="D11548" t="inlineStr">
        <is>
          <t>-627K41.3</t>
        </is>
      </c>
      <c r="E11548" t="inlineStr">
        <is>
          <t>DIL_EM-10-G</t>
        </is>
      </c>
      <c r="F11548" t="inlineStr">
        <is>
          <t>#KALK!</t>
        </is>
      </c>
      <c r="G11548" t="inlineStr">
        <is>
          <t>LASTSCHUETZ</t>
        </is>
      </c>
      <c r="H11548" t="inlineStr">
        <is>
          <t>4kW 1S</t>
        </is>
      </c>
      <c r="I11548">
        <v>939</v>
      </c>
      <c r="J11548">
        <f>GS23/627.6</f>
        <v>0</v>
      </c>
      <c r="M11548" t="inlineStr">
        <is>
          <t>-627K41.3</t>
        </is>
      </c>
    </row>
    <row r="11549">
      <c r="A11549">
        <v>11548</v>
      </c>
      <c r="B11549">
        <f>GS93</f>
        <v>0</v>
      </c>
      <c r="C11549" t="inlineStr">
        <is>
          <t>+LS12</t>
        </is>
      </c>
      <c r="D11549" t="inlineStr">
        <is>
          <t>-627Q766.7</t>
        </is>
      </c>
      <c r="E11549" t="inlineStr">
        <is>
          <t>DILM-9-10</t>
        </is>
      </c>
      <c r="F11549" t="inlineStr">
        <is>
          <t>#KALK!</t>
        </is>
      </c>
      <c r="G11549" t="inlineStr">
        <is>
          <t>LASTSCHUETZ</t>
        </is>
      </c>
      <c r="H11549" t="inlineStr">
        <is>
          <t>4kW 1S Federzugkl.</t>
        </is>
      </c>
      <c r="I11549">
        <v>1176</v>
      </c>
      <c r="J11549">
        <f>GS93/627.5</f>
        <v>0</v>
      </c>
      <c r="M11549" t="inlineStr">
        <is>
          <t>-627Q766.7</t>
        </is>
      </c>
    </row>
    <row r="11550">
      <c r="A11550">
        <v>11549</v>
      </c>
      <c r="B11550">
        <f>GS13</f>
        <v>0</v>
      </c>
      <c r="C11550" t="inlineStr">
        <is>
          <t>+LS15</t>
        </is>
      </c>
      <c r="D11550" t="inlineStr">
        <is>
          <t>-62841.4</t>
        </is>
      </c>
      <c r="E11550" t="inlineStr">
        <is>
          <t>DIL_EM-10-G</t>
        </is>
      </c>
      <c r="F11550" t="inlineStr">
        <is>
          <t>#KALK!</t>
        </is>
      </c>
      <c r="G11550" t="inlineStr">
        <is>
          <t>LASTSCHUETZ</t>
        </is>
      </c>
      <c r="H11550" t="inlineStr">
        <is>
          <t>4kW 1S</t>
        </is>
      </c>
      <c r="I11550">
        <v>887</v>
      </c>
      <c r="J11550">
        <f>GS13/628.6</f>
        <v>0</v>
      </c>
      <c r="M11550" t="inlineStr">
        <is>
          <t>-62841.4</t>
        </is>
      </c>
    </row>
    <row r="11551">
      <c r="A11551">
        <v>11550</v>
      </c>
      <c r="B11551">
        <f>GS13</f>
        <v>0</v>
      </c>
      <c r="C11551" t="inlineStr">
        <is>
          <t>+LS15</t>
        </is>
      </c>
      <c r="D11551" t="inlineStr">
        <is>
          <t>-62841.5</t>
        </is>
      </c>
      <c r="E11551" t="inlineStr">
        <is>
          <t>DIL_EM-10-G</t>
        </is>
      </c>
      <c r="F11551" t="inlineStr">
        <is>
          <t>#KALK!</t>
        </is>
      </c>
      <c r="G11551" t="inlineStr">
        <is>
          <t>LASTSCHUETZ</t>
        </is>
      </c>
      <c r="H11551" t="inlineStr">
        <is>
          <t>4kW 1S</t>
        </is>
      </c>
      <c r="I11551">
        <v>887</v>
      </c>
      <c r="J11551">
        <f>GS13/628.6</f>
        <v>0</v>
      </c>
      <c r="M11551" t="inlineStr">
        <is>
          <t>-62841.5</t>
        </is>
      </c>
    </row>
    <row r="11552">
      <c r="A11552">
        <v>11551</v>
      </c>
      <c r="B11552">
        <f>GS25</f>
        <v>0</v>
      </c>
      <c r="C11552" t="inlineStr">
        <is>
          <t>+LS14</t>
        </is>
      </c>
      <c r="D11552" t="inlineStr">
        <is>
          <t>-628K3526.7</t>
        </is>
      </c>
      <c r="E11552" t="inlineStr">
        <is>
          <t>DIL_EM-10-G</t>
        </is>
      </c>
      <c r="F11552" t="inlineStr">
        <is>
          <t>#KALK!</t>
        </is>
      </c>
      <c r="G11552" t="inlineStr">
        <is>
          <t>LASTSCHUETZ</t>
        </is>
      </c>
      <c r="H11552" t="inlineStr">
        <is>
          <t>4kW 1S</t>
        </is>
      </c>
      <c r="I11552">
        <v>754</v>
      </c>
      <c r="J11552">
        <f>GS25/628.5</f>
        <v>0</v>
      </c>
      <c r="M11552" t="inlineStr">
        <is>
          <t>-628K3526.7</t>
        </is>
      </c>
    </row>
    <row r="11553">
      <c r="A11553">
        <v>11552</v>
      </c>
      <c r="B11553">
        <f>GS25</f>
        <v>0</v>
      </c>
      <c r="C11553" t="inlineStr">
        <is>
          <t>+LS14</t>
        </is>
      </c>
      <c r="D11553" t="inlineStr">
        <is>
          <t>-628K3527.0</t>
        </is>
      </c>
      <c r="E11553" t="inlineStr">
        <is>
          <t>DIL_EM-10-G</t>
        </is>
      </c>
      <c r="F11553" t="inlineStr">
        <is>
          <t>#KALK!</t>
        </is>
      </c>
      <c r="G11553" t="inlineStr">
        <is>
          <t>LASTSCHUETZ</t>
        </is>
      </c>
      <c r="H11553" t="inlineStr">
        <is>
          <t>4kW 1S</t>
        </is>
      </c>
      <c r="I11553">
        <v>754</v>
      </c>
      <c r="J11553">
        <f>GS25/628.6</f>
        <v>0</v>
      </c>
      <c r="M11553" t="inlineStr">
        <is>
          <t>-628K3527.0</t>
        </is>
      </c>
    </row>
    <row r="11554">
      <c r="A11554">
        <v>11553</v>
      </c>
      <c r="B11554">
        <f>GS25</f>
        <v>0</v>
      </c>
      <c r="C11554" t="inlineStr">
        <is>
          <t>+LS14</t>
        </is>
      </c>
      <c r="D11554" t="inlineStr">
        <is>
          <t>-628K3527.1</t>
        </is>
      </c>
      <c r="E11554" t="inlineStr">
        <is>
          <t>DIL_EM-01-G</t>
        </is>
      </c>
      <c r="F11554" t="inlineStr">
        <is>
          <t>#KALK!</t>
        </is>
      </c>
      <c r="G11554" t="inlineStr">
        <is>
          <t>LASTSCHUETZ</t>
        </is>
      </c>
      <c r="H11554" t="inlineStr">
        <is>
          <t>4kW 1OE</t>
        </is>
      </c>
      <c r="I11554">
        <v>754</v>
      </c>
      <c r="J11554">
        <f>GS25/628.7</f>
        <v>0</v>
      </c>
      <c r="M11554" t="inlineStr">
        <is>
          <t>-628K3527.1</t>
        </is>
      </c>
    </row>
    <row r="11555">
      <c r="A11555">
        <v>11554</v>
      </c>
      <c r="B11555">
        <f>GS25</f>
        <v>0</v>
      </c>
      <c r="C11555" t="inlineStr">
        <is>
          <t>+LS14</t>
        </is>
      </c>
      <c r="D11555" t="inlineStr">
        <is>
          <t>-628K3527.2</t>
        </is>
      </c>
      <c r="E11555" t="inlineStr">
        <is>
          <t>DIL_EM-01-G</t>
        </is>
      </c>
      <c r="F11555" t="inlineStr">
        <is>
          <t>#KALK!</t>
        </is>
      </c>
      <c r="G11555" t="inlineStr">
        <is>
          <t>LASTSCHUETZ</t>
        </is>
      </c>
      <c r="H11555" t="inlineStr">
        <is>
          <t>4kW 1OE</t>
        </is>
      </c>
      <c r="I11555">
        <v>754</v>
      </c>
      <c r="J11555">
        <f>GS25/628.8</f>
        <v>0</v>
      </c>
      <c r="M11555" t="inlineStr">
        <is>
          <t>-628K3527.2</t>
        </is>
      </c>
    </row>
    <row r="11556">
      <c r="A11556">
        <v>11555</v>
      </c>
      <c r="B11556">
        <f>GS23</f>
        <v>0</v>
      </c>
      <c r="C11556" t="inlineStr">
        <is>
          <t>+LS15</t>
        </is>
      </c>
      <c r="D11556" t="inlineStr">
        <is>
          <t>-628K41.4</t>
        </is>
      </c>
      <c r="E11556" t="inlineStr">
        <is>
          <t>DIL_EM-10-G</t>
        </is>
      </c>
      <c r="F11556" t="inlineStr">
        <is>
          <t>#KALK!</t>
        </is>
      </c>
      <c r="G11556" t="inlineStr">
        <is>
          <t>LASTSCHUETZ</t>
        </is>
      </c>
      <c r="H11556" t="inlineStr">
        <is>
          <t>4kW 1S</t>
        </is>
      </c>
      <c r="I11556">
        <v>940</v>
      </c>
      <c r="J11556">
        <f>GS23/628.6</f>
        <v>0</v>
      </c>
      <c r="M11556" t="inlineStr">
        <is>
          <t>-628K41.4</t>
        </is>
      </c>
    </row>
    <row r="11557">
      <c r="A11557">
        <v>11556</v>
      </c>
      <c r="B11557">
        <f>GS23</f>
        <v>0</v>
      </c>
      <c r="C11557" t="inlineStr">
        <is>
          <t>+LS15</t>
        </is>
      </c>
      <c r="D11557" t="inlineStr">
        <is>
          <t>-628K41.5</t>
        </is>
      </c>
      <c r="E11557" t="inlineStr">
        <is>
          <t>DIL_EM-10-G</t>
        </is>
      </c>
      <c r="F11557" t="inlineStr">
        <is>
          <t>#KALK!</t>
        </is>
      </c>
      <c r="G11557" t="inlineStr">
        <is>
          <t>LASTSCHUETZ</t>
        </is>
      </c>
      <c r="H11557" t="inlineStr">
        <is>
          <t>4kW 1S</t>
        </is>
      </c>
      <c r="I11557">
        <v>940</v>
      </c>
      <c r="J11557">
        <f>GS23/628.6</f>
        <v>0</v>
      </c>
      <c r="M11557" t="inlineStr">
        <is>
          <t>-628K41.5</t>
        </is>
      </c>
    </row>
    <row r="11558">
      <c r="A11558">
        <v>11557</v>
      </c>
      <c r="B11558">
        <f>GS13</f>
        <v>0</v>
      </c>
      <c r="C11558" t="inlineStr">
        <is>
          <t>+LS15</t>
        </is>
      </c>
      <c r="D11558" t="inlineStr">
        <is>
          <t>-62941.6</t>
        </is>
      </c>
      <c r="E11558" t="inlineStr">
        <is>
          <t>DIL_EM-10-G</t>
        </is>
      </c>
      <c r="F11558" t="inlineStr">
        <is>
          <t>#KALK!</t>
        </is>
      </c>
      <c r="G11558" t="inlineStr">
        <is>
          <t>LASTSCHUETZ</t>
        </is>
      </c>
      <c r="H11558" t="inlineStr">
        <is>
          <t>4kW 1S</t>
        </is>
      </c>
      <c r="I11558">
        <v>888</v>
      </c>
      <c r="J11558">
        <f>GS13/629.6</f>
        <v>0</v>
      </c>
      <c r="M11558" t="inlineStr">
        <is>
          <t>-62941.6</t>
        </is>
      </c>
    </row>
    <row r="11559">
      <c r="A11559">
        <v>11558</v>
      </c>
      <c r="B11559">
        <f>GS23</f>
        <v>0</v>
      </c>
      <c r="C11559" t="inlineStr">
        <is>
          <t>+LS15</t>
        </is>
      </c>
      <c r="D11559" t="inlineStr">
        <is>
          <t>-629K41.6</t>
        </is>
      </c>
      <c r="E11559" t="inlineStr">
        <is>
          <t>DIL_EM-10-G</t>
        </is>
      </c>
      <c r="F11559" t="inlineStr">
        <is>
          <t>#KALK!</t>
        </is>
      </c>
      <c r="G11559" t="inlineStr">
        <is>
          <t>LASTSCHUETZ</t>
        </is>
      </c>
      <c r="H11559" t="inlineStr">
        <is>
          <t>4kW 1S</t>
        </is>
      </c>
      <c r="I11559">
        <v>941</v>
      </c>
      <c r="J11559">
        <f>GS23/629.6</f>
        <v>0</v>
      </c>
      <c r="M11559" t="inlineStr">
        <is>
          <t>-629K41.6</t>
        </is>
      </c>
    </row>
    <row r="11560">
      <c r="A11560">
        <v>11559</v>
      </c>
      <c r="B11560">
        <f>GS06</f>
        <v>0</v>
      </c>
      <c r="C11560" t="inlineStr">
        <is>
          <t>+LS10</t>
        </is>
      </c>
      <c r="D11560" t="inlineStr">
        <is>
          <t>-629Q425.1</t>
        </is>
      </c>
      <c r="E11560" t="inlineStr">
        <is>
          <t>DILM-9-10</t>
        </is>
      </c>
      <c r="F11560" t="inlineStr">
        <is>
          <t>#KALK!</t>
        </is>
      </c>
      <c r="G11560" t="inlineStr">
        <is>
          <t>LASTSCHUETZ</t>
        </is>
      </c>
      <c r="H11560" t="inlineStr">
        <is>
          <t>4kW 1S Federzugkl.</t>
        </is>
      </c>
      <c r="I11560">
        <v>2363</v>
      </c>
      <c r="J11560">
        <f>GS06/629.6</f>
        <v>0</v>
      </c>
      <c r="M11560" t="inlineStr">
        <is>
          <t>-629Q425.1</t>
        </is>
      </c>
    </row>
    <row r="11561">
      <c r="A11561">
        <v>11560</v>
      </c>
      <c r="B11561">
        <f>GS93</f>
        <v>0</v>
      </c>
      <c r="C11561" t="inlineStr">
        <is>
          <t>+LS12</t>
        </is>
      </c>
      <c r="D11561" t="inlineStr">
        <is>
          <t>-629Q767.1</t>
        </is>
      </c>
      <c r="E11561" t="inlineStr">
        <is>
          <t>DILM-9-10</t>
        </is>
      </c>
      <c r="F11561" t="inlineStr">
        <is>
          <t>#KALK!</t>
        </is>
      </c>
      <c r="G11561" t="inlineStr">
        <is>
          <t>LASTSCHUETZ</t>
        </is>
      </c>
      <c r="H11561" t="inlineStr">
        <is>
          <t>4kW 1S Federzugkl.</t>
        </is>
      </c>
      <c r="I11561">
        <v>1178</v>
      </c>
      <c r="J11561">
        <f>GS93/629.5</f>
        <v>0</v>
      </c>
      <c r="M11561" t="inlineStr">
        <is>
          <t>-629Q767.1</t>
        </is>
      </c>
    </row>
    <row r="11562">
      <c r="A11562">
        <v>11561</v>
      </c>
      <c r="B11562">
        <f>GS13</f>
        <v>0</v>
      </c>
      <c r="C11562" t="inlineStr">
        <is>
          <t>+LS15</t>
        </is>
      </c>
      <c r="D11562" t="inlineStr">
        <is>
          <t>-63042.7</t>
        </is>
      </c>
      <c r="E11562" t="inlineStr">
        <is>
          <t>DIL_EM-10-G</t>
        </is>
      </c>
      <c r="F11562" t="inlineStr">
        <is>
          <t>#KALK!</t>
        </is>
      </c>
      <c r="G11562" t="inlineStr">
        <is>
          <t>LASTSCHUETZ</t>
        </is>
      </c>
      <c r="H11562" t="inlineStr">
        <is>
          <t>4kW 1S</t>
        </is>
      </c>
      <c r="I11562">
        <v>889</v>
      </c>
      <c r="J11562">
        <f>GS13/630.7</f>
        <v>0</v>
      </c>
      <c r="M11562" t="inlineStr">
        <is>
          <t>-63042.7</t>
        </is>
      </c>
    </row>
    <row r="11563">
      <c r="A11563">
        <v>11562</v>
      </c>
      <c r="B11563">
        <f>GS25</f>
        <v>0</v>
      </c>
      <c r="C11563" t="inlineStr">
        <is>
          <t>+LS14</t>
        </is>
      </c>
      <c r="D11563" t="inlineStr">
        <is>
          <t>-630K3528.1</t>
        </is>
      </c>
      <c r="E11563" t="inlineStr">
        <is>
          <t>DIL_EM-10-G</t>
        </is>
      </c>
      <c r="F11563" t="inlineStr">
        <is>
          <t>#KALK!</t>
        </is>
      </c>
      <c r="G11563" t="inlineStr">
        <is>
          <t>LASTSCHUETZ</t>
        </is>
      </c>
      <c r="H11563" t="inlineStr">
        <is>
          <t>4kW 1S</t>
        </is>
      </c>
      <c r="I11563">
        <v>756</v>
      </c>
      <c r="J11563">
        <f>GS25/630.5</f>
        <v>0</v>
      </c>
      <c r="M11563" t="inlineStr">
        <is>
          <t>-630K3528.1</t>
        </is>
      </c>
    </row>
    <row r="11564">
      <c r="A11564">
        <v>11563</v>
      </c>
      <c r="B11564">
        <f>GS25</f>
        <v>0</v>
      </c>
      <c r="C11564" t="inlineStr">
        <is>
          <t>+LS14</t>
        </is>
      </c>
      <c r="D11564" t="inlineStr">
        <is>
          <t>-630K3528.2</t>
        </is>
      </c>
      <c r="E11564" t="inlineStr">
        <is>
          <t>DIL_EM-10-G</t>
        </is>
      </c>
      <c r="F11564" t="inlineStr">
        <is>
          <t>#KALK!</t>
        </is>
      </c>
      <c r="G11564" t="inlineStr">
        <is>
          <t>LASTSCHUETZ</t>
        </is>
      </c>
      <c r="H11564" t="inlineStr">
        <is>
          <t>4kW 1S</t>
        </is>
      </c>
      <c r="I11564">
        <v>756</v>
      </c>
      <c r="J11564">
        <f>GS25/630.6</f>
        <v>0</v>
      </c>
      <c r="M11564" t="inlineStr">
        <is>
          <t>-630K3528.2</t>
        </is>
      </c>
    </row>
    <row r="11565">
      <c r="A11565">
        <v>11564</v>
      </c>
      <c r="B11565">
        <f>GS25</f>
        <v>0</v>
      </c>
      <c r="C11565" t="inlineStr">
        <is>
          <t>+LS14</t>
        </is>
      </c>
      <c r="D11565" t="inlineStr">
        <is>
          <t>-630K3528.3</t>
        </is>
      </c>
      <c r="E11565" t="inlineStr">
        <is>
          <t>DIL_EM-01-G</t>
        </is>
      </c>
      <c r="F11565" t="inlineStr">
        <is>
          <t>#KALK!</t>
        </is>
      </c>
      <c r="G11565" t="inlineStr">
        <is>
          <t>LASTSCHUETZ</t>
        </is>
      </c>
      <c r="H11565" t="inlineStr">
        <is>
          <t>4kW 1OE</t>
        </is>
      </c>
      <c r="I11565">
        <v>756</v>
      </c>
      <c r="J11565">
        <f>GS25/630.7</f>
        <v>0</v>
      </c>
      <c r="M11565" t="inlineStr">
        <is>
          <t>-630K3528.3</t>
        </is>
      </c>
    </row>
    <row r="11566">
      <c r="A11566">
        <v>11565</v>
      </c>
      <c r="B11566">
        <f>GS25</f>
        <v>0</v>
      </c>
      <c r="C11566" t="inlineStr">
        <is>
          <t>+LS14</t>
        </is>
      </c>
      <c r="D11566" t="inlineStr">
        <is>
          <t>-630K3528.4</t>
        </is>
      </c>
      <c r="E11566" t="inlineStr">
        <is>
          <t>DIL_EM-01-G</t>
        </is>
      </c>
      <c r="F11566" t="inlineStr">
        <is>
          <t>#KALK!</t>
        </is>
      </c>
      <c r="G11566" t="inlineStr">
        <is>
          <t>LASTSCHUETZ</t>
        </is>
      </c>
      <c r="H11566" t="inlineStr">
        <is>
          <t>4kW 1OE</t>
        </is>
      </c>
      <c r="I11566">
        <v>756</v>
      </c>
      <c r="J11566">
        <f>GS25/630.8</f>
        <v>0</v>
      </c>
      <c r="M11566" t="inlineStr">
        <is>
          <t>-630K3528.4</t>
        </is>
      </c>
    </row>
    <row r="11567">
      <c r="A11567">
        <v>11566</v>
      </c>
      <c r="B11567">
        <f>GS23</f>
        <v>0</v>
      </c>
      <c r="C11567" t="inlineStr">
        <is>
          <t>+LS15</t>
        </is>
      </c>
      <c r="D11567" t="inlineStr">
        <is>
          <t>-630K42.7</t>
        </is>
      </c>
      <c r="E11567" t="inlineStr">
        <is>
          <t>DIL_EM-10-G</t>
        </is>
      </c>
      <c r="F11567" t="inlineStr">
        <is>
          <t>#KALK!</t>
        </is>
      </c>
      <c r="G11567" t="inlineStr">
        <is>
          <t>LASTSCHUETZ</t>
        </is>
      </c>
      <c r="H11567" t="inlineStr">
        <is>
          <t>4kW 1S</t>
        </is>
      </c>
      <c r="I11567">
        <v>942</v>
      </c>
      <c r="J11567">
        <f>GS23/630.7</f>
        <v>0</v>
      </c>
      <c r="M11567" t="inlineStr">
        <is>
          <t>-630K42.7</t>
        </is>
      </c>
    </row>
    <row r="11568">
      <c r="A11568">
        <v>11567</v>
      </c>
      <c r="B11568">
        <f>GS20</f>
        <v>0</v>
      </c>
      <c r="C11568" t="inlineStr">
        <is>
          <t>+LS17</t>
        </is>
      </c>
      <c r="D11568" t="inlineStr">
        <is>
          <t>-630K735.4</t>
        </is>
      </c>
      <c r="E11568" t="inlineStr">
        <is>
          <t>DILA-40</t>
        </is>
      </c>
      <c r="F11568" t="inlineStr">
        <is>
          <t>#KALK!</t>
        </is>
      </c>
      <c r="G11568" t="inlineStr">
        <is>
          <t>HILFSSCHUETZ</t>
        </is>
      </c>
      <c r="H11568" t="inlineStr">
        <is>
          <t>4S Federzugkl.</t>
        </is>
      </c>
      <c r="I11568">
        <v>2232</v>
      </c>
      <c r="J11568">
        <f>GS20/630.7</f>
        <v>0</v>
      </c>
      <c r="M11568" t="inlineStr">
        <is>
          <t>-630K735.4</t>
        </is>
      </c>
    </row>
    <row r="11569">
      <c r="A11569">
        <v>11568</v>
      </c>
      <c r="B11569">
        <f>GS20</f>
        <v>0</v>
      </c>
      <c r="C11569" t="inlineStr">
        <is>
          <t>+LS17</t>
        </is>
      </c>
      <c r="D11569" t="inlineStr">
        <is>
          <t>-630Q1</t>
        </is>
      </c>
      <c r="E11569" t="inlineStr">
        <is>
          <t>DILA-XHI22</t>
        </is>
      </c>
      <c r="F11569" t="inlineStr">
        <is>
          <t>DILA-XHI22</t>
        </is>
      </c>
      <c r="G11569" t="inlineStr">
        <is>
          <t>HILFSKONTAKTBLOCK</t>
        </is>
      </c>
      <c r="H11569" t="inlineStr">
        <is>
          <t>2S 2OE Last+Hilfssch. Cage</t>
        </is>
      </c>
      <c r="I11569">
        <v>2232</v>
      </c>
      <c r="J11569">
        <f>GS20/630.4</f>
        <v>0</v>
      </c>
      <c r="K11569" t="inlineStr">
        <is>
          <t>DIL MC25</t>
        </is>
      </c>
      <c r="M11569" t="inlineStr">
        <is>
          <t>-630Q1</t>
        </is>
      </c>
    </row>
    <row r="11570">
      <c r="A11570">
        <v>11569</v>
      </c>
      <c r="B11570">
        <f>GS20</f>
        <v>0</v>
      </c>
      <c r="C11570" t="inlineStr">
        <is>
          <t>+LS17</t>
        </is>
      </c>
      <c r="D11570" t="inlineStr">
        <is>
          <t>-630Q1</t>
        </is>
      </c>
      <c r="E11570" t="inlineStr">
        <is>
          <t>DILMC25-10(RDC24)</t>
        </is>
      </c>
      <c r="F11570" t="inlineStr">
        <is>
          <t>DILA-XHI22</t>
        </is>
      </c>
      <c r="G11570" t="inlineStr">
        <is>
          <t>LASTSCHUETZ</t>
        </is>
      </c>
      <c r="H11570" t="inlineStr">
        <is>
          <t>11kW 1S Federzugkl.</t>
        </is>
      </c>
      <c r="I11570">
        <v>2232</v>
      </c>
      <c r="J11570">
        <f>GS20/630.4</f>
        <v>0</v>
      </c>
      <c r="K11570" t="inlineStr">
        <is>
          <t>DIL MC25</t>
        </is>
      </c>
      <c r="M11570" t="inlineStr">
        <is>
          <t>-630Q1</t>
        </is>
      </c>
    </row>
    <row r="11571">
      <c r="A11571">
        <v>11570</v>
      </c>
      <c r="B11571">
        <f>GS25</f>
        <v>0</v>
      </c>
      <c r="C11571" t="inlineStr">
        <is>
          <t>+LS14</t>
        </is>
      </c>
      <c r="D11571" t="inlineStr">
        <is>
          <t>-631K3528.5</t>
        </is>
      </c>
      <c r="E11571" t="inlineStr">
        <is>
          <t>DIL_EM-10-G</t>
        </is>
      </c>
      <c r="F11571" t="inlineStr">
        <is>
          <t>#KALK!</t>
        </is>
      </c>
      <c r="G11571" t="inlineStr">
        <is>
          <t>LASTSCHUETZ</t>
        </is>
      </c>
      <c r="H11571" t="inlineStr">
        <is>
          <t>4kW 1S</t>
        </is>
      </c>
      <c r="I11571">
        <v>757</v>
      </c>
      <c r="J11571">
        <f>GS25/631.6</f>
        <v>0</v>
      </c>
      <c r="M11571" t="inlineStr">
        <is>
          <t>-631K3528.5</t>
        </is>
      </c>
    </row>
    <row r="11572">
      <c r="A11572">
        <v>11571</v>
      </c>
      <c r="B11572">
        <f>GS25</f>
        <v>0</v>
      </c>
      <c r="C11572" t="inlineStr">
        <is>
          <t>+LS14</t>
        </is>
      </c>
      <c r="D11572" t="inlineStr">
        <is>
          <t>-631K3528.6</t>
        </is>
      </c>
      <c r="E11572" t="inlineStr">
        <is>
          <t>DIL_EM-10-G</t>
        </is>
      </c>
      <c r="F11572" t="inlineStr">
        <is>
          <t>#KALK!</t>
        </is>
      </c>
      <c r="G11572" t="inlineStr">
        <is>
          <t>LASTSCHUETZ</t>
        </is>
      </c>
      <c r="H11572" t="inlineStr">
        <is>
          <t>4kW 1S</t>
        </is>
      </c>
      <c r="I11572">
        <v>757</v>
      </c>
      <c r="J11572">
        <f>GS25/631.6</f>
        <v>0</v>
      </c>
      <c r="M11572" t="inlineStr">
        <is>
          <t>-631K3528.6</t>
        </is>
      </c>
    </row>
    <row r="11573">
      <c r="A11573">
        <v>11572</v>
      </c>
      <c r="B11573">
        <f>GS08</f>
        <v>0</v>
      </c>
      <c r="C11573" t="inlineStr">
        <is>
          <t>+LS10</t>
        </is>
      </c>
      <c r="D11573" t="inlineStr">
        <is>
          <t>-631K522.2</t>
        </is>
      </c>
      <c r="E11573" t="inlineStr">
        <is>
          <t>DILA-31</t>
        </is>
      </c>
      <c r="F11573" t="inlineStr">
        <is>
          <t>#KALK!</t>
        </is>
      </c>
      <c r="G11573" t="inlineStr">
        <is>
          <t>HILFSSCHUETZ</t>
        </is>
      </c>
      <c r="H11573" t="inlineStr">
        <is>
          <t>3S 1Oe Federzugkl.</t>
        </is>
      </c>
      <c r="I11573">
        <v>1096</v>
      </c>
      <c r="J11573">
        <f>GS08/631.2</f>
        <v>0</v>
      </c>
      <c r="M11573" t="inlineStr">
        <is>
          <t>-631K522.2</t>
        </is>
      </c>
    </row>
    <row r="11574">
      <c r="A11574">
        <v>11573</v>
      </c>
      <c r="B11574">
        <f>GS08</f>
        <v>0</v>
      </c>
      <c r="C11574" t="inlineStr">
        <is>
          <t>+LS10</t>
        </is>
      </c>
      <c r="D11574" t="inlineStr">
        <is>
          <t>-631K522.3</t>
        </is>
      </c>
      <c r="E11574" t="inlineStr">
        <is>
          <t>DILM-9-10</t>
        </is>
      </c>
      <c r="F11574" t="inlineStr">
        <is>
          <t>#KALK!</t>
        </is>
      </c>
      <c r="G11574" t="inlineStr">
        <is>
          <t>LASTSCHUETZ</t>
        </is>
      </c>
      <c r="H11574" t="inlineStr">
        <is>
          <t>4kW 1S Federzugkl.</t>
        </is>
      </c>
      <c r="I11574">
        <v>1096</v>
      </c>
      <c r="J11574">
        <f>GS08/631.3</f>
        <v>0</v>
      </c>
      <c r="M11574" t="inlineStr">
        <is>
          <t>-631K522.3</t>
        </is>
      </c>
    </row>
    <row r="11575">
      <c r="A11575">
        <v>11574</v>
      </c>
      <c r="B11575">
        <f>GS06</f>
        <v>0</v>
      </c>
      <c r="C11575" t="inlineStr">
        <is>
          <t>+LS10</t>
        </is>
      </c>
      <c r="D11575" t="inlineStr">
        <is>
          <t>-633Q425.2</t>
        </is>
      </c>
      <c r="E11575" t="inlineStr">
        <is>
          <t>DILM-9-10</t>
        </is>
      </c>
      <c r="F11575" t="inlineStr">
        <is>
          <t>#KALK!</t>
        </is>
      </c>
      <c r="G11575" t="inlineStr">
        <is>
          <t>LASTSCHUETZ</t>
        </is>
      </c>
      <c r="H11575" t="inlineStr">
        <is>
          <t>4kW 1S Federzugkl.</t>
        </is>
      </c>
      <c r="I11575">
        <v>2261</v>
      </c>
      <c r="J11575">
        <f>GS06/633.6</f>
        <v>0</v>
      </c>
      <c r="M11575" t="inlineStr">
        <is>
          <t>-633Q425.2</t>
        </is>
      </c>
    </row>
    <row r="11576">
      <c r="A11576">
        <v>11575</v>
      </c>
      <c r="B11576">
        <f>GS05</f>
        <v>0</v>
      </c>
      <c r="C11576" t="inlineStr">
        <is>
          <t>+LS10</t>
        </is>
      </c>
      <c r="D11576" t="inlineStr">
        <is>
          <t>-633Q429.5</t>
        </is>
      </c>
      <c r="E11576" t="inlineStr">
        <is>
          <t>DILM-9-10</t>
        </is>
      </c>
      <c r="F11576" t="inlineStr">
        <is>
          <t>#KALK!</t>
        </is>
      </c>
      <c r="G11576" t="inlineStr">
        <is>
          <t>LASTSCHUETZ</t>
        </is>
      </c>
      <c r="H11576" t="inlineStr">
        <is>
          <t>4kW 1S Federzugkl.</t>
        </is>
      </c>
      <c r="I11576">
        <v>2716</v>
      </c>
      <c r="J11576">
        <f>GS05/633.6</f>
        <v>0</v>
      </c>
      <c r="K11576" t="inlineStr">
        <is>
          <t>DIL MC9</t>
        </is>
      </c>
      <c r="M11576" t="inlineStr">
        <is>
          <t>-633Q429.5</t>
        </is>
      </c>
    </row>
    <row r="11577">
      <c r="A11577">
        <v>11576</v>
      </c>
      <c r="B11577">
        <f>GS15</f>
        <v>0</v>
      </c>
      <c r="C11577" t="inlineStr">
        <is>
          <t>+LS12</t>
        </is>
      </c>
      <c r="D11577" t="inlineStr">
        <is>
          <t>-634K1</t>
        </is>
      </c>
      <c r="E11577" t="inlineStr">
        <is>
          <t>22_DIL-M</t>
        </is>
      </c>
      <c r="F11577" t="inlineStr">
        <is>
          <t>22_DIL-M</t>
        </is>
      </c>
      <c r="G11577" t="inlineStr">
        <is>
          <t>HILFSKONTAKTBLOCK</t>
        </is>
      </c>
      <c r="H11577" t="inlineStr">
        <is>
          <t>2S 2OE Lastschuetz DIL M</t>
        </is>
      </c>
      <c r="I11577">
        <v>1146</v>
      </c>
      <c r="J11577">
        <f>GS15/634.2</f>
        <v>0</v>
      </c>
      <c r="K11577" t="inlineStr">
        <is>
          <t>DIL0AM</t>
        </is>
      </c>
      <c r="M11577" t="inlineStr">
        <is>
          <t>-634K1</t>
        </is>
      </c>
    </row>
    <row r="11578">
      <c r="A11578">
        <v>11577</v>
      </c>
      <c r="B11578">
        <f>GS15</f>
        <v>0</v>
      </c>
      <c r="C11578" t="inlineStr">
        <is>
          <t>+LS12</t>
        </is>
      </c>
      <c r="D11578" t="inlineStr">
        <is>
          <t>-634K1</t>
        </is>
      </c>
      <c r="E11578" t="inlineStr">
        <is>
          <t>DIL_0AM</t>
        </is>
      </c>
      <c r="F11578" t="inlineStr">
        <is>
          <t>22_DIL-M</t>
        </is>
      </c>
      <c r="G11578" t="inlineStr">
        <is>
          <t>LASTSCHUETZ</t>
        </is>
      </c>
      <c r="H11578" t="inlineStr">
        <is>
          <t>11 kW</t>
        </is>
      </c>
      <c r="I11578">
        <v>1146</v>
      </c>
      <c r="J11578">
        <f>GS15/634.2</f>
        <v>0</v>
      </c>
      <c r="K11578" t="inlineStr">
        <is>
          <t>DIL0AM</t>
        </is>
      </c>
      <c r="M11578" t="inlineStr">
        <is>
          <t>-634K1</t>
        </is>
      </c>
    </row>
    <row r="11579">
      <c r="A11579">
        <v>11578</v>
      </c>
      <c r="B11579">
        <f>GS90</f>
        <v>0</v>
      </c>
      <c r="C11579" t="inlineStr">
        <is>
          <t>+LS14</t>
        </is>
      </c>
      <c r="D11579" t="inlineStr">
        <is>
          <t>-635K1020.0</t>
        </is>
      </c>
      <c r="E11579" t="inlineStr">
        <is>
          <t>DILA-40</t>
        </is>
      </c>
      <c r="F11579" t="inlineStr">
        <is>
          <t>#KALK!</t>
        </is>
      </c>
      <c r="G11579" t="inlineStr">
        <is>
          <t>HILFSSCHUETZ</t>
        </is>
      </c>
      <c r="H11579" t="inlineStr">
        <is>
          <t>4S Federzugkl.</t>
        </is>
      </c>
      <c r="I11579">
        <v>614</v>
      </c>
      <c r="J11579">
        <f>GS90/635.7</f>
        <v>0</v>
      </c>
      <c r="M11579" t="inlineStr">
        <is>
          <t>-635K1020.0</t>
        </is>
      </c>
    </row>
    <row r="11580">
      <c r="A11580">
        <v>11579</v>
      </c>
      <c r="B11580">
        <f>GS92</f>
        <v>0</v>
      </c>
      <c r="C11580" t="inlineStr">
        <is>
          <t>+LS12</t>
        </is>
      </c>
      <c r="D11580" t="inlineStr">
        <is>
          <t>-635K1050.0</t>
        </is>
      </c>
      <c r="E11580" t="inlineStr">
        <is>
          <t>DILA-40</t>
        </is>
      </c>
      <c r="F11580" t="inlineStr">
        <is>
          <t>#KALK!</t>
        </is>
      </c>
      <c r="G11580" t="inlineStr">
        <is>
          <t>HILFSSCHUETZ</t>
        </is>
      </c>
      <c r="H11580" t="inlineStr">
        <is>
          <t>4S Federzugkl.</t>
        </is>
      </c>
      <c r="I11580">
        <v>522</v>
      </c>
      <c r="J11580">
        <f>GS92/635.7</f>
        <v>0</v>
      </c>
      <c r="M11580" t="inlineStr">
        <is>
          <t>-635K1050.0</t>
        </is>
      </c>
    </row>
    <row r="11581">
      <c r="A11581">
        <v>11580</v>
      </c>
      <c r="B11581">
        <f>GS93</f>
        <v>0</v>
      </c>
      <c r="C11581" t="inlineStr">
        <is>
          <t>+LS12</t>
        </is>
      </c>
      <c r="D11581" t="inlineStr">
        <is>
          <t>-635K769.0</t>
        </is>
      </c>
      <c r="E11581" t="inlineStr">
        <is>
          <t>DILA-40</t>
        </is>
      </c>
      <c r="F11581" t="inlineStr">
        <is>
          <t>#KALK!</t>
        </is>
      </c>
      <c r="G11581" t="inlineStr">
        <is>
          <t>HILFSSCHUETZ</t>
        </is>
      </c>
      <c r="H11581" t="inlineStr">
        <is>
          <t>4S Federzugkl.</t>
        </is>
      </c>
      <c r="I11581">
        <v>1184</v>
      </c>
      <c r="J11581">
        <f>GS93/635.7</f>
        <v>0</v>
      </c>
      <c r="M11581" t="inlineStr">
        <is>
          <t>-635K769.0</t>
        </is>
      </c>
    </row>
    <row r="11582">
      <c r="A11582">
        <v>11581</v>
      </c>
      <c r="B11582">
        <f>GS91</f>
        <v>0</v>
      </c>
      <c r="C11582" t="inlineStr">
        <is>
          <t>+LS13</t>
        </is>
      </c>
      <c r="D11582" t="inlineStr">
        <is>
          <t>-635K820.0</t>
        </is>
      </c>
      <c r="E11582" t="inlineStr">
        <is>
          <t>DILA-40</t>
        </is>
      </c>
      <c r="F11582" t="inlineStr">
        <is>
          <t>#KALK!</t>
        </is>
      </c>
      <c r="G11582" t="inlineStr">
        <is>
          <t>HILFSSCHUETZ</t>
        </is>
      </c>
      <c r="H11582" t="inlineStr">
        <is>
          <t>4S Federzugkl.</t>
        </is>
      </c>
      <c r="I11582">
        <v>783</v>
      </c>
      <c r="J11582">
        <f>GS91/635.7</f>
        <v>0</v>
      </c>
      <c r="M11582" t="inlineStr">
        <is>
          <t>-635K820.0</t>
        </is>
      </c>
    </row>
    <row r="11583">
      <c r="A11583">
        <v>11582</v>
      </c>
      <c r="B11583">
        <f>GS90</f>
        <v>0</v>
      </c>
      <c r="C11583" t="inlineStr">
        <is>
          <t>+LS14</t>
        </is>
      </c>
      <c r="D11583" t="inlineStr">
        <is>
          <t>-635Q1</t>
        </is>
      </c>
      <c r="E11583" t="inlineStr">
        <is>
          <t>DILM150-XHIC22</t>
        </is>
      </c>
      <c r="F11583" t="inlineStr">
        <is>
          <t>DILM150-XHIC22</t>
        </is>
      </c>
      <c r="G11583" t="inlineStr">
        <is>
          <t>HILFSKONTAKTBLOCK</t>
        </is>
      </c>
      <c r="H11583" t="inlineStr">
        <is>
          <t>2S 2OE ab DILMC40</t>
        </is>
      </c>
      <c r="I11583">
        <v>614</v>
      </c>
      <c r="J11583">
        <f>GS90/635.4</f>
        <v>0</v>
      </c>
      <c r="K11583" t="inlineStr">
        <is>
          <t>DIL MC 40</t>
        </is>
      </c>
      <c r="M11583" t="inlineStr">
        <is>
          <t>-635Q1</t>
        </is>
      </c>
    </row>
    <row r="11584">
      <c r="A11584">
        <v>11583</v>
      </c>
      <c r="B11584">
        <f>GS90</f>
        <v>0</v>
      </c>
      <c r="C11584" t="inlineStr">
        <is>
          <t>+LS14</t>
        </is>
      </c>
      <c r="D11584" t="inlineStr">
        <is>
          <t>-635Q1</t>
        </is>
      </c>
      <c r="E11584" t="inlineStr">
        <is>
          <t>DILMC40(RDC24)</t>
        </is>
      </c>
      <c r="F11584" t="inlineStr">
        <is>
          <t>DILM150-XHIC22</t>
        </is>
      </c>
      <c r="G11584" t="inlineStr">
        <is>
          <t>LASTSCHUETZ</t>
        </is>
      </c>
      <c r="H11584" t="inlineStr">
        <is>
          <t>18,5kW Federzugkl.</t>
        </is>
      </c>
      <c r="I11584">
        <v>614</v>
      </c>
      <c r="J11584">
        <f>GS90/635.4</f>
        <v>0</v>
      </c>
      <c r="K11584" t="inlineStr">
        <is>
          <t>DIL MC 40</t>
        </is>
      </c>
      <c r="M11584" t="inlineStr">
        <is>
          <t>-635Q1</t>
        </is>
      </c>
    </row>
    <row r="11585">
      <c r="A11585">
        <v>11584</v>
      </c>
      <c r="B11585">
        <f>GS91</f>
        <v>0</v>
      </c>
      <c r="C11585" t="inlineStr">
        <is>
          <t>+LS13</t>
        </is>
      </c>
      <c r="D11585" t="inlineStr">
        <is>
          <t>-635Q1</t>
        </is>
      </c>
      <c r="E11585" t="inlineStr">
        <is>
          <t>DILMC40(RDC24)</t>
        </is>
      </c>
      <c r="F11585" t="inlineStr">
        <is>
          <t>DILM150-XHIC22</t>
        </is>
      </c>
      <c r="G11585" t="inlineStr">
        <is>
          <t>LASTSCHUETZ</t>
        </is>
      </c>
      <c r="H11585" t="inlineStr">
        <is>
          <t>18,5kW Federzugkl.</t>
        </is>
      </c>
      <c r="I11585">
        <v>783</v>
      </c>
      <c r="J11585">
        <f>GS91/635.4</f>
        <v>0</v>
      </c>
      <c r="K11585" t="inlineStr">
        <is>
          <t>DIL MC 40</t>
        </is>
      </c>
      <c r="M11585" t="inlineStr">
        <is>
          <t>-635Q1</t>
        </is>
      </c>
    </row>
    <row r="11586">
      <c r="A11586">
        <v>11585</v>
      </c>
      <c r="B11586">
        <f>GS91</f>
        <v>0</v>
      </c>
      <c r="C11586" t="inlineStr">
        <is>
          <t>+LS13</t>
        </is>
      </c>
      <c r="D11586" t="inlineStr">
        <is>
          <t>-635Q1</t>
        </is>
      </c>
      <c r="E11586" t="inlineStr">
        <is>
          <t>DILM150-XHIC22</t>
        </is>
      </c>
      <c r="F11586" t="inlineStr">
        <is>
          <t>DILM150-XHIC22</t>
        </is>
      </c>
      <c r="G11586" t="inlineStr">
        <is>
          <t>HILFSKONTAKTBLOCK</t>
        </is>
      </c>
      <c r="H11586" t="inlineStr">
        <is>
          <t>2S 2OE ab DILMC40</t>
        </is>
      </c>
      <c r="I11586">
        <v>783</v>
      </c>
      <c r="J11586">
        <f>GS91/635.4</f>
        <v>0</v>
      </c>
      <c r="K11586" t="inlineStr">
        <is>
          <t>DIL MC 40</t>
        </is>
      </c>
      <c r="M11586" t="inlineStr">
        <is>
          <t>-635Q1</t>
        </is>
      </c>
    </row>
    <row r="11587">
      <c r="A11587">
        <v>11586</v>
      </c>
      <c r="B11587">
        <f>GS92</f>
        <v>0</v>
      </c>
      <c r="C11587" t="inlineStr">
        <is>
          <t>+LS12</t>
        </is>
      </c>
      <c r="D11587" t="inlineStr">
        <is>
          <t>-635Q1</t>
        </is>
      </c>
      <c r="E11587" t="inlineStr">
        <is>
          <t>DILMC25-10(RDC24)</t>
        </is>
      </c>
      <c r="F11587" t="inlineStr">
        <is>
          <t>DILA-XHI22</t>
        </is>
      </c>
      <c r="G11587" t="inlineStr">
        <is>
          <t>LASTSCHUETZ</t>
        </is>
      </c>
      <c r="H11587" t="inlineStr">
        <is>
          <t>11kW 1S Federzugkl.</t>
        </is>
      </c>
      <c r="I11587">
        <v>522</v>
      </c>
      <c r="J11587">
        <f>GS92/635.4</f>
        <v>0</v>
      </c>
      <c r="K11587" t="inlineStr">
        <is>
          <t>DIL MC25</t>
        </is>
      </c>
      <c r="M11587" t="inlineStr">
        <is>
          <t>-635Q1</t>
        </is>
      </c>
    </row>
    <row r="11588">
      <c r="A11588">
        <v>11587</v>
      </c>
      <c r="B11588">
        <f>GS92</f>
        <v>0</v>
      </c>
      <c r="C11588" t="inlineStr">
        <is>
          <t>+LS12</t>
        </is>
      </c>
      <c r="D11588" t="inlineStr">
        <is>
          <t>-635Q1</t>
        </is>
      </c>
      <c r="E11588" t="inlineStr">
        <is>
          <t>DILA-XHI22</t>
        </is>
      </c>
      <c r="F11588" t="inlineStr">
        <is>
          <t>DILA-XHI22</t>
        </is>
      </c>
      <c r="G11588" t="inlineStr">
        <is>
          <t>HILFSKONTAKTBLOCK</t>
        </is>
      </c>
      <c r="H11588" t="inlineStr">
        <is>
          <t>2S 2OE Last+Hilfssch. Cage</t>
        </is>
      </c>
      <c r="I11588">
        <v>522</v>
      </c>
      <c r="J11588">
        <f>GS92/635.4</f>
        <v>0</v>
      </c>
      <c r="K11588" t="inlineStr">
        <is>
          <t>DIL MC25</t>
        </is>
      </c>
      <c r="M11588" t="inlineStr">
        <is>
          <t>-635Q1</t>
        </is>
      </c>
    </row>
    <row r="11589">
      <c r="A11589">
        <v>11588</v>
      </c>
      <c r="B11589">
        <f>GS93</f>
        <v>0</v>
      </c>
      <c r="C11589" t="inlineStr">
        <is>
          <t>+LS12</t>
        </is>
      </c>
      <c r="D11589" t="inlineStr">
        <is>
          <t>-635Q1</t>
        </is>
      </c>
      <c r="E11589" t="inlineStr">
        <is>
          <t>DILA-XHI22</t>
        </is>
      </c>
      <c r="F11589" t="inlineStr">
        <is>
          <t>DILA-XHI22</t>
        </is>
      </c>
      <c r="G11589" t="inlineStr">
        <is>
          <t>HILFSKONTAKTBLOCK</t>
        </is>
      </c>
      <c r="H11589" t="inlineStr">
        <is>
          <t>2S 2OE Last+Hilfssch. Cage</t>
        </is>
      </c>
      <c r="I11589">
        <v>1184</v>
      </c>
      <c r="J11589">
        <f>GS93/635.4</f>
        <v>0</v>
      </c>
      <c r="K11589" t="inlineStr">
        <is>
          <t>DIL MC25</t>
        </is>
      </c>
      <c r="M11589" t="inlineStr">
        <is>
          <t>-635Q1</t>
        </is>
      </c>
    </row>
    <row r="11590">
      <c r="A11590">
        <v>11589</v>
      </c>
      <c r="B11590">
        <f>GS93</f>
        <v>0</v>
      </c>
      <c r="C11590" t="inlineStr">
        <is>
          <t>+LS12</t>
        </is>
      </c>
      <c r="D11590" t="inlineStr">
        <is>
          <t>-635Q1</t>
        </is>
      </c>
      <c r="E11590" t="inlineStr">
        <is>
          <t>DILMC25-10(RDC24)</t>
        </is>
      </c>
      <c r="F11590" t="inlineStr">
        <is>
          <t>DILA-XHI22</t>
        </is>
      </c>
      <c r="G11590" t="inlineStr">
        <is>
          <t>LASTSCHUETZ</t>
        </is>
      </c>
      <c r="H11590" t="inlineStr">
        <is>
          <t>11kW 1S Federzugkl.</t>
        </is>
      </c>
      <c r="I11590">
        <v>1184</v>
      </c>
      <c r="J11590">
        <f>GS93/635.4</f>
        <v>0</v>
      </c>
      <c r="K11590" t="inlineStr">
        <is>
          <t>DIL MC25</t>
        </is>
      </c>
      <c r="M11590" t="inlineStr">
        <is>
          <t>-635Q1</t>
        </is>
      </c>
    </row>
    <row r="11591">
      <c r="A11591">
        <v>11590</v>
      </c>
      <c r="B11591">
        <f>GS15</f>
        <v>0</v>
      </c>
      <c r="C11591" t="inlineStr">
        <is>
          <t>+LS12</t>
        </is>
      </c>
      <c r="D11591" t="inlineStr">
        <is>
          <t>-636K3522.0</t>
        </is>
      </c>
      <c r="E11591" t="inlineStr">
        <is>
          <t>DIL_EM-10-G</t>
        </is>
      </c>
      <c r="F11591" t="inlineStr">
        <is>
          <t>#KALK!</t>
        </is>
      </c>
      <c r="G11591" t="inlineStr">
        <is>
          <t>LASTSCHUETZ</t>
        </is>
      </c>
      <c r="H11591" t="inlineStr">
        <is>
          <t>4kW 1S</t>
        </is>
      </c>
      <c r="I11591">
        <v>1148</v>
      </c>
      <c r="J11591">
        <f>GS15/636.6</f>
        <v>0</v>
      </c>
      <c r="M11591" t="inlineStr">
        <is>
          <t>-636K3522.0</t>
        </is>
      </c>
    </row>
    <row r="11592">
      <c r="A11592">
        <v>11591</v>
      </c>
      <c r="B11592">
        <f>GS15</f>
        <v>0</v>
      </c>
      <c r="C11592" t="inlineStr">
        <is>
          <t>+LS12</t>
        </is>
      </c>
      <c r="D11592" t="inlineStr">
        <is>
          <t>-636K3522.1</t>
        </is>
      </c>
      <c r="E11592" t="inlineStr">
        <is>
          <t>DIL_EM-10-G</t>
        </is>
      </c>
      <c r="F11592" t="inlineStr">
        <is>
          <t>#KALK!</t>
        </is>
      </c>
      <c r="G11592" t="inlineStr">
        <is>
          <t>LASTSCHUETZ</t>
        </is>
      </c>
      <c r="H11592" t="inlineStr">
        <is>
          <t>4kW 1S</t>
        </is>
      </c>
      <c r="I11592">
        <v>1148</v>
      </c>
      <c r="J11592">
        <f>GS15/636.6</f>
        <v>0</v>
      </c>
      <c r="M11592" t="inlineStr">
        <is>
          <t>-636K3522.1</t>
        </is>
      </c>
    </row>
    <row r="11593">
      <c r="A11593">
        <v>11592</v>
      </c>
      <c r="B11593">
        <f>GS92</f>
        <v>0</v>
      </c>
      <c r="C11593" t="inlineStr">
        <is>
          <t>+LS12</t>
        </is>
      </c>
      <c r="D11593" t="inlineStr">
        <is>
          <t>-636Q1050.1</t>
        </is>
      </c>
      <c r="E11593" t="inlineStr">
        <is>
          <t>DILM-9-10</t>
        </is>
      </c>
      <c r="F11593" t="inlineStr">
        <is>
          <t>#KALK!</t>
        </is>
      </c>
      <c r="G11593" t="inlineStr">
        <is>
          <t>LASTSCHUETZ</t>
        </is>
      </c>
      <c r="H11593" t="inlineStr">
        <is>
          <t>4kW 1S Federzugkl.</t>
        </is>
      </c>
      <c r="I11593">
        <v>521</v>
      </c>
      <c r="J11593">
        <f>GS92/636.5</f>
        <v>0</v>
      </c>
      <c r="M11593" t="inlineStr">
        <is>
          <t>-636Q1050.1</t>
        </is>
      </c>
    </row>
    <row r="11594">
      <c r="A11594">
        <v>11593</v>
      </c>
      <c r="B11594">
        <f>GS93</f>
        <v>0</v>
      </c>
      <c r="C11594" t="inlineStr">
        <is>
          <t>+LS12</t>
        </is>
      </c>
      <c r="D11594" t="inlineStr">
        <is>
          <t>-636Q769.1</t>
        </is>
      </c>
      <c r="E11594" t="inlineStr">
        <is>
          <t>DILM-9-10</t>
        </is>
      </c>
      <c r="F11594" t="inlineStr">
        <is>
          <t>#KALK!</t>
        </is>
      </c>
      <c r="G11594" t="inlineStr">
        <is>
          <t>LASTSCHUETZ</t>
        </is>
      </c>
      <c r="H11594" t="inlineStr">
        <is>
          <t>4kW 1S Federzugkl.</t>
        </is>
      </c>
      <c r="I11594">
        <v>1185</v>
      </c>
      <c r="J11594">
        <f>GS93/636.5</f>
        <v>0</v>
      </c>
      <c r="M11594" t="inlineStr">
        <is>
          <t>-636Q769.1</t>
        </is>
      </c>
    </row>
    <row r="11595">
      <c r="A11595">
        <v>11594</v>
      </c>
      <c r="B11595">
        <f>GS93</f>
        <v>0</v>
      </c>
      <c r="C11595" t="inlineStr">
        <is>
          <t>+LS12</t>
        </is>
      </c>
      <c r="D11595" t="inlineStr">
        <is>
          <t>-637Q769.2</t>
        </is>
      </c>
      <c r="E11595" t="inlineStr">
        <is>
          <t>DILA-XHI22</t>
        </is>
      </c>
      <c r="F11595" t="inlineStr">
        <is>
          <t>DILA-XHI22</t>
        </is>
      </c>
      <c r="G11595" t="inlineStr">
        <is>
          <t>HILFSKONTAKTBLOCK</t>
        </is>
      </c>
      <c r="H11595" t="inlineStr">
        <is>
          <t>2S 2OE Last+Hilfssch. Cage</t>
        </is>
      </c>
      <c r="I11595">
        <v>1186</v>
      </c>
      <c r="J11595">
        <f>GS93/637.5</f>
        <v>0</v>
      </c>
      <c r="M11595" t="inlineStr">
        <is>
          <t>-637Q769.2</t>
        </is>
      </c>
    </row>
    <row r="11596">
      <c r="A11596">
        <v>11595</v>
      </c>
      <c r="B11596">
        <f>GS93</f>
        <v>0</v>
      </c>
      <c r="C11596" t="inlineStr">
        <is>
          <t>+LS12</t>
        </is>
      </c>
      <c r="D11596" t="inlineStr">
        <is>
          <t>-637Q769.2</t>
        </is>
      </c>
      <c r="E11596" t="inlineStr">
        <is>
          <t>DILM-9-10</t>
        </is>
      </c>
      <c r="F11596" t="inlineStr">
        <is>
          <t>DILA-XHI22</t>
        </is>
      </c>
      <c r="G11596" t="inlineStr">
        <is>
          <t>LASTSCHUETZ</t>
        </is>
      </c>
      <c r="H11596" t="inlineStr">
        <is>
          <t>4kW 1S Federzugkl.</t>
        </is>
      </c>
      <c r="I11596">
        <v>1186</v>
      </c>
      <c r="J11596">
        <f>GS93/637.5</f>
        <v>0</v>
      </c>
      <c r="M11596" t="inlineStr">
        <is>
          <t>-637Q769.2</t>
        </is>
      </c>
    </row>
    <row r="11597">
      <c r="A11597">
        <v>11596</v>
      </c>
      <c r="B11597">
        <f>GS93</f>
        <v>0</v>
      </c>
      <c r="C11597" t="inlineStr">
        <is>
          <t>+LS12</t>
        </is>
      </c>
      <c r="D11597" t="inlineStr">
        <is>
          <t>-637Q769.3</t>
        </is>
      </c>
      <c r="E11597" t="inlineStr">
        <is>
          <t>DILA-XHI22</t>
        </is>
      </c>
      <c r="F11597" t="inlineStr">
        <is>
          <t>DILA-XHI22</t>
        </is>
      </c>
      <c r="G11597" t="inlineStr">
        <is>
          <t>HILFSKONTAKTBLOCK</t>
        </is>
      </c>
      <c r="H11597" t="inlineStr">
        <is>
          <t>2S 2OE Last+Hilfssch. Cage</t>
        </is>
      </c>
      <c r="I11597">
        <v>1186</v>
      </c>
      <c r="J11597">
        <f>GS93/637.6</f>
        <v>0</v>
      </c>
      <c r="M11597" t="inlineStr">
        <is>
          <t>-637Q769.3</t>
        </is>
      </c>
    </row>
    <row r="11598">
      <c r="A11598">
        <v>11597</v>
      </c>
      <c r="B11598">
        <f>GS93</f>
        <v>0</v>
      </c>
      <c r="C11598" t="inlineStr">
        <is>
          <t>+LS12</t>
        </is>
      </c>
      <c r="D11598" t="inlineStr">
        <is>
          <t>-637Q769.3</t>
        </is>
      </c>
      <c r="E11598" t="inlineStr">
        <is>
          <t>DILM-9-10</t>
        </is>
      </c>
      <c r="F11598" t="inlineStr">
        <is>
          <t>DILA-XHI22</t>
        </is>
      </c>
      <c r="G11598" t="inlineStr">
        <is>
          <t>LASTSCHUETZ</t>
        </is>
      </c>
      <c r="H11598" t="inlineStr">
        <is>
          <t>4kW 1S Federzugkl.</t>
        </is>
      </c>
      <c r="I11598">
        <v>1186</v>
      </c>
      <c r="J11598">
        <f>GS93/637.6</f>
        <v>0</v>
      </c>
      <c r="M11598" t="inlineStr">
        <is>
          <t>-637Q769.3</t>
        </is>
      </c>
    </row>
    <row r="11599">
      <c r="A11599">
        <v>11598</v>
      </c>
      <c r="B11599">
        <f>GS90</f>
        <v>0</v>
      </c>
      <c r="C11599" t="inlineStr">
        <is>
          <t>+LS14</t>
        </is>
      </c>
      <c r="D11599" t="inlineStr">
        <is>
          <t>-638K1020.2</t>
        </is>
      </c>
      <c r="E11599" t="inlineStr">
        <is>
          <t>DILA-22</t>
        </is>
      </c>
      <c r="F11599" t="inlineStr">
        <is>
          <t>#KALK!</t>
        </is>
      </c>
      <c r="G11599" t="inlineStr">
        <is>
          <t>HILFSSCHUETZ</t>
        </is>
      </c>
      <c r="H11599" t="inlineStr">
        <is>
          <t>2S 2Oe Federzugkl.</t>
        </is>
      </c>
      <c r="I11599">
        <v>611</v>
      </c>
      <c r="J11599">
        <f>GS90/638.5</f>
        <v>0</v>
      </c>
      <c r="M11599" t="inlineStr">
        <is>
          <t>-638K1020.2</t>
        </is>
      </c>
    </row>
    <row r="11600">
      <c r="A11600">
        <v>11599</v>
      </c>
      <c r="B11600">
        <f>GS15</f>
        <v>0</v>
      </c>
      <c r="C11600" t="inlineStr">
        <is>
          <t>+LS12</t>
        </is>
      </c>
      <c r="D11600" t="inlineStr">
        <is>
          <t>-638K3522.7</t>
        </is>
      </c>
      <c r="E11600" t="inlineStr">
        <is>
          <t>DIL_EM-10-G</t>
        </is>
      </c>
      <c r="F11600" t="inlineStr">
        <is>
          <t>#KALK!</t>
        </is>
      </c>
      <c r="G11600" t="inlineStr">
        <is>
          <t>LASTSCHUETZ</t>
        </is>
      </c>
      <c r="H11600" t="inlineStr">
        <is>
          <t>4kW 1S</t>
        </is>
      </c>
      <c r="I11600">
        <v>1150</v>
      </c>
      <c r="J11600">
        <f>GS15/638.5</f>
        <v>0</v>
      </c>
      <c r="M11600" t="inlineStr">
        <is>
          <t>-638K3522.7</t>
        </is>
      </c>
    </row>
    <row r="11601">
      <c r="A11601">
        <v>11600</v>
      </c>
      <c r="B11601">
        <f>GS15</f>
        <v>0</v>
      </c>
      <c r="C11601" t="inlineStr">
        <is>
          <t>+LS12</t>
        </is>
      </c>
      <c r="D11601" t="inlineStr">
        <is>
          <t>-638K3523.0</t>
        </is>
      </c>
      <c r="E11601" t="inlineStr">
        <is>
          <t>DIL_EM-10-G</t>
        </is>
      </c>
      <c r="F11601" t="inlineStr">
        <is>
          <t>#KALK!</t>
        </is>
      </c>
      <c r="G11601" t="inlineStr">
        <is>
          <t>LASTSCHUETZ</t>
        </is>
      </c>
      <c r="H11601" t="inlineStr">
        <is>
          <t>4kW 1S</t>
        </is>
      </c>
      <c r="I11601">
        <v>1150</v>
      </c>
      <c r="J11601">
        <f>GS15/638.6</f>
        <v>0</v>
      </c>
      <c r="M11601" t="inlineStr">
        <is>
          <t>-638K3523.0</t>
        </is>
      </c>
    </row>
    <row r="11602">
      <c r="A11602">
        <v>11601</v>
      </c>
      <c r="B11602">
        <f>GS15</f>
        <v>0</v>
      </c>
      <c r="C11602" t="inlineStr">
        <is>
          <t>+LS12</t>
        </is>
      </c>
      <c r="D11602" t="inlineStr">
        <is>
          <t>-638K3523.1</t>
        </is>
      </c>
      <c r="E11602" t="inlineStr">
        <is>
          <t>DIL_EM-01-G</t>
        </is>
      </c>
      <c r="F11602" t="inlineStr">
        <is>
          <t>#KALK!</t>
        </is>
      </c>
      <c r="G11602" t="inlineStr">
        <is>
          <t>LASTSCHUETZ</t>
        </is>
      </c>
      <c r="H11602" t="inlineStr">
        <is>
          <t>4kW 1OE</t>
        </is>
      </c>
      <c r="I11602">
        <v>1150</v>
      </c>
      <c r="J11602">
        <f>GS15/638.7</f>
        <v>0</v>
      </c>
      <c r="M11602" t="inlineStr">
        <is>
          <t>-638K3523.1</t>
        </is>
      </c>
    </row>
    <row r="11603">
      <c r="A11603">
        <v>11602</v>
      </c>
      <c r="B11603">
        <f>GS15</f>
        <v>0</v>
      </c>
      <c r="C11603" t="inlineStr">
        <is>
          <t>+LS12</t>
        </is>
      </c>
      <c r="D11603" t="inlineStr">
        <is>
          <t>-638K3523.2</t>
        </is>
      </c>
      <c r="E11603" t="inlineStr">
        <is>
          <t>DIL_EM-01-G</t>
        </is>
      </c>
      <c r="F11603" t="inlineStr">
        <is>
          <t>#KALK!</t>
        </is>
      </c>
      <c r="G11603" t="inlineStr">
        <is>
          <t>LASTSCHUETZ</t>
        </is>
      </c>
      <c r="H11603" t="inlineStr">
        <is>
          <t>4kW 1OE</t>
        </is>
      </c>
      <c r="I11603">
        <v>1150</v>
      </c>
      <c r="J11603">
        <f>GS15/638.8</f>
        <v>0</v>
      </c>
      <c r="M11603" t="inlineStr">
        <is>
          <t>-638K3523.2</t>
        </is>
      </c>
    </row>
    <row r="11604">
      <c r="A11604">
        <v>11603</v>
      </c>
      <c r="B11604">
        <f>GS91</f>
        <v>0</v>
      </c>
      <c r="C11604" t="inlineStr">
        <is>
          <t>+LS13</t>
        </is>
      </c>
      <c r="D11604" t="inlineStr">
        <is>
          <t>-638K820.2</t>
        </is>
      </c>
      <c r="E11604" t="inlineStr">
        <is>
          <t>DILA-22</t>
        </is>
      </c>
      <c r="F11604" t="inlineStr">
        <is>
          <t>#KALK!</t>
        </is>
      </c>
      <c r="G11604" t="inlineStr">
        <is>
          <t>HILFSSCHUETZ</t>
        </is>
      </c>
      <c r="H11604" t="inlineStr">
        <is>
          <t>2S 2Oe Federzugkl.</t>
        </is>
      </c>
      <c r="I11604">
        <v>786</v>
      </c>
      <c r="J11604">
        <f>GS91/638.5</f>
        <v>0</v>
      </c>
      <c r="M11604" t="inlineStr">
        <is>
          <t>-638K820.2</t>
        </is>
      </c>
    </row>
    <row r="11605">
      <c r="A11605">
        <v>11604</v>
      </c>
      <c r="B11605">
        <f>GS90</f>
        <v>0</v>
      </c>
      <c r="C11605" t="inlineStr">
        <is>
          <t>+LS14</t>
        </is>
      </c>
      <c r="D11605" t="inlineStr">
        <is>
          <t>-638Q1020.4</t>
        </is>
      </c>
      <c r="E11605" t="inlineStr">
        <is>
          <t>DILM-9-10</t>
        </is>
      </c>
      <c r="F11605" t="inlineStr">
        <is>
          <t>#KALK!</t>
        </is>
      </c>
      <c r="G11605" t="inlineStr">
        <is>
          <t>LASTSCHUETZ</t>
        </is>
      </c>
      <c r="H11605" t="inlineStr">
        <is>
          <t>4kW 1S Federzugkl.</t>
        </is>
      </c>
      <c r="I11605">
        <v>611</v>
      </c>
      <c r="J11605">
        <f>GS90/638.7</f>
        <v>0</v>
      </c>
      <c r="M11605" t="inlineStr">
        <is>
          <t>-638Q1020.4</t>
        </is>
      </c>
    </row>
    <row r="11606">
      <c r="A11606">
        <v>11605</v>
      </c>
      <c r="B11606">
        <f>GS93</f>
        <v>0</v>
      </c>
      <c r="C11606" t="inlineStr">
        <is>
          <t>+LS12</t>
        </is>
      </c>
      <c r="D11606" t="inlineStr">
        <is>
          <t>-638Q769.4</t>
        </is>
      </c>
      <c r="E11606" t="inlineStr">
        <is>
          <t>DILM-9-10</t>
        </is>
      </c>
      <c r="F11606" t="inlineStr">
        <is>
          <t>#KALK!</t>
        </is>
      </c>
      <c r="G11606" t="inlineStr">
        <is>
          <t>LASTSCHUETZ</t>
        </is>
      </c>
      <c r="H11606" t="inlineStr">
        <is>
          <t>4kW 1S Federzugkl.</t>
        </is>
      </c>
      <c r="I11606">
        <v>1187</v>
      </c>
      <c r="J11606">
        <f>GS93/638.5</f>
        <v>0</v>
      </c>
      <c r="M11606" t="inlineStr">
        <is>
          <t>-638Q769.4</t>
        </is>
      </c>
    </row>
    <row r="11607">
      <c r="A11607">
        <v>11606</v>
      </c>
      <c r="B11607">
        <f>GS91</f>
        <v>0</v>
      </c>
      <c r="C11607" t="inlineStr">
        <is>
          <t>+LS13</t>
        </is>
      </c>
      <c r="D11607" t="inlineStr">
        <is>
          <t>-638Q820.4</t>
        </is>
      </c>
      <c r="E11607" t="inlineStr">
        <is>
          <t>DILM-9-10</t>
        </is>
      </c>
      <c r="F11607" t="inlineStr">
        <is>
          <t>#KALK!</t>
        </is>
      </c>
      <c r="G11607" t="inlineStr">
        <is>
          <t>LASTSCHUETZ</t>
        </is>
      </c>
      <c r="H11607" t="inlineStr">
        <is>
          <t>4kW 1S Federzugkl.</t>
        </is>
      </c>
      <c r="I11607">
        <v>786</v>
      </c>
      <c r="J11607">
        <f>GS91/638.7</f>
        <v>0</v>
      </c>
      <c r="M11607" t="inlineStr">
        <is>
          <t>-638Q820.4</t>
        </is>
      </c>
    </row>
    <row r="11608">
      <c r="A11608">
        <v>11607</v>
      </c>
      <c r="B11608">
        <f>GS93</f>
        <v>0</v>
      </c>
      <c r="C11608" t="inlineStr">
        <is>
          <t>+LS12</t>
        </is>
      </c>
      <c r="D11608" t="inlineStr">
        <is>
          <t>-639Q769.5</t>
        </is>
      </c>
      <c r="E11608" t="inlineStr">
        <is>
          <t>DILA-XHI22</t>
        </is>
      </c>
      <c r="F11608" t="inlineStr">
        <is>
          <t>DILA-XHI22</t>
        </is>
      </c>
      <c r="G11608" t="inlineStr">
        <is>
          <t>HILFSKONTAKTBLOCK</t>
        </is>
      </c>
      <c r="H11608" t="inlineStr">
        <is>
          <t>2S 2OE Last+Hilfssch. Cage</t>
        </is>
      </c>
      <c r="I11608">
        <v>1188</v>
      </c>
      <c r="J11608">
        <f>GS93/639.5</f>
        <v>0</v>
      </c>
      <c r="M11608" t="inlineStr">
        <is>
          <t>-639Q769.5</t>
        </is>
      </c>
    </row>
    <row r="11609">
      <c r="A11609">
        <v>11608</v>
      </c>
      <c r="B11609">
        <f>GS93</f>
        <v>0</v>
      </c>
      <c r="C11609" t="inlineStr">
        <is>
          <t>+LS12</t>
        </is>
      </c>
      <c r="D11609" t="inlineStr">
        <is>
          <t>-639Q769.5</t>
        </is>
      </c>
      <c r="E11609" t="inlineStr">
        <is>
          <t>DILM-9-10</t>
        </is>
      </c>
      <c r="F11609" t="inlineStr">
        <is>
          <t>DILA-XHI22</t>
        </is>
      </c>
      <c r="G11609" t="inlineStr">
        <is>
          <t>LASTSCHUETZ</t>
        </is>
      </c>
      <c r="H11609" t="inlineStr">
        <is>
          <t>4kW 1S Federzugkl.</t>
        </is>
      </c>
      <c r="I11609">
        <v>1188</v>
      </c>
      <c r="J11609">
        <f>GS93/639.5</f>
        <v>0</v>
      </c>
      <c r="M11609" t="inlineStr">
        <is>
          <t>-639Q769.5</t>
        </is>
      </c>
    </row>
    <row r="11610">
      <c r="A11610">
        <v>11609</v>
      </c>
      <c r="B11610">
        <f>GS93</f>
        <v>0</v>
      </c>
      <c r="C11610" t="inlineStr">
        <is>
          <t>+LS12</t>
        </is>
      </c>
      <c r="D11610" t="inlineStr">
        <is>
          <t>-639Q769.6</t>
        </is>
      </c>
      <c r="E11610" t="inlineStr">
        <is>
          <t>DILA-XHI22</t>
        </is>
      </c>
      <c r="F11610" t="inlineStr">
        <is>
          <t>DILA-XHI22</t>
        </is>
      </c>
      <c r="G11610" t="inlineStr">
        <is>
          <t>HILFSKONTAKTBLOCK</t>
        </is>
      </c>
      <c r="H11610" t="inlineStr">
        <is>
          <t>2S 2OE Last+Hilfssch. Cage</t>
        </is>
      </c>
      <c r="I11610">
        <v>1188</v>
      </c>
      <c r="J11610">
        <f>GS93/639.6</f>
        <v>0</v>
      </c>
      <c r="M11610" t="inlineStr">
        <is>
          <t>-639Q769.6</t>
        </is>
      </c>
    </row>
    <row r="11611">
      <c r="A11611">
        <v>11610</v>
      </c>
      <c r="B11611">
        <f>GS93</f>
        <v>0</v>
      </c>
      <c r="C11611" t="inlineStr">
        <is>
          <t>+LS12</t>
        </is>
      </c>
      <c r="D11611" t="inlineStr">
        <is>
          <t>-639Q769.6</t>
        </is>
      </c>
      <c r="E11611" t="inlineStr">
        <is>
          <t>DILM-9-10</t>
        </is>
      </c>
      <c r="F11611" t="inlineStr">
        <is>
          <t>DILA-XHI22</t>
        </is>
      </c>
      <c r="G11611" t="inlineStr">
        <is>
          <t>LASTSCHUETZ</t>
        </is>
      </c>
      <c r="H11611" t="inlineStr">
        <is>
          <t>4kW 1S Federzugkl.</t>
        </is>
      </c>
      <c r="I11611">
        <v>1188</v>
      </c>
      <c r="J11611">
        <f>GS93/639.6</f>
        <v>0</v>
      </c>
      <c r="M11611" t="inlineStr">
        <is>
          <t>-639Q769.6</t>
        </is>
      </c>
    </row>
    <row r="11612">
      <c r="A11612">
        <v>11611</v>
      </c>
      <c r="B11612">
        <f>GS92</f>
        <v>0</v>
      </c>
      <c r="C11612" t="inlineStr">
        <is>
          <t>+LS12</t>
        </is>
      </c>
      <c r="D11612" t="inlineStr">
        <is>
          <t>-640K1050.4</t>
        </is>
      </c>
      <c r="E11612" t="inlineStr">
        <is>
          <t>DILA-40</t>
        </is>
      </c>
      <c r="F11612" t="inlineStr">
        <is>
          <t>#KALK!</t>
        </is>
      </c>
      <c r="G11612" t="inlineStr">
        <is>
          <t>HILFSSCHUETZ</t>
        </is>
      </c>
      <c r="H11612" t="inlineStr">
        <is>
          <t>4S Federzugkl.</t>
        </is>
      </c>
      <c r="I11612">
        <v>766</v>
      </c>
      <c r="J11612">
        <f>GS92/640.7</f>
        <v>0</v>
      </c>
      <c r="M11612" t="inlineStr">
        <is>
          <t>-640K1050.4</t>
        </is>
      </c>
    </row>
    <row r="11613">
      <c r="A11613">
        <v>11612</v>
      </c>
      <c r="B11613">
        <f>GS15</f>
        <v>0</v>
      </c>
      <c r="C11613" t="inlineStr">
        <is>
          <t>+LS12</t>
        </is>
      </c>
      <c r="D11613" t="inlineStr">
        <is>
          <t>-640K3524.1</t>
        </is>
      </c>
      <c r="E11613" t="inlineStr">
        <is>
          <t>DIL_EM-10-G</t>
        </is>
      </c>
      <c r="F11613" t="inlineStr">
        <is>
          <t>#KALK!</t>
        </is>
      </c>
      <c r="G11613" t="inlineStr">
        <is>
          <t>LASTSCHUETZ</t>
        </is>
      </c>
      <c r="H11613" t="inlineStr">
        <is>
          <t>4kW 1S</t>
        </is>
      </c>
      <c r="I11613">
        <v>1152</v>
      </c>
      <c r="J11613">
        <f>GS15/640.5</f>
        <v>0</v>
      </c>
      <c r="M11613" t="inlineStr">
        <is>
          <t>-640K3524.1</t>
        </is>
      </c>
    </row>
    <row r="11614">
      <c r="A11614">
        <v>11613</v>
      </c>
      <c r="B11614">
        <f>GS15</f>
        <v>0</v>
      </c>
      <c r="C11614" t="inlineStr">
        <is>
          <t>+LS12</t>
        </is>
      </c>
      <c r="D11614" t="inlineStr">
        <is>
          <t>-640K3524.2</t>
        </is>
      </c>
      <c r="E11614" t="inlineStr">
        <is>
          <t>DIL_EM-10-G</t>
        </is>
      </c>
      <c r="F11614" t="inlineStr">
        <is>
          <t>#KALK!</t>
        </is>
      </c>
      <c r="G11614" t="inlineStr">
        <is>
          <t>LASTSCHUETZ</t>
        </is>
      </c>
      <c r="H11614" t="inlineStr">
        <is>
          <t>4kW 1S</t>
        </is>
      </c>
      <c r="I11614">
        <v>1152</v>
      </c>
      <c r="J11614">
        <f>GS15/640.6</f>
        <v>0</v>
      </c>
      <c r="M11614" t="inlineStr">
        <is>
          <t>-640K3524.2</t>
        </is>
      </c>
    </row>
    <row r="11615">
      <c r="A11615">
        <v>11614</v>
      </c>
      <c r="B11615">
        <f>GS15</f>
        <v>0</v>
      </c>
      <c r="C11615" t="inlineStr">
        <is>
          <t>+LS12</t>
        </is>
      </c>
      <c r="D11615" t="inlineStr">
        <is>
          <t>-640K3524.3</t>
        </is>
      </c>
      <c r="E11615" t="inlineStr">
        <is>
          <t>DIL_EM-01-G</t>
        </is>
      </c>
      <c r="F11615" t="inlineStr">
        <is>
          <t>#KALK!</t>
        </is>
      </c>
      <c r="G11615" t="inlineStr">
        <is>
          <t>LASTSCHUETZ</t>
        </is>
      </c>
      <c r="H11615" t="inlineStr">
        <is>
          <t>4kW 1OE</t>
        </is>
      </c>
      <c r="I11615">
        <v>1152</v>
      </c>
      <c r="J11615">
        <f>GS15/640.7</f>
        <v>0</v>
      </c>
      <c r="M11615" t="inlineStr">
        <is>
          <t>-640K3524.3</t>
        </is>
      </c>
    </row>
    <row r="11616">
      <c r="A11616">
        <v>11615</v>
      </c>
      <c r="B11616">
        <f>GS15</f>
        <v>0</v>
      </c>
      <c r="C11616" t="inlineStr">
        <is>
          <t>+LS12</t>
        </is>
      </c>
      <c r="D11616" t="inlineStr">
        <is>
          <t>-640K3524.4</t>
        </is>
      </c>
      <c r="E11616" t="inlineStr">
        <is>
          <t>DIL_EM-01-G</t>
        </is>
      </c>
      <c r="F11616" t="inlineStr">
        <is>
          <t>#KALK!</t>
        </is>
      </c>
      <c r="G11616" t="inlineStr">
        <is>
          <t>LASTSCHUETZ</t>
        </is>
      </c>
      <c r="H11616" t="inlineStr">
        <is>
          <t>4kW 1OE</t>
        </is>
      </c>
      <c r="I11616">
        <v>1152</v>
      </c>
      <c r="J11616">
        <f>GS15/640.8</f>
        <v>0</v>
      </c>
      <c r="M11616" t="inlineStr">
        <is>
          <t>-640K3524.4</t>
        </is>
      </c>
    </row>
    <row r="11617">
      <c r="A11617">
        <v>11616</v>
      </c>
      <c r="B11617">
        <f>GS92</f>
        <v>0</v>
      </c>
      <c r="C11617" t="inlineStr">
        <is>
          <t>+LS12</t>
        </is>
      </c>
      <c r="D11617" t="inlineStr">
        <is>
          <t>-640Q1</t>
        </is>
      </c>
      <c r="E11617" t="inlineStr">
        <is>
          <t>DILMC25-10(RDC24)</t>
        </is>
      </c>
      <c r="F11617" t="inlineStr">
        <is>
          <t>DILA-XHI22</t>
        </is>
      </c>
      <c r="G11617" t="inlineStr">
        <is>
          <t>LASTSCHUETZ</t>
        </is>
      </c>
      <c r="H11617" t="inlineStr">
        <is>
          <t>11kW 1S Federzugkl.</t>
        </is>
      </c>
      <c r="I11617">
        <v>766</v>
      </c>
      <c r="J11617">
        <f>GS92/640.4</f>
        <v>0</v>
      </c>
      <c r="K11617" t="inlineStr">
        <is>
          <t>DIL MC25</t>
        </is>
      </c>
      <c r="M11617" t="inlineStr">
        <is>
          <t>-640Q1</t>
        </is>
      </c>
    </row>
    <row r="11618">
      <c r="A11618">
        <v>11617</v>
      </c>
      <c r="B11618">
        <f>GS92</f>
        <v>0</v>
      </c>
      <c r="C11618" t="inlineStr">
        <is>
          <t>+LS12</t>
        </is>
      </c>
      <c r="D11618" t="inlineStr">
        <is>
          <t>-640Q1</t>
        </is>
      </c>
      <c r="E11618" t="inlineStr">
        <is>
          <t>DILA-XHI22</t>
        </is>
      </c>
      <c r="F11618" t="inlineStr">
        <is>
          <t>DILA-XHI22</t>
        </is>
      </c>
      <c r="G11618" t="inlineStr">
        <is>
          <t>HILFSKONTAKTBLOCK</t>
        </is>
      </c>
      <c r="H11618" t="inlineStr">
        <is>
          <t>2S 2OE Last+Hilfssch. Cage</t>
        </is>
      </c>
      <c r="I11618">
        <v>766</v>
      </c>
      <c r="J11618">
        <f>GS92/640.4</f>
        <v>0</v>
      </c>
      <c r="K11618" t="inlineStr">
        <is>
          <t>DIL MC25</t>
        </is>
      </c>
      <c r="M11618" t="inlineStr">
        <is>
          <t>-640Q1</t>
        </is>
      </c>
    </row>
    <row r="11619">
      <c r="A11619">
        <v>11618</v>
      </c>
      <c r="B11619">
        <f>GS90</f>
        <v>0</v>
      </c>
      <c r="C11619" t="inlineStr">
        <is>
          <t>+LS14</t>
        </is>
      </c>
      <c r="D11619" t="inlineStr">
        <is>
          <t>-640Q1021.0</t>
        </is>
      </c>
      <c r="E11619" t="inlineStr">
        <is>
          <t>DILM-9-10</t>
        </is>
      </c>
      <c r="F11619" t="inlineStr">
        <is>
          <t>#KALK!</t>
        </is>
      </c>
      <c r="G11619" t="inlineStr">
        <is>
          <t>LASTSCHUETZ</t>
        </is>
      </c>
      <c r="H11619" t="inlineStr">
        <is>
          <t>4kW 1S Federzugkl.</t>
        </is>
      </c>
      <c r="I11619">
        <v>608</v>
      </c>
      <c r="J11619">
        <f>GS90/640.5</f>
        <v>0</v>
      </c>
      <c r="M11619" t="inlineStr">
        <is>
          <t>-640Q1021.0</t>
        </is>
      </c>
    </row>
    <row r="11620">
      <c r="A11620">
        <v>11619</v>
      </c>
      <c r="B11620">
        <f>GS93</f>
        <v>0</v>
      </c>
      <c r="C11620" t="inlineStr">
        <is>
          <t>+LS12</t>
        </is>
      </c>
      <c r="D11620" t="inlineStr">
        <is>
          <t>-640Q769.7</t>
        </is>
      </c>
      <c r="E11620" t="inlineStr">
        <is>
          <t>DILM-9-10</t>
        </is>
      </c>
      <c r="F11620" t="inlineStr">
        <is>
          <t>#KALK!</t>
        </is>
      </c>
      <c r="G11620" t="inlineStr">
        <is>
          <t>LASTSCHUETZ</t>
        </is>
      </c>
      <c r="H11620" t="inlineStr">
        <is>
          <t>4kW 1S Federzugkl.</t>
        </is>
      </c>
      <c r="I11620">
        <v>1189</v>
      </c>
      <c r="J11620">
        <f>GS93/640.5</f>
        <v>0</v>
      </c>
      <c r="M11620" t="inlineStr">
        <is>
          <t>-640Q769.7</t>
        </is>
      </c>
    </row>
    <row r="11621">
      <c r="A11621">
        <v>11620</v>
      </c>
      <c r="B11621">
        <f>GS91</f>
        <v>0</v>
      </c>
      <c r="C11621" t="inlineStr">
        <is>
          <t>+LS13</t>
        </is>
      </c>
      <c r="D11621" t="inlineStr">
        <is>
          <t>-640Q821.0</t>
        </is>
      </c>
      <c r="E11621" t="inlineStr">
        <is>
          <t>DILM-9-10</t>
        </is>
      </c>
      <c r="F11621" t="inlineStr">
        <is>
          <t>#KALK!</t>
        </is>
      </c>
      <c r="G11621" t="inlineStr">
        <is>
          <t>LASTSCHUETZ</t>
        </is>
      </c>
      <c r="H11621" t="inlineStr">
        <is>
          <t>4kW 1S Federzugkl.</t>
        </is>
      </c>
      <c r="I11621">
        <v>788</v>
      </c>
      <c r="J11621">
        <f>GS91/640.5</f>
        <v>0</v>
      </c>
      <c r="M11621" t="inlineStr">
        <is>
          <t>-640Q821.0</t>
        </is>
      </c>
    </row>
    <row r="11622">
      <c r="A11622">
        <v>11621</v>
      </c>
      <c r="B11622">
        <f>GS15</f>
        <v>0</v>
      </c>
      <c r="C11622" t="inlineStr">
        <is>
          <t>+LS12</t>
        </is>
      </c>
      <c r="D11622" t="inlineStr">
        <is>
          <t>-641K3524.5</t>
        </is>
      </c>
      <c r="E11622" t="inlineStr">
        <is>
          <t>DIL_EM-10-G</t>
        </is>
      </c>
      <c r="F11622" t="inlineStr">
        <is>
          <t>#KALK!</t>
        </is>
      </c>
      <c r="G11622" t="inlineStr">
        <is>
          <t>LASTSCHUETZ</t>
        </is>
      </c>
      <c r="H11622" t="inlineStr">
        <is>
          <t>4kW 1S</t>
        </is>
      </c>
      <c r="I11622">
        <v>1153</v>
      </c>
      <c r="J11622">
        <f>GS15/641.6</f>
        <v>0</v>
      </c>
      <c r="M11622" t="inlineStr">
        <is>
          <t>-641K3524.5</t>
        </is>
      </c>
    </row>
    <row r="11623">
      <c r="A11623">
        <v>11622</v>
      </c>
      <c r="B11623">
        <f>GS15</f>
        <v>0</v>
      </c>
      <c r="C11623" t="inlineStr">
        <is>
          <t>+LS12</t>
        </is>
      </c>
      <c r="D11623" t="inlineStr">
        <is>
          <t>-641K3524.6</t>
        </is>
      </c>
      <c r="E11623" t="inlineStr">
        <is>
          <t>DIL_EM-10-G</t>
        </is>
      </c>
      <c r="F11623" t="inlineStr">
        <is>
          <t>#KALK!</t>
        </is>
      </c>
      <c r="G11623" t="inlineStr">
        <is>
          <t>LASTSCHUETZ</t>
        </is>
      </c>
      <c r="H11623" t="inlineStr">
        <is>
          <t>4kW 1S</t>
        </is>
      </c>
      <c r="I11623">
        <v>1153</v>
      </c>
      <c r="J11623">
        <f>GS15/641.6</f>
        <v>0</v>
      </c>
      <c r="M11623" t="inlineStr">
        <is>
          <t>-641K3524.6</t>
        </is>
      </c>
    </row>
    <row r="11624">
      <c r="A11624">
        <v>11623</v>
      </c>
      <c r="B11624">
        <f>GS92</f>
        <v>0</v>
      </c>
      <c r="C11624" t="inlineStr">
        <is>
          <t>+LS12</t>
        </is>
      </c>
      <c r="D11624" t="inlineStr">
        <is>
          <t>-641Q1050.5</t>
        </is>
      </c>
      <c r="E11624" t="inlineStr">
        <is>
          <t>DILM-9-10</t>
        </is>
      </c>
      <c r="F11624" t="inlineStr">
        <is>
          <t>#KALK!</t>
        </is>
      </c>
      <c r="G11624" t="inlineStr">
        <is>
          <t>LASTSCHUETZ</t>
        </is>
      </c>
      <c r="H11624" t="inlineStr">
        <is>
          <t>4kW 1S Federzugkl.</t>
        </is>
      </c>
      <c r="I11624">
        <v>768</v>
      </c>
      <c r="J11624">
        <f>GS92/641.5</f>
        <v>0</v>
      </c>
      <c r="M11624" t="inlineStr">
        <is>
          <t>-641Q1050.5</t>
        </is>
      </c>
    </row>
    <row r="11625">
      <c r="A11625">
        <v>11624</v>
      </c>
      <c r="B11625">
        <f>GS21</f>
        <v>0</v>
      </c>
      <c r="C11625" t="inlineStr">
        <is>
          <t>+LS12</t>
        </is>
      </c>
      <c r="D11625" t="inlineStr">
        <is>
          <t>-642K94.0</t>
        </is>
      </c>
      <c r="E11625" t="inlineStr">
        <is>
          <t>DIL_EM-10-G</t>
        </is>
      </c>
      <c r="F11625" t="inlineStr">
        <is>
          <t>#KALK!</t>
        </is>
      </c>
      <c r="G11625" t="inlineStr">
        <is>
          <t>LASTSCHUETZ</t>
        </is>
      </c>
      <c r="H11625" t="inlineStr">
        <is>
          <t>4kW 1S</t>
        </is>
      </c>
      <c r="I11625">
        <v>1048</v>
      </c>
      <c r="J11625">
        <f>GS21/642.6</f>
        <v>0</v>
      </c>
      <c r="M11625" t="inlineStr">
        <is>
          <t>-642K94.0</t>
        </is>
      </c>
    </row>
    <row r="11626">
      <c r="A11626">
        <v>11625</v>
      </c>
      <c r="B11626">
        <f>GS90</f>
        <v>0</v>
      </c>
      <c r="C11626" t="inlineStr">
        <is>
          <t>+LS14</t>
        </is>
      </c>
      <c r="D11626" t="inlineStr">
        <is>
          <t>-642Q1021.1</t>
        </is>
      </c>
      <c r="E11626" t="inlineStr">
        <is>
          <t>DILM-9-10</t>
        </is>
      </c>
      <c r="F11626" t="inlineStr">
        <is>
          <t>#KALK!</t>
        </is>
      </c>
      <c r="G11626" t="inlineStr">
        <is>
          <t>LASTSCHUETZ</t>
        </is>
      </c>
      <c r="H11626" t="inlineStr">
        <is>
          <t>4kW 1S Federzugkl.</t>
        </is>
      </c>
      <c r="I11626">
        <v>606</v>
      </c>
      <c r="J11626">
        <f>GS90/642.5</f>
        <v>0</v>
      </c>
      <c r="M11626" t="inlineStr">
        <is>
          <t>-642Q1021.1</t>
        </is>
      </c>
    </row>
    <row r="11627">
      <c r="A11627">
        <v>11626</v>
      </c>
      <c r="B11627">
        <f>GS91</f>
        <v>0</v>
      </c>
      <c r="C11627" t="inlineStr">
        <is>
          <t>+LS13</t>
        </is>
      </c>
      <c r="D11627" t="inlineStr">
        <is>
          <t>-642Q821.1</t>
        </is>
      </c>
      <c r="E11627" t="inlineStr">
        <is>
          <t>DILM-9-10</t>
        </is>
      </c>
      <c r="F11627" t="inlineStr">
        <is>
          <t>#KALK!</t>
        </is>
      </c>
      <c r="G11627" t="inlineStr">
        <is>
          <t>LASTSCHUETZ</t>
        </is>
      </c>
      <c r="H11627" t="inlineStr">
        <is>
          <t>4kW 1S Federzugkl.</t>
        </is>
      </c>
      <c r="I11627">
        <v>790</v>
      </c>
      <c r="J11627">
        <f>GS91/642.5</f>
        <v>0</v>
      </c>
      <c r="M11627" t="inlineStr">
        <is>
          <t>-642Q821.1</t>
        </is>
      </c>
    </row>
    <row r="11628">
      <c r="A11628">
        <v>11627</v>
      </c>
      <c r="B11628">
        <f>GS21</f>
        <v>0</v>
      </c>
      <c r="C11628" t="inlineStr">
        <is>
          <t>+LS12</t>
        </is>
      </c>
      <c r="D11628" t="inlineStr">
        <is>
          <t>-643K94.2</t>
        </is>
      </c>
      <c r="E11628" t="inlineStr">
        <is>
          <t>DIL_EM-10-G</t>
        </is>
      </c>
      <c r="F11628" t="inlineStr">
        <is>
          <t>#KALK!</t>
        </is>
      </c>
      <c r="G11628" t="inlineStr">
        <is>
          <t>LASTSCHUETZ</t>
        </is>
      </c>
      <c r="H11628" t="inlineStr">
        <is>
          <t>4kW 1S</t>
        </is>
      </c>
      <c r="I11628">
        <v>1049</v>
      </c>
      <c r="J11628">
        <f>GS21/643.8</f>
        <v>0</v>
      </c>
      <c r="M11628" t="inlineStr">
        <is>
          <t>-643K94.2</t>
        </is>
      </c>
    </row>
    <row r="11629">
      <c r="A11629">
        <v>11628</v>
      </c>
      <c r="B11629">
        <f>GS21</f>
        <v>0</v>
      </c>
      <c r="C11629" t="inlineStr">
        <is>
          <t>+LS12</t>
        </is>
      </c>
      <c r="D11629" t="inlineStr">
        <is>
          <t>-644K94.3</t>
        </is>
      </c>
      <c r="E11629" t="inlineStr">
        <is>
          <t>DIL_EM-10-G</t>
        </is>
      </c>
      <c r="F11629" t="inlineStr">
        <is>
          <t>#KALK!</t>
        </is>
      </c>
      <c r="G11629" t="inlineStr">
        <is>
          <t>LASTSCHUETZ</t>
        </is>
      </c>
      <c r="H11629" t="inlineStr">
        <is>
          <t>4kW 1S</t>
        </is>
      </c>
      <c r="I11629">
        <v>1050</v>
      </c>
      <c r="J11629">
        <f>GS21/644.6</f>
        <v>0</v>
      </c>
      <c r="M11629" t="inlineStr">
        <is>
          <t>-644K94.3</t>
        </is>
      </c>
    </row>
    <row r="11630">
      <c r="A11630">
        <v>11629</v>
      </c>
      <c r="B11630">
        <f>GS21</f>
        <v>0</v>
      </c>
      <c r="C11630" t="inlineStr">
        <is>
          <t>+LS12</t>
        </is>
      </c>
      <c r="D11630" t="inlineStr">
        <is>
          <t>-644K94.4</t>
        </is>
      </c>
      <c r="E11630" t="inlineStr">
        <is>
          <t>DIL_EM-10-G</t>
        </is>
      </c>
      <c r="F11630" t="inlineStr">
        <is>
          <t>#KALK!</t>
        </is>
      </c>
      <c r="G11630" t="inlineStr">
        <is>
          <t>LASTSCHUETZ</t>
        </is>
      </c>
      <c r="H11630" t="inlineStr">
        <is>
          <t>4kW 1S</t>
        </is>
      </c>
      <c r="I11630">
        <v>1050</v>
      </c>
      <c r="J11630">
        <f>GS21/644.6</f>
        <v>0</v>
      </c>
      <c r="M11630" t="inlineStr">
        <is>
          <t>-644K94.4</t>
        </is>
      </c>
    </row>
    <row r="11631">
      <c r="A11631">
        <v>11630</v>
      </c>
      <c r="B11631">
        <f>GS21</f>
        <v>0</v>
      </c>
      <c r="C11631" t="inlineStr">
        <is>
          <t>+LS12</t>
        </is>
      </c>
      <c r="D11631" t="inlineStr">
        <is>
          <t>-644K94.5</t>
        </is>
      </c>
      <c r="E11631" t="inlineStr">
        <is>
          <t>DIL_EM-10-G</t>
        </is>
      </c>
      <c r="F11631" t="inlineStr">
        <is>
          <t>#KALK!</t>
        </is>
      </c>
      <c r="G11631" t="inlineStr">
        <is>
          <t>LASTSCHUETZ</t>
        </is>
      </c>
      <c r="H11631" t="inlineStr">
        <is>
          <t>4kW 1S</t>
        </is>
      </c>
      <c r="I11631">
        <v>1050</v>
      </c>
      <c r="J11631">
        <f>GS21/644.7</f>
        <v>0</v>
      </c>
      <c r="M11631" t="inlineStr">
        <is>
          <t>-644K94.5</t>
        </is>
      </c>
    </row>
    <row r="11632">
      <c r="A11632">
        <v>11631</v>
      </c>
      <c r="B11632">
        <f>GS11</f>
        <v>0</v>
      </c>
      <c r="C11632" t="inlineStr">
        <is>
          <t>+LS12</t>
        </is>
      </c>
      <c r="D11632" t="inlineStr">
        <is>
          <t>-645K1</t>
        </is>
      </c>
      <c r="E11632" t="inlineStr">
        <is>
          <t>DILMC25-10230V50HZ</t>
        </is>
      </c>
      <c r="F11632" t="inlineStr">
        <is>
          <t>DILA-XHI22</t>
        </is>
      </c>
      <c r="G11632" t="inlineStr">
        <is>
          <t>LASTSCHUETZ</t>
        </is>
      </c>
      <c r="H11632" t="inlineStr">
        <is>
          <t>11kW 1S Federzugkl.</t>
        </is>
      </c>
      <c r="I11632">
        <v>1113</v>
      </c>
      <c r="J11632">
        <f>GS11/645.5</f>
        <v>0</v>
      </c>
      <c r="K11632" t="inlineStr">
        <is>
          <t>DIL MC25</t>
        </is>
      </c>
      <c r="M11632" t="inlineStr">
        <is>
          <t>-645K1</t>
        </is>
      </c>
    </row>
    <row r="11633">
      <c r="A11633">
        <v>11632</v>
      </c>
      <c r="B11633">
        <f>GS11</f>
        <v>0</v>
      </c>
      <c r="C11633" t="inlineStr">
        <is>
          <t>+LS12</t>
        </is>
      </c>
      <c r="D11633" t="inlineStr">
        <is>
          <t>-645K1</t>
        </is>
      </c>
      <c r="E11633" t="inlineStr">
        <is>
          <t>DILA-XHI22</t>
        </is>
      </c>
      <c r="F11633" t="inlineStr">
        <is>
          <t>DILA-XHI22</t>
        </is>
      </c>
      <c r="G11633" t="inlineStr">
        <is>
          <t>HILFSKONTAKTBLOCK</t>
        </is>
      </c>
      <c r="H11633" t="inlineStr">
        <is>
          <t>2S 2OE Last+Hilfssch. Cage</t>
        </is>
      </c>
      <c r="I11633">
        <v>1113</v>
      </c>
      <c r="J11633">
        <f>GS11/645.5</f>
        <v>0</v>
      </c>
      <c r="K11633" t="inlineStr">
        <is>
          <t>DIL MC25</t>
        </is>
      </c>
      <c r="M11633" t="inlineStr">
        <is>
          <t>-645K1</t>
        </is>
      </c>
    </row>
    <row r="11634">
      <c r="A11634">
        <v>11633</v>
      </c>
      <c r="B11634">
        <f>GS90</f>
        <v>0</v>
      </c>
      <c r="C11634" t="inlineStr">
        <is>
          <t>+LS14</t>
        </is>
      </c>
      <c r="D11634" t="inlineStr">
        <is>
          <t>-645K1024.0</t>
        </is>
      </c>
      <c r="E11634" t="inlineStr">
        <is>
          <t>DILA-40</t>
        </is>
      </c>
      <c r="F11634" t="inlineStr">
        <is>
          <t>#KALK!</t>
        </is>
      </c>
      <c r="G11634" t="inlineStr">
        <is>
          <t>HILFSSCHUETZ</t>
        </is>
      </c>
      <c r="H11634" t="inlineStr">
        <is>
          <t>4S Federzugkl.</t>
        </is>
      </c>
      <c r="I11634">
        <v>603</v>
      </c>
      <c r="J11634">
        <f>GS90/645.7</f>
        <v>0</v>
      </c>
      <c r="M11634" t="inlineStr">
        <is>
          <t>-645K1024.0</t>
        </is>
      </c>
    </row>
    <row r="11635">
      <c r="A11635">
        <v>11634</v>
      </c>
      <c r="B11635">
        <f>GS92</f>
        <v>0</v>
      </c>
      <c r="C11635" t="inlineStr">
        <is>
          <t>+LS12</t>
        </is>
      </c>
      <c r="D11635" t="inlineStr">
        <is>
          <t>-645K1051.0</t>
        </is>
      </c>
      <c r="E11635" t="inlineStr">
        <is>
          <t>DILA-40</t>
        </is>
      </c>
      <c r="F11635" t="inlineStr">
        <is>
          <t>#KALK!</t>
        </is>
      </c>
      <c r="G11635" t="inlineStr">
        <is>
          <t>HILFSSCHUETZ</t>
        </is>
      </c>
      <c r="H11635" t="inlineStr">
        <is>
          <t>4S Federzugkl.</t>
        </is>
      </c>
      <c r="I11635">
        <v>772</v>
      </c>
      <c r="J11635">
        <f>GS92/645.7</f>
        <v>0</v>
      </c>
      <c r="M11635" t="inlineStr">
        <is>
          <t>-645K1051.0</t>
        </is>
      </c>
    </row>
    <row r="11636">
      <c r="A11636">
        <v>11635</v>
      </c>
      <c r="B11636">
        <f>GS91</f>
        <v>0</v>
      </c>
      <c r="C11636" t="inlineStr">
        <is>
          <t>+LS13</t>
        </is>
      </c>
      <c r="D11636" t="inlineStr">
        <is>
          <t>-645K825.0</t>
        </is>
      </c>
      <c r="E11636" t="inlineStr">
        <is>
          <t>DILA-40</t>
        </is>
      </c>
      <c r="F11636" t="inlineStr">
        <is>
          <t>#KALK!</t>
        </is>
      </c>
      <c r="G11636" t="inlineStr">
        <is>
          <t>HILFSSCHUETZ</t>
        </is>
      </c>
      <c r="H11636" t="inlineStr">
        <is>
          <t>4S Federzugkl.</t>
        </is>
      </c>
      <c r="I11636">
        <v>793</v>
      </c>
      <c r="J11636">
        <f>GS91/645.7</f>
        <v>0</v>
      </c>
      <c r="M11636" t="inlineStr">
        <is>
          <t>-645K825.0</t>
        </is>
      </c>
    </row>
    <row r="11637">
      <c r="A11637">
        <v>11636</v>
      </c>
      <c r="B11637">
        <f>GS21</f>
        <v>0</v>
      </c>
      <c r="C11637" t="inlineStr">
        <is>
          <t>+LS12</t>
        </is>
      </c>
      <c r="D11637" t="inlineStr">
        <is>
          <t>-645K94.6</t>
        </is>
      </c>
      <c r="E11637" t="inlineStr">
        <is>
          <t>DIL_EM-10-G</t>
        </is>
      </c>
      <c r="F11637" t="inlineStr">
        <is>
          <t>#KALK!</t>
        </is>
      </c>
      <c r="G11637" t="inlineStr">
        <is>
          <t>LASTSCHUETZ</t>
        </is>
      </c>
      <c r="H11637" t="inlineStr">
        <is>
          <t>4kW 1S</t>
        </is>
      </c>
      <c r="I11637">
        <v>1051</v>
      </c>
      <c r="J11637">
        <f>GS21/645.6</f>
        <v>0</v>
      </c>
      <c r="M11637" t="inlineStr">
        <is>
          <t>-645K94.6</t>
        </is>
      </c>
    </row>
    <row r="11638">
      <c r="A11638">
        <v>11637</v>
      </c>
      <c r="B11638">
        <f>GS21</f>
        <v>0</v>
      </c>
      <c r="C11638" t="inlineStr">
        <is>
          <t>+LS12</t>
        </is>
      </c>
      <c r="D11638" t="inlineStr">
        <is>
          <t>-645K94.7</t>
        </is>
      </c>
      <c r="E11638" t="inlineStr">
        <is>
          <t>DIL_EM-10-G</t>
        </is>
      </c>
      <c r="F11638" t="inlineStr">
        <is>
          <t>#KALK!</t>
        </is>
      </c>
      <c r="G11638" t="inlineStr">
        <is>
          <t>LASTSCHUETZ</t>
        </is>
      </c>
      <c r="H11638" t="inlineStr">
        <is>
          <t>4kW 1S</t>
        </is>
      </c>
      <c r="I11638">
        <v>1051</v>
      </c>
      <c r="J11638">
        <f>GS21/645.6</f>
        <v>0</v>
      </c>
      <c r="M11638" t="inlineStr">
        <is>
          <t>-645K94.7</t>
        </is>
      </c>
    </row>
    <row r="11639">
      <c r="A11639">
        <v>11638</v>
      </c>
      <c r="B11639">
        <f>GS21</f>
        <v>0</v>
      </c>
      <c r="C11639" t="inlineStr">
        <is>
          <t>+LS12</t>
        </is>
      </c>
      <c r="D11639" t="inlineStr">
        <is>
          <t>-645K95.0</t>
        </is>
      </c>
      <c r="E11639" t="inlineStr">
        <is>
          <t>DIL_EM-10-G</t>
        </is>
      </c>
      <c r="F11639" t="inlineStr">
        <is>
          <t>#KALK!</t>
        </is>
      </c>
      <c r="G11639" t="inlineStr">
        <is>
          <t>LASTSCHUETZ</t>
        </is>
      </c>
      <c r="H11639" t="inlineStr">
        <is>
          <t>4kW 1S</t>
        </is>
      </c>
      <c r="I11639">
        <v>1051</v>
      </c>
      <c r="J11639">
        <f>GS21/645.7</f>
        <v>0</v>
      </c>
      <c r="M11639" t="inlineStr">
        <is>
          <t>-645K95.0</t>
        </is>
      </c>
    </row>
    <row r="11640">
      <c r="A11640">
        <v>11639</v>
      </c>
      <c r="B11640">
        <f>GS06</f>
        <v>0</v>
      </c>
      <c r="C11640" t="inlineStr">
        <is>
          <t>+LS10</t>
        </is>
      </c>
      <c r="D11640" t="inlineStr">
        <is>
          <t>-645Q1</t>
        </is>
      </c>
      <c r="E11640" t="inlineStr">
        <is>
          <t>DILA-XHI22</t>
        </is>
      </c>
      <c r="F11640" t="inlineStr">
        <is>
          <t>DILA-XHI22</t>
        </is>
      </c>
      <c r="G11640" t="inlineStr">
        <is>
          <t>HILFSKONTAKTBLOCK</t>
        </is>
      </c>
      <c r="H11640" t="inlineStr">
        <is>
          <t>2S 2OE Last+Hilfssch. Cage</t>
        </is>
      </c>
      <c r="I11640">
        <v>2372</v>
      </c>
      <c r="J11640">
        <f>GS06/645.5</f>
        <v>0</v>
      </c>
      <c r="K11640" t="inlineStr">
        <is>
          <t>DIL MC25</t>
        </is>
      </c>
      <c r="M11640" t="inlineStr">
        <is>
          <t>-645Q1</t>
        </is>
      </c>
    </row>
    <row r="11641">
      <c r="A11641">
        <v>11640</v>
      </c>
      <c r="B11641">
        <f>GS06</f>
        <v>0</v>
      </c>
      <c r="C11641" t="inlineStr">
        <is>
          <t>+LS10</t>
        </is>
      </c>
      <c r="D11641" t="inlineStr">
        <is>
          <t>-645Q1</t>
        </is>
      </c>
      <c r="E11641" t="inlineStr">
        <is>
          <t>DILMC25-10(RDC24)</t>
        </is>
      </c>
      <c r="F11641" t="inlineStr">
        <is>
          <t>DILA-XHI22</t>
        </is>
      </c>
      <c r="G11641" t="inlineStr">
        <is>
          <t>LASTSCHUETZ</t>
        </is>
      </c>
      <c r="H11641" t="inlineStr">
        <is>
          <t>11kW 1S Federzugkl.</t>
        </is>
      </c>
      <c r="I11641">
        <v>2372</v>
      </c>
      <c r="J11641">
        <f>GS06/645.5</f>
        <v>0</v>
      </c>
      <c r="K11641" t="inlineStr">
        <is>
          <t>DIL MC25</t>
        </is>
      </c>
      <c r="M11641" t="inlineStr">
        <is>
          <t>-645Q1</t>
        </is>
      </c>
    </row>
    <row r="11642">
      <c r="A11642">
        <v>11641</v>
      </c>
      <c r="B11642">
        <f>GS51</f>
        <v>0</v>
      </c>
      <c r="C11642" t="inlineStr">
        <is>
          <t>+LS10</t>
        </is>
      </c>
      <c r="D11642" t="inlineStr">
        <is>
          <t>-645Q1</t>
        </is>
      </c>
      <c r="E11642" t="inlineStr">
        <is>
          <t>DILA-XHI22</t>
        </is>
      </c>
      <c r="F11642" t="inlineStr">
        <is>
          <t>DILA-XHI22</t>
        </is>
      </c>
      <c r="G11642" t="inlineStr">
        <is>
          <t>HILFSKONTAKTBLOCK</t>
        </is>
      </c>
      <c r="H11642" t="inlineStr">
        <is>
          <t>2S 2OE Last+Hilfssch. Cage</t>
        </is>
      </c>
      <c r="I11642">
        <v>793</v>
      </c>
      <c r="J11642">
        <f>GS51/645.6</f>
        <v>0</v>
      </c>
      <c r="K11642" t="inlineStr">
        <is>
          <t>DIL MC25</t>
        </is>
      </c>
      <c r="M11642" t="inlineStr">
        <is>
          <t>-645Q1</t>
        </is>
      </c>
    </row>
    <row r="11643">
      <c r="A11643">
        <v>11642</v>
      </c>
      <c r="B11643">
        <f>GS51</f>
        <v>0</v>
      </c>
      <c r="C11643" t="inlineStr">
        <is>
          <t>+LS10</t>
        </is>
      </c>
      <c r="D11643" t="inlineStr">
        <is>
          <t>-645Q1</t>
        </is>
      </c>
      <c r="E11643" t="inlineStr">
        <is>
          <t>DILMC25-10(RDC24)</t>
        </is>
      </c>
      <c r="F11643" t="inlineStr">
        <is>
          <t>DILA-XHI22</t>
        </is>
      </c>
      <c r="G11643" t="inlineStr">
        <is>
          <t>LASTSCHUETZ</t>
        </is>
      </c>
      <c r="H11643" t="inlineStr">
        <is>
          <t>11kW 1S Federzugkl.</t>
        </is>
      </c>
      <c r="I11643">
        <v>793</v>
      </c>
      <c r="J11643">
        <f>GS51/645.6</f>
        <v>0</v>
      </c>
      <c r="K11643" t="inlineStr">
        <is>
          <t>DIL MC25</t>
        </is>
      </c>
      <c r="M11643" t="inlineStr">
        <is>
          <t>-645Q1</t>
        </is>
      </c>
    </row>
    <row r="11644">
      <c r="A11644">
        <v>11643</v>
      </c>
      <c r="B11644">
        <f>GS52</f>
        <v>0</v>
      </c>
      <c r="C11644" t="inlineStr">
        <is>
          <t>+LS10</t>
        </is>
      </c>
      <c r="D11644" t="inlineStr">
        <is>
          <t>-645Q1</t>
        </is>
      </c>
      <c r="E11644" t="inlineStr">
        <is>
          <t>DILMC25-10(RDC24)</t>
        </is>
      </c>
      <c r="F11644" t="inlineStr">
        <is>
          <t>DILA-XHI22</t>
        </is>
      </c>
      <c r="G11644" t="inlineStr">
        <is>
          <t>LASTSCHUETZ</t>
        </is>
      </c>
      <c r="H11644" t="inlineStr">
        <is>
          <t>11kW 1S Federzugkl.</t>
        </is>
      </c>
      <c r="I11644">
        <v>1295</v>
      </c>
      <c r="J11644">
        <f>GS52/645.6</f>
        <v>0</v>
      </c>
      <c r="K11644" t="inlineStr">
        <is>
          <t>DIL MC25</t>
        </is>
      </c>
      <c r="M11644" t="inlineStr">
        <is>
          <t>-645Q1</t>
        </is>
      </c>
    </row>
    <row r="11645">
      <c r="A11645">
        <v>11644</v>
      </c>
      <c r="B11645">
        <f>GS52</f>
        <v>0</v>
      </c>
      <c r="C11645" t="inlineStr">
        <is>
          <t>+LS10</t>
        </is>
      </c>
      <c r="D11645" t="inlineStr">
        <is>
          <t>-645Q1</t>
        </is>
      </c>
      <c r="E11645" t="inlineStr">
        <is>
          <t>DILA-XHI22</t>
        </is>
      </c>
      <c r="F11645" t="inlineStr">
        <is>
          <t>DILA-XHI22</t>
        </is>
      </c>
      <c r="G11645" t="inlineStr">
        <is>
          <t>HILFSKONTAKTBLOCK</t>
        </is>
      </c>
      <c r="H11645" t="inlineStr">
        <is>
          <t>2S 2OE Last+Hilfssch. Cage</t>
        </is>
      </c>
      <c r="I11645">
        <v>1295</v>
      </c>
      <c r="J11645">
        <f>GS52/645.6</f>
        <v>0</v>
      </c>
      <c r="K11645" t="inlineStr">
        <is>
          <t>DIL MC25</t>
        </is>
      </c>
      <c r="M11645" t="inlineStr">
        <is>
          <t>-645Q1</t>
        </is>
      </c>
    </row>
    <row r="11646">
      <c r="A11646">
        <v>11645</v>
      </c>
      <c r="B11646">
        <f>GS90</f>
        <v>0</v>
      </c>
      <c r="C11646" t="inlineStr">
        <is>
          <t>+LS14</t>
        </is>
      </c>
      <c r="D11646" t="inlineStr">
        <is>
          <t>-645Q1</t>
        </is>
      </c>
      <c r="E11646" t="inlineStr">
        <is>
          <t>DILMC25-10(RDC24)</t>
        </is>
      </c>
      <c r="F11646" t="inlineStr">
        <is>
          <t>DILA-XHI22</t>
        </is>
      </c>
      <c r="G11646" t="inlineStr">
        <is>
          <t>LASTSCHUETZ</t>
        </is>
      </c>
      <c r="H11646" t="inlineStr">
        <is>
          <t>11kW 1S Federzugkl.</t>
        </is>
      </c>
      <c r="I11646">
        <v>603</v>
      </c>
      <c r="J11646">
        <f>GS90/645.4</f>
        <v>0</v>
      </c>
      <c r="K11646" t="inlineStr">
        <is>
          <t>DIL MC25</t>
        </is>
      </c>
      <c r="M11646" t="inlineStr">
        <is>
          <t>-645Q1</t>
        </is>
      </c>
    </row>
    <row r="11647">
      <c r="A11647">
        <v>11646</v>
      </c>
      <c r="B11647">
        <f>GS90</f>
        <v>0</v>
      </c>
      <c r="C11647" t="inlineStr">
        <is>
          <t>+LS14</t>
        </is>
      </c>
      <c r="D11647" t="inlineStr">
        <is>
          <t>-645Q1</t>
        </is>
      </c>
      <c r="E11647" t="inlineStr">
        <is>
          <t>DILA-XHI22</t>
        </is>
      </c>
      <c r="F11647" t="inlineStr">
        <is>
          <t>DILA-XHI22</t>
        </is>
      </c>
      <c r="G11647" t="inlineStr">
        <is>
          <t>HILFSKONTAKTBLOCK</t>
        </is>
      </c>
      <c r="H11647" t="inlineStr">
        <is>
          <t>2S 2OE Last+Hilfssch. Cage</t>
        </is>
      </c>
      <c r="I11647">
        <v>603</v>
      </c>
      <c r="J11647">
        <f>GS90/645.4</f>
        <v>0</v>
      </c>
      <c r="K11647" t="inlineStr">
        <is>
          <t>DIL MC25</t>
        </is>
      </c>
      <c r="M11647" t="inlineStr">
        <is>
          <t>-645Q1</t>
        </is>
      </c>
    </row>
    <row r="11648">
      <c r="A11648">
        <v>11647</v>
      </c>
      <c r="B11648">
        <f>GS91</f>
        <v>0</v>
      </c>
      <c r="C11648" t="inlineStr">
        <is>
          <t>+LS13</t>
        </is>
      </c>
      <c r="D11648" t="inlineStr">
        <is>
          <t>-645Q1</t>
        </is>
      </c>
      <c r="E11648" t="inlineStr">
        <is>
          <t>DILA-XHI22</t>
        </is>
      </c>
      <c r="F11648" t="inlineStr">
        <is>
          <t>DILA-XHI22</t>
        </is>
      </c>
      <c r="G11648" t="inlineStr">
        <is>
          <t>HILFSKONTAKTBLOCK</t>
        </is>
      </c>
      <c r="H11648" t="inlineStr">
        <is>
          <t>2S 2OE Last+Hilfssch. Cage</t>
        </is>
      </c>
      <c r="I11648">
        <v>793</v>
      </c>
      <c r="J11648">
        <f>GS91/645.4</f>
        <v>0</v>
      </c>
      <c r="K11648" t="inlineStr">
        <is>
          <t>DIL MC25</t>
        </is>
      </c>
      <c r="M11648" t="inlineStr">
        <is>
          <t>-645Q1</t>
        </is>
      </c>
    </row>
    <row r="11649">
      <c r="A11649">
        <v>11648</v>
      </c>
      <c r="B11649">
        <f>GS91</f>
        <v>0</v>
      </c>
      <c r="C11649" t="inlineStr">
        <is>
          <t>+LS13</t>
        </is>
      </c>
      <c r="D11649" t="inlineStr">
        <is>
          <t>-645Q1</t>
        </is>
      </c>
      <c r="E11649" t="inlineStr">
        <is>
          <t>DILMC25-10(RDC24)</t>
        </is>
      </c>
      <c r="F11649" t="inlineStr">
        <is>
          <t>DILA-XHI22</t>
        </is>
      </c>
      <c r="G11649" t="inlineStr">
        <is>
          <t>LASTSCHUETZ</t>
        </is>
      </c>
      <c r="H11649" t="inlineStr">
        <is>
          <t>11kW 1S Federzugkl.</t>
        </is>
      </c>
      <c r="I11649">
        <v>793</v>
      </c>
      <c r="J11649">
        <f>GS91/645.4</f>
        <v>0</v>
      </c>
      <c r="K11649" t="inlineStr">
        <is>
          <t>DIL MC25</t>
        </is>
      </c>
      <c r="M11649" t="inlineStr">
        <is>
          <t>-645Q1</t>
        </is>
      </c>
    </row>
    <row r="11650">
      <c r="A11650">
        <v>11649</v>
      </c>
      <c r="B11650">
        <f>GS92</f>
        <v>0</v>
      </c>
      <c r="C11650" t="inlineStr">
        <is>
          <t>+LS12</t>
        </is>
      </c>
      <c r="D11650" t="inlineStr">
        <is>
          <t>-645Q1</t>
        </is>
      </c>
      <c r="E11650" t="inlineStr">
        <is>
          <t>DILMC25-10(RDC24)</t>
        </is>
      </c>
      <c r="F11650" t="inlineStr">
        <is>
          <t>DILA-XHI22</t>
        </is>
      </c>
      <c r="G11650" t="inlineStr">
        <is>
          <t>LASTSCHUETZ</t>
        </is>
      </c>
      <c r="H11650" t="inlineStr">
        <is>
          <t>11kW 1S Federzugkl.</t>
        </is>
      </c>
      <c r="I11650">
        <v>772</v>
      </c>
      <c r="J11650">
        <f>GS92/645.4</f>
        <v>0</v>
      </c>
      <c r="K11650" t="inlineStr">
        <is>
          <t>DIL MC25</t>
        </is>
      </c>
      <c r="M11650" t="inlineStr">
        <is>
          <t>-645Q1</t>
        </is>
      </c>
    </row>
    <row r="11651">
      <c r="A11651">
        <v>11650</v>
      </c>
      <c r="B11651">
        <f>GS92</f>
        <v>0</v>
      </c>
      <c r="C11651" t="inlineStr">
        <is>
          <t>+LS12</t>
        </is>
      </c>
      <c r="D11651" t="inlineStr">
        <is>
          <t>-645Q1</t>
        </is>
      </c>
      <c r="E11651" t="inlineStr">
        <is>
          <t>DILA-XHI22</t>
        </is>
      </c>
      <c r="F11651" t="inlineStr">
        <is>
          <t>DILA-XHI22</t>
        </is>
      </c>
      <c r="G11651" t="inlineStr">
        <is>
          <t>HILFSKONTAKTBLOCK</t>
        </is>
      </c>
      <c r="H11651" t="inlineStr">
        <is>
          <t>2S 2OE Last+Hilfssch. Cage</t>
        </is>
      </c>
      <c r="I11651">
        <v>772</v>
      </c>
      <c r="J11651">
        <f>GS92/645.4</f>
        <v>0</v>
      </c>
      <c r="K11651" t="inlineStr">
        <is>
          <t>DIL MC25</t>
        </is>
      </c>
      <c r="M11651" t="inlineStr">
        <is>
          <t>-645Q1</t>
        </is>
      </c>
    </row>
    <row r="11652">
      <c r="A11652">
        <v>11651</v>
      </c>
      <c r="B11652">
        <f>GS06</f>
        <v>0</v>
      </c>
      <c r="C11652" t="inlineStr">
        <is>
          <t>+LS10</t>
        </is>
      </c>
      <c r="D11652" t="inlineStr">
        <is>
          <t>-645Q3</t>
        </is>
      </c>
      <c r="E11652" t="inlineStr">
        <is>
          <t>DILA-XHI22</t>
        </is>
      </c>
      <c r="F11652" t="inlineStr">
        <is>
          <t>DILA-XHI22</t>
        </is>
      </c>
      <c r="G11652" t="inlineStr">
        <is>
          <t>HILFSKONTAKTBLOCK</t>
        </is>
      </c>
      <c r="H11652" t="inlineStr">
        <is>
          <t>2S 2OE Last+Hilfssch. Cage</t>
        </is>
      </c>
      <c r="I11652">
        <v>2372</v>
      </c>
      <c r="J11652">
        <f>GS06/645.7</f>
        <v>0</v>
      </c>
      <c r="K11652" t="inlineStr">
        <is>
          <t>DIL MC25</t>
        </is>
      </c>
      <c r="M11652" t="inlineStr">
        <is>
          <t>-645Q3</t>
        </is>
      </c>
    </row>
    <row r="11653">
      <c r="A11653">
        <v>11652</v>
      </c>
      <c r="B11653">
        <f>GS06</f>
        <v>0</v>
      </c>
      <c r="C11653" t="inlineStr">
        <is>
          <t>+LS10</t>
        </is>
      </c>
      <c r="D11653" t="inlineStr">
        <is>
          <t>-645Q3</t>
        </is>
      </c>
      <c r="E11653" t="inlineStr">
        <is>
          <t>DILMC25-10(RDC24)</t>
        </is>
      </c>
      <c r="F11653" t="inlineStr">
        <is>
          <t>DILA-XHI22</t>
        </is>
      </c>
      <c r="G11653" t="inlineStr">
        <is>
          <t>LASTSCHUETZ</t>
        </is>
      </c>
      <c r="H11653" t="inlineStr">
        <is>
          <t>11kW 1S Federzugkl.</t>
        </is>
      </c>
      <c r="I11653">
        <v>2372</v>
      </c>
      <c r="J11653">
        <f>GS06/645.7</f>
        <v>0</v>
      </c>
      <c r="K11653" t="inlineStr">
        <is>
          <t>DIL MC25</t>
        </is>
      </c>
      <c r="M11653" t="inlineStr">
        <is>
          <t>-645Q3</t>
        </is>
      </c>
    </row>
    <row r="11654">
      <c r="A11654">
        <v>11653</v>
      </c>
      <c r="B11654">
        <f>GS21</f>
        <v>0</v>
      </c>
      <c r="C11654" t="inlineStr">
        <is>
          <t>+LS12</t>
        </is>
      </c>
      <c r="D11654" t="inlineStr">
        <is>
          <t>-646K95.1</t>
        </is>
      </c>
      <c r="E11654" t="inlineStr">
        <is>
          <t>DIL_EM-10-G</t>
        </is>
      </c>
      <c r="F11654" t="inlineStr">
        <is>
          <t>#KALK!</t>
        </is>
      </c>
      <c r="G11654" t="inlineStr">
        <is>
          <t>LASTSCHUETZ</t>
        </is>
      </c>
      <c r="H11654" t="inlineStr">
        <is>
          <t>4kW 1S</t>
        </is>
      </c>
      <c r="I11654">
        <v>1052</v>
      </c>
      <c r="J11654">
        <f>GS21/646.6</f>
        <v>0</v>
      </c>
      <c r="M11654" t="inlineStr">
        <is>
          <t>-646K95.1</t>
        </is>
      </c>
    </row>
    <row r="11655">
      <c r="A11655">
        <v>11654</v>
      </c>
      <c r="B11655">
        <f>GS92</f>
        <v>0</v>
      </c>
      <c r="C11655" t="inlineStr">
        <is>
          <t>+LS12</t>
        </is>
      </c>
      <c r="D11655" t="inlineStr">
        <is>
          <t>-646Q1051.1</t>
        </is>
      </c>
      <c r="E11655" t="inlineStr">
        <is>
          <t>DILM-9-10</t>
        </is>
      </c>
      <c r="F11655" t="inlineStr">
        <is>
          <t>#KALK!</t>
        </is>
      </c>
      <c r="G11655" t="inlineStr">
        <is>
          <t>LASTSCHUETZ</t>
        </is>
      </c>
      <c r="H11655" t="inlineStr">
        <is>
          <t>4kW 1S Federzugkl.</t>
        </is>
      </c>
      <c r="I11655">
        <v>773</v>
      </c>
      <c r="J11655">
        <f>GS92/646.5</f>
        <v>0</v>
      </c>
      <c r="M11655" t="inlineStr">
        <is>
          <t>-646Q1051.1</t>
        </is>
      </c>
    </row>
    <row r="11656">
      <c r="A11656">
        <v>11655</v>
      </c>
      <c r="B11656">
        <f>GS21</f>
        <v>0</v>
      </c>
      <c r="C11656" t="inlineStr">
        <is>
          <t>+LS12</t>
        </is>
      </c>
      <c r="D11656" t="inlineStr">
        <is>
          <t>-647K95.3</t>
        </is>
      </c>
      <c r="E11656" t="inlineStr">
        <is>
          <t>DIL_EM-10-G</t>
        </is>
      </c>
      <c r="F11656" t="inlineStr">
        <is>
          <t>#KALK!</t>
        </is>
      </c>
      <c r="G11656" t="inlineStr">
        <is>
          <t>LASTSCHUETZ</t>
        </is>
      </c>
      <c r="H11656" t="inlineStr">
        <is>
          <t>4kW 1S</t>
        </is>
      </c>
      <c r="I11656">
        <v>1053</v>
      </c>
      <c r="J11656">
        <f>GS21/647.8</f>
        <v>0</v>
      </c>
      <c r="M11656" t="inlineStr">
        <is>
          <t>-647K95.3</t>
        </is>
      </c>
    </row>
    <row r="11657">
      <c r="A11657">
        <v>11656</v>
      </c>
      <c r="B11657">
        <f>GS11</f>
        <v>0</v>
      </c>
      <c r="C11657" t="inlineStr">
        <is>
          <t>+LS12</t>
        </is>
      </c>
      <c r="D11657" t="inlineStr">
        <is>
          <t>-648K3513.2</t>
        </is>
      </c>
      <c r="E11657" t="inlineStr">
        <is>
          <t>DILM-9-01</t>
        </is>
      </c>
      <c r="F11657" t="inlineStr">
        <is>
          <t>#KALK!</t>
        </is>
      </c>
      <c r="G11657" t="inlineStr">
        <is>
          <t>LASTSCHUETZ</t>
        </is>
      </c>
      <c r="H11657" t="inlineStr">
        <is>
          <t>4kW 1Oe Federzugkl.</t>
        </is>
      </c>
      <c r="I11657">
        <v>1116</v>
      </c>
      <c r="J11657">
        <f>GS11/648.5</f>
        <v>0</v>
      </c>
      <c r="M11657" t="inlineStr">
        <is>
          <t>-648K3513.2</t>
        </is>
      </c>
    </row>
    <row r="11658">
      <c r="A11658">
        <v>11657</v>
      </c>
      <c r="B11658">
        <f>GS11</f>
        <v>0</v>
      </c>
      <c r="C11658" t="inlineStr">
        <is>
          <t>+LS12</t>
        </is>
      </c>
      <c r="D11658" t="inlineStr">
        <is>
          <t>-648K3513.3</t>
        </is>
      </c>
      <c r="E11658" t="inlineStr">
        <is>
          <t>DILM-9-01</t>
        </is>
      </c>
      <c r="F11658" t="inlineStr">
        <is>
          <t>#KALK!</t>
        </is>
      </c>
      <c r="G11658" t="inlineStr">
        <is>
          <t>LASTSCHUETZ</t>
        </is>
      </c>
      <c r="H11658" t="inlineStr">
        <is>
          <t>4kW 1Oe Federzugkl.</t>
        </is>
      </c>
      <c r="I11658">
        <v>1116</v>
      </c>
      <c r="J11658">
        <f>GS11/648.6</f>
        <v>0</v>
      </c>
      <c r="M11658" t="inlineStr">
        <is>
          <t>-648K3513.3</t>
        </is>
      </c>
    </row>
    <row r="11659">
      <c r="A11659">
        <v>11658</v>
      </c>
      <c r="B11659">
        <f>GS21</f>
        <v>0</v>
      </c>
      <c r="C11659" t="inlineStr">
        <is>
          <t>+LS12</t>
        </is>
      </c>
      <c r="D11659" t="inlineStr">
        <is>
          <t>-648K95.4</t>
        </is>
      </c>
      <c r="E11659" t="inlineStr">
        <is>
          <t>DIL_EM-10-G</t>
        </is>
      </c>
      <c r="F11659" t="inlineStr">
        <is>
          <t>#KALK!</t>
        </is>
      </c>
      <c r="G11659" t="inlineStr">
        <is>
          <t>LASTSCHUETZ</t>
        </is>
      </c>
      <c r="H11659" t="inlineStr">
        <is>
          <t>4kW 1S</t>
        </is>
      </c>
      <c r="I11659">
        <v>1054</v>
      </c>
      <c r="J11659">
        <f>GS21/648.6</f>
        <v>0</v>
      </c>
      <c r="M11659" t="inlineStr">
        <is>
          <t>-648K95.4</t>
        </is>
      </c>
    </row>
    <row r="11660">
      <c r="A11660">
        <v>11659</v>
      </c>
      <c r="B11660">
        <f>GS21</f>
        <v>0</v>
      </c>
      <c r="C11660" t="inlineStr">
        <is>
          <t>+LS12</t>
        </is>
      </c>
      <c r="D11660" t="inlineStr">
        <is>
          <t>-648K95.5</t>
        </is>
      </c>
      <c r="E11660" t="inlineStr">
        <is>
          <t>DIL_EM-10-G</t>
        </is>
      </c>
      <c r="F11660" t="inlineStr">
        <is>
          <t>#KALK!</t>
        </is>
      </c>
      <c r="G11660" t="inlineStr">
        <is>
          <t>LASTSCHUETZ</t>
        </is>
      </c>
      <c r="H11660" t="inlineStr">
        <is>
          <t>4kW 1S</t>
        </is>
      </c>
      <c r="I11660">
        <v>1054</v>
      </c>
      <c r="J11660">
        <f>GS21/648.7</f>
        <v>0</v>
      </c>
      <c r="M11660" t="inlineStr">
        <is>
          <t>-648K95.5</t>
        </is>
      </c>
    </row>
    <row r="11661">
      <c r="A11661">
        <v>11660</v>
      </c>
      <c r="B11661">
        <f>GS91</f>
        <v>0</v>
      </c>
      <c r="C11661" t="inlineStr">
        <is>
          <t>+LS13</t>
        </is>
      </c>
      <c r="D11661" t="inlineStr">
        <is>
          <t>-648Q825.1</t>
        </is>
      </c>
      <c r="E11661" t="inlineStr">
        <is>
          <t>DILM-9-10</t>
        </is>
      </c>
      <c r="F11661" t="inlineStr">
        <is>
          <t>#KALK!</t>
        </is>
      </c>
      <c r="G11661" t="inlineStr">
        <is>
          <t>LASTSCHUETZ</t>
        </is>
      </c>
      <c r="H11661" t="inlineStr">
        <is>
          <t>4kW 1S Federzugkl.</t>
        </is>
      </c>
      <c r="I11661">
        <v>796</v>
      </c>
      <c r="J11661">
        <f>GS91/648.5</f>
        <v>0</v>
      </c>
      <c r="M11661" t="inlineStr">
        <is>
          <t>-648Q825.1</t>
        </is>
      </c>
    </row>
    <row r="11662">
      <c r="A11662">
        <v>11661</v>
      </c>
      <c r="B11662">
        <f>GS21</f>
        <v>0</v>
      </c>
      <c r="C11662" t="inlineStr">
        <is>
          <t>+LS12</t>
        </is>
      </c>
      <c r="D11662" t="inlineStr">
        <is>
          <t>-649K95.6</t>
        </is>
      </c>
      <c r="E11662" t="inlineStr">
        <is>
          <t>DIL_ER-22-G</t>
        </is>
      </c>
      <c r="F11662" t="inlineStr">
        <is>
          <t>#KALK!</t>
        </is>
      </c>
      <c r="G11662" t="inlineStr">
        <is>
          <t>HILFSSCHUETZ</t>
        </is>
      </c>
      <c r="H11662" t="inlineStr">
        <is>
          <t>2S 2OE</t>
        </is>
      </c>
      <c r="I11662">
        <v>1055</v>
      </c>
      <c r="J11662">
        <f>GS21/649.5</f>
        <v>0</v>
      </c>
      <c r="M11662" t="inlineStr">
        <is>
          <t>-649K95.6</t>
        </is>
      </c>
    </row>
    <row r="11663">
      <c r="A11663">
        <v>11662</v>
      </c>
      <c r="B11663">
        <f>GS92</f>
        <v>0</v>
      </c>
      <c r="C11663" t="inlineStr">
        <is>
          <t>+LS12</t>
        </is>
      </c>
      <c r="D11663" t="inlineStr">
        <is>
          <t>-650K1051.4</t>
        </is>
      </c>
      <c r="E11663" t="inlineStr">
        <is>
          <t>DILA-40</t>
        </is>
      </c>
      <c r="F11663" t="inlineStr">
        <is>
          <t>#KALK!</t>
        </is>
      </c>
      <c r="G11663" t="inlineStr">
        <is>
          <t>HILFSSCHUETZ</t>
        </is>
      </c>
      <c r="H11663" t="inlineStr">
        <is>
          <t>4S Federzugkl.</t>
        </is>
      </c>
      <c r="I11663">
        <v>777</v>
      </c>
      <c r="J11663">
        <f>GS92/650.7</f>
        <v>0</v>
      </c>
      <c r="M11663" t="inlineStr">
        <is>
          <t>-650K1051.4</t>
        </is>
      </c>
    </row>
    <row r="11664">
      <c r="A11664">
        <v>11663</v>
      </c>
      <c r="B11664">
        <f>GS93</f>
        <v>0</v>
      </c>
      <c r="C11664" t="inlineStr">
        <is>
          <t>+LS12</t>
        </is>
      </c>
      <c r="D11664" t="inlineStr">
        <is>
          <t>-650K770.0</t>
        </is>
      </c>
      <c r="E11664" t="inlineStr">
        <is>
          <t>DILA-40</t>
        </is>
      </c>
      <c r="F11664" t="inlineStr">
        <is>
          <t>#KALK!</t>
        </is>
      </c>
      <c r="G11664" t="inlineStr">
        <is>
          <t>HILFSSCHUETZ</t>
        </is>
      </c>
      <c r="H11664" t="inlineStr">
        <is>
          <t>4S Federzugkl.</t>
        </is>
      </c>
      <c r="I11664">
        <v>1199</v>
      </c>
      <c r="J11664">
        <f>GS93/650.7</f>
        <v>0</v>
      </c>
      <c r="M11664" t="inlineStr">
        <is>
          <t>-650K770.0</t>
        </is>
      </c>
    </row>
    <row r="11665">
      <c r="A11665">
        <v>11664</v>
      </c>
      <c r="B11665">
        <f>GS21</f>
        <v>0</v>
      </c>
      <c r="C11665" t="inlineStr">
        <is>
          <t>+LS12</t>
        </is>
      </c>
      <c r="D11665" t="inlineStr">
        <is>
          <t>-650K95.7</t>
        </is>
      </c>
      <c r="E11665" t="inlineStr">
        <is>
          <t>DIL_EM-10-G</t>
        </is>
      </c>
      <c r="F11665" t="inlineStr">
        <is>
          <t>#KALK!</t>
        </is>
      </c>
      <c r="G11665" t="inlineStr">
        <is>
          <t>LASTSCHUETZ</t>
        </is>
      </c>
      <c r="H11665" t="inlineStr">
        <is>
          <t>4kW 1S</t>
        </is>
      </c>
      <c r="I11665">
        <v>1056</v>
      </c>
      <c r="J11665">
        <f>GS21/650.6</f>
        <v>0</v>
      </c>
      <c r="M11665" t="inlineStr">
        <is>
          <t>-650K95.7</t>
        </is>
      </c>
    </row>
    <row r="11666">
      <c r="A11666">
        <v>11665</v>
      </c>
      <c r="B11666">
        <f>GS92</f>
        <v>0</v>
      </c>
      <c r="C11666" t="inlineStr">
        <is>
          <t>+LS12</t>
        </is>
      </c>
      <c r="D11666" t="inlineStr">
        <is>
          <t>-650Q1</t>
        </is>
      </c>
      <c r="E11666" t="inlineStr">
        <is>
          <t>DILMC25-10(RDC24)</t>
        </is>
      </c>
      <c r="F11666" t="inlineStr">
        <is>
          <t>DILA-XHI22</t>
        </is>
      </c>
      <c r="G11666" t="inlineStr">
        <is>
          <t>LASTSCHUETZ</t>
        </is>
      </c>
      <c r="H11666" t="inlineStr">
        <is>
          <t>11kW 1S Federzugkl.</t>
        </is>
      </c>
      <c r="I11666">
        <v>777</v>
      </c>
      <c r="J11666">
        <f>GS92/650.4</f>
        <v>0</v>
      </c>
      <c r="K11666" t="inlineStr">
        <is>
          <t>DIL MC25</t>
        </is>
      </c>
      <c r="M11666" t="inlineStr">
        <is>
          <t>-650Q1</t>
        </is>
      </c>
    </row>
    <row r="11667">
      <c r="A11667">
        <v>11666</v>
      </c>
      <c r="B11667">
        <f>GS92</f>
        <v>0</v>
      </c>
      <c r="C11667" t="inlineStr">
        <is>
          <t>+LS12</t>
        </is>
      </c>
      <c r="D11667" t="inlineStr">
        <is>
          <t>-650Q1</t>
        </is>
      </c>
      <c r="E11667" t="inlineStr">
        <is>
          <t>DILA-XHI22</t>
        </is>
      </c>
      <c r="F11667" t="inlineStr">
        <is>
          <t>DILA-XHI22</t>
        </is>
      </c>
      <c r="G11667" t="inlineStr">
        <is>
          <t>HILFSKONTAKTBLOCK</t>
        </is>
      </c>
      <c r="H11667" t="inlineStr">
        <is>
          <t>2S 2OE Last+Hilfssch. Cage</t>
        </is>
      </c>
      <c r="I11667">
        <v>777</v>
      </c>
      <c r="J11667">
        <f>GS92/650.4</f>
        <v>0</v>
      </c>
      <c r="K11667" t="inlineStr">
        <is>
          <t>DIL MC25</t>
        </is>
      </c>
      <c r="M11667" t="inlineStr">
        <is>
          <t>-650Q1</t>
        </is>
      </c>
    </row>
    <row r="11668">
      <c r="A11668">
        <v>11667</v>
      </c>
      <c r="B11668">
        <f>GS93</f>
        <v>0</v>
      </c>
      <c r="C11668" t="inlineStr">
        <is>
          <t>+LS12</t>
        </is>
      </c>
      <c r="D11668" t="inlineStr">
        <is>
          <t>-650Q1</t>
        </is>
      </c>
      <c r="E11668" t="inlineStr">
        <is>
          <t>DILA-XHI22</t>
        </is>
      </c>
      <c r="F11668" t="inlineStr">
        <is>
          <t>DILA-XHI22</t>
        </is>
      </c>
      <c r="G11668" t="inlineStr">
        <is>
          <t>HILFSKONTAKTBLOCK</t>
        </is>
      </c>
      <c r="H11668" t="inlineStr">
        <is>
          <t>2S 2OE Last+Hilfssch. Cage</t>
        </is>
      </c>
      <c r="I11668">
        <v>1199</v>
      </c>
      <c r="J11668">
        <f>GS93/650.4</f>
        <v>0</v>
      </c>
      <c r="K11668" t="inlineStr">
        <is>
          <t>DIL MC25</t>
        </is>
      </c>
      <c r="M11668" t="inlineStr">
        <is>
          <t>-650Q1</t>
        </is>
      </c>
    </row>
    <row r="11669">
      <c r="A11669">
        <v>11668</v>
      </c>
      <c r="B11669">
        <f>GS93</f>
        <v>0</v>
      </c>
      <c r="C11669" t="inlineStr">
        <is>
          <t>+LS12</t>
        </is>
      </c>
      <c r="D11669" t="inlineStr">
        <is>
          <t>-650Q1</t>
        </is>
      </c>
      <c r="E11669" t="inlineStr">
        <is>
          <t>DILMC25-10(RDC24)</t>
        </is>
      </c>
      <c r="F11669" t="inlineStr">
        <is>
          <t>DILA-XHI22</t>
        </is>
      </c>
      <c r="G11669" t="inlineStr">
        <is>
          <t>LASTSCHUETZ</t>
        </is>
      </c>
      <c r="H11669" t="inlineStr">
        <is>
          <t>11kW 1S Federzugkl.</t>
        </is>
      </c>
      <c r="I11669">
        <v>1199</v>
      </c>
      <c r="J11669">
        <f>GS93/650.4</f>
        <v>0</v>
      </c>
      <c r="K11669" t="inlineStr">
        <is>
          <t>DIL MC25</t>
        </is>
      </c>
      <c r="M11669" t="inlineStr">
        <is>
          <t>-650Q1</t>
        </is>
      </c>
    </row>
    <row r="11670">
      <c r="A11670">
        <v>11669</v>
      </c>
      <c r="B11670">
        <f>GS21</f>
        <v>0</v>
      </c>
      <c r="C11670" t="inlineStr">
        <is>
          <t>+LS12</t>
        </is>
      </c>
      <c r="D11670" t="inlineStr">
        <is>
          <t>-651K96.0</t>
        </is>
      </c>
      <c r="E11670" t="inlineStr">
        <is>
          <t>DIL_EM-10-G</t>
        </is>
      </c>
      <c r="F11670" t="inlineStr">
        <is>
          <t>#KALK!</t>
        </is>
      </c>
      <c r="G11670" t="inlineStr">
        <is>
          <t>LASTSCHUETZ</t>
        </is>
      </c>
      <c r="H11670" t="inlineStr">
        <is>
          <t>4kW 1S</t>
        </is>
      </c>
      <c r="I11670">
        <v>1057</v>
      </c>
      <c r="J11670">
        <f>GS21/651.6</f>
        <v>0</v>
      </c>
      <c r="M11670" t="inlineStr">
        <is>
          <t>-651K96.0</t>
        </is>
      </c>
    </row>
    <row r="11671">
      <c r="A11671">
        <v>11670</v>
      </c>
      <c r="B11671">
        <f>GS21</f>
        <v>0</v>
      </c>
      <c r="C11671" t="inlineStr">
        <is>
          <t>+LS12</t>
        </is>
      </c>
      <c r="D11671" t="inlineStr">
        <is>
          <t>-651K96.1</t>
        </is>
      </c>
      <c r="E11671" t="inlineStr">
        <is>
          <t>DIL_EM-10-G</t>
        </is>
      </c>
      <c r="F11671" t="inlineStr">
        <is>
          <t>#KALK!</t>
        </is>
      </c>
      <c r="G11671" t="inlineStr">
        <is>
          <t>LASTSCHUETZ</t>
        </is>
      </c>
      <c r="H11671" t="inlineStr">
        <is>
          <t>4kW 1S</t>
        </is>
      </c>
      <c r="I11671">
        <v>1057</v>
      </c>
      <c r="J11671">
        <f>GS21/651.6</f>
        <v>0</v>
      </c>
      <c r="M11671" t="inlineStr">
        <is>
          <t>-651K96.1</t>
        </is>
      </c>
    </row>
    <row r="11672">
      <c r="A11672">
        <v>11671</v>
      </c>
      <c r="B11672">
        <f>GS92</f>
        <v>0</v>
      </c>
      <c r="C11672" t="inlineStr">
        <is>
          <t>+LS12</t>
        </is>
      </c>
      <c r="D11672" t="inlineStr">
        <is>
          <t>-651Q1051.5</t>
        </is>
      </c>
      <c r="E11672" t="inlineStr">
        <is>
          <t>DILM-9-10</t>
        </is>
      </c>
      <c r="F11672" t="inlineStr">
        <is>
          <t>#KALK!</t>
        </is>
      </c>
      <c r="G11672" t="inlineStr">
        <is>
          <t>LASTSCHUETZ</t>
        </is>
      </c>
      <c r="H11672" t="inlineStr">
        <is>
          <t>4kW 1S Federzugkl.</t>
        </is>
      </c>
      <c r="I11672">
        <v>778</v>
      </c>
      <c r="J11672">
        <f>GS92/651.5</f>
        <v>0</v>
      </c>
      <c r="M11672" t="inlineStr">
        <is>
          <t>-651Q1051.5</t>
        </is>
      </c>
    </row>
    <row r="11673">
      <c r="A11673">
        <v>11672</v>
      </c>
      <c r="B11673">
        <f>GS93</f>
        <v>0</v>
      </c>
      <c r="C11673" t="inlineStr">
        <is>
          <t>+LS12</t>
        </is>
      </c>
      <c r="D11673" t="inlineStr">
        <is>
          <t>-651Q770.1</t>
        </is>
      </c>
      <c r="E11673" t="inlineStr">
        <is>
          <t>DILM-9-10</t>
        </is>
      </c>
      <c r="F11673" t="inlineStr">
        <is>
          <t>#KALK!</t>
        </is>
      </c>
      <c r="G11673" t="inlineStr">
        <is>
          <t>LASTSCHUETZ</t>
        </is>
      </c>
      <c r="H11673" t="inlineStr">
        <is>
          <t>4kW 1S Federzugkl.</t>
        </is>
      </c>
      <c r="I11673">
        <v>1200</v>
      </c>
      <c r="J11673">
        <f>GS93/651.5</f>
        <v>0</v>
      </c>
      <c r="M11673" t="inlineStr">
        <is>
          <t>-651Q770.1</t>
        </is>
      </c>
    </row>
    <row r="11674">
      <c r="A11674">
        <v>11673</v>
      </c>
      <c r="B11674">
        <f>GS91</f>
        <v>0</v>
      </c>
      <c r="C11674" t="inlineStr">
        <is>
          <t>+LS13</t>
        </is>
      </c>
      <c r="D11674" t="inlineStr">
        <is>
          <t>-653Q825.2</t>
        </is>
      </c>
      <c r="E11674" t="inlineStr">
        <is>
          <t>DILM-9-10</t>
        </is>
      </c>
      <c r="F11674" t="inlineStr">
        <is>
          <t>#KALK!</t>
        </is>
      </c>
      <c r="G11674" t="inlineStr">
        <is>
          <t>LASTSCHUETZ</t>
        </is>
      </c>
      <c r="H11674" t="inlineStr">
        <is>
          <t>4kW 1S Federzugkl.</t>
        </is>
      </c>
      <c r="I11674">
        <v>801</v>
      </c>
      <c r="J11674">
        <f>GS91/653.5</f>
        <v>0</v>
      </c>
      <c r="M11674" t="inlineStr">
        <is>
          <t>-653Q825.2</t>
        </is>
      </c>
    </row>
    <row r="11675">
      <c r="A11675">
        <v>11674</v>
      </c>
      <c r="B11675">
        <f>GS08</f>
        <v>0</v>
      </c>
      <c r="C11675" t="inlineStr">
        <is>
          <t>+LS10</t>
        </is>
      </c>
      <c r="D11675" t="inlineStr">
        <is>
          <t>-655K1</t>
        </is>
      </c>
      <c r="E11675" t="inlineStr">
        <is>
          <t>DILM-9-01</t>
        </is>
      </c>
      <c r="F11675" t="inlineStr">
        <is>
          <t>#KALK!</t>
        </is>
      </c>
      <c r="G11675" t="inlineStr">
        <is>
          <t>LASTSCHUETZ</t>
        </is>
      </c>
      <c r="H11675" t="inlineStr">
        <is>
          <t>4kW 1Oe Federzugkl.</t>
        </is>
      </c>
      <c r="I11675">
        <v>1372</v>
      </c>
      <c r="J11675">
        <f>GS08/655.6</f>
        <v>0</v>
      </c>
      <c r="M11675" t="inlineStr">
        <is>
          <t>-655K1</t>
        </is>
      </c>
    </row>
    <row r="11676">
      <c r="A11676">
        <v>11675</v>
      </c>
      <c r="B11676">
        <f>GS11</f>
        <v>0</v>
      </c>
      <c r="C11676" t="inlineStr">
        <is>
          <t>+LS12</t>
        </is>
      </c>
      <c r="D11676" t="inlineStr">
        <is>
          <t>-655K1</t>
        </is>
      </c>
      <c r="E11676" t="inlineStr">
        <is>
          <t>DILA-40</t>
        </is>
      </c>
      <c r="F11676" t="inlineStr">
        <is>
          <t>#KALK!</t>
        </is>
      </c>
      <c r="G11676" t="inlineStr">
        <is>
          <t>HILFSSCHUETZ</t>
        </is>
      </c>
      <c r="H11676" t="inlineStr">
        <is>
          <t>4S Federzugkl.</t>
        </is>
      </c>
      <c r="I11676">
        <v>1123</v>
      </c>
      <c r="J11676">
        <f>GS11/655.7</f>
        <v>0</v>
      </c>
      <c r="M11676" t="inlineStr">
        <is>
          <t>-655K1</t>
        </is>
      </c>
    </row>
    <row r="11677">
      <c r="A11677">
        <v>11676</v>
      </c>
      <c r="B11677">
        <f>GS15</f>
        <v>0</v>
      </c>
      <c r="C11677" t="inlineStr">
        <is>
          <t>+LS13</t>
        </is>
      </c>
      <c r="D11677" t="inlineStr">
        <is>
          <t>-655K1</t>
        </is>
      </c>
      <c r="E11677" t="inlineStr">
        <is>
          <t>22_DIL-M</t>
        </is>
      </c>
      <c r="F11677" t="inlineStr">
        <is>
          <t>22_DIL-M</t>
        </is>
      </c>
      <c r="G11677" t="inlineStr">
        <is>
          <t>HILFSKONTAKTBLOCK</t>
        </is>
      </c>
      <c r="H11677" t="inlineStr">
        <is>
          <t>2S 2OE Lastschuetz DIL M</t>
        </is>
      </c>
      <c r="I11677">
        <v>1167</v>
      </c>
      <c r="J11677">
        <f>GS15/655.2</f>
        <v>0</v>
      </c>
      <c r="K11677" t="inlineStr">
        <is>
          <t>DIL0AM</t>
        </is>
      </c>
      <c r="M11677" t="inlineStr">
        <is>
          <t>-655K1</t>
        </is>
      </c>
    </row>
    <row r="11678">
      <c r="A11678">
        <v>11677</v>
      </c>
      <c r="B11678">
        <f>GS15</f>
        <v>0</v>
      </c>
      <c r="C11678" t="inlineStr">
        <is>
          <t>+LS13</t>
        </is>
      </c>
      <c r="D11678" t="inlineStr">
        <is>
          <t>-655K1</t>
        </is>
      </c>
      <c r="E11678" t="inlineStr">
        <is>
          <t>DIL_0AM</t>
        </is>
      </c>
      <c r="F11678" t="inlineStr">
        <is>
          <t>22_DIL-M</t>
        </is>
      </c>
      <c r="G11678" t="inlineStr">
        <is>
          <t>LASTSCHUETZ</t>
        </is>
      </c>
      <c r="H11678" t="inlineStr">
        <is>
          <t>11 kW</t>
        </is>
      </c>
      <c r="I11678">
        <v>1167</v>
      </c>
      <c r="J11678">
        <f>GS15/655.2</f>
        <v>0</v>
      </c>
      <c r="K11678" t="inlineStr">
        <is>
          <t>DIL0AM</t>
        </is>
      </c>
      <c r="M11678" t="inlineStr">
        <is>
          <t>-655K1</t>
        </is>
      </c>
    </row>
    <row r="11679">
      <c r="A11679">
        <v>11678</v>
      </c>
      <c r="B11679">
        <f>GS92</f>
        <v>0</v>
      </c>
      <c r="C11679" t="inlineStr">
        <is>
          <t>+LS12</t>
        </is>
      </c>
      <c r="D11679" t="inlineStr">
        <is>
          <t>-655K1052.4</t>
        </is>
      </c>
      <c r="E11679" t="inlineStr">
        <is>
          <t>DILA-40</t>
        </is>
      </c>
      <c r="F11679" t="inlineStr">
        <is>
          <t>#KALK!</t>
        </is>
      </c>
      <c r="G11679" t="inlineStr">
        <is>
          <t>HILFSSCHUETZ</t>
        </is>
      </c>
      <c r="H11679" t="inlineStr">
        <is>
          <t>4S Federzugkl.</t>
        </is>
      </c>
      <c r="I11679">
        <v>782</v>
      </c>
      <c r="J11679">
        <f>GS92/655.7</f>
        <v>0</v>
      </c>
      <c r="M11679" t="inlineStr">
        <is>
          <t>-655K1052.4</t>
        </is>
      </c>
    </row>
    <row r="11680">
      <c r="A11680">
        <v>11679</v>
      </c>
      <c r="B11680">
        <f>GS08</f>
        <v>0</v>
      </c>
      <c r="C11680" t="inlineStr">
        <is>
          <t>+LS10</t>
        </is>
      </c>
      <c r="D11680" t="inlineStr">
        <is>
          <t>-655K2</t>
        </is>
      </c>
      <c r="E11680" t="inlineStr">
        <is>
          <t>DILM-9-01</t>
        </is>
      </c>
      <c r="F11680" t="inlineStr">
        <is>
          <t>#KALK!</t>
        </is>
      </c>
      <c r="G11680" t="inlineStr">
        <is>
          <t>LASTSCHUETZ</t>
        </is>
      </c>
      <c r="H11680" t="inlineStr">
        <is>
          <t>4kW 1Oe Federzugkl.</t>
        </is>
      </c>
      <c r="I11680">
        <v>1372</v>
      </c>
      <c r="J11680">
        <f>GS08/655.7</f>
        <v>0</v>
      </c>
      <c r="M11680" t="inlineStr">
        <is>
          <t>-655K2</t>
        </is>
      </c>
    </row>
    <row r="11681">
      <c r="A11681">
        <v>11680</v>
      </c>
      <c r="B11681">
        <f>GS51</f>
        <v>0</v>
      </c>
      <c r="C11681" t="inlineStr">
        <is>
          <t>+LS10</t>
        </is>
      </c>
      <c r="D11681" t="inlineStr">
        <is>
          <t>-655Q1</t>
        </is>
      </c>
      <c r="E11681" t="inlineStr">
        <is>
          <t>DILA-XHI22</t>
        </is>
      </c>
      <c r="F11681" t="inlineStr">
        <is>
          <t>DILA-XHI22</t>
        </is>
      </c>
      <c r="G11681" t="inlineStr">
        <is>
          <t>HILFSKONTAKTBLOCK</t>
        </is>
      </c>
      <c r="H11681" t="inlineStr">
        <is>
          <t>2S 2OE Last+Hilfssch. Cage</t>
        </is>
      </c>
      <c r="I11681">
        <v>804</v>
      </c>
      <c r="J11681">
        <f>GS51/655.6</f>
        <v>0</v>
      </c>
      <c r="K11681" t="inlineStr">
        <is>
          <t>DIL MC25</t>
        </is>
      </c>
      <c r="M11681" t="inlineStr">
        <is>
          <t>-655Q1</t>
        </is>
      </c>
    </row>
    <row r="11682">
      <c r="A11682">
        <v>11681</v>
      </c>
      <c r="B11682">
        <f>GS51</f>
        <v>0</v>
      </c>
      <c r="C11682" t="inlineStr">
        <is>
          <t>+LS10</t>
        </is>
      </c>
      <c r="D11682" t="inlineStr">
        <is>
          <t>-655Q1</t>
        </is>
      </c>
      <c r="E11682" t="inlineStr">
        <is>
          <t>DILMC25-10(RDC24)</t>
        </is>
      </c>
      <c r="F11682" t="inlineStr">
        <is>
          <t>DILA-XHI22</t>
        </is>
      </c>
      <c r="G11682" t="inlineStr">
        <is>
          <t>LASTSCHUETZ</t>
        </is>
      </c>
      <c r="H11682" t="inlineStr">
        <is>
          <t>11kW 1S Federzugkl.</t>
        </is>
      </c>
      <c r="I11682">
        <v>804</v>
      </c>
      <c r="J11682">
        <f>GS51/655.6</f>
        <v>0</v>
      </c>
      <c r="K11682" t="inlineStr">
        <is>
          <t>DIL MC25</t>
        </is>
      </c>
      <c r="M11682" t="inlineStr">
        <is>
          <t>-655Q1</t>
        </is>
      </c>
    </row>
    <row r="11683">
      <c r="A11683">
        <v>11682</v>
      </c>
      <c r="B11683">
        <f>GS92</f>
        <v>0</v>
      </c>
      <c r="C11683" t="inlineStr">
        <is>
          <t>+LS12</t>
        </is>
      </c>
      <c r="D11683" t="inlineStr">
        <is>
          <t>-655Q1</t>
        </is>
      </c>
      <c r="E11683" t="inlineStr">
        <is>
          <t>DILMC25-10(RDC24)</t>
        </is>
      </c>
      <c r="F11683" t="inlineStr">
        <is>
          <t>DILA-XHI22</t>
        </is>
      </c>
      <c r="G11683" t="inlineStr">
        <is>
          <t>LASTSCHUETZ</t>
        </is>
      </c>
      <c r="H11683" t="inlineStr">
        <is>
          <t>11kW 1S Federzugkl.</t>
        </is>
      </c>
      <c r="I11683">
        <v>782</v>
      </c>
      <c r="J11683">
        <f>GS92/655.4</f>
        <v>0</v>
      </c>
      <c r="K11683" t="inlineStr">
        <is>
          <t>DIL MC25</t>
        </is>
      </c>
      <c r="M11683" t="inlineStr">
        <is>
          <t>-655Q1</t>
        </is>
      </c>
    </row>
    <row r="11684">
      <c r="A11684">
        <v>11683</v>
      </c>
      <c r="B11684">
        <f>GS92</f>
        <v>0</v>
      </c>
      <c r="C11684" t="inlineStr">
        <is>
          <t>+LS12</t>
        </is>
      </c>
      <c r="D11684" t="inlineStr">
        <is>
          <t>-655Q1</t>
        </is>
      </c>
      <c r="E11684" t="inlineStr">
        <is>
          <t>DILA-XHI22</t>
        </is>
      </c>
      <c r="F11684" t="inlineStr">
        <is>
          <t>DILA-XHI22</t>
        </is>
      </c>
      <c r="G11684" t="inlineStr">
        <is>
          <t>HILFSKONTAKTBLOCK</t>
        </is>
      </c>
      <c r="H11684" t="inlineStr">
        <is>
          <t>2S 2OE Last+Hilfssch. Cage</t>
        </is>
      </c>
      <c r="I11684">
        <v>782</v>
      </c>
      <c r="J11684">
        <f>GS92/655.4</f>
        <v>0</v>
      </c>
      <c r="K11684" t="inlineStr">
        <is>
          <t>DIL MC25</t>
        </is>
      </c>
      <c r="M11684" t="inlineStr">
        <is>
          <t>-655Q1</t>
        </is>
      </c>
    </row>
    <row r="11685">
      <c r="A11685">
        <v>11684</v>
      </c>
      <c r="B11685">
        <f>GS08</f>
        <v>0</v>
      </c>
      <c r="C11685" t="inlineStr">
        <is>
          <t>+LS10</t>
        </is>
      </c>
      <c r="D11685" t="inlineStr">
        <is>
          <t>-656K1</t>
        </is>
      </c>
      <c r="E11685" t="inlineStr">
        <is>
          <t>DILM-9-01</t>
        </is>
      </c>
      <c r="F11685" t="inlineStr">
        <is>
          <t>#KALK!</t>
        </is>
      </c>
      <c r="G11685" t="inlineStr">
        <is>
          <t>LASTSCHUETZ</t>
        </is>
      </c>
      <c r="H11685" t="inlineStr">
        <is>
          <t>4kW 1Oe Federzugkl.</t>
        </is>
      </c>
      <c r="I11685">
        <v>1373</v>
      </c>
      <c r="J11685">
        <f>GS08/656.6</f>
        <v>0</v>
      </c>
      <c r="M11685" t="inlineStr">
        <is>
          <t>-656K1</t>
        </is>
      </c>
    </row>
    <row r="11686">
      <c r="A11686">
        <v>11685</v>
      </c>
      <c r="B11686">
        <f>GS08</f>
        <v>0</v>
      </c>
      <c r="C11686" t="inlineStr">
        <is>
          <t>+LS10</t>
        </is>
      </c>
      <c r="D11686" t="inlineStr">
        <is>
          <t>-656K2</t>
        </is>
      </c>
      <c r="E11686" t="inlineStr">
        <is>
          <t>DILM-9-01</t>
        </is>
      </c>
      <c r="F11686" t="inlineStr">
        <is>
          <t>#KALK!</t>
        </is>
      </c>
      <c r="G11686" t="inlineStr">
        <is>
          <t>LASTSCHUETZ</t>
        </is>
      </c>
      <c r="H11686" t="inlineStr">
        <is>
          <t>4kW 1Oe Federzugkl.</t>
        </is>
      </c>
      <c r="I11686">
        <v>1373</v>
      </c>
      <c r="J11686">
        <f>GS08/656.7</f>
        <v>0</v>
      </c>
      <c r="M11686" t="inlineStr">
        <is>
          <t>-656K2</t>
        </is>
      </c>
    </row>
    <row r="11687">
      <c r="A11687">
        <v>11686</v>
      </c>
      <c r="B11687">
        <f>GS92</f>
        <v>0</v>
      </c>
      <c r="C11687" t="inlineStr">
        <is>
          <t>+LS12</t>
        </is>
      </c>
      <c r="D11687" t="inlineStr">
        <is>
          <t>-656Q1052.5</t>
        </is>
      </c>
      <c r="E11687" t="inlineStr">
        <is>
          <t>DILM-9-10</t>
        </is>
      </c>
      <c r="F11687" t="inlineStr">
        <is>
          <t>#KALK!</t>
        </is>
      </c>
      <c r="G11687" t="inlineStr">
        <is>
          <t>LASTSCHUETZ</t>
        </is>
      </c>
      <c r="H11687" t="inlineStr">
        <is>
          <t>4kW 1S Federzugkl.</t>
        </is>
      </c>
      <c r="I11687">
        <v>783</v>
      </c>
      <c r="J11687">
        <f>GS92/656.5</f>
        <v>0</v>
      </c>
      <c r="M11687" t="inlineStr">
        <is>
          <t>-656Q1052.5</t>
        </is>
      </c>
    </row>
    <row r="11688">
      <c r="A11688">
        <v>11687</v>
      </c>
      <c r="B11688">
        <f>GS08</f>
        <v>0</v>
      </c>
      <c r="C11688" t="inlineStr">
        <is>
          <t>+LS10</t>
        </is>
      </c>
      <c r="D11688" t="inlineStr">
        <is>
          <t>-657K1</t>
        </is>
      </c>
      <c r="E11688" t="inlineStr">
        <is>
          <t>DILM-9-01</t>
        </is>
      </c>
      <c r="F11688" t="inlineStr">
        <is>
          <t>#KALK!</t>
        </is>
      </c>
      <c r="G11688" t="inlineStr">
        <is>
          <t>LASTSCHUETZ</t>
        </is>
      </c>
      <c r="H11688" t="inlineStr">
        <is>
          <t>4kW 1Oe Federzugkl.</t>
        </is>
      </c>
      <c r="I11688">
        <v>1374</v>
      </c>
      <c r="J11688">
        <f>GS08/657.6</f>
        <v>0</v>
      </c>
      <c r="M11688" t="inlineStr">
        <is>
          <t>-657K1</t>
        </is>
      </c>
    </row>
    <row r="11689">
      <c r="A11689">
        <v>11688</v>
      </c>
      <c r="B11689">
        <f>GS11</f>
        <v>0</v>
      </c>
      <c r="C11689" t="inlineStr">
        <is>
          <t>+LS12</t>
        </is>
      </c>
      <c r="D11689" t="inlineStr">
        <is>
          <t>-657K1</t>
        </is>
      </c>
      <c r="E11689" t="inlineStr">
        <is>
          <t>DILM-9-01</t>
        </is>
      </c>
      <c r="F11689" t="inlineStr">
        <is>
          <t>#KALK!</t>
        </is>
      </c>
      <c r="G11689" t="inlineStr">
        <is>
          <t>LASTSCHUETZ</t>
        </is>
      </c>
      <c r="H11689" t="inlineStr">
        <is>
          <t>4kW 1Oe Federzugkl.</t>
        </is>
      </c>
      <c r="I11689">
        <v>1125</v>
      </c>
      <c r="J11689">
        <f>GS11/657.6</f>
        <v>0</v>
      </c>
      <c r="M11689" t="inlineStr">
        <is>
          <t>-657K1</t>
        </is>
      </c>
    </row>
    <row r="11690">
      <c r="A11690">
        <v>11689</v>
      </c>
      <c r="B11690">
        <f>GS08</f>
        <v>0</v>
      </c>
      <c r="C11690" t="inlineStr">
        <is>
          <t>+LS10</t>
        </is>
      </c>
      <c r="D11690" t="inlineStr">
        <is>
          <t>-657K2</t>
        </is>
      </c>
      <c r="E11690" t="inlineStr">
        <is>
          <t>DILM-9-01</t>
        </is>
      </c>
      <c r="F11690" t="inlineStr">
        <is>
          <t>#KALK!</t>
        </is>
      </c>
      <c r="G11690" t="inlineStr">
        <is>
          <t>LASTSCHUETZ</t>
        </is>
      </c>
      <c r="H11690" t="inlineStr">
        <is>
          <t>4kW 1Oe Federzugkl.</t>
        </is>
      </c>
      <c r="I11690">
        <v>1374</v>
      </c>
      <c r="J11690">
        <f>GS08/657.7</f>
        <v>0</v>
      </c>
      <c r="M11690" t="inlineStr">
        <is>
          <t>-657K2</t>
        </is>
      </c>
    </row>
    <row r="11691">
      <c r="A11691">
        <v>11690</v>
      </c>
      <c r="B11691">
        <f>GS11</f>
        <v>0</v>
      </c>
      <c r="C11691" t="inlineStr">
        <is>
          <t>+LS12</t>
        </is>
      </c>
      <c r="D11691" t="inlineStr">
        <is>
          <t>-657K2</t>
        </is>
      </c>
      <c r="E11691" t="inlineStr">
        <is>
          <t>DILM-9-01</t>
        </is>
      </c>
      <c r="F11691" t="inlineStr">
        <is>
          <t>#KALK!</t>
        </is>
      </c>
      <c r="G11691" t="inlineStr">
        <is>
          <t>LASTSCHUETZ</t>
        </is>
      </c>
      <c r="H11691" t="inlineStr">
        <is>
          <t>4kW 1Oe Federzugkl.</t>
        </is>
      </c>
      <c r="I11691">
        <v>1125</v>
      </c>
      <c r="J11691">
        <f>GS11/657.7</f>
        <v>0</v>
      </c>
      <c r="M11691" t="inlineStr">
        <is>
          <t>-657K2</t>
        </is>
      </c>
    </row>
    <row r="11692">
      <c r="A11692">
        <v>11691</v>
      </c>
      <c r="B11692">
        <f>GS15</f>
        <v>0</v>
      </c>
      <c r="C11692" t="inlineStr">
        <is>
          <t>+LS13</t>
        </is>
      </c>
      <c r="D11692" t="inlineStr">
        <is>
          <t>-657K3526.0</t>
        </is>
      </c>
      <c r="E11692" t="inlineStr">
        <is>
          <t>DIL_EM-10-G</t>
        </is>
      </c>
      <c r="F11692" t="inlineStr">
        <is>
          <t>#KALK!</t>
        </is>
      </c>
      <c r="G11692" t="inlineStr">
        <is>
          <t>LASTSCHUETZ</t>
        </is>
      </c>
      <c r="H11692" t="inlineStr">
        <is>
          <t>4kW 1S</t>
        </is>
      </c>
      <c r="I11692">
        <v>1169</v>
      </c>
      <c r="J11692">
        <f>GS15/657.6</f>
        <v>0</v>
      </c>
      <c r="M11692" t="inlineStr">
        <is>
          <t>-657K3526.0</t>
        </is>
      </c>
    </row>
    <row r="11693">
      <c r="A11693">
        <v>11692</v>
      </c>
      <c r="B11693">
        <f>GS15</f>
        <v>0</v>
      </c>
      <c r="C11693" t="inlineStr">
        <is>
          <t>+LS13</t>
        </is>
      </c>
      <c r="D11693" t="inlineStr">
        <is>
          <t>-657K3526.1</t>
        </is>
      </c>
      <c r="E11693" t="inlineStr">
        <is>
          <t>DIL_EM-10-G</t>
        </is>
      </c>
      <c r="F11693" t="inlineStr">
        <is>
          <t>#KALK!</t>
        </is>
      </c>
      <c r="G11693" t="inlineStr">
        <is>
          <t>LASTSCHUETZ</t>
        </is>
      </c>
      <c r="H11693" t="inlineStr">
        <is>
          <t>4kW 1S</t>
        </is>
      </c>
      <c r="I11693">
        <v>1169</v>
      </c>
      <c r="J11693">
        <f>GS15/657.6</f>
        <v>0</v>
      </c>
      <c r="M11693" t="inlineStr">
        <is>
          <t>-657K3526.1</t>
        </is>
      </c>
    </row>
    <row r="11694">
      <c r="A11694">
        <v>11693</v>
      </c>
      <c r="B11694">
        <f>GS08</f>
        <v>0</v>
      </c>
      <c r="C11694" t="inlineStr">
        <is>
          <t>+LS10</t>
        </is>
      </c>
      <c r="D11694" t="inlineStr">
        <is>
          <t>-658K1</t>
        </is>
      </c>
      <c r="E11694" t="inlineStr">
        <is>
          <t>DILA-40</t>
        </is>
      </c>
      <c r="F11694" t="inlineStr">
        <is>
          <t>#KALK!</t>
        </is>
      </c>
      <c r="G11694" t="inlineStr">
        <is>
          <t>HILFSSCHUETZ</t>
        </is>
      </c>
      <c r="H11694" t="inlineStr">
        <is>
          <t>4S Federzugkl.</t>
        </is>
      </c>
      <c r="I11694">
        <v>1375</v>
      </c>
      <c r="J11694">
        <f>GS08/658.8</f>
        <v>0</v>
      </c>
      <c r="M11694" t="inlineStr">
        <is>
          <t>-658K1</t>
        </is>
      </c>
    </row>
    <row r="11695">
      <c r="A11695">
        <v>11694</v>
      </c>
      <c r="B11695">
        <f>GS92</f>
        <v>0</v>
      </c>
      <c r="C11695" t="inlineStr">
        <is>
          <t>+LS12</t>
        </is>
      </c>
      <c r="D11695" t="inlineStr">
        <is>
          <t>-658Q1052.7</t>
        </is>
      </c>
      <c r="E11695" t="inlineStr">
        <is>
          <t>DILM-9-10</t>
        </is>
      </c>
      <c r="F11695" t="inlineStr">
        <is>
          <t>#KALK!</t>
        </is>
      </c>
      <c r="G11695" t="inlineStr">
        <is>
          <t>LASTSCHUETZ</t>
        </is>
      </c>
      <c r="H11695" t="inlineStr">
        <is>
          <t>4kW 1S Federzugkl.</t>
        </is>
      </c>
      <c r="I11695">
        <v>785</v>
      </c>
      <c r="J11695">
        <f>GS92/658.5</f>
        <v>0</v>
      </c>
      <c r="M11695" t="inlineStr">
        <is>
          <t>-658Q1052.7</t>
        </is>
      </c>
    </row>
    <row r="11696">
      <c r="A11696">
        <v>11695</v>
      </c>
      <c r="B11696">
        <f>GS15</f>
        <v>0</v>
      </c>
      <c r="C11696" t="inlineStr">
        <is>
          <t>+LS13</t>
        </is>
      </c>
      <c r="D11696" t="inlineStr">
        <is>
          <t>-659K3526.7</t>
        </is>
      </c>
      <c r="E11696" t="inlineStr">
        <is>
          <t>DIL_EM-10-G</t>
        </is>
      </c>
      <c r="F11696" t="inlineStr">
        <is>
          <t>#KALK!</t>
        </is>
      </c>
      <c r="G11696" t="inlineStr">
        <is>
          <t>LASTSCHUETZ</t>
        </is>
      </c>
      <c r="H11696" t="inlineStr">
        <is>
          <t>4kW 1S</t>
        </is>
      </c>
      <c r="I11696">
        <v>1171</v>
      </c>
      <c r="J11696">
        <f>GS15/659.5</f>
        <v>0</v>
      </c>
      <c r="M11696" t="inlineStr">
        <is>
          <t>-659K3526.7</t>
        </is>
      </c>
    </row>
    <row r="11697">
      <c r="A11697">
        <v>11696</v>
      </c>
      <c r="B11697">
        <f>GS15</f>
        <v>0</v>
      </c>
      <c r="C11697" t="inlineStr">
        <is>
          <t>+LS13</t>
        </is>
      </c>
      <c r="D11697" t="inlineStr">
        <is>
          <t>-659K3527.0</t>
        </is>
      </c>
      <c r="E11697" t="inlineStr">
        <is>
          <t>DIL_EM-10-G</t>
        </is>
      </c>
      <c r="F11697" t="inlineStr">
        <is>
          <t>#KALK!</t>
        </is>
      </c>
      <c r="G11697" t="inlineStr">
        <is>
          <t>LASTSCHUETZ</t>
        </is>
      </c>
      <c r="H11697" t="inlineStr">
        <is>
          <t>4kW 1S</t>
        </is>
      </c>
      <c r="I11697">
        <v>1171</v>
      </c>
      <c r="J11697">
        <f>GS15/659.6</f>
        <v>0</v>
      </c>
      <c r="M11697" t="inlineStr">
        <is>
          <t>-659K3527.0</t>
        </is>
      </c>
    </row>
    <row r="11698">
      <c r="A11698">
        <v>11697</v>
      </c>
      <c r="B11698">
        <f>GS15</f>
        <v>0</v>
      </c>
      <c r="C11698" t="inlineStr">
        <is>
          <t>+LS13</t>
        </is>
      </c>
      <c r="D11698" t="inlineStr">
        <is>
          <t>-659K3527.1</t>
        </is>
      </c>
      <c r="E11698" t="inlineStr">
        <is>
          <t>DIL_EM-01-G</t>
        </is>
      </c>
      <c r="F11698" t="inlineStr">
        <is>
          <t>#KALK!</t>
        </is>
      </c>
      <c r="G11698" t="inlineStr">
        <is>
          <t>LASTSCHUETZ</t>
        </is>
      </c>
      <c r="H11698" t="inlineStr">
        <is>
          <t>4kW 1OE</t>
        </is>
      </c>
      <c r="I11698">
        <v>1171</v>
      </c>
      <c r="J11698">
        <f>GS15/659.7</f>
        <v>0</v>
      </c>
      <c r="M11698" t="inlineStr">
        <is>
          <t>-659K3527.1</t>
        </is>
      </c>
    </row>
    <row r="11699">
      <c r="A11699">
        <v>11698</v>
      </c>
      <c r="B11699">
        <f>GS15</f>
        <v>0</v>
      </c>
      <c r="C11699" t="inlineStr">
        <is>
          <t>+LS13</t>
        </is>
      </c>
      <c r="D11699" t="inlineStr">
        <is>
          <t>-659K3527.2</t>
        </is>
      </c>
      <c r="E11699" t="inlineStr">
        <is>
          <t>DIL_EM-01-G</t>
        </is>
      </c>
      <c r="F11699" t="inlineStr">
        <is>
          <t>#KALK!</t>
        </is>
      </c>
      <c r="G11699" t="inlineStr">
        <is>
          <t>LASTSCHUETZ</t>
        </is>
      </c>
      <c r="H11699" t="inlineStr">
        <is>
          <t>4kW 1OE</t>
        </is>
      </c>
      <c r="I11699">
        <v>1171</v>
      </c>
      <c r="J11699">
        <f>GS15/659.8</f>
        <v>0</v>
      </c>
      <c r="M11699" t="inlineStr">
        <is>
          <t>-659K3527.2</t>
        </is>
      </c>
    </row>
    <row r="11700">
      <c r="A11700">
        <v>11699</v>
      </c>
      <c r="B11700">
        <f>GS06</f>
        <v>0</v>
      </c>
      <c r="C11700" t="inlineStr">
        <is>
          <t>+LS10</t>
        </is>
      </c>
      <c r="D11700" t="inlineStr">
        <is>
          <t>-660K1</t>
        </is>
      </c>
      <c r="E11700" t="inlineStr">
        <is>
          <t>DILA-XHIC31</t>
        </is>
      </c>
      <c r="F11700" t="inlineStr">
        <is>
          <t>DILA-XHIC31</t>
        </is>
      </c>
      <c r="G11700" t="inlineStr">
        <is>
          <t>HILFSKONTAKTBLOCK</t>
        </is>
      </c>
      <c r="H11700" t="inlineStr">
        <is>
          <t>3S 1OE Last+Hilfssch. Cage</t>
        </is>
      </c>
      <c r="I11700">
        <v>1191</v>
      </c>
      <c r="J11700">
        <f>GS06/660.3</f>
        <v>0</v>
      </c>
      <c r="M11700" t="inlineStr">
        <is>
          <t>-660K1</t>
        </is>
      </c>
    </row>
    <row r="11701">
      <c r="A11701">
        <v>11700</v>
      </c>
      <c r="B11701">
        <f>GS06</f>
        <v>0</v>
      </c>
      <c r="C11701" t="inlineStr">
        <is>
          <t>+LS10</t>
        </is>
      </c>
      <c r="D11701" t="inlineStr">
        <is>
          <t>-660K1</t>
        </is>
      </c>
      <c r="E11701" t="inlineStr">
        <is>
          <t>DILA-40</t>
        </is>
      </c>
      <c r="F11701" t="inlineStr">
        <is>
          <t>DILA-XHIC31</t>
        </is>
      </c>
      <c r="G11701" t="inlineStr">
        <is>
          <t>HILFSSCHUETZ</t>
        </is>
      </c>
      <c r="H11701" t="inlineStr">
        <is>
          <t>4S Federzugkl.</t>
        </is>
      </c>
      <c r="I11701">
        <v>1191</v>
      </c>
      <c r="J11701">
        <f>GS06/660.3</f>
        <v>0</v>
      </c>
      <c r="M11701" t="inlineStr">
        <is>
          <t>-660K1</t>
        </is>
      </c>
    </row>
    <row r="11702">
      <c r="A11702">
        <v>11701</v>
      </c>
      <c r="B11702">
        <f>GS06</f>
        <v>0</v>
      </c>
      <c r="C11702" t="inlineStr">
        <is>
          <t>+LS10</t>
        </is>
      </c>
      <c r="D11702" t="inlineStr">
        <is>
          <t>-660K2</t>
        </is>
      </c>
      <c r="E11702" t="inlineStr">
        <is>
          <t>DILA-XHIC31</t>
        </is>
      </c>
      <c r="F11702" t="inlineStr">
        <is>
          <t>DILA-XHIC31</t>
        </is>
      </c>
      <c r="G11702" t="inlineStr">
        <is>
          <t>HILFSKONTAKTBLOCK</t>
        </is>
      </c>
      <c r="H11702" t="inlineStr">
        <is>
          <t>3S 1OE Last+Hilfssch. Cage</t>
        </is>
      </c>
      <c r="I11702">
        <v>1191</v>
      </c>
      <c r="J11702">
        <f>GS06/660.4</f>
        <v>0</v>
      </c>
      <c r="M11702" t="inlineStr">
        <is>
          <t>-660K2</t>
        </is>
      </c>
    </row>
    <row r="11703">
      <c r="A11703">
        <v>11702</v>
      </c>
      <c r="B11703">
        <f>GS06</f>
        <v>0</v>
      </c>
      <c r="C11703" t="inlineStr">
        <is>
          <t>+LS10</t>
        </is>
      </c>
      <c r="D11703" t="inlineStr">
        <is>
          <t>-660K2</t>
        </is>
      </c>
      <c r="E11703" t="inlineStr">
        <is>
          <t>DILA-40</t>
        </is>
      </c>
      <c r="F11703" t="inlineStr">
        <is>
          <t>DILA-XHIC31</t>
        </is>
      </c>
      <c r="G11703" t="inlineStr">
        <is>
          <t>HILFSSCHUETZ</t>
        </is>
      </c>
      <c r="H11703" t="inlineStr">
        <is>
          <t>4S Federzugkl.</t>
        </is>
      </c>
      <c r="I11703">
        <v>1191</v>
      </c>
      <c r="J11703">
        <f>GS06/660.4</f>
        <v>0</v>
      </c>
      <c r="M11703" t="inlineStr">
        <is>
          <t>-660K2</t>
        </is>
      </c>
    </row>
    <row r="11704">
      <c r="A11704">
        <v>11703</v>
      </c>
      <c r="B11704">
        <f>GS06</f>
        <v>0</v>
      </c>
      <c r="C11704" t="inlineStr">
        <is>
          <t>+LS10</t>
        </is>
      </c>
      <c r="D11704" t="inlineStr">
        <is>
          <t>-660K429.1</t>
        </is>
      </c>
      <c r="E11704" t="inlineStr">
        <is>
          <t>DILA-31</t>
        </is>
      </c>
      <c r="F11704" t="inlineStr">
        <is>
          <t>#KALK!</t>
        </is>
      </c>
      <c r="G11704" t="inlineStr">
        <is>
          <t>HILFSSCHUETZ</t>
        </is>
      </c>
      <c r="H11704" t="inlineStr">
        <is>
          <t>3S 1Oe Federzugkl.</t>
        </is>
      </c>
      <c r="I11704">
        <v>1191</v>
      </c>
      <c r="J11704">
        <f>GS06/660.2</f>
        <v>0</v>
      </c>
      <c r="M11704" t="inlineStr">
        <is>
          <t>-660K429.1</t>
        </is>
      </c>
    </row>
    <row r="11705">
      <c r="A11705">
        <v>11704</v>
      </c>
      <c r="B11705">
        <f>GS93</f>
        <v>0</v>
      </c>
      <c r="C11705" t="inlineStr">
        <is>
          <t>+LS12</t>
        </is>
      </c>
      <c r="D11705" t="inlineStr">
        <is>
          <t>-660K771.0</t>
        </is>
      </c>
      <c r="E11705" t="inlineStr">
        <is>
          <t>DILA-40</t>
        </is>
      </c>
      <c r="F11705" t="inlineStr">
        <is>
          <t>#KALK!</t>
        </is>
      </c>
      <c r="G11705" t="inlineStr">
        <is>
          <t>HILFSSCHUETZ</t>
        </is>
      </c>
      <c r="H11705" t="inlineStr">
        <is>
          <t>4S Federzugkl.</t>
        </is>
      </c>
      <c r="I11705">
        <v>1209</v>
      </c>
      <c r="J11705">
        <f>GS93/660.7</f>
        <v>0</v>
      </c>
      <c r="M11705" t="inlineStr">
        <is>
          <t>-660K771.0</t>
        </is>
      </c>
    </row>
    <row r="11706">
      <c r="A11706">
        <v>11705</v>
      </c>
      <c r="B11706">
        <f>GS93</f>
        <v>0</v>
      </c>
      <c r="C11706" t="inlineStr">
        <is>
          <t>+LS12</t>
        </is>
      </c>
      <c r="D11706" t="inlineStr">
        <is>
          <t>-660Q1</t>
        </is>
      </c>
      <c r="E11706" t="inlineStr">
        <is>
          <t>DILA-XHI22</t>
        </is>
      </c>
      <c r="F11706" t="inlineStr">
        <is>
          <t>DILA-XHI22</t>
        </is>
      </c>
      <c r="G11706" t="inlineStr">
        <is>
          <t>HILFSKONTAKTBLOCK</t>
        </is>
      </c>
      <c r="H11706" t="inlineStr">
        <is>
          <t>2S 2OE Last+Hilfssch. Cage</t>
        </is>
      </c>
      <c r="I11706">
        <v>1209</v>
      </c>
      <c r="J11706">
        <f>GS93/660.4</f>
        <v>0</v>
      </c>
      <c r="K11706" t="inlineStr">
        <is>
          <t>DIL MC25</t>
        </is>
      </c>
      <c r="M11706" t="inlineStr">
        <is>
          <t>-660Q1</t>
        </is>
      </c>
    </row>
    <row r="11707">
      <c r="A11707">
        <v>11706</v>
      </c>
      <c r="B11707">
        <f>GS93</f>
        <v>0</v>
      </c>
      <c r="C11707" t="inlineStr">
        <is>
          <t>+LS12</t>
        </is>
      </c>
      <c r="D11707" t="inlineStr">
        <is>
          <t>-660Q1</t>
        </is>
      </c>
      <c r="E11707" t="inlineStr">
        <is>
          <t>DILMC25-10(RDC24)</t>
        </is>
      </c>
      <c r="F11707" t="inlineStr">
        <is>
          <t>DILA-XHI22</t>
        </is>
      </c>
      <c r="G11707" t="inlineStr">
        <is>
          <t>LASTSCHUETZ</t>
        </is>
      </c>
      <c r="H11707" t="inlineStr">
        <is>
          <t>11kW 1S Federzugkl.</t>
        </is>
      </c>
      <c r="I11707">
        <v>1209</v>
      </c>
      <c r="J11707">
        <f>GS93/660.4</f>
        <v>0</v>
      </c>
      <c r="K11707" t="inlineStr">
        <is>
          <t>DIL MC25</t>
        </is>
      </c>
      <c r="M11707" t="inlineStr">
        <is>
          <t>-660Q1</t>
        </is>
      </c>
    </row>
    <row r="11708">
      <c r="A11708">
        <v>11707</v>
      </c>
      <c r="B11708">
        <f>GS21</f>
        <v>0</v>
      </c>
      <c r="C11708" t="inlineStr">
        <is>
          <t>+LS13</t>
        </is>
      </c>
      <c r="D11708" t="inlineStr">
        <is>
          <t>-661K1</t>
        </is>
      </c>
      <c r="E11708" t="inlineStr">
        <is>
          <t>22_DIL-M</t>
        </is>
      </c>
      <c r="F11708" t="inlineStr">
        <is>
          <t>22_DIL-M</t>
        </is>
      </c>
      <c r="G11708" t="inlineStr">
        <is>
          <t>HILFSKONTAKTBLOCK</t>
        </is>
      </c>
      <c r="H11708" t="inlineStr">
        <is>
          <t>2S 2OE Lastschuetz DIL M</t>
        </is>
      </c>
      <c r="I11708">
        <v>1018</v>
      </c>
      <c r="J11708">
        <f>GS21/661.2</f>
        <v>0</v>
      </c>
      <c r="K11708" t="inlineStr">
        <is>
          <t>DIL0AM</t>
        </is>
      </c>
      <c r="M11708" t="inlineStr">
        <is>
          <t>-661K1</t>
        </is>
      </c>
    </row>
    <row r="11709">
      <c r="A11709">
        <v>11708</v>
      </c>
      <c r="B11709">
        <f>GS21</f>
        <v>0</v>
      </c>
      <c r="C11709" t="inlineStr">
        <is>
          <t>+LS13</t>
        </is>
      </c>
      <c r="D11709" t="inlineStr">
        <is>
          <t>-661K1</t>
        </is>
      </c>
      <c r="E11709" t="inlineStr">
        <is>
          <t>DIL_0AM</t>
        </is>
      </c>
      <c r="F11709" t="inlineStr">
        <is>
          <t>22_DIL-M</t>
        </is>
      </c>
      <c r="G11709" t="inlineStr">
        <is>
          <t>LASTSCHUETZ</t>
        </is>
      </c>
      <c r="H11709" t="inlineStr">
        <is>
          <t>11 kW</t>
        </is>
      </c>
      <c r="I11709">
        <v>1018</v>
      </c>
      <c r="J11709">
        <f>GS21/661.2</f>
        <v>0</v>
      </c>
      <c r="K11709" t="inlineStr">
        <is>
          <t>DIL0AM</t>
        </is>
      </c>
      <c r="M11709" t="inlineStr">
        <is>
          <t>-661K1</t>
        </is>
      </c>
    </row>
    <row r="11710">
      <c r="A11710">
        <v>11709</v>
      </c>
      <c r="B11710">
        <f>GS21</f>
        <v>0</v>
      </c>
      <c r="C11710" t="inlineStr">
        <is>
          <t>+LS13</t>
        </is>
      </c>
      <c r="D11710" t="inlineStr">
        <is>
          <t>-661K2</t>
        </is>
      </c>
      <c r="E11710" t="inlineStr">
        <is>
          <t>22_DIL-M</t>
        </is>
      </c>
      <c r="F11710" t="inlineStr">
        <is>
          <t>22_DIL-M</t>
        </is>
      </c>
      <c r="G11710" t="inlineStr">
        <is>
          <t>HILFSKONTAKTBLOCK</t>
        </is>
      </c>
      <c r="H11710" t="inlineStr">
        <is>
          <t>2S 2OE Lastschuetz DIL M</t>
        </is>
      </c>
      <c r="I11710">
        <v>1018</v>
      </c>
      <c r="J11710">
        <f>GS21/661.3</f>
        <v>0</v>
      </c>
      <c r="K11710" t="inlineStr">
        <is>
          <t>DIL0AM</t>
        </is>
      </c>
      <c r="M11710" t="inlineStr">
        <is>
          <t>-661K2</t>
        </is>
      </c>
    </row>
    <row r="11711">
      <c r="A11711">
        <v>11710</v>
      </c>
      <c r="B11711">
        <f>GS21</f>
        <v>0</v>
      </c>
      <c r="C11711" t="inlineStr">
        <is>
          <t>+LS13</t>
        </is>
      </c>
      <c r="D11711" t="inlineStr">
        <is>
          <t>-661K2</t>
        </is>
      </c>
      <c r="E11711" t="inlineStr">
        <is>
          <t>DIL_0AM</t>
        </is>
      </c>
      <c r="F11711" t="inlineStr">
        <is>
          <t>22_DIL-M</t>
        </is>
      </c>
      <c r="G11711" t="inlineStr">
        <is>
          <t>LASTSCHUETZ</t>
        </is>
      </c>
      <c r="H11711" t="inlineStr">
        <is>
          <t>11 kW</t>
        </is>
      </c>
      <c r="I11711">
        <v>1018</v>
      </c>
      <c r="J11711">
        <f>GS21/661.3</f>
        <v>0</v>
      </c>
      <c r="K11711" t="inlineStr">
        <is>
          <t>DIL0AM</t>
        </is>
      </c>
      <c r="M11711" t="inlineStr">
        <is>
          <t>-661K2</t>
        </is>
      </c>
    </row>
    <row r="11712">
      <c r="A11712">
        <v>11711</v>
      </c>
      <c r="B11712">
        <f>GS15</f>
        <v>0</v>
      </c>
      <c r="C11712" t="inlineStr">
        <is>
          <t>+LS13</t>
        </is>
      </c>
      <c r="D11712" t="inlineStr">
        <is>
          <t>-661K3528.1</t>
        </is>
      </c>
      <c r="E11712" t="inlineStr">
        <is>
          <t>DIL_EM-10-G</t>
        </is>
      </c>
      <c r="F11712" t="inlineStr">
        <is>
          <t>#KALK!</t>
        </is>
      </c>
      <c r="G11712" t="inlineStr">
        <is>
          <t>LASTSCHUETZ</t>
        </is>
      </c>
      <c r="H11712" t="inlineStr">
        <is>
          <t>4kW 1S</t>
        </is>
      </c>
      <c r="I11712">
        <v>1173</v>
      </c>
      <c r="J11712">
        <f>GS15/661.5</f>
        <v>0</v>
      </c>
      <c r="M11712" t="inlineStr">
        <is>
          <t>-661K3528.1</t>
        </is>
      </c>
    </row>
    <row r="11713">
      <c r="A11713">
        <v>11712</v>
      </c>
      <c r="B11713">
        <f>GS15</f>
        <v>0</v>
      </c>
      <c r="C11713" t="inlineStr">
        <is>
          <t>+LS13</t>
        </is>
      </c>
      <c r="D11713" t="inlineStr">
        <is>
          <t>-661K3528.2</t>
        </is>
      </c>
      <c r="E11713" t="inlineStr">
        <is>
          <t>DIL_EM-10-G</t>
        </is>
      </c>
      <c r="F11713" t="inlineStr">
        <is>
          <t>#KALK!</t>
        </is>
      </c>
      <c r="G11713" t="inlineStr">
        <is>
          <t>LASTSCHUETZ</t>
        </is>
      </c>
      <c r="H11713" t="inlineStr">
        <is>
          <t>4kW 1S</t>
        </is>
      </c>
      <c r="I11713">
        <v>1173</v>
      </c>
      <c r="J11713">
        <f>GS15/661.6</f>
        <v>0</v>
      </c>
      <c r="M11713" t="inlineStr">
        <is>
          <t>-661K3528.2</t>
        </is>
      </c>
    </row>
    <row r="11714">
      <c r="A11714">
        <v>11713</v>
      </c>
      <c r="B11714">
        <f>GS15</f>
        <v>0</v>
      </c>
      <c r="C11714" t="inlineStr">
        <is>
          <t>+LS13</t>
        </is>
      </c>
      <c r="D11714" t="inlineStr">
        <is>
          <t>-661K3528.3</t>
        </is>
      </c>
      <c r="E11714" t="inlineStr">
        <is>
          <t>DIL_EM-01-G</t>
        </is>
      </c>
      <c r="F11714" t="inlineStr">
        <is>
          <t>#KALK!</t>
        </is>
      </c>
      <c r="G11714" t="inlineStr">
        <is>
          <t>LASTSCHUETZ</t>
        </is>
      </c>
      <c r="H11714" t="inlineStr">
        <is>
          <t>4kW 1OE</t>
        </is>
      </c>
      <c r="I11714">
        <v>1173</v>
      </c>
      <c r="J11714">
        <f>GS15/661.7</f>
        <v>0</v>
      </c>
      <c r="M11714" t="inlineStr">
        <is>
          <t>-661K3528.3</t>
        </is>
      </c>
    </row>
    <row r="11715">
      <c r="A11715">
        <v>11714</v>
      </c>
      <c r="B11715">
        <f>GS15</f>
        <v>0</v>
      </c>
      <c r="C11715" t="inlineStr">
        <is>
          <t>+LS13</t>
        </is>
      </c>
      <c r="D11715" t="inlineStr">
        <is>
          <t>-661K3528.4</t>
        </is>
      </c>
      <c r="E11715" t="inlineStr">
        <is>
          <t>DIL_EM-01-G</t>
        </is>
      </c>
      <c r="F11715" t="inlineStr">
        <is>
          <t>#KALK!</t>
        </is>
      </c>
      <c r="G11715" t="inlineStr">
        <is>
          <t>LASTSCHUETZ</t>
        </is>
      </c>
      <c r="H11715" t="inlineStr">
        <is>
          <t>4kW 1OE</t>
        </is>
      </c>
      <c r="I11715">
        <v>1173</v>
      </c>
      <c r="J11715">
        <f>GS15/661.8</f>
        <v>0</v>
      </c>
      <c r="M11715" t="inlineStr">
        <is>
          <t>-661K3528.4</t>
        </is>
      </c>
    </row>
    <row r="11716">
      <c r="A11716">
        <v>11715</v>
      </c>
      <c r="B11716">
        <f>GS93</f>
        <v>0</v>
      </c>
      <c r="C11716" t="inlineStr">
        <is>
          <t>+LS12</t>
        </is>
      </c>
      <c r="D11716" t="inlineStr">
        <is>
          <t>-661Q771.1</t>
        </is>
      </c>
      <c r="E11716" t="inlineStr">
        <is>
          <t>DILA-XHI22</t>
        </is>
      </c>
      <c r="F11716" t="inlineStr">
        <is>
          <t>DILA-XHI22</t>
        </is>
      </c>
      <c r="G11716" t="inlineStr">
        <is>
          <t>HILFSKONTAKTBLOCK</t>
        </is>
      </c>
      <c r="H11716" t="inlineStr">
        <is>
          <t>2S 2OE Last+Hilfssch. Cage</t>
        </is>
      </c>
      <c r="I11716">
        <v>1210</v>
      </c>
      <c r="J11716">
        <f>GS93/661.5</f>
        <v>0</v>
      </c>
      <c r="M11716" t="inlineStr">
        <is>
          <t>-661Q771.1</t>
        </is>
      </c>
    </row>
    <row r="11717">
      <c r="A11717">
        <v>11716</v>
      </c>
      <c r="B11717">
        <f>GS93</f>
        <v>0</v>
      </c>
      <c r="C11717" t="inlineStr">
        <is>
          <t>+LS12</t>
        </is>
      </c>
      <c r="D11717" t="inlineStr">
        <is>
          <t>-661Q771.1</t>
        </is>
      </c>
      <c r="E11717" t="inlineStr">
        <is>
          <t>DILM-9-10</t>
        </is>
      </c>
      <c r="F11717" t="inlineStr">
        <is>
          <t>DILA-XHI22</t>
        </is>
      </c>
      <c r="G11717" t="inlineStr">
        <is>
          <t>LASTSCHUETZ</t>
        </is>
      </c>
      <c r="H11717" t="inlineStr">
        <is>
          <t>4kW 1S Federzugkl.</t>
        </is>
      </c>
      <c r="I11717">
        <v>1210</v>
      </c>
      <c r="J11717">
        <f>GS93/661.5</f>
        <v>0</v>
      </c>
      <c r="M11717" t="inlineStr">
        <is>
          <t>-661Q771.1</t>
        </is>
      </c>
    </row>
    <row r="11718">
      <c r="A11718">
        <v>11717</v>
      </c>
      <c r="B11718">
        <f>GS93</f>
        <v>0</v>
      </c>
      <c r="C11718" t="inlineStr">
        <is>
          <t>+LS12</t>
        </is>
      </c>
      <c r="D11718" t="inlineStr">
        <is>
          <t>-661Q771.2</t>
        </is>
      </c>
      <c r="E11718" t="inlineStr">
        <is>
          <t>DILA-XHI22</t>
        </is>
      </c>
      <c r="F11718" t="inlineStr">
        <is>
          <t>DILA-XHI22</t>
        </is>
      </c>
      <c r="G11718" t="inlineStr">
        <is>
          <t>HILFSKONTAKTBLOCK</t>
        </is>
      </c>
      <c r="H11718" t="inlineStr">
        <is>
          <t>2S 2OE Last+Hilfssch. Cage</t>
        </is>
      </c>
      <c r="I11718">
        <v>1210</v>
      </c>
      <c r="J11718">
        <f>GS93/661.6</f>
        <v>0</v>
      </c>
      <c r="M11718" t="inlineStr">
        <is>
          <t>-661Q771.2</t>
        </is>
      </c>
    </row>
    <row r="11719">
      <c r="A11719">
        <v>11718</v>
      </c>
      <c r="B11719">
        <f>GS93</f>
        <v>0</v>
      </c>
      <c r="C11719" t="inlineStr">
        <is>
          <t>+LS12</t>
        </is>
      </c>
      <c r="D11719" t="inlineStr">
        <is>
          <t>-661Q771.2</t>
        </is>
      </c>
      <c r="E11719" t="inlineStr">
        <is>
          <t>DILM-9-10</t>
        </is>
      </c>
      <c r="F11719" t="inlineStr">
        <is>
          <t>DILA-XHI22</t>
        </is>
      </c>
      <c r="G11719" t="inlineStr">
        <is>
          <t>LASTSCHUETZ</t>
        </is>
      </c>
      <c r="H11719" t="inlineStr">
        <is>
          <t>4kW 1S Federzugkl.</t>
        </is>
      </c>
      <c r="I11719">
        <v>1210</v>
      </c>
      <c r="J11719">
        <f>GS93/661.6</f>
        <v>0</v>
      </c>
      <c r="M11719" t="inlineStr">
        <is>
          <t>-661Q771.2</t>
        </is>
      </c>
    </row>
    <row r="11720">
      <c r="A11720">
        <v>11719</v>
      </c>
      <c r="B11720">
        <f>GS15</f>
        <v>0</v>
      </c>
      <c r="C11720" t="inlineStr">
        <is>
          <t>+LS13</t>
        </is>
      </c>
      <c r="D11720" t="inlineStr">
        <is>
          <t>-662K3528.5</t>
        </is>
      </c>
      <c r="E11720" t="inlineStr">
        <is>
          <t>DIL_EM-10-G</t>
        </is>
      </c>
      <c r="F11720" t="inlineStr">
        <is>
          <t>#KALK!</t>
        </is>
      </c>
      <c r="G11720" t="inlineStr">
        <is>
          <t>LASTSCHUETZ</t>
        </is>
      </c>
      <c r="H11720" t="inlineStr">
        <is>
          <t>4kW 1S</t>
        </is>
      </c>
      <c r="I11720">
        <v>1174</v>
      </c>
      <c r="J11720">
        <f>GS15/662.6</f>
        <v>0</v>
      </c>
      <c r="M11720" t="inlineStr">
        <is>
          <t>-662K3528.5</t>
        </is>
      </c>
    </row>
    <row r="11721">
      <c r="A11721">
        <v>11720</v>
      </c>
      <c r="B11721">
        <f>GS15</f>
        <v>0</v>
      </c>
      <c r="C11721" t="inlineStr">
        <is>
          <t>+LS13</t>
        </is>
      </c>
      <c r="D11721" t="inlineStr">
        <is>
          <t>-662K3528.6</t>
        </is>
      </c>
      <c r="E11721" t="inlineStr">
        <is>
          <t>DIL_EM-10-G</t>
        </is>
      </c>
      <c r="F11721" t="inlineStr">
        <is>
          <t>#KALK!</t>
        </is>
      </c>
      <c r="G11721" t="inlineStr">
        <is>
          <t>LASTSCHUETZ</t>
        </is>
      </c>
      <c r="H11721" t="inlineStr">
        <is>
          <t>4kW 1S</t>
        </is>
      </c>
      <c r="I11721">
        <v>1174</v>
      </c>
      <c r="J11721">
        <f>GS15/662.6</f>
        <v>0</v>
      </c>
      <c r="M11721" t="inlineStr">
        <is>
          <t>-662K3528.6</t>
        </is>
      </c>
    </row>
    <row r="11722">
      <c r="A11722">
        <v>11721</v>
      </c>
      <c r="B11722">
        <f>GS93</f>
        <v>0</v>
      </c>
      <c r="C11722" t="inlineStr">
        <is>
          <t>+LS12</t>
        </is>
      </c>
      <c r="D11722" t="inlineStr">
        <is>
          <t>-662Q771.3</t>
        </is>
      </c>
      <c r="E11722" t="inlineStr">
        <is>
          <t>DILM-9-10</t>
        </is>
      </c>
      <c r="F11722" t="inlineStr">
        <is>
          <t>#KALK!</t>
        </is>
      </c>
      <c r="G11722" t="inlineStr">
        <is>
          <t>LASTSCHUETZ</t>
        </is>
      </c>
      <c r="H11722" t="inlineStr">
        <is>
          <t>4kW 1S Federzugkl.</t>
        </is>
      </c>
      <c r="I11722">
        <v>1211</v>
      </c>
      <c r="J11722">
        <f>GS93/662.5</f>
        <v>0</v>
      </c>
      <c r="M11722" t="inlineStr">
        <is>
          <t>-662Q771.3</t>
        </is>
      </c>
    </row>
    <row r="11723">
      <c r="A11723">
        <v>11722</v>
      </c>
      <c r="B11723">
        <f>GS21</f>
        <v>0</v>
      </c>
      <c r="C11723" t="inlineStr">
        <is>
          <t>+LS13</t>
        </is>
      </c>
      <c r="D11723" t="inlineStr">
        <is>
          <t>-663K84.0</t>
        </is>
      </c>
      <c r="E11723" t="inlineStr">
        <is>
          <t>DIL_EM-10-G</t>
        </is>
      </c>
      <c r="F11723" t="inlineStr">
        <is>
          <t>#KALK!</t>
        </is>
      </c>
      <c r="G11723" t="inlineStr">
        <is>
          <t>LASTSCHUETZ</t>
        </is>
      </c>
      <c r="H11723" t="inlineStr">
        <is>
          <t>4kW 1S</t>
        </is>
      </c>
      <c r="I11723">
        <v>1020</v>
      </c>
      <c r="J11723">
        <f>GS21/663.6</f>
        <v>0</v>
      </c>
      <c r="M11723" t="inlineStr">
        <is>
          <t>-663K84.0</t>
        </is>
      </c>
    </row>
    <row r="11724">
      <c r="A11724">
        <v>11723</v>
      </c>
      <c r="B11724">
        <f>GS21</f>
        <v>0</v>
      </c>
      <c r="C11724" t="inlineStr">
        <is>
          <t>+LS13</t>
        </is>
      </c>
      <c r="D11724" t="inlineStr">
        <is>
          <t>-663K84.1</t>
        </is>
      </c>
      <c r="E11724" t="inlineStr">
        <is>
          <t>DIL_EM-10-G</t>
        </is>
      </c>
      <c r="F11724" t="inlineStr">
        <is>
          <t>#KALK!</t>
        </is>
      </c>
      <c r="G11724" t="inlineStr">
        <is>
          <t>LASTSCHUETZ</t>
        </is>
      </c>
      <c r="H11724" t="inlineStr">
        <is>
          <t>4kW 1S</t>
        </is>
      </c>
      <c r="I11724">
        <v>1020</v>
      </c>
      <c r="J11724">
        <f>GS21/663.6</f>
        <v>0</v>
      </c>
      <c r="M11724" t="inlineStr">
        <is>
          <t>-663K84.1</t>
        </is>
      </c>
    </row>
    <row r="11725">
      <c r="A11725">
        <v>11724</v>
      </c>
      <c r="B11725">
        <f>GS21</f>
        <v>0</v>
      </c>
      <c r="C11725" t="inlineStr">
        <is>
          <t>+LS13</t>
        </is>
      </c>
      <c r="D11725" t="inlineStr">
        <is>
          <t>-663K84.2</t>
        </is>
      </c>
      <c r="E11725" t="inlineStr">
        <is>
          <t>DIL_EM-10-G</t>
        </is>
      </c>
      <c r="F11725" t="inlineStr">
        <is>
          <t>#KALK!</t>
        </is>
      </c>
      <c r="G11725" t="inlineStr">
        <is>
          <t>LASTSCHUETZ</t>
        </is>
      </c>
      <c r="H11725" t="inlineStr">
        <is>
          <t>4kW 1S</t>
        </is>
      </c>
      <c r="I11725">
        <v>1020</v>
      </c>
      <c r="J11725">
        <f>GS21/663.7</f>
        <v>0</v>
      </c>
      <c r="M11725" t="inlineStr">
        <is>
          <t>-663K84.2</t>
        </is>
      </c>
    </row>
    <row r="11726">
      <c r="A11726">
        <v>11725</v>
      </c>
      <c r="B11726">
        <f>GS21</f>
        <v>0</v>
      </c>
      <c r="C11726" t="inlineStr">
        <is>
          <t>+LS13</t>
        </is>
      </c>
      <c r="D11726" t="inlineStr">
        <is>
          <t>-664K84.6</t>
        </is>
      </c>
      <c r="E11726" t="inlineStr">
        <is>
          <t>DIL_EM-10-G</t>
        </is>
      </c>
      <c r="F11726" t="inlineStr">
        <is>
          <t>#KALK!</t>
        </is>
      </c>
      <c r="G11726" t="inlineStr">
        <is>
          <t>LASTSCHUETZ</t>
        </is>
      </c>
      <c r="H11726" t="inlineStr">
        <is>
          <t>4kW 1S</t>
        </is>
      </c>
      <c r="I11726">
        <v>1021</v>
      </c>
      <c r="J11726">
        <f>GS21/664.7</f>
        <v>0</v>
      </c>
      <c r="M11726" t="inlineStr">
        <is>
          <t>-664K84.6</t>
        </is>
      </c>
    </row>
    <row r="11727">
      <c r="A11727">
        <v>11726</v>
      </c>
      <c r="B11727">
        <f>GS55</f>
        <v>0</v>
      </c>
      <c r="C11727" t="inlineStr">
        <is>
          <t>+LS10</t>
        </is>
      </c>
      <c r="D11727" t="inlineStr">
        <is>
          <t>-665K1</t>
        </is>
      </c>
      <c r="E11727" t="inlineStr">
        <is>
          <t>DILA-22</t>
        </is>
      </c>
      <c r="F11727" t="inlineStr">
        <is>
          <t>#KALK!</t>
        </is>
      </c>
      <c r="G11727" t="inlineStr">
        <is>
          <t>HILFSSCHUETZ</t>
        </is>
      </c>
      <c r="H11727" t="inlineStr">
        <is>
          <t>2S 2Oe Federzugkl.</t>
        </is>
      </c>
      <c r="I11727">
        <v>929</v>
      </c>
      <c r="J11727">
        <f>GS55/665.7</f>
        <v>0</v>
      </c>
      <c r="M11727" t="inlineStr">
        <is>
          <t>-665K1</t>
        </is>
      </c>
    </row>
    <row r="11728">
      <c r="A11728">
        <v>11727</v>
      </c>
      <c r="B11728">
        <f>GS91</f>
        <v>0</v>
      </c>
      <c r="C11728" t="inlineStr">
        <is>
          <t>+LS14</t>
        </is>
      </c>
      <c r="D11728" t="inlineStr">
        <is>
          <t>-665K1020.0</t>
        </is>
      </c>
      <c r="E11728" t="inlineStr">
        <is>
          <t>DILA-40</t>
        </is>
      </c>
      <c r="F11728" t="inlineStr">
        <is>
          <t>#KALK!</t>
        </is>
      </c>
      <c r="G11728" t="inlineStr">
        <is>
          <t>HILFSSCHUETZ</t>
        </is>
      </c>
      <c r="H11728" t="inlineStr">
        <is>
          <t>4S Federzugkl.</t>
        </is>
      </c>
      <c r="I11728">
        <v>813</v>
      </c>
      <c r="J11728">
        <f>GS91/665.7</f>
        <v>0</v>
      </c>
      <c r="M11728" t="inlineStr">
        <is>
          <t>-665K1020.0</t>
        </is>
      </c>
    </row>
    <row r="11729">
      <c r="A11729">
        <v>11728</v>
      </c>
      <c r="B11729">
        <f>GS92</f>
        <v>0</v>
      </c>
      <c r="C11729" t="inlineStr">
        <is>
          <t>+LS12</t>
        </is>
      </c>
      <c r="D11729" t="inlineStr">
        <is>
          <t>-665K1054.4</t>
        </is>
      </c>
      <c r="E11729" t="inlineStr">
        <is>
          <t>DILA-40</t>
        </is>
      </c>
      <c r="F11729" t="inlineStr">
        <is>
          <t>#KALK!</t>
        </is>
      </c>
      <c r="G11729" t="inlineStr">
        <is>
          <t>HILFSSCHUETZ</t>
        </is>
      </c>
      <c r="H11729" t="inlineStr">
        <is>
          <t>4S Federzugkl.</t>
        </is>
      </c>
      <c r="I11729">
        <v>792</v>
      </c>
      <c r="J11729">
        <f>GS92/665.7</f>
        <v>0</v>
      </c>
      <c r="M11729" t="inlineStr">
        <is>
          <t>-665K1054.4</t>
        </is>
      </c>
    </row>
    <row r="11730">
      <c r="A11730">
        <v>11729</v>
      </c>
      <c r="B11730">
        <f>GS90</f>
        <v>0</v>
      </c>
      <c r="C11730" t="inlineStr">
        <is>
          <t>+LS15</t>
        </is>
      </c>
      <c r="D11730" t="inlineStr">
        <is>
          <t>-665K1120.0</t>
        </is>
      </c>
      <c r="E11730" t="inlineStr">
        <is>
          <t>DILA-40</t>
        </is>
      </c>
      <c r="F11730" t="inlineStr">
        <is>
          <t>#KALK!</t>
        </is>
      </c>
      <c r="G11730" t="inlineStr">
        <is>
          <t>HILFSSCHUETZ</t>
        </is>
      </c>
      <c r="H11730" t="inlineStr">
        <is>
          <t>4S Federzugkl.</t>
        </is>
      </c>
      <c r="I11730">
        <v>579</v>
      </c>
      <c r="J11730">
        <f>GS90/665.7</f>
        <v>0</v>
      </c>
      <c r="M11730" t="inlineStr">
        <is>
          <t>-665K1120.0</t>
        </is>
      </c>
    </row>
    <row r="11731">
      <c r="A11731">
        <v>11730</v>
      </c>
      <c r="B11731">
        <f>GS21</f>
        <v>0</v>
      </c>
      <c r="C11731" t="inlineStr">
        <is>
          <t>+LS13</t>
        </is>
      </c>
      <c r="D11731" t="inlineStr">
        <is>
          <t>-665K84.7</t>
        </is>
      </c>
      <c r="E11731" t="inlineStr">
        <is>
          <t>DIL_EM-10-G</t>
        </is>
      </c>
      <c r="F11731" t="inlineStr">
        <is>
          <t>22_DIL-E</t>
        </is>
      </c>
      <c r="G11731" t="inlineStr">
        <is>
          <t>LASTSCHUETZ</t>
        </is>
      </c>
      <c r="H11731" t="inlineStr">
        <is>
          <t>4kW 1S</t>
        </is>
      </c>
      <c r="I11731">
        <v>1022</v>
      </c>
      <c r="J11731">
        <f>GS21/665.6</f>
        <v>0</v>
      </c>
      <c r="M11731" t="inlineStr">
        <is>
          <t>-665K84.7</t>
        </is>
      </c>
    </row>
    <row r="11732">
      <c r="A11732">
        <v>11731</v>
      </c>
      <c r="B11732">
        <f>GS21</f>
        <v>0</v>
      </c>
      <c r="C11732" t="inlineStr">
        <is>
          <t>+LS13</t>
        </is>
      </c>
      <c r="D11732" t="inlineStr">
        <is>
          <t>-665K84.7</t>
        </is>
      </c>
      <c r="E11732" t="inlineStr">
        <is>
          <t>22_DIL-E</t>
        </is>
      </c>
      <c r="F11732" t="inlineStr">
        <is>
          <t>22_DIL-E</t>
        </is>
      </c>
      <c r="G11732" t="inlineStr">
        <is>
          <t>HILFSKONTAKTBLOCK</t>
        </is>
      </c>
      <c r="H11732" t="inlineStr">
        <is>
          <t>2S 2OE Last+Hilfsschuetz</t>
        </is>
      </c>
      <c r="I11732">
        <v>1022</v>
      </c>
      <c r="J11732">
        <f>GS21/665.6</f>
        <v>0</v>
      </c>
      <c r="M11732" t="inlineStr">
        <is>
          <t>-665K84.7</t>
        </is>
      </c>
    </row>
    <row r="11733">
      <c r="A11733">
        <v>11732</v>
      </c>
      <c r="B11733">
        <f>GS21</f>
        <v>0</v>
      </c>
      <c r="C11733" t="inlineStr">
        <is>
          <t>+LS13</t>
        </is>
      </c>
      <c r="D11733" t="inlineStr">
        <is>
          <t>-665K85.0</t>
        </is>
      </c>
      <c r="E11733" t="inlineStr">
        <is>
          <t>DIL_EM-10-G</t>
        </is>
      </c>
      <c r="F11733" t="inlineStr">
        <is>
          <t>22_DIL-E</t>
        </is>
      </c>
      <c r="G11733" t="inlineStr">
        <is>
          <t>LASTSCHUETZ</t>
        </is>
      </c>
      <c r="H11733" t="inlineStr">
        <is>
          <t>4kW 1S</t>
        </is>
      </c>
      <c r="I11733">
        <v>1022</v>
      </c>
      <c r="J11733">
        <f>GS21/665.6</f>
        <v>0</v>
      </c>
      <c r="M11733" t="inlineStr">
        <is>
          <t>-665K85.0</t>
        </is>
      </c>
    </row>
    <row r="11734">
      <c r="A11734">
        <v>11733</v>
      </c>
      <c r="B11734">
        <f>GS21</f>
        <v>0</v>
      </c>
      <c r="C11734" t="inlineStr">
        <is>
          <t>+LS13</t>
        </is>
      </c>
      <c r="D11734" t="inlineStr">
        <is>
          <t>-665K85.0</t>
        </is>
      </c>
      <c r="E11734" t="inlineStr">
        <is>
          <t>22_DIL-E</t>
        </is>
      </c>
      <c r="F11734" t="inlineStr">
        <is>
          <t>22_DIL-E</t>
        </is>
      </c>
      <c r="G11734" t="inlineStr">
        <is>
          <t>HILFSKONTAKTBLOCK</t>
        </is>
      </c>
      <c r="H11734" t="inlineStr">
        <is>
          <t>2S 2OE Last+Hilfsschuetz</t>
        </is>
      </c>
      <c r="I11734">
        <v>1022</v>
      </c>
      <c r="J11734">
        <f>GS21/665.6</f>
        <v>0</v>
      </c>
      <c r="M11734" t="inlineStr">
        <is>
          <t>-665K85.0</t>
        </is>
      </c>
    </row>
    <row r="11735">
      <c r="A11735">
        <v>11734</v>
      </c>
      <c r="B11735">
        <f>GS51</f>
        <v>0</v>
      </c>
      <c r="C11735" t="inlineStr">
        <is>
          <t>+LS10</t>
        </is>
      </c>
      <c r="D11735" t="inlineStr">
        <is>
          <t>-665Q1</t>
        </is>
      </c>
      <c r="E11735" t="inlineStr">
        <is>
          <t>DILA-XHI22</t>
        </is>
      </c>
      <c r="F11735" t="inlineStr">
        <is>
          <t>DILA-XHI22</t>
        </is>
      </c>
      <c r="G11735" t="inlineStr">
        <is>
          <t>HILFSKONTAKTBLOCK</t>
        </is>
      </c>
      <c r="H11735" t="inlineStr">
        <is>
          <t>2S 2OE Last+Hilfssch. Cage</t>
        </is>
      </c>
      <c r="I11735">
        <v>814</v>
      </c>
      <c r="J11735">
        <f>GS51/665.6</f>
        <v>0</v>
      </c>
      <c r="K11735" t="inlineStr">
        <is>
          <t>DIL MC25</t>
        </is>
      </c>
      <c r="M11735" t="inlineStr">
        <is>
          <t>-665Q1</t>
        </is>
      </c>
    </row>
    <row r="11736">
      <c r="A11736">
        <v>11735</v>
      </c>
      <c r="B11736">
        <f>GS51</f>
        <v>0</v>
      </c>
      <c r="C11736" t="inlineStr">
        <is>
          <t>+LS10</t>
        </is>
      </c>
      <c r="D11736" t="inlineStr">
        <is>
          <t>-665Q1</t>
        </is>
      </c>
      <c r="E11736" t="inlineStr">
        <is>
          <t>DILMC25-10(RDC24)</t>
        </is>
      </c>
      <c r="F11736" t="inlineStr">
        <is>
          <t>DILA-XHI22</t>
        </is>
      </c>
      <c r="G11736" t="inlineStr">
        <is>
          <t>LASTSCHUETZ</t>
        </is>
      </c>
      <c r="H11736" t="inlineStr">
        <is>
          <t>11kW 1S Federzugkl.</t>
        </is>
      </c>
      <c r="I11736">
        <v>814</v>
      </c>
      <c r="J11736">
        <f>GS51/665.6</f>
        <v>0</v>
      </c>
      <c r="K11736" t="inlineStr">
        <is>
          <t>DIL MC25</t>
        </is>
      </c>
      <c r="M11736" t="inlineStr">
        <is>
          <t>-665Q1</t>
        </is>
      </c>
    </row>
    <row r="11737">
      <c r="A11737">
        <v>11736</v>
      </c>
      <c r="B11737">
        <f>GS55</f>
        <v>0</v>
      </c>
      <c r="C11737" t="inlineStr">
        <is>
          <t>+LS10</t>
        </is>
      </c>
      <c r="D11737" t="inlineStr">
        <is>
          <t>-665Q1</t>
        </is>
      </c>
      <c r="E11737" t="inlineStr">
        <is>
          <t>DILM150-XHIC22</t>
        </is>
      </c>
      <c r="F11737" t="inlineStr">
        <is>
          <t>DILM150-XHIC22</t>
        </is>
      </c>
      <c r="G11737" t="inlineStr">
        <is>
          <t>HILFSKONTAKTBLOCK</t>
        </is>
      </c>
      <c r="H11737" t="inlineStr">
        <is>
          <t>2S 2OE ab DILMC40</t>
        </is>
      </c>
      <c r="I11737">
        <v>929</v>
      </c>
      <c r="J11737">
        <f>GS55/665.6</f>
        <v>0</v>
      </c>
      <c r="K11737" t="inlineStr">
        <is>
          <t>DIL MC40</t>
        </is>
      </c>
      <c r="M11737" t="inlineStr">
        <is>
          <t>-665Q1</t>
        </is>
      </c>
    </row>
    <row r="11738">
      <c r="A11738">
        <v>11737</v>
      </c>
      <c r="B11738">
        <f>GS55</f>
        <v>0</v>
      </c>
      <c r="C11738" t="inlineStr">
        <is>
          <t>+LS10</t>
        </is>
      </c>
      <c r="D11738" t="inlineStr">
        <is>
          <t>-665Q1</t>
        </is>
      </c>
      <c r="E11738" t="inlineStr">
        <is>
          <t>DILMC40(RDC24)</t>
        </is>
      </c>
      <c r="F11738" t="inlineStr">
        <is>
          <t>DILM150-XHIC22</t>
        </is>
      </c>
      <c r="G11738" t="inlineStr">
        <is>
          <t>LASTSCHUETZ</t>
        </is>
      </c>
      <c r="H11738" t="inlineStr">
        <is>
          <t>18,5kW Federzugkl.</t>
        </is>
      </c>
      <c r="I11738">
        <v>929</v>
      </c>
      <c r="J11738">
        <f>GS55/665.6</f>
        <v>0</v>
      </c>
      <c r="K11738" t="inlineStr">
        <is>
          <t>DIL MC40</t>
        </is>
      </c>
      <c r="M11738" t="inlineStr">
        <is>
          <t>-665Q1</t>
        </is>
      </c>
    </row>
    <row r="11739">
      <c r="A11739">
        <v>11738</v>
      </c>
      <c r="B11739">
        <f>GS90</f>
        <v>0</v>
      </c>
      <c r="C11739" t="inlineStr">
        <is>
          <t>+LS15</t>
        </is>
      </c>
      <c r="D11739" t="inlineStr">
        <is>
          <t>-665Q1</t>
        </is>
      </c>
      <c r="E11739" t="inlineStr">
        <is>
          <t>DILM150-XHIC22</t>
        </is>
      </c>
      <c r="F11739" t="inlineStr">
        <is>
          <t>DILM150-XHIC22</t>
        </is>
      </c>
      <c r="G11739" t="inlineStr">
        <is>
          <t>HILFSKONTAKTBLOCK</t>
        </is>
      </c>
      <c r="H11739" t="inlineStr">
        <is>
          <t>2S 2OE ab DILMC40</t>
        </is>
      </c>
      <c r="I11739">
        <v>579</v>
      </c>
      <c r="J11739">
        <f>GS90/665.4</f>
        <v>0</v>
      </c>
      <c r="K11739" t="inlineStr">
        <is>
          <t>DIL MC 40</t>
        </is>
      </c>
      <c r="M11739" t="inlineStr">
        <is>
          <t>-665Q1</t>
        </is>
      </c>
    </row>
    <row r="11740">
      <c r="A11740">
        <v>11739</v>
      </c>
      <c r="B11740">
        <f>GS90</f>
        <v>0</v>
      </c>
      <c r="C11740" t="inlineStr">
        <is>
          <t>+LS15</t>
        </is>
      </c>
      <c r="D11740" t="inlineStr">
        <is>
          <t>-665Q1</t>
        </is>
      </c>
      <c r="E11740" t="inlineStr">
        <is>
          <t>DILMC40(RDC24)</t>
        </is>
      </c>
      <c r="F11740" t="inlineStr">
        <is>
          <t>DILM150-XHIC22</t>
        </is>
      </c>
      <c r="G11740" t="inlineStr">
        <is>
          <t>LASTSCHUETZ</t>
        </is>
      </c>
      <c r="H11740" t="inlineStr">
        <is>
          <t>18,5kW Federzugkl.</t>
        </is>
      </c>
      <c r="I11740">
        <v>579</v>
      </c>
      <c r="J11740">
        <f>GS90/665.4</f>
        <v>0</v>
      </c>
      <c r="K11740" t="inlineStr">
        <is>
          <t>DIL MC 40</t>
        </is>
      </c>
      <c r="M11740" t="inlineStr">
        <is>
          <t>-665Q1</t>
        </is>
      </c>
    </row>
    <row r="11741">
      <c r="A11741">
        <v>11740</v>
      </c>
      <c r="B11741">
        <f>GS91</f>
        <v>0</v>
      </c>
      <c r="C11741" t="inlineStr">
        <is>
          <t>+LS14</t>
        </is>
      </c>
      <c r="D11741" t="inlineStr">
        <is>
          <t>-665Q1</t>
        </is>
      </c>
      <c r="E11741" t="inlineStr">
        <is>
          <t>DILM150-XHIC22</t>
        </is>
      </c>
      <c r="F11741" t="inlineStr">
        <is>
          <t>DILM150-XHIC22</t>
        </is>
      </c>
      <c r="G11741" t="inlineStr">
        <is>
          <t>HILFSKONTAKTBLOCK</t>
        </is>
      </c>
      <c r="H11741" t="inlineStr">
        <is>
          <t>2S 2OE ab DILMC40</t>
        </is>
      </c>
      <c r="I11741">
        <v>813</v>
      </c>
      <c r="J11741">
        <f>GS91/665.4</f>
        <v>0</v>
      </c>
      <c r="K11741" t="inlineStr">
        <is>
          <t>DIL MC 40</t>
        </is>
      </c>
      <c r="M11741" t="inlineStr">
        <is>
          <t>-665Q1</t>
        </is>
      </c>
    </row>
    <row r="11742">
      <c r="A11742">
        <v>11741</v>
      </c>
      <c r="B11742">
        <f>GS91</f>
        <v>0</v>
      </c>
      <c r="C11742" t="inlineStr">
        <is>
          <t>+LS14</t>
        </is>
      </c>
      <c r="D11742" t="inlineStr">
        <is>
          <t>-665Q1</t>
        </is>
      </c>
      <c r="E11742" t="inlineStr">
        <is>
          <t>DILMC40(RDC24)</t>
        </is>
      </c>
      <c r="F11742" t="inlineStr">
        <is>
          <t>DILM150-XHIC22</t>
        </is>
      </c>
      <c r="G11742" t="inlineStr">
        <is>
          <t>LASTSCHUETZ</t>
        </is>
      </c>
      <c r="H11742" t="inlineStr">
        <is>
          <t>18,5kW Federzugkl.</t>
        </is>
      </c>
      <c r="I11742">
        <v>813</v>
      </c>
      <c r="J11742">
        <f>GS91/665.4</f>
        <v>0</v>
      </c>
      <c r="K11742" t="inlineStr">
        <is>
          <t>DIL MC 40</t>
        </is>
      </c>
      <c r="M11742" t="inlineStr">
        <is>
          <t>-665Q1</t>
        </is>
      </c>
    </row>
    <row r="11743">
      <c r="A11743">
        <v>11742</v>
      </c>
      <c r="B11743">
        <f>GS92</f>
        <v>0</v>
      </c>
      <c r="C11743" t="inlineStr">
        <is>
          <t>+LS12</t>
        </is>
      </c>
      <c r="D11743" t="inlineStr">
        <is>
          <t>-665Q1</t>
        </is>
      </c>
      <c r="E11743" t="inlineStr">
        <is>
          <t>DILMC25-10(RDC24)</t>
        </is>
      </c>
      <c r="F11743" t="inlineStr">
        <is>
          <t>DILA-XHI22</t>
        </is>
      </c>
      <c r="G11743" t="inlineStr">
        <is>
          <t>LASTSCHUETZ</t>
        </is>
      </c>
      <c r="H11743" t="inlineStr">
        <is>
          <t>11kW 1S Federzugkl.</t>
        </is>
      </c>
      <c r="I11743">
        <v>792</v>
      </c>
      <c r="J11743">
        <f>GS92/665.4</f>
        <v>0</v>
      </c>
      <c r="K11743" t="inlineStr">
        <is>
          <t>DIL MC25</t>
        </is>
      </c>
      <c r="M11743" t="inlineStr">
        <is>
          <t>-665Q1</t>
        </is>
      </c>
    </row>
    <row r="11744">
      <c r="A11744">
        <v>11743</v>
      </c>
      <c r="B11744">
        <f>GS92</f>
        <v>0</v>
      </c>
      <c r="C11744" t="inlineStr">
        <is>
          <t>+LS12</t>
        </is>
      </c>
      <c r="D11744" t="inlineStr">
        <is>
          <t>-665Q1</t>
        </is>
      </c>
      <c r="E11744" t="inlineStr">
        <is>
          <t>DILA-XHI22</t>
        </is>
      </c>
      <c r="F11744" t="inlineStr">
        <is>
          <t>DILA-XHI22</t>
        </is>
      </c>
      <c r="G11744" t="inlineStr">
        <is>
          <t>HILFSKONTAKTBLOCK</t>
        </is>
      </c>
      <c r="H11744" t="inlineStr">
        <is>
          <t>2S 2OE Last+Hilfssch. Cage</t>
        </is>
      </c>
      <c r="I11744">
        <v>792</v>
      </c>
      <c r="J11744">
        <f>GS92/665.4</f>
        <v>0</v>
      </c>
      <c r="K11744" t="inlineStr">
        <is>
          <t>DIL MC25</t>
        </is>
      </c>
      <c r="M11744" t="inlineStr">
        <is>
          <t>-665Q1</t>
        </is>
      </c>
    </row>
    <row r="11745">
      <c r="A11745">
        <v>11744</v>
      </c>
      <c r="B11745">
        <f>GS21</f>
        <v>0</v>
      </c>
      <c r="C11745" t="inlineStr">
        <is>
          <t>+LS13</t>
        </is>
      </c>
      <c r="D11745" t="inlineStr">
        <is>
          <t>-666K85.1</t>
        </is>
      </c>
      <c r="E11745" t="inlineStr">
        <is>
          <t>DIL_EM-10-G</t>
        </is>
      </c>
      <c r="F11745" t="inlineStr">
        <is>
          <t>22_DIL-E</t>
        </is>
      </c>
      <c r="G11745" t="inlineStr">
        <is>
          <t>LASTSCHUETZ</t>
        </is>
      </c>
      <c r="H11745" t="inlineStr">
        <is>
          <t>4kW 1S</t>
        </is>
      </c>
      <c r="I11745">
        <v>1023</v>
      </c>
      <c r="J11745">
        <f>GS21/666.6</f>
        <v>0</v>
      </c>
      <c r="M11745" t="inlineStr">
        <is>
          <t>-666K85.1</t>
        </is>
      </c>
    </row>
    <row r="11746">
      <c r="A11746">
        <v>11745</v>
      </c>
      <c r="B11746">
        <f>GS21</f>
        <v>0</v>
      </c>
      <c r="C11746" t="inlineStr">
        <is>
          <t>+LS13</t>
        </is>
      </c>
      <c r="D11746" t="inlineStr">
        <is>
          <t>-666K85.1</t>
        </is>
      </c>
      <c r="E11746" t="inlineStr">
        <is>
          <t>22_DIL-E</t>
        </is>
      </c>
      <c r="F11746" t="inlineStr">
        <is>
          <t>22_DIL-E</t>
        </is>
      </c>
      <c r="G11746" t="inlineStr">
        <is>
          <t>HILFSKONTAKTBLOCK</t>
        </is>
      </c>
      <c r="H11746" t="inlineStr">
        <is>
          <t>2S 2OE Last+Hilfsschuetz</t>
        </is>
      </c>
      <c r="I11746">
        <v>1023</v>
      </c>
      <c r="J11746">
        <f>GS21/666.6</f>
        <v>0</v>
      </c>
      <c r="M11746" t="inlineStr">
        <is>
          <t>-666K85.1</t>
        </is>
      </c>
    </row>
    <row r="11747">
      <c r="A11747">
        <v>11746</v>
      </c>
      <c r="B11747">
        <f>GS21</f>
        <v>0</v>
      </c>
      <c r="C11747" t="inlineStr">
        <is>
          <t>+LS13</t>
        </is>
      </c>
      <c r="D11747" t="inlineStr">
        <is>
          <t>-666K85.2</t>
        </is>
      </c>
      <c r="E11747" t="inlineStr">
        <is>
          <t>DIL_EM-10-G</t>
        </is>
      </c>
      <c r="F11747" t="inlineStr">
        <is>
          <t>22_DIL-E</t>
        </is>
      </c>
      <c r="G11747" t="inlineStr">
        <is>
          <t>LASTSCHUETZ</t>
        </is>
      </c>
      <c r="H11747" t="inlineStr">
        <is>
          <t>4kW 1S</t>
        </is>
      </c>
      <c r="I11747">
        <v>1023</v>
      </c>
      <c r="J11747">
        <f>GS21/666.6</f>
        <v>0</v>
      </c>
      <c r="M11747" t="inlineStr">
        <is>
          <t>-666K85.2</t>
        </is>
      </c>
    </row>
    <row r="11748">
      <c r="A11748">
        <v>11747</v>
      </c>
      <c r="B11748">
        <f>GS21</f>
        <v>0</v>
      </c>
      <c r="C11748" t="inlineStr">
        <is>
          <t>+LS13</t>
        </is>
      </c>
      <c r="D11748" t="inlineStr">
        <is>
          <t>-666K85.2</t>
        </is>
      </c>
      <c r="E11748" t="inlineStr">
        <is>
          <t>22_DIL-E</t>
        </is>
      </c>
      <c r="F11748" t="inlineStr">
        <is>
          <t>22_DIL-E</t>
        </is>
      </c>
      <c r="G11748" t="inlineStr">
        <is>
          <t>HILFSKONTAKTBLOCK</t>
        </is>
      </c>
      <c r="H11748" t="inlineStr">
        <is>
          <t>2S 2OE Last+Hilfsschuetz</t>
        </is>
      </c>
      <c r="I11748">
        <v>1023</v>
      </c>
      <c r="J11748">
        <f>GS21/666.6</f>
        <v>0</v>
      </c>
      <c r="M11748" t="inlineStr">
        <is>
          <t>-666K85.2</t>
        </is>
      </c>
    </row>
    <row r="11749">
      <c r="A11749">
        <v>11748</v>
      </c>
      <c r="B11749">
        <f>GS92</f>
        <v>0</v>
      </c>
      <c r="C11749" t="inlineStr">
        <is>
          <t>+LS12</t>
        </is>
      </c>
      <c r="D11749" t="inlineStr">
        <is>
          <t>-666Q1054.5</t>
        </is>
      </c>
      <c r="E11749" t="inlineStr">
        <is>
          <t>DILM-9-10</t>
        </is>
      </c>
      <c r="F11749" t="inlineStr">
        <is>
          <t>#KALK!</t>
        </is>
      </c>
      <c r="G11749" t="inlineStr">
        <is>
          <t>LASTSCHUETZ</t>
        </is>
      </c>
      <c r="H11749" t="inlineStr">
        <is>
          <t>4kW 1S Federzugkl.</t>
        </is>
      </c>
      <c r="I11749">
        <v>793</v>
      </c>
      <c r="J11749">
        <f>GS92/666.5</f>
        <v>0</v>
      </c>
      <c r="M11749" t="inlineStr">
        <is>
          <t>-666Q1054.5</t>
        </is>
      </c>
    </row>
    <row r="11750">
      <c r="A11750">
        <v>11749</v>
      </c>
      <c r="B11750">
        <f>GS15</f>
        <v>0</v>
      </c>
      <c r="C11750" t="inlineStr">
        <is>
          <t>+LS13</t>
        </is>
      </c>
      <c r="D11750" t="inlineStr">
        <is>
          <t>-667K3537.7</t>
        </is>
      </c>
      <c r="E11750" t="inlineStr">
        <is>
          <t>DIL_EM-10-G</t>
        </is>
      </c>
      <c r="F11750" t="inlineStr">
        <is>
          <t>#KALK!</t>
        </is>
      </c>
      <c r="G11750" t="inlineStr">
        <is>
          <t>LASTSCHUETZ</t>
        </is>
      </c>
      <c r="H11750" t="inlineStr">
        <is>
          <t>4kW 1S</t>
        </is>
      </c>
      <c r="I11750">
        <v>1179</v>
      </c>
      <c r="J11750">
        <f>GS15/667.7</f>
        <v>0</v>
      </c>
      <c r="M11750" t="inlineStr">
        <is>
          <t>-667K3537.7</t>
        </is>
      </c>
    </row>
    <row r="11751">
      <c r="A11751">
        <v>11750</v>
      </c>
      <c r="B11751">
        <f>GS21</f>
        <v>0</v>
      </c>
      <c r="C11751" t="inlineStr">
        <is>
          <t>+LS13</t>
        </is>
      </c>
      <c r="D11751" t="inlineStr">
        <is>
          <t>-667K85.6</t>
        </is>
      </c>
      <c r="E11751" t="inlineStr">
        <is>
          <t>DIL_EM-10-G</t>
        </is>
      </c>
      <c r="F11751" t="inlineStr">
        <is>
          <t>#KALK!</t>
        </is>
      </c>
      <c r="G11751" t="inlineStr">
        <is>
          <t>LASTSCHUETZ</t>
        </is>
      </c>
      <c r="H11751" t="inlineStr">
        <is>
          <t>4kW 1S</t>
        </is>
      </c>
      <c r="I11751">
        <v>1024</v>
      </c>
      <c r="J11751">
        <f>GS21/667.7</f>
        <v>0</v>
      </c>
      <c r="M11751" t="inlineStr">
        <is>
          <t>-667K85.6</t>
        </is>
      </c>
    </row>
    <row r="11752">
      <c r="A11752">
        <v>11751</v>
      </c>
      <c r="B11752">
        <f>GS55</f>
        <v>0</v>
      </c>
      <c r="C11752" t="inlineStr">
        <is>
          <t>+LS10</t>
        </is>
      </c>
      <c r="D11752" t="inlineStr">
        <is>
          <t>-667Q1622.1</t>
        </is>
      </c>
      <c r="E11752" t="inlineStr">
        <is>
          <t>DILM-9-10</t>
        </is>
      </c>
      <c r="F11752" t="inlineStr">
        <is>
          <t>#KALK!</t>
        </is>
      </c>
      <c r="G11752" t="inlineStr">
        <is>
          <t>LASTSCHUETZ</t>
        </is>
      </c>
      <c r="H11752" t="inlineStr">
        <is>
          <t>4kW 1S Federzugkl.</t>
        </is>
      </c>
      <c r="I11752">
        <v>931</v>
      </c>
      <c r="J11752">
        <f>GS55/667.6</f>
        <v>0</v>
      </c>
      <c r="K11752" t="inlineStr">
        <is>
          <t>DIL MC9</t>
        </is>
      </c>
      <c r="M11752" t="inlineStr">
        <is>
          <t>-667Q1622.1</t>
        </is>
      </c>
    </row>
    <row r="11753">
      <c r="A11753">
        <v>11752</v>
      </c>
      <c r="B11753">
        <f>GS91</f>
        <v>0</v>
      </c>
      <c r="C11753" t="inlineStr">
        <is>
          <t>+LS14</t>
        </is>
      </c>
      <c r="D11753" t="inlineStr">
        <is>
          <t>-668K1020.2</t>
        </is>
      </c>
      <c r="E11753" t="inlineStr">
        <is>
          <t>DILA-22</t>
        </is>
      </c>
      <c r="F11753" t="inlineStr">
        <is>
          <t>#KALK!</t>
        </is>
      </c>
      <c r="G11753" t="inlineStr">
        <is>
          <t>HILFSSCHUETZ</t>
        </is>
      </c>
      <c r="H11753" t="inlineStr">
        <is>
          <t>2S 2Oe Federzugkl.</t>
        </is>
      </c>
      <c r="I11753">
        <v>816</v>
      </c>
      <c r="J11753">
        <f>GS91/668.5</f>
        <v>0</v>
      </c>
      <c r="M11753" t="inlineStr">
        <is>
          <t>-668K1020.2</t>
        </is>
      </c>
    </row>
    <row r="11754">
      <c r="A11754">
        <v>11753</v>
      </c>
      <c r="B11754">
        <f>GS90</f>
        <v>0</v>
      </c>
      <c r="C11754" t="inlineStr">
        <is>
          <t>+LS15</t>
        </is>
      </c>
      <c r="D11754" t="inlineStr">
        <is>
          <t>-668K1120.2</t>
        </is>
      </c>
      <c r="E11754" t="inlineStr">
        <is>
          <t>DILA-22</t>
        </is>
      </c>
      <c r="F11754" t="inlineStr">
        <is>
          <t>#KALK!</t>
        </is>
      </c>
      <c r="G11754" t="inlineStr">
        <is>
          <t>HILFSSCHUETZ</t>
        </is>
      </c>
      <c r="H11754" t="inlineStr">
        <is>
          <t>2S 2Oe Federzugkl.</t>
        </is>
      </c>
      <c r="I11754">
        <v>576</v>
      </c>
      <c r="J11754">
        <f>GS90/668.5</f>
        <v>0</v>
      </c>
      <c r="M11754" t="inlineStr">
        <is>
          <t>-668K1120.2</t>
        </is>
      </c>
    </row>
    <row r="11755">
      <c r="A11755">
        <v>11754</v>
      </c>
      <c r="B11755">
        <f>GS21</f>
        <v>0</v>
      </c>
      <c r="C11755" t="inlineStr">
        <is>
          <t>+LS13</t>
        </is>
      </c>
      <c r="D11755" t="inlineStr">
        <is>
          <t>-668K85.7</t>
        </is>
      </c>
      <c r="E11755" t="inlineStr">
        <is>
          <t>DIL_EM-10-G</t>
        </is>
      </c>
      <c r="F11755" t="inlineStr">
        <is>
          <t>#KALK!</t>
        </is>
      </c>
      <c r="G11755" t="inlineStr">
        <is>
          <t>LASTSCHUETZ</t>
        </is>
      </c>
      <c r="H11755" t="inlineStr">
        <is>
          <t>4kW 1S</t>
        </is>
      </c>
      <c r="I11755">
        <v>1025</v>
      </c>
      <c r="J11755">
        <f>GS21/668.6</f>
        <v>0</v>
      </c>
      <c r="M11755" t="inlineStr">
        <is>
          <t>-668K85.7</t>
        </is>
      </c>
    </row>
    <row r="11756">
      <c r="A11756">
        <v>11755</v>
      </c>
      <c r="B11756">
        <f>GS91</f>
        <v>0</v>
      </c>
      <c r="C11756" t="inlineStr">
        <is>
          <t>+LS14</t>
        </is>
      </c>
      <c r="D11756" t="inlineStr">
        <is>
          <t>-668Q1020.4</t>
        </is>
      </c>
      <c r="E11756" t="inlineStr">
        <is>
          <t>DILM-9-10</t>
        </is>
      </c>
      <c r="F11756" t="inlineStr">
        <is>
          <t>#KALK!</t>
        </is>
      </c>
      <c r="G11756" t="inlineStr">
        <is>
          <t>LASTSCHUETZ</t>
        </is>
      </c>
      <c r="H11756" t="inlineStr">
        <is>
          <t>4kW 1S Federzugkl.</t>
        </is>
      </c>
      <c r="I11756">
        <v>816</v>
      </c>
      <c r="J11756">
        <f>GS91/668.7</f>
        <v>0</v>
      </c>
      <c r="M11756" t="inlineStr">
        <is>
          <t>-668Q1020.4</t>
        </is>
      </c>
    </row>
    <row r="11757">
      <c r="A11757">
        <v>11756</v>
      </c>
      <c r="B11757">
        <f>GS92</f>
        <v>0</v>
      </c>
      <c r="C11757" t="inlineStr">
        <is>
          <t>+LS12</t>
        </is>
      </c>
      <c r="D11757" t="inlineStr">
        <is>
          <t>-668Q1054.7</t>
        </is>
      </c>
      <c r="E11757" t="inlineStr">
        <is>
          <t>DILM-9-10</t>
        </is>
      </c>
      <c r="F11757" t="inlineStr">
        <is>
          <t>#KALK!</t>
        </is>
      </c>
      <c r="G11757" t="inlineStr">
        <is>
          <t>LASTSCHUETZ</t>
        </is>
      </c>
      <c r="H11757" t="inlineStr">
        <is>
          <t>4kW 1S Federzugkl.</t>
        </is>
      </c>
      <c r="I11757">
        <v>795</v>
      </c>
      <c r="J11757">
        <f>GS92/668.5</f>
        <v>0</v>
      </c>
      <c r="M11757" t="inlineStr">
        <is>
          <t>-668Q1054.7</t>
        </is>
      </c>
    </row>
    <row r="11758">
      <c r="A11758">
        <v>11757</v>
      </c>
      <c r="B11758">
        <f>GS90</f>
        <v>0</v>
      </c>
      <c r="C11758" t="inlineStr">
        <is>
          <t>+LS15</t>
        </is>
      </c>
      <c r="D11758" t="inlineStr">
        <is>
          <t>-668Q1120.4</t>
        </is>
      </c>
      <c r="E11758" t="inlineStr">
        <is>
          <t>DILM-9-10</t>
        </is>
      </c>
      <c r="F11758" t="inlineStr">
        <is>
          <t>#KALK!</t>
        </is>
      </c>
      <c r="G11758" t="inlineStr">
        <is>
          <t>LASTSCHUETZ</t>
        </is>
      </c>
      <c r="H11758" t="inlineStr">
        <is>
          <t>4kW 1S Federzugkl.</t>
        </is>
      </c>
      <c r="I11758">
        <v>576</v>
      </c>
      <c r="J11758">
        <f>GS90/668.7</f>
        <v>0</v>
      </c>
      <c r="M11758" t="inlineStr">
        <is>
          <t>-668Q1120.4</t>
        </is>
      </c>
    </row>
    <row r="11759">
      <c r="A11759">
        <v>11758</v>
      </c>
      <c r="B11759">
        <f>GS21</f>
        <v>0</v>
      </c>
      <c r="C11759" t="inlineStr">
        <is>
          <t>+LS13</t>
        </is>
      </c>
      <c r="D11759" t="inlineStr">
        <is>
          <t>-669K86.3</t>
        </is>
      </c>
      <c r="E11759" t="inlineStr">
        <is>
          <t>DIL_EM-10-G</t>
        </is>
      </c>
      <c r="F11759" t="inlineStr">
        <is>
          <t>#KALK!</t>
        </is>
      </c>
      <c r="G11759" t="inlineStr">
        <is>
          <t>LASTSCHUETZ</t>
        </is>
      </c>
      <c r="H11759" t="inlineStr">
        <is>
          <t>4kW 1S</t>
        </is>
      </c>
      <c r="I11759">
        <v>1026</v>
      </c>
      <c r="J11759">
        <f>GS21/669.7</f>
        <v>0</v>
      </c>
      <c r="M11759" t="inlineStr">
        <is>
          <t>-669K86.3</t>
        </is>
      </c>
    </row>
    <row r="11760">
      <c r="A11760">
        <v>11759</v>
      </c>
      <c r="B11760">
        <f>GS55</f>
        <v>0</v>
      </c>
      <c r="C11760" t="inlineStr">
        <is>
          <t>+LS10</t>
        </is>
      </c>
      <c r="D11760" t="inlineStr">
        <is>
          <t>-669Q1</t>
        </is>
      </c>
      <c r="E11760" t="inlineStr">
        <is>
          <t>DILM-9-10</t>
        </is>
      </c>
      <c r="F11760" t="inlineStr">
        <is>
          <t>#KALK!</t>
        </is>
      </c>
      <c r="G11760" t="inlineStr">
        <is>
          <t>LASTSCHUETZ</t>
        </is>
      </c>
      <c r="H11760" t="inlineStr">
        <is>
          <t>4kW 1S Federzugkl.</t>
        </is>
      </c>
      <c r="I11760">
        <v>932</v>
      </c>
      <c r="J11760">
        <f>GS55/669.7</f>
        <v>0</v>
      </c>
      <c r="M11760" t="inlineStr">
        <is>
          <t>-669Q1</t>
        </is>
      </c>
    </row>
    <row r="11761">
      <c r="A11761">
        <v>11760</v>
      </c>
      <c r="B11761">
        <f>GS92</f>
        <v>0</v>
      </c>
      <c r="C11761" t="inlineStr">
        <is>
          <t>+LS12</t>
        </is>
      </c>
      <c r="D11761" t="inlineStr">
        <is>
          <t>-669Q1055.0</t>
        </is>
      </c>
      <c r="E11761" t="inlineStr">
        <is>
          <t>DILM-9-10</t>
        </is>
      </c>
      <c r="F11761" t="inlineStr">
        <is>
          <t>#KALK!</t>
        </is>
      </c>
      <c r="G11761" t="inlineStr">
        <is>
          <t>LASTSCHUETZ</t>
        </is>
      </c>
      <c r="H11761" t="inlineStr">
        <is>
          <t>4kW 1S Federzugkl.</t>
        </is>
      </c>
      <c r="I11761">
        <v>796</v>
      </c>
      <c r="J11761">
        <f>GS92/669.5</f>
        <v>0</v>
      </c>
      <c r="M11761" t="inlineStr">
        <is>
          <t>-669Q1055.0</t>
        </is>
      </c>
    </row>
    <row r="11762">
      <c r="A11762">
        <v>11761</v>
      </c>
      <c r="B11762">
        <f>GS91</f>
        <v>0</v>
      </c>
      <c r="C11762" t="inlineStr">
        <is>
          <t>+LS14</t>
        </is>
      </c>
      <c r="D11762" t="inlineStr">
        <is>
          <t>-670Q1021.0</t>
        </is>
      </c>
      <c r="E11762" t="inlineStr">
        <is>
          <t>DILM-9-10</t>
        </is>
      </c>
      <c r="F11762" t="inlineStr">
        <is>
          <t>#KALK!</t>
        </is>
      </c>
      <c r="G11762" t="inlineStr">
        <is>
          <t>LASTSCHUETZ</t>
        </is>
      </c>
      <c r="H11762" t="inlineStr">
        <is>
          <t>4kW 1S Federzugkl.</t>
        </is>
      </c>
      <c r="I11762">
        <v>818</v>
      </c>
      <c r="J11762">
        <f>GS91/670.5</f>
        <v>0</v>
      </c>
      <c r="M11762" t="inlineStr">
        <is>
          <t>-670Q1021.0</t>
        </is>
      </c>
    </row>
    <row r="11763">
      <c r="A11763">
        <v>11762</v>
      </c>
      <c r="B11763">
        <f>GS92</f>
        <v>0</v>
      </c>
      <c r="C11763" t="inlineStr">
        <is>
          <t>+LS12</t>
        </is>
      </c>
      <c r="D11763" t="inlineStr">
        <is>
          <t>-670Q1055.1</t>
        </is>
      </c>
      <c r="E11763" t="inlineStr">
        <is>
          <t>DILM-9-10</t>
        </is>
      </c>
      <c r="F11763" t="inlineStr">
        <is>
          <t>#KALK!</t>
        </is>
      </c>
      <c r="G11763" t="inlineStr">
        <is>
          <t>LASTSCHUETZ</t>
        </is>
      </c>
      <c r="H11763" t="inlineStr">
        <is>
          <t>4kW 1S Federzugkl.</t>
        </is>
      </c>
      <c r="I11763">
        <v>797</v>
      </c>
      <c r="J11763">
        <f>GS92/670.5</f>
        <v>0</v>
      </c>
      <c r="M11763" t="inlineStr">
        <is>
          <t>-670Q1055.1</t>
        </is>
      </c>
    </row>
    <row r="11764">
      <c r="A11764">
        <v>11763</v>
      </c>
      <c r="B11764">
        <f>GS90</f>
        <v>0</v>
      </c>
      <c r="C11764" t="inlineStr">
        <is>
          <t>+LS15</t>
        </is>
      </c>
      <c r="D11764" t="inlineStr">
        <is>
          <t>-670Q1121.0</t>
        </is>
      </c>
      <c r="E11764" t="inlineStr">
        <is>
          <t>DILM-9-10</t>
        </is>
      </c>
      <c r="F11764" t="inlineStr">
        <is>
          <t>#KALK!</t>
        </is>
      </c>
      <c r="G11764" t="inlineStr">
        <is>
          <t>LASTSCHUETZ</t>
        </is>
      </c>
      <c r="H11764" t="inlineStr">
        <is>
          <t>4kW 1S Federzugkl.</t>
        </is>
      </c>
      <c r="I11764">
        <v>561</v>
      </c>
      <c r="J11764">
        <f>GS90/670.5</f>
        <v>0</v>
      </c>
      <c r="M11764" t="inlineStr">
        <is>
          <t>-670Q1121.0</t>
        </is>
      </c>
    </row>
    <row r="11765">
      <c r="A11765">
        <v>11764</v>
      </c>
      <c r="B11765">
        <f>GS92</f>
        <v>0</v>
      </c>
      <c r="C11765" t="inlineStr">
        <is>
          <t>+LS12</t>
        </is>
      </c>
      <c r="D11765" t="inlineStr">
        <is>
          <t>-671Q1055.2</t>
        </is>
      </c>
      <c r="E11765" t="inlineStr">
        <is>
          <t>DILM-9-10</t>
        </is>
      </c>
      <c r="F11765" t="inlineStr">
        <is>
          <t>#KALK!</t>
        </is>
      </c>
      <c r="G11765" t="inlineStr">
        <is>
          <t>LASTSCHUETZ</t>
        </is>
      </c>
      <c r="H11765" t="inlineStr">
        <is>
          <t>4kW 1S Federzugkl.</t>
        </is>
      </c>
      <c r="I11765">
        <v>798</v>
      </c>
      <c r="J11765">
        <f>GS92/671.5</f>
        <v>0</v>
      </c>
      <c r="M11765" t="inlineStr">
        <is>
          <t>-671Q1055.2</t>
        </is>
      </c>
    </row>
    <row r="11766">
      <c r="A11766">
        <v>11765</v>
      </c>
      <c r="B11766">
        <f>GS91</f>
        <v>0</v>
      </c>
      <c r="C11766" t="inlineStr">
        <is>
          <t>+LS14</t>
        </is>
      </c>
      <c r="D11766" t="inlineStr">
        <is>
          <t>-672Q1021.1</t>
        </is>
      </c>
      <c r="E11766" t="inlineStr">
        <is>
          <t>DILM-9-10</t>
        </is>
      </c>
      <c r="F11766" t="inlineStr">
        <is>
          <t>#KALK!</t>
        </is>
      </c>
      <c r="G11766" t="inlineStr">
        <is>
          <t>LASTSCHUETZ</t>
        </is>
      </c>
      <c r="H11766" t="inlineStr">
        <is>
          <t>4kW 1S Federzugkl.</t>
        </is>
      </c>
      <c r="I11766">
        <v>820</v>
      </c>
      <c r="J11766">
        <f>GS91/672.5</f>
        <v>0</v>
      </c>
      <c r="M11766" t="inlineStr">
        <is>
          <t>-672Q1021.1</t>
        </is>
      </c>
    </row>
    <row r="11767">
      <c r="A11767">
        <v>11766</v>
      </c>
      <c r="B11767">
        <f>GS92</f>
        <v>0</v>
      </c>
      <c r="C11767" t="inlineStr">
        <is>
          <t>+LS12</t>
        </is>
      </c>
      <c r="D11767" t="inlineStr">
        <is>
          <t>-672Q1055.3</t>
        </is>
      </c>
      <c r="E11767" t="inlineStr">
        <is>
          <t>DILM-9-10</t>
        </is>
      </c>
      <c r="F11767" t="inlineStr">
        <is>
          <t>#KALK!</t>
        </is>
      </c>
      <c r="G11767" t="inlineStr">
        <is>
          <t>LASTSCHUETZ</t>
        </is>
      </c>
      <c r="H11767" t="inlineStr">
        <is>
          <t>4kW 1S Federzugkl.</t>
        </is>
      </c>
      <c r="I11767">
        <v>799</v>
      </c>
      <c r="J11767">
        <f>GS92/672.5</f>
        <v>0</v>
      </c>
      <c r="M11767" t="inlineStr">
        <is>
          <t>-672Q1055.3</t>
        </is>
      </c>
    </row>
    <row r="11768">
      <c r="A11768">
        <v>11767</v>
      </c>
      <c r="B11768">
        <f>GS90</f>
        <v>0</v>
      </c>
      <c r="C11768" t="inlineStr">
        <is>
          <t>+LS15</t>
        </is>
      </c>
      <c r="D11768" t="inlineStr">
        <is>
          <t>-672Q1121.1</t>
        </is>
      </c>
      <c r="E11768" t="inlineStr">
        <is>
          <t>DILM-9-10</t>
        </is>
      </c>
      <c r="F11768" t="inlineStr">
        <is>
          <t>#KALK!</t>
        </is>
      </c>
      <c r="G11768" t="inlineStr">
        <is>
          <t>LASTSCHUETZ</t>
        </is>
      </c>
      <c r="H11768" t="inlineStr">
        <is>
          <t>4kW 1S Federzugkl.</t>
        </is>
      </c>
      <c r="I11768">
        <v>572</v>
      </c>
      <c r="J11768">
        <f>GS90/672.5</f>
        <v>0</v>
      </c>
      <c r="M11768" t="inlineStr">
        <is>
          <t>-672Q1121.1</t>
        </is>
      </c>
    </row>
    <row r="11769">
      <c r="A11769">
        <v>11768</v>
      </c>
      <c r="B11769">
        <f>GS92</f>
        <v>0</v>
      </c>
      <c r="C11769" t="inlineStr">
        <is>
          <t>+LS12</t>
        </is>
      </c>
      <c r="D11769" t="inlineStr">
        <is>
          <t>-673Q1055.4</t>
        </is>
      </c>
      <c r="E11769" t="inlineStr">
        <is>
          <t>DILM-9-10</t>
        </is>
      </c>
      <c r="F11769" t="inlineStr">
        <is>
          <t>#KALK!</t>
        </is>
      </c>
      <c r="G11769" t="inlineStr">
        <is>
          <t>LASTSCHUETZ</t>
        </is>
      </c>
      <c r="H11769" t="inlineStr">
        <is>
          <t>4kW 1S Federzugkl.</t>
        </is>
      </c>
      <c r="I11769">
        <v>800</v>
      </c>
      <c r="J11769">
        <f>GS92/673.5</f>
        <v>0</v>
      </c>
      <c r="M11769" t="inlineStr">
        <is>
          <t>-673Q1055.4</t>
        </is>
      </c>
    </row>
    <row r="11770">
      <c r="A11770">
        <v>11769</v>
      </c>
      <c r="B11770">
        <f>GS92</f>
        <v>0</v>
      </c>
      <c r="C11770" t="inlineStr">
        <is>
          <t>+LS12</t>
        </is>
      </c>
      <c r="D11770" t="inlineStr">
        <is>
          <t>-674Q1055.5</t>
        </is>
      </c>
      <c r="E11770" t="inlineStr">
        <is>
          <t>DILM-9-10</t>
        </is>
      </c>
      <c r="F11770" t="inlineStr">
        <is>
          <t>#KALK!</t>
        </is>
      </c>
      <c r="G11770" t="inlineStr">
        <is>
          <t>LASTSCHUETZ</t>
        </is>
      </c>
      <c r="H11770" t="inlineStr">
        <is>
          <t>4kW 1S Federzugkl.</t>
        </is>
      </c>
      <c r="I11770">
        <v>801</v>
      </c>
      <c r="J11770">
        <f>GS92/674.5</f>
        <v>0</v>
      </c>
      <c r="M11770" t="inlineStr">
        <is>
          <t>-674Q1055.5</t>
        </is>
      </c>
    </row>
    <row r="11771">
      <c r="A11771">
        <v>11770</v>
      </c>
      <c r="B11771">
        <f>GS11</f>
        <v>0</v>
      </c>
      <c r="C11771" t="inlineStr">
        <is>
          <t>+LS13</t>
        </is>
      </c>
      <c r="D11771" t="inlineStr">
        <is>
          <t>-675K1</t>
        </is>
      </c>
      <c r="E11771" t="inlineStr">
        <is>
          <t>DILMC25-10230V50HZ</t>
        </is>
      </c>
      <c r="F11771" t="inlineStr">
        <is>
          <t>DILA-XHI22</t>
        </is>
      </c>
      <c r="G11771" t="inlineStr">
        <is>
          <t>LASTSCHUETZ</t>
        </is>
      </c>
      <c r="H11771" t="inlineStr">
        <is>
          <t>11kW 1S Federzugkl.</t>
        </is>
      </c>
      <c r="I11771">
        <v>1143</v>
      </c>
      <c r="J11771">
        <f>GS11/675.4</f>
        <v>0</v>
      </c>
      <c r="K11771" t="inlineStr">
        <is>
          <t>DIL MC25</t>
        </is>
      </c>
      <c r="M11771" t="inlineStr">
        <is>
          <t>-675K1</t>
        </is>
      </c>
    </row>
    <row r="11772">
      <c r="A11772">
        <v>11771</v>
      </c>
      <c r="B11772">
        <f>GS11</f>
        <v>0</v>
      </c>
      <c r="C11772" t="inlineStr">
        <is>
          <t>+LS13</t>
        </is>
      </c>
      <c r="D11772" t="inlineStr">
        <is>
          <t>-675K1</t>
        </is>
      </c>
      <c r="E11772" t="inlineStr">
        <is>
          <t>DILA-XHI22</t>
        </is>
      </c>
      <c r="F11772" t="inlineStr">
        <is>
          <t>DILA-XHI22</t>
        </is>
      </c>
      <c r="G11772" t="inlineStr">
        <is>
          <t>HILFSKONTAKTBLOCK</t>
        </is>
      </c>
      <c r="H11772" t="inlineStr">
        <is>
          <t>2S 2OE Last+Hilfssch. Cage</t>
        </is>
      </c>
      <c r="I11772">
        <v>1143</v>
      </c>
      <c r="J11772">
        <f>GS11/675.4</f>
        <v>0</v>
      </c>
      <c r="K11772" t="inlineStr">
        <is>
          <t>DIL MC25</t>
        </is>
      </c>
      <c r="M11772" t="inlineStr">
        <is>
          <t>-675K1</t>
        </is>
      </c>
    </row>
    <row r="11773">
      <c r="A11773">
        <v>11772</v>
      </c>
      <c r="B11773">
        <f>GS91</f>
        <v>0</v>
      </c>
      <c r="C11773" t="inlineStr">
        <is>
          <t>+LS14</t>
        </is>
      </c>
      <c r="D11773" t="inlineStr">
        <is>
          <t>-675K1024.0</t>
        </is>
      </c>
      <c r="E11773" t="inlineStr">
        <is>
          <t>DILA-40</t>
        </is>
      </c>
      <c r="F11773" t="inlineStr">
        <is>
          <t>#KALK!</t>
        </is>
      </c>
      <c r="G11773" t="inlineStr">
        <is>
          <t>HILFSSCHUETZ</t>
        </is>
      </c>
      <c r="H11773" t="inlineStr">
        <is>
          <t>4S Federzugkl.</t>
        </is>
      </c>
      <c r="I11773">
        <v>823</v>
      </c>
      <c r="J11773">
        <f>GS91/675.7</f>
        <v>0</v>
      </c>
      <c r="M11773" t="inlineStr">
        <is>
          <t>-675K1024.0</t>
        </is>
      </c>
    </row>
    <row r="11774">
      <c r="A11774">
        <v>11773</v>
      </c>
      <c r="B11774">
        <f>GS90</f>
        <v>0</v>
      </c>
      <c r="C11774" t="inlineStr">
        <is>
          <t>+LS15</t>
        </is>
      </c>
      <c r="D11774" t="inlineStr">
        <is>
          <t>-675K1124.0</t>
        </is>
      </c>
      <c r="E11774" t="inlineStr">
        <is>
          <t>DILA-40</t>
        </is>
      </c>
      <c r="F11774" t="inlineStr">
        <is>
          <t>#KALK!</t>
        </is>
      </c>
      <c r="G11774" t="inlineStr">
        <is>
          <t>HILFSSCHUETZ</t>
        </is>
      </c>
      <c r="H11774" t="inlineStr">
        <is>
          <t>4S Federzugkl.</t>
        </is>
      </c>
      <c r="I11774">
        <v>569</v>
      </c>
      <c r="J11774">
        <f>GS90/675.7</f>
        <v>0</v>
      </c>
      <c r="M11774" t="inlineStr">
        <is>
          <t>-675K1124.0</t>
        </is>
      </c>
    </row>
    <row r="11775">
      <c r="A11775">
        <v>11774</v>
      </c>
      <c r="B11775">
        <f>GS55</f>
        <v>0</v>
      </c>
      <c r="C11775" t="inlineStr">
        <is>
          <t>+LS10</t>
        </is>
      </c>
      <c r="D11775" t="inlineStr">
        <is>
          <t>-675K1622.4</t>
        </is>
      </c>
      <c r="E11775" t="inlineStr">
        <is>
          <t>DILA-22</t>
        </is>
      </c>
      <c r="F11775" t="inlineStr">
        <is>
          <t>#KALK!</t>
        </is>
      </c>
      <c r="G11775" t="inlineStr">
        <is>
          <t>HILFSSCHUETZ</t>
        </is>
      </c>
      <c r="H11775" t="inlineStr">
        <is>
          <t>2S 2Oe Federzugkl.</t>
        </is>
      </c>
      <c r="I11775">
        <v>939</v>
      </c>
      <c r="J11775">
        <f>GS55/675.2</f>
        <v>0</v>
      </c>
      <c r="M11775" t="inlineStr">
        <is>
          <t>-675K1622.4</t>
        </is>
      </c>
    </row>
    <row r="11776">
      <c r="A11776">
        <v>11775</v>
      </c>
      <c r="B11776">
        <f>GS93</f>
        <v>0</v>
      </c>
      <c r="C11776" t="inlineStr">
        <is>
          <t>+LS13</t>
        </is>
      </c>
      <c r="D11776" t="inlineStr">
        <is>
          <t>-675K776.0</t>
        </is>
      </c>
      <c r="E11776" t="inlineStr">
        <is>
          <t>DILA-40</t>
        </is>
      </c>
      <c r="F11776" t="inlineStr">
        <is>
          <t>#KALK!</t>
        </is>
      </c>
      <c r="G11776" t="inlineStr">
        <is>
          <t>HILFSSCHUETZ</t>
        </is>
      </c>
      <c r="H11776" t="inlineStr">
        <is>
          <t>4S Federzugkl.</t>
        </is>
      </c>
      <c r="I11776">
        <v>1224</v>
      </c>
      <c r="J11776">
        <f>GS93/675.7</f>
        <v>0</v>
      </c>
      <c r="M11776" t="inlineStr">
        <is>
          <t>-675K776.0</t>
        </is>
      </c>
    </row>
    <row r="11777">
      <c r="A11777">
        <v>11776</v>
      </c>
      <c r="B11777">
        <f>GS21</f>
        <v>0</v>
      </c>
      <c r="C11777" t="inlineStr">
        <is>
          <t>+LS13</t>
        </is>
      </c>
      <c r="D11777" t="inlineStr">
        <is>
          <t>-675K88.3</t>
        </is>
      </c>
      <c r="E11777" t="inlineStr">
        <is>
          <t>DIL_EM-10-G</t>
        </is>
      </c>
      <c r="F11777" t="inlineStr">
        <is>
          <t>#KALK!</t>
        </is>
      </c>
      <c r="G11777" t="inlineStr">
        <is>
          <t>LASTSCHUETZ</t>
        </is>
      </c>
      <c r="H11777" t="inlineStr">
        <is>
          <t>4kW 1S</t>
        </is>
      </c>
      <c r="I11777">
        <v>1032</v>
      </c>
      <c r="J11777">
        <f>GS21/675.7</f>
        <v>0</v>
      </c>
      <c r="M11777" t="inlineStr">
        <is>
          <t>-675K88.3</t>
        </is>
      </c>
    </row>
    <row r="11778">
      <c r="A11778">
        <v>11777</v>
      </c>
      <c r="B11778">
        <f>GS05</f>
        <v>0</v>
      </c>
      <c r="C11778" t="inlineStr">
        <is>
          <t>+LS11</t>
        </is>
      </c>
      <c r="D11778" t="inlineStr">
        <is>
          <t>-675Q1</t>
        </is>
      </c>
      <c r="E11778" t="inlineStr">
        <is>
          <t>DILA-XHI22</t>
        </is>
      </c>
      <c r="F11778" t="inlineStr">
        <is>
          <t>DILA-XHI22</t>
        </is>
      </c>
      <c r="G11778" t="inlineStr">
        <is>
          <t>HILFSKONTAKTBLOCK</t>
        </is>
      </c>
      <c r="H11778" t="inlineStr">
        <is>
          <t>2S 2OE Last+Hilfssch. Cage</t>
        </is>
      </c>
      <c r="I11778">
        <v>2647</v>
      </c>
      <c r="J11778">
        <f>GS05/675.6</f>
        <v>0</v>
      </c>
      <c r="K11778" t="inlineStr">
        <is>
          <t>DIL MC25</t>
        </is>
      </c>
      <c r="M11778" t="inlineStr">
        <is>
          <t>-675Q1</t>
        </is>
      </c>
    </row>
    <row r="11779">
      <c r="A11779">
        <v>11778</v>
      </c>
      <c r="B11779">
        <f>GS05</f>
        <v>0</v>
      </c>
      <c r="C11779" t="inlineStr">
        <is>
          <t>+LS11</t>
        </is>
      </c>
      <c r="D11779" t="inlineStr">
        <is>
          <t>-675Q1</t>
        </is>
      </c>
      <c r="E11779" t="inlineStr">
        <is>
          <t>DILMC25-10(RDC24)</t>
        </is>
      </c>
      <c r="F11779" t="inlineStr">
        <is>
          <t>DILA-XHI22</t>
        </is>
      </c>
      <c r="G11779" t="inlineStr">
        <is>
          <t>LASTSCHUETZ</t>
        </is>
      </c>
      <c r="H11779" t="inlineStr">
        <is>
          <t>11kW 1S Federzugkl.</t>
        </is>
      </c>
      <c r="I11779">
        <v>2647</v>
      </c>
      <c r="J11779">
        <f>GS05/675.6</f>
        <v>0</v>
      </c>
      <c r="K11779" t="inlineStr">
        <is>
          <t>DIL MC25</t>
        </is>
      </c>
      <c r="M11779" t="inlineStr">
        <is>
          <t>-675Q1</t>
        </is>
      </c>
    </row>
    <row r="11780">
      <c r="A11780">
        <v>11779</v>
      </c>
      <c r="B11780">
        <f>GS51</f>
        <v>0</v>
      </c>
      <c r="C11780" t="inlineStr">
        <is>
          <t>+LS10</t>
        </is>
      </c>
      <c r="D11780" t="inlineStr">
        <is>
          <t>-675Q1</t>
        </is>
      </c>
      <c r="E11780" t="inlineStr">
        <is>
          <t>DILA-XHI22</t>
        </is>
      </c>
      <c r="F11780" t="inlineStr">
        <is>
          <t>DILA-XHI22</t>
        </is>
      </c>
      <c r="G11780" t="inlineStr">
        <is>
          <t>HILFSKONTAKTBLOCK</t>
        </is>
      </c>
      <c r="H11780" t="inlineStr">
        <is>
          <t>2S 2OE Last+Hilfssch. Cage</t>
        </is>
      </c>
      <c r="I11780">
        <v>824</v>
      </c>
      <c r="J11780">
        <f>GS51/675.6</f>
        <v>0</v>
      </c>
      <c r="K11780" t="inlineStr">
        <is>
          <t>DIL MC25</t>
        </is>
      </c>
      <c r="M11780" t="inlineStr">
        <is>
          <t>-675Q1</t>
        </is>
      </c>
    </row>
    <row r="11781">
      <c r="A11781">
        <v>11780</v>
      </c>
      <c r="B11781">
        <f>GS51</f>
        <v>0</v>
      </c>
      <c r="C11781" t="inlineStr">
        <is>
          <t>+LS10</t>
        </is>
      </c>
      <c r="D11781" t="inlineStr">
        <is>
          <t>-675Q1</t>
        </is>
      </c>
      <c r="E11781" t="inlineStr">
        <is>
          <t>DILMC25-10(RDC24)</t>
        </is>
      </c>
      <c r="F11781" t="inlineStr">
        <is>
          <t>DILA-XHI22</t>
        </is>
      </c>
      <c r="G11781" t="inlineStr">
        <is>
          <t>LASTSCHUETZ</t>
        </is>
      </c>
      <c r="H11781" t="inlineStr">
        <is>
          <t>11kW 1S Federzugkl.</t>
        </is>
      </c>
      <c r="I11781">
        <v>824</v>
      </c>
      <c r="J11781">
        <f>GS51/675.6</f>
        <v>0</v>
      </c>
      <c r="K11781" t="inlineStr">
        <is>
          <t>DIL MC25</t>
        </is>
      </c>
      <c r="M11781" t="inlineStr">
        <is>
          <t>-675Q1</t>
        </is>
      </c>
    </row>
    <row r="11782">
      <c r="A11782">
        <v>11781</v>
      </c>
      <c r="B11782">
        <f>GS90</f>
        <v>0</v>
      </c>
      <c r="C11782" t="inlineStr">
        <is>
          <t>+LS15</t>
        </is>
      </c>
      <c r="D11782" t="inlineStr">
        <is>
          <t>-675Q1</t>
        </is>
      </c>
      <c r="E11782" t="inlineStr">
        <is>
          <t>DILMC25-10(RDC24)</t>
        </is>
      </c>
      <c r="F11782" t="inlineStr">
        <is>
          <t>DILA-XHI22</t>
        </is>
      </c>
      <c r="G11782" t="inlineStr">
        <is>
          <t>LASTSCHUETZ</t>
        </is>
      </c>
      <c r="H11782" t="inlineStr">
        <is>
          <t>11kW 1S Federzugkl.</t>
        </is>
      </c>
      <c r="I11782">
        <v>569</v>
      </c>
      <c r="J11782">
        <f>GS90/675.4</f>
        <v>0</v>
      </c>
      <c r="K11782" t="inlineStr">
        <is>
          <t>DIL MC25</t>
        </is>
      </c>
      <c r="M11782" t="inlineStr">
        <is>
          <t>-675Q1</t>
        </is>
      </c>
    </row>
    <row r="11783">
      <c r="A11783">
        <v>11782</v>
      </c>
      <c r="B11783">
        <f>GS90</f>
        <v>0</v>
      </c>
      <c r="C11783" t="inlineStr">
        <is>
          <t>+LS15</t>
        </is>
      </c>
      <c r="D11783" t="inlineStr">
        <is>
          <t>-675Q1</t>
        </is>
      </c>
      <c r="E11783" t="inlineStr">
        <is>
          <t>DILA-XHI22</t>
        </is>
      </c>
      <c r="F11783" t="inlineStr">
        <is>
          <t>DILA-XHI22</t>
        </is>
      </c>
      <c r="G11783" t="inlineStr">
        <is>
          <t>HILFSKONTAKTBLOCK</t>
        </is>
      </c>
      <c r="H11783" t="inlineStr">
        <is>
          <t>2S 2OE Last+Hilfssch. Cage</t>
        </is>
      </c>
      <c r="I11783">
        <v>569</v>
      </c>
      <c r="J11783">
        <f>GS90/675.4</f>
        <v>0</v>
      </c>
      <c r="K11783" t="inlineStr">
        <is>
          <t>DIL MC25</t>
        </is>
      </c>
      <c r="M11783" t="inlineStr">
        <is>
          <t>-675Q1</t>
        </is>
      </c>
    </row>
    <row r="11784">
      <c r="A11784">
        <v>11783</v>
      </c>
      <c r="B11784">
        <f>GS91</f>
        <v>0</v>
      </c>
      <c r="C11784" t="inlineStr">
        <is>
          <t>+LS14</t>
        </is>
      </c>
      <c r="D11784" t="inlineStr">
        <is>
          <t>-675Q1</t>
        </is>
      </c>
      <c r="E11784" t="inlineStr">
        <is>
          <t>DILA-XHI22</t>
        </is>
      </c>
      <c r="F11784" t="inlineStr">
        <is>
          <t>DILA-XHI22</t>
        </is>
      </c>
      <c r="G11784" t="inlineStr">
        <is>
          <t>HILFSKONTAKTBLOCK</t>
        </is>
      </c>
      <c r="H11784" t="inlineStr">
        <is>
          <t>2S 2OE Last+Hilfssch. Cage</t>
        </is>
      </c>
      <c r="I11784">
        <v>823</v>
      </c>
      <c r="J11784">
        <f>GS91/675.4</f>
        <v>0</v>
      </c>
      <c r="K11784" t="inlineStr">
        <is>
          <t>DIL MC25</t>
        </is>
      </c>
      <c r="M11784" t="inlineStr">
        <is>
          <t>-675Q1</t>
        </is>
      </c>
    </row>
    <row r="11785">
      <c r="A11785">
        <v>11784</v>
      </c>
      <c r="B11785">
        <f>GS91</f>
        <v>0</v>
      </c>
      <c r="C11785" t="inlineStr">
        <is>
          <t>+LS14</t>
        </is>
      </c>
      <c r="D11785" t="inlineStr">
        <is>
          <t>-675Q1</t>
        </is>
      </c>
      <c r="E11785" t="inlineStr">
        <is>
          <t>DILMC25-10(RDC24)</t>
        </is>
      </c>
      <c r="F11785" t="inlineStr">
        <is>
          <t>DILA-XHI22</t>
        </is>
      </c>
      <c r="G11785" t="inlineStr">
        <is>
          <t>LASTSCHUETZ</t>
        </is>
      </c>
      <c r="H11785" t="inlineStr">
        <is>
          <t>11kW 1S Federzugkl.</t>
        </is>
      </c>
      <c r="I11785">
        <v>823</v>
      </c>
      <c r="J11785">
        <f>GS91/675.4</f>
        <v>0</v>
      </c>
      <c r="K11785" t="inlineStr">
        <is>
          <t>DIL MC25</t>
        </is>
      </c>
      <c r="M11785" t="inlineStr">
        <is>
          <t>-675Q1</t>
        </is>
      </c>
    </row>
    <row r="11786">
      <c r="A11786">
        <v>11785</v>
      </c>
      <c r="B11786">
        <f>GS93</f>
        <v>0</v>
      </c>
      <c r="C11786" t="inlineStr">
        <is>
          <t>+LS13</t>
        </is>
      </c>
      <c r="D11786" t="inlineStr">
        <is>
          <t>-675Q1</t>
        </is>
      </c>
      <c r="E11786" t="inlineStr">
        <is>
          <t>DILA-XHI22</t>
        </is>
      </c>
      <c r="F11786" t="inlineStr">
        <is>
          <t>DILA-XHI22</t>
        </is>
      </c>
      <c r="G11786" t="inlineStr">
        <is>
          <t>HILFSKONTAKTBLOCK</t>
        </is>
      </c>
      <c r="H11786" t="inlineStr">
        <is>
          <t>2S 2OE Last+Hilfssch. Cage</t>
        </is>
      </c>
      <c r="I11786">
        <v>1224</v>
      </c>
      <c r="J11786">
        <f>GS93/675.4</f>
        <v>0</v>
      </c>
      <c r="K11786" t="inlineStr">
        <is>
          <t>DIL MC25</t>
        </is>
      </c>
      <c r="M11786" t="inlineStr">
        <is>
          <t>-675Q1</t>
        </is>
      </c>
    </row>
    <row r="11787">
      <c r="A11787">
        <v>11786</v>
      </c>
      <c r="B11787">
        <f>GS93</f>
        <v>0</v>
      </c>
      <c r="C11787" t="inlineStr">
        <is>
          <t>+LS13</t>
        </is>
      </c>
      <c r="D11787" t="inlineStr">
        <is>
          <t>-675Q1</t>
        </is>
      </c>
      <c r="E11787" t="inlineStr">
        <is>
          <t>DILMC25-10(RDC24)</t>
        </is>
      </c>
      <c r="F11787" t="inlineStr">
        <is>
          <t>DILA-XHI22</t>
        </is>
      </c>
      <c r="G11787" t="inlineStr">
        <is>
          <t>LASTSCHUETZ</t>
        </is>
      </c>
      <c r="H11787" t="inlineStr">
        <is>
          <t>11kW 1S Federzugkl.</t>
        </is>
      </c>
      <c r="I11787">
        <v>1224</v>
      </c>
      <c r="J11787">
        <f>GS93/675.4</f>
        <v>0</v>
      </c>
      <c r="K11787" t="inlineStr">
        <is>
          <t>DIL MC25</t>
        </is>
      </c>
      <c r="M11787" t="inlineStr">
        <is>
          <t>-675Q1</t>
        </is>
      </c>
    </row>
    <row r="11788">
      <c r="A11788">
        <v>11787</v>
      </c>
      <c r="B11788">
        <f>GS92</f>
        <v>0</v>
      </c>
      <c r="C11788" t="inlineStr">
        <is>
          <t>+LS12</t>
        </is>
      </c>
      <c r="D11788" t="inlineStr">
        <is>
          <t>-675Q1055.6</t>
        </is>
      </c>
      <c r="E11788" t="inlineStr">
        <is>
          <t>DILM-9-10</t>
        </is>
      </c>
      <c r="F11788" t="inlineStr">
        <is>
          <t>#KALK!</t>
        </is>
      </c>
      <c r="G11788" t="inlineStr">
        <is>
          <t>LASTSCHUETZ</t>
        </is>
      </c>
      <c r="H11788" t="inlineStr">
        <is>
          <t>4kW 1S Federzugkl.</t>
        </is>
      </c>
      <c r="I11788">
        <v>802</v>
      </c>
      <c r="J11788">
        <f>GS92/675.5</f>
        <v>0</v>
      </c>
      <c r="M11788" t="inlineStr">
        <is>
          <t>-675Q1055.6</t>
        </is>
      </c>
    </row>
    <row r="11789">
      <c r="A11789">
        <v>11788</v>
      </c>
      <c r="B11789">
        <f>GS55</f>
        <v>0</v>
      </c>
      <c r="C11789" t="inlineStr">
        <is>
          <t>+LS10</t>
        </is>
      </c>
      <c r="D11789" t="inlineStr">
        <is>
          <t>-675Q1622.5</t>
        </is>
      </c>
      <c r="E11789" t="inlineStr">
        <is>
          <t>DILM-9-10</t>
        </is>
      </c>
      <c r="F11789" t="inlineStr">
        <is>
          <t>#KALK!</t>
        </is>
      </c>
      <c r="G11789" t="inlineStr">
        <is>
          <t>LASTSCHUETZ</t>
        </is>
      </c>
      <c r="H11789" t="inlineStr">
        <is>
          <t>4kW 1S Federzugkl.</t>
        </is>
      </c>
      <c r="I11789">
        <v>939</v>
      </c>
      <c r="J11789">
        <f>GS55/675.3</f>
        <v>0</v>
      </c>
      <c r="K11789" t="inlineStr">
        <is>
          <t>DIL MC9</t>
        </is>
      </c>
      <c r="M11789" t="inlineStr">
        <is>
          <t>-675Q1622.5</t>
        </is>
      </c>
    </row>
    <row r="11790">
      <c r="A11790">
        <v>11789</v>
      </c>
      <c r="B11790">
        <f>GS21</f>
        <v>0</v>
      </c>
      <c r="C11790" t="inlineStr">
        <is>
          <t>+LS13</t>
        </is>
      </c>
      <c r="D11790" t="inlineStr">
        <is>
          <t>-676K88.7</t>
        </is>
      </c>
      <c r="E11790" t="inlineStr">
        <is>
          <t>DIL_EM-10-G</t>
        </is>
      </c>
      <c r="F11790" t="inlineStr">
        <is>
          <t>#KALK!</t>
        </is>
      </c>
      <c r="G11790" t="inlineStr">
        <is>
          <t>LASTSCHUETZ</t>
        </is>
      </c>
      <c r="H11790" t="inlineStr">
        <is>
          <t>4kW 1S</t>
        </is>
      </c>
      <c r="I11790">
        <v>1034</v>
      </c>
      <c r="J11790">
        <f>GS21/676.7</f>
        <v>0</v>
      </c>
      <c r="M11790" t="inlineStr">
        <is>
          <t>-676K88.7</t>
        </is>
      </c>
    </row>
    <row r="11791">
      <c r="A11791">
        <v>11790</v>
      </c>
      <c r="B11791">
        <f>GS21</f>
        <v>0</v>
      </c>
      <c r="C11791" t="inlineStr">
        <is>
          <t>+LS13</t>
        </is>
      </c>
      <c r="D11791" t="inlineStr">
        <is>
          <t>-677K88.7</t>
        </is>
      </c>
      <c r="E11791" t="inlineStr">
        <is>
          <t>DIL_EM-10-G</t>
        </is>
      </c>
      <c r="F11791" t="inlineStr">
        <is>
          <t>#KALK!</t>
        </is>
      </c>
      <c r="G11791" t="inlineStr">
        <is>
          <t>LASTSCHUETZ</t>
        </is>
      </c>
      <c r="H11791" t="inlineStr">
        <is>
          <t>4kW 1S</t>
        </is>
      </c>
      <c r="I11791">
        <v>1035</v>
      </c>
      <c r="J11791">
        <f>GS21/677.7</f>
        <v>0</v>
      </c>
      <c r="M11791" t="inlineStr">
        <is>
          <t>-677K88.7</t>
        </is>
      </c>
    </row>
    <row r="11792">
      <c r="A11792">
        <v>11791</v>
      </c>
      <c r="B11792">
        <f>GS21</f>
        <v>0</v>
      </c>
      <c r="C11792" t="inlineStr">
        <is>
          <t>+LS13</t>
        </is>
      </c>
      <c r="D11792" t="inlineStr">
        <is>
          <t>-678K89.7</t>
        </is>
      </c>
      <c r="E11792" t="inlineStr">
        <is>
          <t>DIL_EM-10-G</t>
        </is>
      </c>
      <c r="F11792" t="inlineStr">
        <is>
          <t>#KALK!</t>
        </is>
      </c>
      <c r="G11792" t="inlineStr">
        <is>
          <t>LASTSCHUETZ</t>
        </is>
      </c>
      <c r="H11792" t="inlineStr">
        <is>
          <t>4kW 1S</t>
        </is>
      </c>
      <c r="I11792">
        <v>1036</v>
      </c>
      <c r="J11792">
        <f>GS21/678.7</f>
        <v>0</v>
      </c>
      <c r="M11792" t="inlineStr">
        <is>
          <t>-678K89.7</t>
        </is>
      </c>
    </row>
    <row r="11793">
      <c r="A11793">
        <v>11792</v>
      </c>
      <c r="B11793">
        <f>GS15</f>
        <v>0</v>
      </c>
      <c r="C11793" t="inlineStr">
        <is>
          <t>+ES4</t>
        </is>
      </c>
      <c r="D11793" t="inlineStr">
        <is>
          <t>-679K124.0</t>
        </is>
      </c>
      <c r="E11793" t="inlineStr">
        <is>
          <t>40_DIL-E</t>
        </is>
      </c>
      <c r="F11793" t="inlineStr">
        <is>
          <t>40_DIL-E</t>
        </is>
      </c>
      <c r="G11793" t="inlineStr">
        <is>
          <t>HILFSKONTAKTBLOCK</t>
        </is>
      </c>
      <c r="H11793" t="inlineStr">
        <is>
          <t>4S Last+Hilfsschuetz</t>
        </is>
      </c>
      <c r="I11793">
        <v>1193</v>
      </c>
      <c r="J11793">
        <f>GS15/679.6</f>
        <v>0</v>
      </c>
      <c r="M11793" t="inlineStr">
        <is>
          <t>-679K124.0</t>
        </is>
      </c>
    </row>
    <row r="11794">
      <c r="A11794">
        <v>11793</v>
      </c>
      <c r="B11794">
        <f>GS15</f>
        <v>0</v>
      </c>
      <c r="C11794" t="inlineStr">
        <is>
          <t>+ES4</t>
        </is>
      </c>
      <c r="D11794" t="inlineStr">
        <is>
          <t>-679K124.0</t>
        </is>
      </c>
      <c r="E11794" t="inlineStr">
        <is>
          <t>DIL_ER-40-G</t>
        </is>
      </c>
      <c r="F11794" t="inlineStr">
        <is>
          <t>40_DIL-E</t>
        </is>
      </c>
      <c r="G11794" t="inlineStr">
        <is>
          <t>HILFSSCHUETZ</t>
        </is>
      </c>
      <c r="H11794" t="inlineStr">
        <is>
          <t>4S</t>
        </is>
      </c>
      <c r="I11794">
        <v>1193</v>
      </c>
      <c r="J11794">
        <f>GS15/679.6</f>
        <v>0</v>
      </c>
      <c r="M11794" t="inlineStr">
        <is>
          <t>-679K124.0</t>
        </is>
      </c>
    </row>
    <row r="11795">
      <c r="A11795">
        <v>11794</v>
      </c>
      <c r="B11795">
        <f>GS15</f>
        <v>0</v>
      </c>
      <c r="C11795" t="inlineStr">
        <is>
          <t>+ES4</t>
        </is>
      </c>
      <c r="D11795" t="inlineStr">
        <is>
          <t>-679K124.1</t>
        </is>
      </c>
      <c r="E11795" t="inlineStr">
        <is>
          <t>40_DIL-E</t>
        </is>
      </c>
      <c r="F11795" t="inlineStr">
        <is>
          <t>40_DIL-E</t>
        </is>
      </c>
      <c r="G11795" t="inlineStr">
        <is>
          <t>HILFSKONTAKTBLOCK</t>
        </is>
      </c>
      <c r="H11795" t="inlineStr">
        <is>
          <t>4S Last+Hilfsschuetz</t>
        </is>
      </c>
      <c r="I11795">
        <v>1193</v>
      </c>
      <c r="J11795">
        <f>GS15/679.6</f>
        <v>0</v>
      </c>
      <c r="M11795" t="inlineStr">
        <is>
          <t>-679K124.1</t>
        </is>
      </c>
    </row>
    <row r="11796">
      <c r="A11796">
        <v>11795</v>
      </c>
      <c r="B11796">
        <f>GS15</f>
        <v>0</v>
      </c>
      <c r="C11796" t="inlineStr">
        <is>
          <t>+ES4</t>
        </is>
      </c>
      <c r="D11796" t="inlineStr">
        <is>
          <t>-679K124.1</t>
        </is>
      </c>
      <c r="E11796" t="inlineStr">
        <is>
          <t>DIL_ER-40-G</t>
        </is>
      </c>
      <c r="F11796" t="inlineStr">
        <is>
          <t>40_DIL-E</t>
        </is>
      </c>
      <c r="G11796" t="inlineStr">
        <is>
          <t>HILFSSCHUETZ</t>
        </is>
      </c>
      <c r="H11796" t="inlineStr">
        <is>
          <t>4S</t>
        </is>
      </c>
      <c r="I11796">
        <v>1193</v>
      </c>
      <c r="J11796">
        <f>GS15/679.6</f>
        <v>0</v>
      </c>
      <c r="M11796" t="inlineStr">
        <is>
          <t>-679K124.1</t>
        </is>
      </c>
    </row>
    <row r="11797">
      <c r="A11797">
        <v>11796</v>
      </c>
      <c r="B11797">
        <f>GS15</f>
        <v>0</v>
      </c>
      <c r="C11797" t="inlineStr">
        <is>
          <t>+ES4</t>
        </is>
      </c>
      <c r="D11797" t="inlineStr">
        <is>
          <t>-679K124.2</t>
        </is>
      </c>
      <c r="E11797" t="inlineStr">
        <is>
          <t>DIL_ER-40-G</t>
        </is>
      </c>
      <c r="F11797" t="inlineStr">
        <is>
          <t>#KALK!</t>
        </is>
      </c>
      <c r="G11797" t="inlineStr">
        <is>
          <t>HILFSSCHUETZ</t>
        </is>
      </c>
      <c r="H11797" t="inlineStr">
        <is>
          <t>4S</t>
        </is>
      </c>
      <c r="I11797">
        <v>1193</v>
      </c>
      <c r="J11797">
        <f>GS15/679.7</f>
        <v>0</v>
      </c>
      <c r="M11797" t="inlineStr">
        <is>
          <t>-679K124.2</t>
        </is>
      </c>
    </row>
    <row r="11798">
      <c r="A11798">
        <v>11797</v>
      </c>
      <c r="B11798">
        <f>GS11</f>
        <v>0</v>
      </c>
      <c r="C11798" t="inlineStr">
        <is>
          <t>+LS13</t>
        </is>
      </c>
      <c r="D11798" t="inlineStr">
        <is>
          <t>-679K3522.3</t>
        </is>
      </c>
      <c r="E11798" t="inlineStr">
        <is>
          <t>DILMC12-10(24VDC)</t>
        </is>
      </c>
      <c r="F11798" t="inlineStr">
        <is>
          <t>#KALK!</t>
        </is>
      </c>
      <c r="G11798" t="inlineStr">
        <is>
          <t>LASTSCHUETZ</t>
        </is>
      </c>
      <c r="H11798" t="inlineStr">
        <is>
          <t>5,5kW 1S Federzugkl.</t>
        </is>
      </c>
      <c r="I11798">
        <v>1147</v>
      </c>
      <c r="J11798">
        <f>GS11/679.5</f>
        <v>0</v>
      </c>
      <c r="K11798" t="inlineStr">
        <is>
          <t>DIL MC12</t>
        </is>
      </c>
      <c r="M11798" t="inlineStr">
        <is>
          <t>-679K3522.3</t>
        </is>
      </c>
    </row>
    <row r="11799">
      <c r="A11799">
        <v>11798</v>
      </c>
      <c r="B11799">
        <f>GS21</f>
        <v>0</v>
      </c>
      <c r="C11799" t="inlineStr">
        <is>
          <t>+LS13</t>
        </is>
      </c>
      <c r="D11799" t="inlineStr">
        <is>
          <t>-679K90.5</t>
        </is>
      </c>
      <c r="E11799" t="inlineStr">
        <is>
          <t>DIL_EM-10-G</t>
        </is>
      </c>
      <c r="F11799" t="inlineStr">
        <is>
          <t>#KALK!</t>
        </is>
      </c>
      <c r="G11799" t="inlineStr">
        <is>
          <t>LASTSCHUETZ</t>
        </is>
      </c>
      <c r="H11799" t="inlineStr">
        <is>
          <t>4kW 1S</t>
        </is>
      </c>
      <c r="I11799">
        <v>1037</v>
      </c>
      <c r="J11799">
        <f>GS21/679.7</f>
        <v>0</v>
      </c>
      <c r="M11799" t="inlineStr">
        <is>
          <t>-679K90.5</t>
        </is>
      </c>
    </row>
    <row r="11800">
      <c r="A11800">
        <v>11799</v>
      </c>
      <c r="B11800">
        <f>GS51</f>
        <v>0</v>
      </c>
      <c r="C11800" t="inlineStr">
        <is>
          <t>+LS10</t>
        </is>
      </c>
      <c r="D11800" t="inlineStr">
        <is>
          <t>-679Q406.2</t>
        </is>
      </c>
      <c r="E11800" t="inlineStr">
        <is>
          <t>DILM-9-10</t>
        </is>
      </c>
      <c r="F11800" t="inlineStr">
        <is>
          <t>#KALK!</t>
        </is>
      </c>
      <c r="G11800" t="inlineStr">
        <is>
          <t>LASTSCHUETZ</t>
        </is>
      </c>
      <c r="H11800" t="inlineStr">
        <is>
          <t>4kW 1S Federzugkl.</t>
        </is>
      </c>
      <c r="I11800">
        <v>828</v>
      </c>
      <c r="J11800">
        <f>GS51/679.6</f>
        <v>0</v>
      </c>
      <c r="K11800" t="inlineStr">
        <is>
          <t>DIL MC9</t>
        </is>
      </c>
      <c r="M11800" t="inlineStr">
        <is>
          <t>-679Q406.2</t>
        </is>
      </c>
    </row>
    <row r="11801">
      <c r="A11801">
        <v>11800</v>
      </c>
      <c r="B11801">
        <f>GS05</f>
        <v>0</v>
      </c>
      <c r="C11801" t="inlineStr">
        <is>
          <t>+LS11</t>
        </is>
      </c>
      <c r="D11801" t="inlineStr">
        <is>
          <t>-679Q439.1</t>
        </is>
      </c>
      <c r="E11801" t="inlineStr">
        <is>
          <t>DILM-9-10</t>
        </is>
      </c>
      <c r="F11801" t="inlineStr">
        <is>
          <t>#KALK!</t>
        </is>
      </c>
      <c r="G11801" t="inlineStr">
        <is>
          <t>LASTSCHUETZ</t>
        </is>
      </c>
      <c r="H11801" t="inlineStr">
        <is>
          <t>4kW 1S Federzugkl.</t>
        </is>
      </c>
      <c r="I11801">
        <v>2651</v>
      </c>
      <c r="J11801">
        <f>GS05/679.6</f>
        <v>0</v>
      </c>
      <c r="K11801" t="inlineStr">
        <is>
          <t>DIL MC9</t>
        </is>
      </c>
      <c r="M11801" t="inlineStr">
        <is>
          <t>-679Q439.1</t>
        </is>
      </c>
    </row>
    <row r="11802">
      <c r="A11802">
        <v>11801</v>
      </c>
      <c r="B11802">
        <f>GS61</f>
        <v>0</v>
      </c>
      <c r="C11802" t="inlineStr">
        <is>
          <t>+SPS</t>
        </is>
      </c>
      <c r="D11802" t="inlineStr">
        <is>
          <t>-67K52.3</t>
        </is>
      </c>
      <c r="E11802" t="inlineStr">
        <is>
          <t>DIL_ER-22-G</t>
        </is>
      </c>
      <c r="F11802" t="inlineStr">
        <is>
          <t>#KALK!</t>
        </is>
      </c>
      <c r="G11802" t="inlineStr">
        <is>
          <t>HILFSSCHUETZ</t>
        </is>
      </c>
      <c r="H11802" t="inlineStr">
        <is>
          <t>2S 2OE</t>
        </is>
      </c>
      <c r="I11802">
        <v>193</v>
      </c>
      <c r="J11802">
        <f>GS61/67.7</f>
        <v>0</v>
      </c>
      <c r="M11802" t="inlineStr">
        <is>
          <t>-67K52.3</t>
        </is>
      </c>
    </row>
    <row r="11803">
      <c r="A11803">
        <v>11802</v>
      </c>
      <c r="B11803">
        <f>GS62</f>
        <v>0</v>
      </c>
      <c r="C11803" t="inlineStr">
        <is>
          <t>+SPS</t>
        </is>
      </c>
      <c r="D11803" t="inlineStr">
        <is>
          <t>-67K52.3</t>
        </is>
      </c>
      <c r="E11803" t="inlineStr">
        <is>
          <t>DIL_ER-22-G</t>
        </is>
      </c>
      <c r="F11803" t="inlineStr">
        <is>
          <t>#KALK!</t>
        </is>
      </c>
      <c r="G11803" t="inlineStr">
        <is>
          <t>HILFSSCHUETZ</t>
        </is>
      </c>
      <c r="H11803" t="inlineStr">
        <is>
          <t>2S 2OE</t>
        </is>
      </c>
      <c r="I11803">
        <v>262</v>
      </c>
      <c r="J11803">
        <f>GS62/67.7</f>
        <v>0</v>
      </c>
      <c r="M11803" t="inlineStr">
        <is>
          <t>-67K52.3</t>
        </is>
      </c>
    </row>
    <row r="11804">
      <c r="A11804">
        <v>11803</v>
      </c>
      <c r="B11804">
        <f>GS21</f>
        <v>0</v>
      </c>
      <c r="C11804" t="inlineStr">
        <is>
          <t>+LS13</t>
        </is>
      </c>
      <c r="D11804" t="inlineStr">
        <is>
          <t>-680K91.1</t>
        </is>
      </c>
      <c r="E11804" t="inlineStr">
        <is>
          <t>DIL_EM-10-G</t>
        </is>
      </c>
      <c r="F11804" t="inlineStr">
        <is>
          <t>#KALK!</t>
        </is>
      </c>
      <c r="G11804" t="inlineStr">
        <is>
          <t>LASTSCHUETZ</t>
        </is>
      </c>
      <c r="H11804" t="inlineStr">
        <is>
          <t>4kW 1S</t>
        </is>
      </c>
      <c r="I11804">
        <v>1038</v>
      </c>
      <c r="J11804">
        <f>GS21/680.7</f>
        <v>0</v>
      </c>
      <c r="M11804" t="inlineStr">
        <is>
          <t>-680K91.1</t>
        </is>
      </c>
    </row>
    <row r="11805">
      <c r="A11805">
        <v>11804</v>
      </c>
      <c r="B11805">
        <f>GS51</f>
        <v>0</v>
      </c>
      <c r="C11805" t="inlineStr">
        <is>
          <t>+LS10</t>
        </is>
      </c>
      <c r="D11805" t="inlineStr">
        <is>
          <t>-680Q406.3</t>
        </is>
      </c>
      <c r="E11805" t="inlineStr">
        <is>
          <t>DILM-9-10</t>
        </is>
      </c>
      <c r="F11805" t="inlineStr">
        <is>
          <t>#KALK!</t>
        </is>
      </c>
      <c r="G11805" t="inlineStr">
        <is>
          <t>LASTSCHUETZ</t>
        </is>
      </c>
      <c r="H11805" t="inlineStr">
        <is>
          <t>4kW 1S Federzugkl.</t>
        </is>
      </c>
      <c r="I11805">
        <v>829</v>
      </c>
      <c r="J11805">
        <f>GS51/680.6</f>
        <v>0</v>
      </c>
      <c r="K11805" t="inlineStr">
        <is>
          <t>DIL MC9</t>
        </is>
      </c>
      <c r="M11805" t="inlineStr">
        <is>
          <t>-680Q406.3</t>
        </is>
      </c>
    </row>
    <row r="11806">
      <c r="A11806">
        <v>11805</v>
      </c>
      <c r="B11806">
        <f>GS93</f>
        <v>0</v>
      </c>
      <c r="C11806" t="inlineStr">
        <is>
          <t>+LS13</t>
        </is>
      </c>
      <c r="D11806" t="inlineStr">
        <is>
          <t>-680Q776.3</t>
        </is>
      </c>
      <c r="E11806" t="inlineStr">
        <is>
          <t>DILM-9-10</t>
        </is>
      </c>
      <c r="F11806" t="inlineStr">
        <is>
          <t>#KALK!</t>
        </is>
      </c>
      <c r="G11806" t="inlineStr">
        <is>
          <t>LASTSCHUETZ</t>
        </is>
      </c>
      <c r="H11806" t="inlineStr">
        <is>
          <t>4kW 1S Federzugkl.</t>
        </is>
      </c>
      <c r="I11806">
        <v>1229</v>
      </c>
      <c r="J11806">
        <f>GS93/680.5</f>
        <v>0</v>
      </c>
      <c r="M11806" t="inlineStr">
        <is>
          <t>-680Q776.3</t>
        </is>
      </c>
    </row>
    <row r="11807">
      <c r="A11807">
        <v>11806</v>
      </c>
      <c r="B11807">
        <f>GS21</f>
        <v>0</v>
      </c>
      <c r="C11807" t="inlineStr">
        <is>
          <t>+LS13</t>
        </is>
      </c>
      <c r="D11807" t="inlineStr">
        <is>
          <t>-681K91.5</t>
        </is>
      </c>
      <c r="E11807" t="inlineStr">
        <is>
          <t>DIL_EM-10-G</t>
        </is>
      </c>
      <c r="F11807" t="inlineStr">
        <is>
          <t>#KALK!</t>
        </is>
      </c>
      <c r="G11807" t="inlineStr">
        <is>
          <t>LASTSCHUETZ</t>
        </is>
      </c>
      <c r="H11807" t="inlineStr">
        <is>
          <t>4kW 1S</t>
        </is>
      </c>
      <c r="I11807">
        <v>1039</v>
      </c>
      <c r="J11807">
        <f>GS21/681.7</f>
        <v>0</v>
      </c>
      <c r="M11807" t="inlineStr">
        <is>
          <t>-681K91.5</t>
        </is>
      </c>
    </row>
    <row r="11808">
      <c r="A11808">
        <v>11807</v>
      </c>
      <c r="B11808">
        <f>GS93</f>
        <v>0</v>
      </c>
      <c r="C11808" t="inlineStr">
        <is>
          <t>+LS13</t>
        </is>
      </c>
      <c r="D11808" t="inlineStr">
        <is>
          <t>-681Q776.4</t>
        </is>
      </c>
      <c r="E11808" t="inlineStr">
        <is>
          <t>DILM-9-10</t>
        </is>
      </c>
      <c r="F11808" t="inlineStr">
        <is>
          <t>#KALK!</t>
        </is>
      </c>
      <c r="G11808" t="inlineStr">
        <is>
          <t>LASTSCHUETZ</t>
        </is>
      </c>
      <c r="H11808" t="inlineStr">
        <is>
          <t>4kW 1S Federzugkl.</t>
        </is>
      </c>
      <c r="I11808">
        <v>1230</v>
      </c>
      <c r="J11808">
        <f>GS93/681.5</f>
        <v>0</v>
      </c>
      <c r="M11808" t="inlineStr">
        <is>
          <t>-681Q776.4</t>
        </is>
      </c>
    </row>
    <row r="11809">
      <c r="A11809">
        <v>11808</v>
      </c>
      <c r="B11809">
        <f>GS51</f>
        <v>0</v>
      </c>
      <c r="C11809" t="inlineStr">
        <is>
          <t>+LS10</t>
        </is>
      </c>
      <c r="D11809" t="inlineStr">
        <is>
          <t>-682Q406.4</t>
        </is>
      </c>
      <c r="E11809" t="inlineStr">
        <is>
          <t>DILM-9-10</t>
        </is>
      </c>
      <c r="F11809" t="inlineStr">
        <is>
          <t>#KALK!</t>
        </is>
      </c>
      <c r="G11809" t="inlineStr">
        <is>
          <t>LASTSCHUETZ</t>
        </is>
      </c>
      <c r="H11809" t="inlineStr">
        <is>
          <t>4kW 1S Federzugkl.</t>
        </is>
      </c>
      <c r="I11809">
        <v>833</v>
      </c>
      <c r="J11809">
        <f>GS51/682.6</f>
        <v>0</v>
      </c>
      <c r="K11809" t="inlineStr">
        <is>
          <t>DIL MC9</t>
        </is>
      </c>
      <c r="M11809" t="inlineStr">
        <is>
          <t>-682Q406.4</t>
        </is>
      </c>
    </row>
    <row r="11810">
      <c r="A11810">
        <v>11809</v>
      </c>
      <c r="B11810">
        <f>GS21</f>
        <v>0</v>
      </c>
      <c r="C11810" t="inlineStr">
        <is>
          <t>+LS13</t>
        </is>
      </c>
      <c r="D11810" t="inlineStr">
        <is>
          <t>-683.1K96.6</t>
        </is>
      </c>
      <c r="E11810" t="inlineStr">
        <is>
          <t>DILMC12-10(24VDC)</t>
        </is>
      </c>
      <c r="F11810" t="inlineStr">
        <is>
          <t>#KALK!</t>
        </is>
      </c>
      <c r="G11810" t="inlineStr">
        <is>
          <t>LASTSCHUETZ</t>
        </is>
      </c>
      <c r="H11810" t="inlineStr">
        <is>
          <t>5,5kW 1S Federzugkl.</t>
        </is>
      </c>
      <c r="I11810">
        <v>1173</v>
      </c>
      <c r="J11810">
        <f>GS21/683.1.5</f>
        <v>0</v>
      </c>
      <c r="K11810" t="inlineStr">
        <is>
          <t>DIL MC12</t>
        </is>
      </c>
      <c r="M11810" t="inlineStr">
        <is>
          <t>-683.1K96.6</t>
        </is>
      </c>
    </row>
    <row r="11811">
      <c r="A11811">
        <v>11810</v>
      </c>
      <c r="B11811">
        <f>GS93</f>
        <v>0</v>
      </c>
      <c r="C11811" t="inlineStr">
        <is>
          <t>+LS13</t>
        </is>
      </c>
      <c r="D11811" t="inlineStr">
        <is>
          <t>-683K776.5</t>
        </is>
      </c>
      <c r="E11811" t="inlineStr">
        <is>
          <t>DILA-22</t>
        </is>
      </c>
      <c r="F11811" t="inlineStr">
        <is>
          <t>#KALK!</t>
        </is>
      </c>
      <c r="G11811" t="inlineStr">
        <is>
          <t>HILFSSCHUETZ</t>
        </is>
      </c>
      <c r="H11811" t="inlineStr">
        <is>
          <t>2S 2Oe Federzugkl.</t>
        </is>
      </c>
      <c r="I11811">
        <v>1232</v>
      </c>
      <c r="J11811">
        <f>GS93/683.6</f>
        <v>0</v>
      </c>
      <c r="M11811" t="inlineStr">
        <is>
          <t>-683K776.5</t>
        </is>
      </c>
    </row>
    <row r="11812">
      <c r="A11812">
        <v>11811</v>
      </c>
      <c r="B11812">
        <f>GS93</f>
        <v>0</v>
      </c>
      <c r="C11812" t="inlineStr">
        <is>
          <t>+LS13</t>
        </is>
      </c>
      <c r="D11812" t="inlineStr">
        <is>
          <t>-683Q1</t>
        </is>
      </c>
      <c r="E11812" t="inlineStr">
        <is>
          <t>DILMC25-10(RDC24)</t>
        </is>
      </c>
      <c r="F11812" t="inlineStr">
        <is>
          <t>DILA-XHIC31</t>
        </is>
      </c>
      <c r="G11812" t="inlineStr">
        <is>
          <t>LASTSCHUETZ</t>
        </is>
      </c>
      <c r="H11812" t="inlineStr">
        <is>
          <t>11kW 1S Federzugkl.</t>
        </is>
      </c>
      <c r="I11812">
        <v>1232</v>
      </c>
      <c r="J11812">
        <f>GS93/683.2</f>
        <v>0</v>
      </c>
      <c r="M11812" t="inlineStr">
        <is>
          <t>-683Q1</t>
        </is>
      </c>
    </row>
    <row r="11813">
      <c r="A11813">
        <v>11812</v>
      </c>
      <c r="B11813">
        <f>GS93</f>
        <v>0</v>
      </c>
      <c r="C11813" t="inlineStr">
        <is>
          <t>+LS13</t>
        </is>
      </c>
      <c r="D11813" t="inlineStr">
        <is>
          <t>-683Q1</t>
        </is>
      </c>
      <c r="E11813" t="inlineStr">
        <is>
          <t>DILA-XHIC31</t>
        </is>
      </c>
      <c r="F11813" t="inlineStr">
        <is>
          <t>DILA-XHIC31</t>
        </is>
      </c>
      <c r="G11813" t="inlineStr">
        <is>
          <t>HILFSKONTAKTBLOCK</t>
        </is>
      </c>
      <c r="H11813" t="inlineStr">
        <is>
          <t>3S 1OE Last+Hilfssch. Cage</t>
        </is>
      </c>
      <c r="I11813">
        <v>1232</v>
      </c>
      <c r="J11813">
        <f>GS93/683.2</f>
        <v>0</v>
      </c>
      <c r="M11813" t="inlineStr">
        <is>
          <t>-683Q1</t>
        </is>
      </c>
    </row>
    <row r="11814">
      <c r="A11814">
        <v>11813</v>
      </c>
      <c r="B11814">
        <f>GS51</f>
        <v>0</v>
      </c>
      <c r="C11814" t="inlineStr">
        <is>
          <t>+LS10</t>
        </is>
      </c>
      <c r="D11814" t="inlineStr">
        <is>
          <t>-683Q406.5</t>
        </is>
      </c>
      <c r="E11814" t="inlineStr">
        <is>
          <t>DILM-9-10</t>
        </is>
      </c>
      <c r="F11814" t="inlineStr">
        <is>
          <t>#KALK!</t>
        </is>
      </c>
      <c r="G11814" t="inlineStr">
        <is>
          <t>LASTSCHUETZ</t>
        </is>
      </c>
      <c r="H11814" t="inlineStr">
        <is>
          <t>4kW 1S Federzugkl.</t>
        </is>
      </c>
      <c r="I11814">
        <v>832</v>
      </c>
      <c r="J11814">
        <f>GS51/683.6</f>
        <v>0</v>
      </c>
      <c r="K11814" t="inlineStr">
        <is>
          <t>DIL MC9</t>
        </is>
      </c>
      <c r="M11814" t="inlineStr">
        <is>
          <t>-683Q406.5</t>
        </is>
      </c>
    </row>
    <row r="11815">
      <c r="A11815">
        <v>11814</v>
      </c>
      <c r="B11815">
        <f>GS08</f>
        <v>0</v>
      </c>
      <c r="C11815" t="inlineStr">
        <is>
          <t>+LS11</t>
        </is>
      </c>
      <c r="D11815" t="inlineStr">
        <is>
          <t>-685.1Q1</t>
        </is>
      </c>
      <c r="E11815" t="inlineStr">
        <is>
          <t>DILA-XHI22</t>
        </is>
      </c>
      <c r="F11815" t="inlineStr">
        <is>
          <t>DILA-XHI22</t>
        </is>
      </c>
      <c r="G11815" t="inlineStr">
        <is>
          <t>HILFSKONTAKTBLOCK</t>
        </is>
      </c>
      <c r="H11815" t="inlineStr">
        <is>
          <t>2S 2OE Last+Hilfssch. Cage</t>
        </is>
      </c>
      <c r="I11815">
        <v>1308</v>
      </c>
      <c r="J11815">
        <f>GS08/685.1.3</f>
        <v>0</v>
      </c>
      <c r="K11815" t="inlineStr">
        <is>
          <t>DIL MC25</t>
        </is>
      </c>
      <c r="M11815" t="inlineStr">
        <is>
          <t>-685.1Q1</t>
        </is>
      </c>
    </row>
    <row r="11816">
      <c r="A11816">
        <v>11815</v>
      </c>
      <c r="B11816">
        <f>GS08</f>
        <v>0</v>
      </c>
      <c r="C11816" t="inlineStr">
        <is>
          <t>+LS11</t>
        </is>
      </c>
      <c r="D11816" t="inlineStr">
        <is>
          <t>-685.1Q1</t>
        </is>
      </c>
      <c r="E11816" t="inlineStr">
        <is>
          <t>DILMC25-10(RDC24)</t>
        </is>
      </c>
      <c r="F11816" t="inlineStr">
        <is>
          <t>DILA-XHI22</t>
        </is>
      </c>
      <c r="G11816" t="inlineStr">
        <is>
          <t>LASTSCHUETZ</t>
        </is>
      </c>
      <c r="H11816" t="inlineStr">
        <is>
          <t>11kW 1S Federzugkl.</t>
        </is>
      </c>
      <c r="I11816">
        <v>1308</v>
      </c>
      <c r="J11816">
        <f>GS08/685.1.3</f>
        <v>0</v>
      </c>
      <c r="K11816" t="inlineStr">
        <is>
          <t>DIL MC25</t>
        </is>
      </c>
      <c r="M11816" t="inlineStr">
        <is>
          <t>-685.1Q1</t>
        </is>
      </c>
    </row>
    <row r="11817">
      <c r="A11817">
        <v>11816</v>
      </c>
      <c r="B11817">
        <f>GS08</f>
        <v>0</v>
      </c>
      <c r="C11817" t="inlineStr">
        <is>
          <t>+LS11</t>
        </is>
      </c>
      <c r="D11817" t="inlineStr">
        <is>
          <t>-685.1Q3</t>
        </is>
      </c>
      <c r="E11817" t="inlineStr">
        <is>
          <t>DILA-XHI22</t>
        </is>
      </c>
      <c r="F11817" t="inlineStr">
        <is>
          <t>DILA-XHI22</t>
        </is>
      </c>
      <c r="G11817" t="inlineStr">
        <is>
          <t>HILFSKONTAKTBLOCK</t>
        </is>
      </c>
      <c r="H11817" t="inlineStr">
        <is>
          <t>2S 2OE Last+Hilfssch. Cage</t>
        </is>
      </c>
      <c r="I11817">
        <v>1308</v>
      </c>
      <c r="J11817">
        <f>GS08/685.1.4</f>
        <v>0</v>
      </c>
      <c r="K11817" t="inlineStr">
        <is>
          <t>DIL MC25</t>
        </is>
      </c>
      <c r="M11817" t="inlineStr">
        <is>
          <t>-685.1Q3</t>
        </is>
      </c>
    </row>
    <row r="11818">
      <c r="A11818">
        <v>11817</v>
      </c>
      <c r="B11818">
        <f>GS08</f>
        <v>0</v>
      </c>
      <c r="C11818" t="inlineStr">
        <is>
          <t>+LS11</t>
        </is>
      </c>
      <c r="D11818" t="inlineStr">
        <is>
          <t>-685.1Q3</t>
        </is>
      </c>
      <c r="E11818" t="inlineStr">
        <is>
          <t>DILMC25-10(RDC24)</t>
        </is>
      </c>
      <c r="F11818" t="inlineStr">
        <is>
          <t>DILA-XHI22</t>
        </is>
      </c>
      <c r="G11818" t="inlineStr">
        <is>
          <t>LASTSCHUETZ</t>
        </is>
      </c>
      <c r="H11818" t="inlineStr">
        <is>
          <t>11kW 1S Federzugkl.</t>
        </is>
      </c>
      <c r="I11818">
        <v>1308</v>
      </c>
      <c r="J11818">
        <f>GS08/685.1.4</f>
        <v>0</v>
      </c>
      <c r="K11818" t="inlineStr">
        <is>
          <t>DIL MC25</t>
        </is>
      </c>
      <c r="M11818" t="inlineStr">
        <is>
          <t>-685.1Q3</t>
        </is>
      </c>
    </row>
    <row r="11819">
      <c r="A11819">
        <v>11818</v>
      </c>
      <c r="B11819">
        <f>GS08</f>
        <v>0</v>
      </c>
      <c r="C11819" t="inlineStr">
        <is>
          <t>+LS11</t>
        </is>
      </c>
      <c r="D11819" t="inlineStr">
        <is>
          <t>-685.1Q4</t>
        </is>
      </c>
      <c r="E11819" t="inlineStr">
        <is>
          <t>DILA-XHI22</t>
        </is>
      </c>
      <c r="F11819" t="inlineStr">
        <is>
          <t>DILA-XHI22</t>
        </is>
      </c>
      <c r="G11819" t="inlineStr">
        <is>
          <t>HILFSKONTAKTBLOCK</t>
        </is>
      </c>
      <c r="H11819" t="inlineStr">
        <is>
          <t>2S 2OE Last+Hilfssch. Cage</t>
        </is>
      </c>
      <c r="I11819">
        <v>1308</v>
      </c>
      <c r="J11819">
        <f>GS08/685.1.7</f>
        <v>0</v>
      </c>
      <c r="K11819" t="inlineStr">
        <is>
          <t>DIL MC25</t>
        </is>
      </c>
      <c r="M11819" t="inlineStr">
        <is>
          <t>-685.1Q4</t>
        </is>
      </c>
    </row>
    <row r="11820">
      <c r="A11820">
        <v>11819</v>
      </c>
      <c r="B11820">
        <f>GS08</f>
        <v>0</v>
      </c>
      <c r="C11820" t="inlineStr">
        <is>
          <t>+LS11</t>
        </is>
      </c>
      <c r="D11820" t="inlineStr">
        <is>
          <t>-685.1Q4</t>
        </is>
      </c>
      <c r="E11820" t="inlineStr">
        <is>
          <t>DILMC25-10(RDC24)</t>
        </is>
      </c>
      <c r="F11820" t="inlineStr">
        <is>
          <t>DILA-XHI22</t>
        </is>
      </c>
      <c r="G11820" t="inlineStr">
        <is>
          <t>LASTSCHUETZ</t>
        </is>
      </c>
      <c r="H11820" t="inlineStr">
        <is>
          <t>11kW 1S Federzugkl.</t>
        </is>
      </c>
      <c r="I11820">
        <v>1308</v>
      </c>
      <c r="J11820">
        <f>GS08/685.1.7</f>
        <v>0</v>
      </c>
      <c r="K11820" t="inlineStr">
        <is>
          <t>DIL MC25</t>
        </is>
      </c>
      <c r="M11820" t="inlineStr">
        <is>
          <t>-685.1Q4</t>
        </is>
      </c>
    </row>
    <row r="11821">
      <c r="A11821">
        <v>11820</v>
      </c>
      <c r="B11821">
        <f>GS92</f>
        <v>0</v>
      </c>
      <c r="C11821" t="inlineStr">
        <is>
          <t>+LS13</t>
        </is>
      </c>
      <c r="D11821" t="inlineStr">
        <is>
          <t>-685K1059.4</t>
        </is>
      </c>
      <c r="E11821" t="inlineStr">
        <is>
          <t>DILA-40</t>
        </is>
      </c>
      <c r="F11821" t="inlineStr">
        <is>
          <t>#KALK!</t>
        </is>
      </c>
      <c r="G11821" t="inlineStr">
        <is>
          <t>HILFSSCHUETZ</t>
        </is>
      </c>
      <c r="H11821" t="inlineStr">
        <is>
          <t>4S Federzugkl.</t>
        </is>
      </c>
      <c r="I11821">
        <v>812</v>
      </c>
      <c r="J11821">
        <f>GS92/685.7</f>
        <v>0</v>
      </c>
      <c r="M11821" t="inlineStr">
        <is>
          <t>-685K1059.4</t>
        </is>
      </c>
    </row>
    <row r="11822">
      <c r="A11822">
        <v>11821</v>
      </c>
      <c r="B11822">
        <f>GS11</f>
        <v>0</v>
      </c>
      <c r="C11822" t="inlineStr">
        <is>
          <t>+LS13</t>
        </is>
      </c>
      <c r="D11822" t="inlineStr">
        <is>
          <t>-685K3523.1</t>
        </is>
      </c>
      <c r="E11822" t="inlineStr">
        <is>
          <t>DILMC12-10(24VDC)</t>
        </is>
      </c>
      <c r="F11822" t="inlineStr">
        <is>
          <t>#KALK!</t>
        </is>
      </c>
      <c r="G11822" t="inlineStr">
        <is>
          <t>LASTSCHUETZ</t>
        </is>
      </c>
      <c r="H11822" t="inlineStr">
        <is>
          <t>5,5kW 1S Federzugkl.</t>
        </is>
      </c>
      <c r="I11822">
        <v>1153</v>
      </c>
      <c r="J11822">
        <f>GS11/685.5</f>
        <v>0</v>
      </c>
      <c r="K11822" t="inlineStr">
        <is>
          <t>DIL MC12</t>
        </is>
      </c>
      <c r="M11822" t="inlineStr">
        <is>
          <t>-685K3523.1</t>
        </is>
      </c>
    </row>
    <row r="11823">
      <c r="A11823">
        <v>11822</v>
      </c>
      <c r="B11823">
        <f>GS92</f>
        <v>0</v>
      </c>
      <c r="C11823" t="inlineStr">
        <is>
          <t>+LS13</t>
        </is>
      </c>
      <c r="D11823" t="inlineStr">
        <is>
          <t>-685Q1</t>
        </is>
      </c>
      <c r="E11823" t="inlineStr">
        <is>
          <t>DILA-XHIC31</t>
        </is>
      </c>
      <c r="F11823" t="inlineStr">
        <is>
          <t>DILA-XHIC31</t>
        </is>
      </c>
      <c r="G11823" t="inlineStr">
        <is>
          <t>HILFSKONTAKTBLOCK</t>
        </is>
      </c>
      <c r="H11823" t="inlineStr">
        <is>
          <t>3S 1OE Last+Hilfssch. Cage</t>
        </is>
      </c>
      <c r="I11823">
        <v>812</v>
      </c>
      <c r="J11823">
        <f>GS92/685.4</f>
        <v>0</v>
      </c>
      <c r="K11823" t="inlineStr">
        <is>
          <t>DIL MC25</t>
        </is>
      </c>
      <c r="M11823" t="inlineStr">
        <is>
          <t>-685Q1</t>
        </is>
      </c>
    </row>
    <row r="11824">
      <c r="A11824">
        <v>11823</v>
      </c>
      <c r="B11824">
        <f>GS92</f>
        <v>0</v>
      </c>
      <c r="C11824" t="inlineStr">
        <is>
          <t>+LS13</t>
        </is>
      </c>
      <c r="D11824" t="inlineStr">
        <is>
          <t>-685Q1</t>
        </is>
      </c>
      <c r="E11824" t="inlineStr">
        <is>
          <t>DILMC25-10(RDC24)</t>
        </is>
      </c>
      <c r="F11824" t="inlineStr">
        <is>
          <t>DILA-XHIC31</t>
        </is>
      </c>
      <c r="G11824" t="inlineStr">
        <is>
          <t>LASTSCHUETZ</t>
        </is>
      </c>
      <c r="H11824" t="inlineStr">
        <is>
          <t>11kW 1S Federzugkl.</t>
        </is>
      </c>
      <c r="I11824">
        <v>812</v>
      </c>
      <c r="J11824">
        <f>GS92/685.4</f>
        <v>0</v>
      </c>
      <c r="K11824" t="inlineStr">
        <is>
          <t>DIL MC25</t>
        </is>
      </c>
      <c r="M11824" t="inlineStr">
        <is>
          <t>-685Q1</t>
        </is>
      </c>
    </row>
    <row r="11825">
      <c r="A11825">
        <v>11824</v>
      </c>
      <c r="B11825">
        <f>GS05</f>
        <v>0</v>
      </c>
      <c r="C11825" t="inlineStr">
        <is>
          <t>+LS11</t>
        </is>
      </c>
      <c r="D11825" t="inlineStr">
        <is>
          <t>-686Q439.2</t>
        </is>
      </c>
      <c r="E11825" t="inlineStr">
        <is>
          <t>DILM-9-10</t>
        </is>
      </c>
      <c r="F11825" t="inlineStr">
        <is>
          <t>#KALK!</t>
        </is>
      </c>
      <c r="G11825" t="inlineStr">
        <is>
          <t>LASTSCHUETZ</t>
        </is>
      </c>
      <c r="H11825" t="inlineStr">
        <is>
          <t>4kW 1S Federzugkl.</t>
        </is>
      </c>
      <c r="I11825">
        <v>2658</v>
      </c>
      <c r="J11825">
        <f>GS05/686.6</f>
        <v>0</v>
      </c>
      <c r="K11825" t="inlineStr">
        <is>
          <t>DIL MC9</t>
        </is>
      </c>
      <c r="M11825" t="inlineStr">
        <is>
          <t>-686Q439.2</t>
        </is>
      </c>
    </row>
    <row r="11826">
      <c r="A11826">
        <v>11825</v>
      </c>
      <c r="B11826">
        <f>GS11</f>
        <v>0</v>
      </c>
      <c r="C11826" t="inlineStr">
        <is>
          <t>+LS13</t>
        </is>
      </c>
      <c r="D11826" t="inlineStr">
        <is>
          <t>-688K3523.4</t>
        </is>
      </c>
      <c r="E11826" t="inlineStr">
        <is>
          <t>DILMC12-10(24VDC)</t>
        </is>
      </c>
      <c r="F11826" t="inlineStr">
        <is>
          <t>#KALK!</t>
        </is>
      </c>
      <c r="G11826" t="inlineStr">
        <is>
          <t>LASTSCHUETZ</t>
        </is>
      </c>
      <c r="H11826" t="inlineStr">
        <is>
          <t>5,5kW 1S Federzugkl.</t>
        </is>
      </c>
      <c r="I11826">
        <v>1156</v>
      </c>
      <c r="J11826">
        <f>GS11/688.5</f>
        <v>0</v>
      </c>
      <c r="K11826" t="inlineStr">
        <is>
          <t>DIL MC12</t>
        </is>
      </c>
      <c r="M11826" t="inlineStr">
        <is>
          <t>-688K3523.4</t>
        </is>
      </c>
    </row>
    <row r="11827">
      <c r="A11827">
        <v>11826</v>
      </c>
      <c r="B11827">
        <f>GS08</f>
        <v>0</v>
      </c>
      <c r="C11827" t="inlineStr">
        <is>
          <t>+LS11</t>
        </is>
      </c>
      <c r="D11827" t="inlineStr">
        <is>
          <t>-688Q535.1</t>
        </is>
      </c>
      <c r="E11827" t="inlineStr">
        <is>
          <t>DILM-9-10</t>
        </is>
      </c>
      <c r="F11827" t="inlineStr">
        <is>
          <t>#KALK!</t>
        </is>
      </c>
      <c r="G11827" t="inlineStr">
        <is>
          <t>LASTSCHUETZ</t>
        </is>
      </c>
      <c r="H11827" t="inlineStr">
        <is>
          <t>4kW 1S Federzugkl.</t>
        </is>
      </c>
      <c r="I11827">
        <v>1737</v>
      </c>
      <c r="J11827">
        <f>GS08/688.6</f>
        <v>0</v>
      </c>
      <c r="K11827" t="inlineStr">
        <is>
          <t>DIL MC9</t>
        </is>
      </c>
      <c r="M11827" t="inlineStr">
        <is>
          <t>-688Q535.1</t>
        </is>
      </c>
    </row>
    <row r="11828">
      <c r="A11828">
        <v>11827</v>
      </c>
      <c r="B11828">
        <f>GS06</f>
        <v>0</v>
      </c>
      <c r="C11828" t="inlineStr">
        <is>
          <t>+LS10</t>
        </is>
      </c>
      <c r="D11828" t="inlineStr">
        <is>
          <t>-689K1</t>
        </is>
      </c>
      <c r="E11828" t="inlineStr">
        <is>
          <t>DILM-9-01</t>
        </is>
      </c>
      <c r="F11828" t="inlineStr">
        <is>
          <t>DILA-XHIC40</t>
        </is>
      </c>
      <c r="G11828" t="inlineStr">
        <is>
          <t>LASTSCHUETZ</t>
        </is>
      </c>
      <c r="H11828" t="inlineStr">
        <is>
          <t>4kW 1Oe Federzugkl.</t>
        </is>
      </c>
      <c r="I11828">
        <v>806</v>
      </c>
      <c r="J11828">
        <f>GS06/689.6</f>
        <v>0</v>
      </c>
      <c r="M11828" t="inlineStr">
        <is>
          <t>-689K1</t>
        </is>
      </c>
    </row>
    <row r="11829">
      <c r="A11829">
        <v>11828</v>
      </c>
      <c r="B11829">
        <f>GS06</f>
        <v>0</v>
      </c>
      <c r="C11829" t="inlineStr">
        <is>
          <t>+LS10</t>
        </is>
      </c>
      <c r="D11829" t="inlineStr">
        <is>
          <t>-689K1</t>
        </is>
      </c>
      <c r="E11829" t="inlineStr">
        <is>
          <t>DILA-XHIC40</t>
        </is>
      </c>
      <c r="F11829" t="inlineStr">
        <is>
          <t>DILA-XHIC40</t>
        </is>
      </c>
      <c r="G11829" t="inlineStr">
        <is>
          <t>HILFSKONTAKTBLOCK</t>
        </is>
      </c>
      <c r="H11829" t="inlineStr">
        <is>
          <t>4S Last+Hilfssch. Cage</t>
        </is>
      </c>
      <c r="I11829">
        <v>806</v>
      </c>
      <c r="J11829">
        <f>GS06/689.6</f>
        <v>0</v>
      </c>
      <c r="M11829" t="inlineStr">
        <is>
          <t>-689K1</t>
        </is>
      </c>
    </row>
    <row r="11830">
      <c r="A11830">
        <v>11829</v>
      </c>
      <c r="B11830">
        <f>GS06</f>
        <v>0</v>
      </c>
      <c r="C11830" t="inlineStr">
        <is>
          <t>+LS10</t>
        </is>
      </c>
      <c r="D11830" t="inlineStr">
        <is>
          <t>-689K2</t>
        </is>
      </c>
      <c r="E11830" t="inlineStr">
        <is>
          <t>DILM-9-01</t>
        </is>
      </c>
      <c r="F11830" t="inlineStr">
        <is>
          <t>DILA-XHIC40</t>
        </is>
      </c>
      <c r="G11830" t="inlineStr">
        <is>
          <t>LASTSCHUETZ</t>
        </is>
      </c>
      <c r="H11830" t="inlineStr">
        <is>
          <t>4kW 1Oe Federzugkl.</t>
        </is>
      </c>
      <c r="I11830">
        <v>806</v>
      </c>
      <c r="J11830">
        <f>GS06/689.7</f>
        <v>0</v>
      </c>
      <c r="M11830" t="inlineStr">
        <is>
          <t>-689K2</t>
        </is>
      </c>
    </row>
    <row r="11831">
      <c r="A11831">
        <v>11830</v>
      </c>
      <c r="B11831">
        <f>GS06</f>
        <v>0</v>
      </c>
      <c r="C11831" t="inlineStr">
        <is>
          <t>+LS10</t>
        </is>
      </c>
      <c r="D11831" t="inlineStr">
        <is>
          <t>-689K2</t>
        </is>
      </c>
      <c r="E11831" t="inlineStr">
        <is>
          <t>DILA-XHIC40</t>
        </is>
      </c>
      <c r="F11831" t="inlineStr">
        <is>
          <t>DILA-XHIC40</t>
        </is>
      </c>
      <c r="G11831" t="inlineStr">
        <is>
          <t>HILFSKONTAKTBLOCK</t>
        </is>
      </c>
      <c r="H11831" t="inlineStr">
        <is>
          <t>4S Last+Hilfssch. Cage</t>
        </is>
      </c>
      <c r="I11831">
        <v>806</v>
      </c>
      <c r="J11831">
        <f>GS06/689.7</f>
        <v>0</v>
      </c>
      <c r="M11831" t="inlineStr">
        <is>
          <t>-689K2</t>
        </is>
      </c>
    </row>
    <row r="11832">
      <c r="A11832">
        <v>11831</v>
      </c>
      <c r="B11832">
        <f>GS06</f>
        <v>0</v>
      </c>
      <c r="C11832" t="inlineStr">
        <is>
          <t>+LS10</t>
        </is>
      </c>
      <c r="D11832" t="inlineStr">
        <is>
          <t>-690K1</t>
        </is>
      </c>
      <c r="E11832" t="inlineStr">
        <is>
          <t>DILM-9-01</t>
        </is>
      </c>
      <c r="F11832" t="inlineStr">
        <is>
          <t>DILA-XHIC40</t>
        </is>
      </c>
      <c r="G11832" t="inlineStr">
        <is>
          <t>LASTSCHUETZ</t>
        </is>
      </c>
      <c r="H11832" t="inlineStr">
        <is>
          <t>4kW 1Oe Federzugkl.</t>
        </is>
      </c>
      <c r="I11832">
        <v>807</v>
      </c>
      <c r="J11832">
        <f>GS06/690.6</f>
        <v>0</v>
      </c>
      <c r="M11832" t="inlineStr">
        <is>
          <t>-690K1</t>
        </is>
      </c>
    </row>
    <row r="11833">
      <c r="A11833">
        <v>11832</v>
      </c>
      <c r="B11833">
        <f>GS06</f>
        <v>0</v>
      </c>
      <c r="C11833" t="inlineStr">
        <is>
          <t>+LS10</t>
        </is>
      </c>
      <c r="D11833" t="inlineStr">
        <is>
          <t>-690K1</t>
        </is>
      </c>
      <c r="E11833" t="inlineStr">
        <is>
          <t>DILA-XHIC40</t>
        </is>
      </c>
      <c r="F11833" t="inlineStr">
        <is>
          <t>DILA-XHIC40</t>
        </is>
      </c>
      <c r="G11833" t="inlineStr">
        <is>
          <t>HILFSKONTAKTBLOCK</t>
        </is>
      </c>
      <c r="H11833" t="inlineStr">
        <is>
          <t>4S Last+Hilfssch. Cage</t>
        </is>
      </c>
      <c r="I11833">
        <v>807</v>
      </c>
      <c r="J11833">
        <f>GS06/690.6</f>
        <v>0</v>
      </c>
      <c r="M11833" t="inlineStr">
        <is>
          <t>-690K1</t>
        </is>
      </c>
    </row>
    <row r="11834">
      <c r="A11834">
        <v>11833</v>
      </c>
      <c r="B11834">
        <f>GS06</f>
        <v>0</v>
      </c>
      <c r="C11834" t="inlineStr">
        <is>
          <t>+LS10</t>
        </is>
      </c>
      <c r="D11834" t="inlineStr">
        <is>
          <t>-690K2</t>
        </is>
      </c>
      <c r="E11834" t="inlineStr">
        <is>
          <t>DILM-9-01</t>
        </is>
      </c>
      <c r="F11834" t="inlineStr">
        <is>
          <t>DILA-XHIC40</t>
        </is>
      </c>
      <c r="G11834" t="inlineStr">
        <is>
          <t>LASTSCHUETZ</t>
        </is>
      </c>
      <c r="H11834" t="inlineStr">
        <is>
          <t>4kW 1Oe Federzugkl.</t>
        </is>
      </c>
      <c r="I11834">
        <v>807</v>
      </c>
      <c r="J11834">
        <f>GS06/690.7</f>
        <v>0</v>
      </c>
      <c r="M11834" t="inlineStr">
        <is>
          <t>-690K2</t>
        </is>
      </c>
    </row>
    <row r="11835">
      <c r="A11835">
        <v>11834</v>
      </c>
      <c r="B11835">
        <f>GS06</f>
        <v>0</v>
      </c>
      <c r="C11835" t="inlineStr">
        <is>
          <t>+LS10</t>
        </is>
      </c>
      <c r="D11835" t="inlineStr">
        <is>
          <t>-690K2</t>
        </is>
      </c>
      <c r="E11835" t="inlineStr">
        <is>
          <t>DILA-XHIC40</t>
        </is>
      </c>
      <c r="F11835" t="inlineStr">
        <is>
          <t>DILA-XHIC40</t>
        </is>
      </c>
      <c r="G11835" t="inlineStr">
        <is>
          <t>HILFSKONTAKTBLOCK</t>
        </is>
      </c>
      <c r="H11835" t="inlineStr">
        <is>
          <t>4S Last+Hilfssch. Cage</t>
        </is>
      </c>
      <c r="I11835">
        <v>807</v>
      </c>
      <c r="J11835">
        <f>GS06/690.7</f>
        <v>0</v>
      </c>
      <c r="M11835" t="inlineStr">
        <is>
          <t>-690K2</t>
        </is>
      </c>
    </row>
    <row r="11836">
      <c r="A11836">
        <v>11835</v>
      </c>
      <c r="B11836">
        <f>GS06</f>
        <v>0</v>
      </c>
      <c r="C11836" t="inlineStr">
        <is>
          <t>+LS10</t>
        </is>
      </c>
      <c r="D11836" t="inlineStr">
        <is>
          <t>-691K1</t>
        </is>
      </c>
      <c r="E11836" t="inlineStr">
        <is>
          <t>DILM-9-01</t>
        </is>
      </c>
      <c r="F11836" t="inlineStr">
        <is>
          <t>DILA-XHIC40</t>
        </is>
      </c>
      <c r="G11836" t="inlineStr">
        <is>
          <t>LASTSCHUETZ</t>
        </is>
      </c>
      <c r="H11836" t="inlineStr">
        <is>
          <t>4kW 1Oe Federzugkl.</t>
        </is>
      </c>
      <c r="I11836">
        <v>808</v>
      </c>
      <c r="J11836">
        <f>GS06/691.6</f>
        <v>0</v>
      </c>
      <c r="M11836" t="inlineStr">
        <is>
          <t>-691K1</t>
        </is>
      </c>
    </row>
    <row r="11837">
      <c r="A11837">
        <v>11836</v>
      </c>
      <c r="B11837">
        <f>GS06</f>
        <v>0</v>
      </c>
      <c r="C11837" t="inlineStr">
        <is>
          <t>+LS10</t>
        </is>
      </c>
      <c r="D11837" t="inlineStr">
        <is>
          <t>-691K1</t>
        </is>
      </c>
      <c r="E11837" t="inlineStr">
        <is>
          <t>DILA-XHIC40</t>
        </is>
      </c>
      <c r="F11837" t="inlineStr">
        <is>
          <t>DILA-XHIC40</t>
        </is>
      </c>
      <c r="G11837" t="inlineStr">
        <is>
          <t>HILFSKONTAKTBLOCK</t>
        </is>
      </c>
      <c r="H11837" t="inlineStr">
        <is>
          <t>4S Last+Hilfssch. Cage</t>
        </is>
      </c>
      <c r="I11837">
        <v>808</v>
      </c>
      <c r="J11837">
        <f>GS06/691.6</f>
        <v>0</v>
      </c>
      <c r="M11837" t="inlineStr">
        <is>
          <t>-691K1</t>
        </is>
      </c>
    </row>
    <row r="11838">
      <c r="A11838">
        <v>11837</v>
      </c>
      <c r="B11838">
        <f>GS06</f>
        <v>0</v>
      </c>
      <c r="C11838" t="inlineStr">
        <is>
          <t>+LS10</t>
        </is>
      </c>
      <c r="D11838" t="inlineStr">
        <is>
          <t>-691K2</t>
        </is>
      </c>
      <c r="E11838" t="inlineStr">
        <is>
          <t>DILM-9-01</t>
        </is>
      </c>
      <c r="F11838" t="inlineStr">
        <is>
          <t>DILA-XHIC40</t>
        </is>
      </c>
      <c r="G11838" t="inlineStr">
        <is>
          <t>LASTSCHUETZ</t>
        </is>
      </c>
      <c r="H11838" t="inlineStr">
        <is>
          <t>4kW 1Oe Federzugkl.</t>
        </is>
      </c>
      <c r="I11838">
        <v>808</v>
      </c>
      <c r="J11838">
        <f>GS06/691.7</f>
        <v>0</v>
      </c>
      <c r="M11838" t="inlineStr">
        <is>
          <t>-691K2</t>
        </is>
      </c>
    </row>
    <row r="11839">
      <c r="A11839">
        <v>11838</v>
      </c>
      <c r="B11839">
        <f>GS06</f>
        <v>0</v>
      </c>
      <c r="C11839" t="inlineStr">
        <is>
          <t>+LS10</t>
        </is>
      </c>
      <c r="D11839" t="inlineStr">
        <is>
          <t>-691K2</t>
        </is>
      </c>
      <c r="E11839" t="inlineStr">
        <is>
          <t>DILA-XHIC40</t>
        </is>
      </c>
      <c r="F11839" t="inlineStr">
        <is>
          <t>DILA-XHIC40</t>
        </is>
      </c>
      <c r="G11839" t="inlineStr">
        <is>
          <t>HILFSKONTAKTBLOCK</t>
        </is>
      </c>
      <c r="H11839" t="inlineStr">
        <is>
          <t>4S Last+Hilfssch. Cage</t>
        </is>
      </c>
      <c r="I11839">
        <v>808</v>
      </c>
      <c r="J11839">
        <f>GS06/691.7</f>
        <v>0</v>
      </c>
      <c r="M11839" t="inlineStr">
        <is>
          <t>-691K2</t>
        </is>
      </c>
    </row>
    <row r="11840">
      <c r="A11840">
        <v>11839</v>
      </c>
      <c r="B11840">
        <f>GS08</f>
        <v>0</v>
      </c>
      <c r="C11840" t="inlineStr">
        <is>
          <t>+LS11</t>
        </is>
      </c>
      <c r="D11840" t="inlineStr">
        <is>
          <t>-691Q535.2</t>
        </is>
      </c>
      <c r="E11840" t="inlineStr">
        <is>
          <t>DILA-XHI22</t>
        </is>
      </c>
      <c r="F11840" t="inlineStr">
        <is>
          <t>DILA-XHI22</t>
        </is>
      </c>
      <c r="G11840" t="inlineStr">
        <is>
          <t>HILFSKONTAKTBLOCK</t>
        </is>
      </c>
      <c r="H11840" t="inlineStr">
        <is>
          <t>2S 2OE Last+Hilfssch. Cage</t>
        </is>
      </c>
      <c r="I11840">
        <v>1734</v>
      </c>
      <c r="J11840">
        <f>GS08/691.6</f>
        <v>0</v>
      </c>
      <c r="M11840" t="inlineStr">
        <is>
          <t>-691Q535.2</t>
        </is>
      </c>
    </row>
    <row r="11841">
      <c r="A11841">
        <v>11840</v>
      </c>
      <c r="B11841">
        <f>GS08</f>
        <v>0</v>
      </c>
      <c r="C11841" t="inlineStr">
        <is>
          <t>+LS11</t>
        </is>
      </c>
      <c r="D11841" t="inlineStr">
        <is>
          <t>-691Q535.2</t>
        </is>
      </c>
      <c r="E11841" t="inlineStr">
        <is>
          <t>DILM-9-01</t>
        </is>
      </c>
      <c r="F11841" t="inlineStr">
        <is>
          <t>DILA-XHI22</t>
        </is>
      </c>
      <c r="G11841" t="inlineStr">
        <is>
          <t>LASTSCHUETZ</t>
        </is>
      </c>
      <c r="H11841" t="inlineStr">
        <is>
          <t>4kW 1Oe Federzugkl.</t>
        </is>
      </c>
      <c r="I11841">
        <v>1734</v>
      </c>
      <c r="J11841">
        <f>GS08/691.6</f>
        <v>0</v>
      </c>
      <c r="M11841" t="inlineStr">
        <is>
          <t>-691Q535.2</t>
        </is>
      </c>
    </row>
    <row r="11842">
      <c r="A11842">
        <v>11841</v>
      </c>
      <c r="B11842">
        <f>GS08</f>
        <v>0</v>
      </c>
      <c r="C11842" t="inlineStr">
        <is>
          <t>+LS11</t>
        </is>
      </c>
      <c r="D11842" t="inlineStr">
        <is>
          <t>-691Q535.3</t>
        </is>
      </c>
      <c r="E11842" t="inlineStr">
        <is>
          <t>DILA-XHI22</t>
        </is>
      </c>
      <c r="F11842" t="inlineStr">
        <is>
          <t>DILA-XHI22</t>
        </is>
      </c>
      <c r="G11842" t="inlineStr">
        <is>
          <t>HILFSKONTAKTBLOCK</t>
        </is>
      </c>
      <c r="H11842" t="inlineStr">
        <is>
          <t>2S 2OE Last+Hilfssch. Cage</t>
        </is>
      </c>
      <c r="I11842">
        <v>1734</v>
      </c>
      <c r="J11842">
        <f>GS08/691.7</f>
        <v>0</v>
      </c>
      <c r="M11842" t="inlineStr">
        <is>
          <t>-691Q535.3</t>
        </is>
      </c>
    </row>
    <row r="11843">
      <c r="A11843">
        <v>11842</v>
      </c>
      <c r="B11843">
        <f>GS08</f>
        <v>0</v>
      </c>
      <c r="C11843" t="inlineStr">
        <is>
          <t>+LS11</t>
        </is>
      </c>
      <c r="D11843" t="inlineStr">
        <is>
          <t>-691Q535.3</t>
        </is>
      </c>
      <c r="E11843" t="inlineStr">
        <is>
          <t>DILM-9-01</t>
        </is>
      </c>
      <c r="F11843" t="inlineStr">
        <is>
          <t>DILA-XHI22</t>
        </is>
      </c>
      <c r="G11843" t="inlineStr">
        <is>
          <t>LASTSCHUETZ</t>
        </is>
      </c>
      <c r="H11843" t="inlineStr">
        <is>
          <t>4kW 1Oe Federzugkl.</t>
        </is>
      </c>
      <c r="I11843">
        <v>1734</v>
      </c>
      <c r="J11843">
        <f>GS08/691.7</f>
        <v>0</v>
      </c>
      <c r="M11843" t="inlineStr">
        <is>
          <t>-691Q535.3</t>
        </is>
      </c>
    </row>
    <row r="11844">
      <c r="A11844">
        <v>11843</v>
      </c>
      <c r="B11844">
        <f>GS06</f>
        <v>0</v>
      </c>
      <c r="C11844" t="inlineStr">
        <is>
          <t>+LS10</t>
        </is>
      </c>
      <c r="D11844" t="inlineStr">
        <is>
          <t>-692K1</t>
        </is>
      </c>
      <c r="E11844" t="inlineStr">
        <is>
          <t>DILA-40</t>
        </is>
      </c>
      <c r="F11844" t="inlineStr">
        <is>
          <t>#KALK!</t>
        </is>
      </c>
      <c r="G11844" t="inlineStr">
        <is>
          <t>HILFSSCHUETZ</t>
        </is>
      </c>
      <c r="H11844" t="inlineStr">
        <is>
          <t>4S Federzugkl.</t>
        </is>
      </c>
      <c r="I11844">
        <v>809</v>
      </c>
      <c r="J11844">
        <f>GS06/692.8</f>
        <v>0</v>
      </c>
      <c r="M11844" t="inlineStr">
        <is>
          <t>-692K1</t>
        </is>
      </c>
    </row>
    <row r="11845">
      <c r="A11845">
        <v>11844</v>
      </c>
      <c r="B11845">
        <f>GS11</f>
        <v>0</v>
      </c>
      <c r="C11845" t="inlineStr">
        <is>
          <t>+LS13</t>
        </is>
      </c>
      <c r="D11845" t="inlineStr">
        <is>
          <t>-693K1</t>
        </is>
      </c>
      <c r="E11845" t="inlineStr">
        <is>
          <t>DILA-40</t>
        </is>
      </c>
      <c r="F11845" t="inlineStr">
        <is>
          <t>#KALK!</t>
        </is>
      </c>
      <c r="G11845" t="inlineStr">
        <is>
          <t>HILFSSCHUETZ</t>
        </is>
      </c>
      <c r="H11845" t="inlineStr">
        <is>
          <t>4S Federzugkl.</t>
        </is>
      </c>
      <c r="I11845">
        <v>1161</v>
      </c>
      <c r="J11845">
        <f>GS11/693.7</f>
        <v>0</v>
      </c>
      <c r="M11845" t="inlineStr">
        <is>
          <t>-693K1</t>
        </is>
      </c>
    </row>
    <row r="11846">
      <c r="A11846">
        <v>11845</v>
      </c>
      <c r="B11846">
        <f>GS92</f>
        <v>0</v>
      </c>
      <c r="C11846" t="inlineStr">
        <is>
          <t>+LS13</t>
        </is>
      </c>
      <c r="D11846" t="inlineStr">
        <is>
          <t>-693K1061.0</t>
        </is>
      </c>
      <c r="E11846" t="inlineStr">
        <is>
          <t>DILA-22</t>
        </is>
      </c>
      <c r="F11846" t="inlineStr">
        <is>
          <t>#KALK!</t>
        </is>
      </c>
      <c r="G11846" t="inlineStr">
        <is>
          <t>HILFSSCHUETZ</t>
        </is>
      </c>
      <c r="H11846" t="inlineStr">
        <is>
          <t>2S 2Oe Federzugkl.</t>
        </is>
      </c>
      <c r="I11846">
        <v>820</v>
      </c>
      <c r="J11846">
        <f>GS92/693.6</f>
        <v>0</v>
      </c>
      <c r="M11846" t="inlineStr">
        <is>
          <t>-693K1061.0</t>
        </is>
      </c>
    </row>
    <row r="11847">
      <c r="A11847">
        <v>11846</v>
      </c>
      <c r="B11847">
        <f>GS92</f>
        <v>0</v>
      </c>
      <c r="C11847" t="inlineStr">
        <is>
          <t>+LS13</t>
        </is>
      </c>
      <c r="D11847" t="inlineStr">
        <is>
          <t>-693Q1</t>
        </is>
      </c>
      <c r="E11847" t="inlineStr">
        <is>
          <t>DILA-XHIC31</t>
        </is>
      </c>
      <c r="F11847" t="inlineStr">
        <is>
          <t>DILA-XHIC31</t>
        </is>
      </c>
      <c r="G11847" t="inlineStr">
        <is>
          <t>HILFSKONTAKTBLOCK</t>
        </is>
      </c>
      <c r="H11847" t="inlineStr">
        <is>
          <t>3S 1OE Last+Hilfssch. Cage</t>
        </is>
      </c>
      <c r="I11847">
        <v>820</v>
      </c>
      <c r="J11847">
        <f>GS92/693.2</f>
        <v>0</v>
      </c>
      <c r="M11847" t="inlineStr">
        <is>
          <t>-693Q1</t>
        </is>
      </c>
    </row>
    <row r="11848">
      <c r="A11848">
        <v>11847</v>
      </c>
      <c r="B11848">
        <f>GS92</f>
        <v>0</v>
      </c>
      <c r="C11848" t="inlineStr">
        <is>
          <t>+LS13</t>
        </is>
      </c>
      <c r="D11848" t="inlineStr">
        <is>
          <t>-693Q1</t>
        </is>
      </c>
      <c r="E11848" t="inlineStr">
        <is>
          <t>DILMC25-10(RDC24)</t>
        </is>
      </c>
      <c r="F11848" t="inlineStr">
        <is>
          <t>DILA-XHIC31</t>
        </is>
      </c>
      <c r="G11848" t="inlineStr">
        <is>
          <t>LASTSCHUETZ</t>
        </is>
      </c>
      <c r="H11848" t="inlineStr">
        <is>
          <t>11kW 1S Federzugkl.</t>
        </is>
      </c>
      <c r="I11848">
        <v>820</v>
      </c>
      <c r="J11848">
        <f>GS92/693.2</f>
        <v>0</v>
      </c>
      <c r="M11848" t="inlineStr">
        <is>
          <t>-693Q1</t>
        </is>
      </c>
    </row>
    <row r="11849">
      <c r="A11849">
        <v>11848</v>
      </c>
      <c r="B11849">
        <f>GS92</f>
        <v>0</v>
      </c>
      <c r="C11849" t="inlineStr">
        <is>
          <t>+LS13</t>
        </is>
      </c>
      <c r="D11849" t="inlineStr">
        <is>
          <t>-693Q2</t>
        </is>
      </c>
      <c r="E11849" t="inlineStr">
        <is>
          <t>DILM-9-01</t>
        </is>
      </c>
      <c r="F11849" t="inlineStr">
        <is>
          <t>#KALK!</t>
        </is>
      </c>
      <c r="G11849" t="inlineStr">
        <is>
          <t>LASTSCHUETZ</t>
        </is>
      </c>
      <c r="H11849" t="inlineStr">
        <is>
          <t>4kW 1Oe Federzugkl.</t>
        </is>
      </c>
      <c r="I11849">
        <v>820</v>
      </c>
      <c r="J11849">
        <f>GS92/693.3</f>
        <v>0</v>
      </c>
      <c r="M11849" t="inlineStr">
        <is>
          <t>-693Q2</t>
        </is>
      </c>
    </row>
    <row r="11850">
      <c r="A11850">
        <v>11849</v>
      </c>
      <c r="B11850">
        <f>GS08</f>
        <v>0</v>
      </c>
      <c r="C11850" t="inlineStr">
        <is>
          <t>+LS11</t>
        </is>
      </c>
      <c r="D11850" t="inlineStr">
        <is>
          <t>-693Q535.4</t>
        </is>
      </c>
      <c r="E11850" t="inlineStr">
        <is>
          <t>DILA-XHI22</t>
        </is>
      </c>
      <c r="F11850" t="inlineStr">
        <is>
          <t>DILA-XHI22</t>
        </is>
      </c>
      <c r="G11850" t="inlineStr">
        <is>
          <t>HILFSKONTAKTBLOCK</t>
        </is>
      </c>
      <c r="H11850" t="inlineStr">
        <is>
          <t>2S 2OE Last+Hilfssch. Cage</t>
        </is>
      </c>
      <c r="I11850">
        <v>1732</v>
      </c>
      <c r="J11850">
        <f>GS08/693.6</f>
        <v>0</v>
      </c>
      <c r="M11850" t="inlineStr">
        <is>
          <t>-693Q535.4</t>
        </is>
      </c>
    </row>
    <row r="11851">
      <c r="A11851">
        <v>11850</v>
      </c>
      <c r="B11851">
        <f>GS08</f>
        <v>0</v>
      </c>
      <c r="C11851" t="inlineStr">
        <is>
          <t>+LS11</t>
        </is>
      </c>
      <c r="D11851" t="inlineStr">
        <is>
          <t>-693Q535.4</t>
        </is>
      </c>
      <c r="E11851" t="inlineStr">
        <is>
          <t>DILM-9-01</t>
        </is>
      </c>
      <c r="F11851" t="inlineStr">
        <is>
          <t>DILA-XHI22</t>
        </is>
      </c>
      <c r="G11851" t="inlineStr">
        <is>
          <t>LASTSCHUETZ</t>
        </is>
      </c>
      <c r="H11851" t="inlineStr">
        <is>
          <t>4kW 1Oe Federzugkl.</t>
        </is>
      </c>
      <c r="I11851">
        <v>1732</v>
      </c>
      <c r="J11851">
        <f>GS08/693.6</f>
        <v>0</v>
      </c>
      <c r="M11851" t="inlineStr">
        <is>
          <t>-693Q535.4</t>
        </is>
      </c>
    </row>
    <row r="11852">
      <c r="A11852">
        <v>11851</v>
      </c>
      <c r="B11852">
        <f>GS08</f>
        <v>0</v>
      </c>
      <c r="C11852" t="inlineStr">
        <is>
          <t>+LS11</t>
        </is>
      </c>
      <c r="D11852" t="inlineStr">
        <is>
          <t>-693Q535.5</t>
        </is>
      </c>
      <c r="E11852" t="inlineStr">
        <is>
          <t>DILA-XHI22</t>
        </is>
      </c>
      <c r="F11852" t="inlineStr">
        <is>
          <t>DILA-XHI22</t>
        </is>
      </c>
      <c r="G11852" t="inlineStr">
        <is>
          <t>HILFSKONTAKTBLOCK</t>
        </is>
      </c>
      <c r="H11852" t="inlineStr">
        <is>
          <t>2S 2OE Last+Hilfssch. Cage</t>
        </is>
      </c>
      <c r="I11852">
        <v>1732</v>
      </c>
      <c r="J11852">
        <f>GS08/693.7</f>
        <v>0</v>
      </c>
      <c r="M11852" t="inlineStr">
        <is>
          <t>-693Q535.5</t>
        </is>
      </c>
    </row>
    <row r="11853">
      <c r="A11853">
        <v>11852</v>
      </c>
      <c r="B11853">
        <f>GS08</f>
        <v>0</v>
      </c>
      <c r="C11853" t="inlineStr">
        <is>
          <t>+LS11</t>
        </is>
      </c>
      <c r="D11853" t="inlineStr">
        <is>
          <t>-693Q535.5</t>
        </is>
      </c>
      <c r="E11853" t="inlineStr">
        <is>
          <t>DILM-9-01</t>
        </is>
      </c>
      <c r="F11853" t="inlineStr">
        <is>
          <t>DILA-XHI22</t>
        </is>
      </c>
      <c r="G11853" t="inlineStr">
        <is>
          <t>LASTSCHUETZ</t>
        </is>
      </c>
      <c r="H11853" t="inlineStr">
        <is>
          <t>4kW 1Oe Federzugkl.</t>
        </is>
      </c>
      <c r="I11853">
        <v>1732</v>
      </c>
      <c r="J11853">
        <f>GS08/693.7</f>
        <v>0</v>
      </c>
      <c r="M11853" t="inlineStr">
        <is>
          <t>-693Q535.5</t>
        </is>
      </c>
    </row>
    <row r="11854">
      <c r="A11854">
        <v>11853</v>
      </c>
      <c r="B11854">
        <f>GS11</f>
        <v>0</v>
      </c>
      <c r="C11854" t="inlineStr">
        <is>
          <t>+LS13</t>
        </is>
      </c>
      <c r="D11854" t="inlineStr">
        <is>
          <t>-694K1</t>
        </is>
      </c>
      <c r="E11854" t="inlineStr">
        <is>
          <t>DILM-9-01</t>
        </is>
      </c>
      <c r="F11854" t="inlineStr">
        <is>
          <t>#KALK!</t>
        </is>
      </c>
      <c r="G11854" t="inlineStr">
        <is>
          <t>LASTSCHUETZ</t>
        </is>
      </c>
      <c r="H11854" t="inlineStr">
        <is>
          <t>4kW 1Oe Federzugkl.</t>
        </is>
      </c>
      <c r="I11854">
        <v>1162</v>
      </c>
      <c r="J11854">
        <f>GS11/694.6</f>
        <v>0</v>
      </c>
      <c r="M11854" t="inlineStr">
        <is>
          <t>-694K1</t>
        </is>
      </c>
    </row>
    <row r="11855">
      <c r="A11855">
        <v>11854</v>
      </c>
      <c r="B11855">
        <f>GS11</f>
        <v>0</v>
      </c>
      <c r="C11855" t="inlineStr">
        <is>
          <t>+LS13</t>
        </is>
      </c>
      <c r="D11855" t="inlineStr">
        <is>
          <t>-694K2</t>
        </is>
      </c>
      <c r="E11855" t="inlineStr">
        <is>
          <t>DILM-9-01</t>
        </is>
      </c>
      <c r="F11855" t="inlineStr">
        <is>
          <t>#KALK!</t>
        </is>
      </c>
      <c r="G11855" t="inlineStr">
        <is>
          <t>LASTSCHUETZ</t>
        </is>
      </c>
      <c r="H11855" t="inlineStr">
        <is>
          <t>4kW 1Oe Federzugkl.</t>
        </is>
      </c>
      <c r="I11855">
        <v>1162</v>
      </c>
      <c r="J11855">
        <f>GS11/694.7</f>
        <v>0</v>
      </c>
      <c r="M11855" t="inlineStr">
        <is>
          <t>-694K2</t>
        </is>
      </c>
    </row>
    <row r="11856">
      <c r="A11856">
        <v>11855</v>
      </c>
      <c r="B11856">
        <f>GS91</f>
        <v>0</v>
      </c>
      <c r="C11856" t="inlineStr">
        <is>
          <t>+LS15</t>
        </is>
      </c>
      <c r="D11856" t="inlineStr">
        <is>
          <t>-695K1120.0</t>
        </is>
      </c>
      <c r="E11856" t="inlineStr">
        <is>
          <t>DILA-40</t>
        </is>
      </c>
      <c r="F11856" t="inlineStr">
        <is>
          <t>#KALK!</t>
        </is>
      </c>
      <c r="G11856" t="inlineStr">
        <is>
          <t>HILFSSCHUETZ</t>
        </is>
      </c>
      <c r="H11856" t="inlineStr">
        <is>
          <t>4S Federzugkl.</t>
        </is>
      </c>
      <c r="I11856">
        <v>843</v>
      </c>
      <c r="J11856">
        <f>GS91/695.7</f>
        <v>0</v>
      </c>
      <c r="M11856" t="inlineStr">
        <is>
          <t>-695K1120.0</t>
        </is>
      </c>
    </row>
    <row r="11857">
      <c r="A11857">
        <v>11856</v>
      </c>
      <c r="B11857">
        <f>GS90</f>
        <v>0</v>
      </c>
      <c r="C11857" t="inlineStr">
        <is>
          <t>+LS16</t>
        </is>
      </c>
      <c r="D11857" t="inlineStr">
        <is>
          <t>-695K207.0</t>
        </is>
      </c>
      <c r="E11857" t="inlineStr">
        <is>
          <t>DILA-40</t>
        </is>
      </c>
      <c r="F11857" t="inlineStr">
        <is>
          <t>#KALK!</t>
        </is>
      </c>
      <c r="G11857" t="inlineStr">
        <is>
          <t>HILFSSCHUETZ</t>
        </is>
      </c>
      <c r="H11857" t="inlineStr">
        <is>
          <t>4S Federzugkl.</t>
        </is>
      </c>
      <c r="I11857">
        <v>548</v>
      </c>
      <c r="J11857">
        <f>GS90/695.7</f>
        <v>0</v>
      </c>
      <c r="M11857" t="inlineStr">
        <is>
          <t>-695K207.0</t>
        </is>
      </c>
    </row>
    <row r="11858">
      <c r="A11858">
        <v>11857</v>
      </c>
      <c r="B11858">
        <f>GS93</f>
        <v>0</v>
      </c>
      <c r="C11858" t="inlineStr">
        <is>
          <t>+LS14</t>
        </is>
      </c>
      <c r="D11858" t="inlineStr">
        <is>
          <t>-695K780.4</t>
        </is>
      </c>
      <c r="E11858" t="inlineStr">
        <is>
          <t>DILA-40</t>
        </is>
      </c>
      <c r="F11858" t="inlineStr">
        <is>
          <t>#KALK!</t>
        </is>
      </c>
      <c r="G11858" t="inlineStr">
        <is>
          <t>HILFSSCHUETZ</t>
        </is>
      </c>
      <c r="H11858" t="inlineStr">
        <is>
          <t>4S Federzugkl.</t>
        </is>
      </c>
      <c r="I11858">
        <v>1244</v>
      </c>
      <c r="J11858">
        <f>GS93/695.7</f>
        <v>0</v>
      </c>
      <c r="M11858" t="inlineStr">
        <is>
          <t>-695K780.4</t>
        </is>
      </c>
    </row>
    <row r="11859">
      <c r="A11859">
        <v>11858</v>
      </c>
      <c r="B11859">
        <f>GS90</f>
        <v>0</v>
      </c>
      <c r="C11859" t="inlineStr">
        <is>
          <t>+LS16</t>
        </is>
      </c>
      <c r="D11859" t="inlineStr">
        <is>
          <t>-695Q1</t>
        </is>
      </c>
      <c r="E11859" t="inlineStr">
        <is>
          <t>DILMC25-10(RDC24)</t>
        </is>
      </c>
      <c r="F11859" t="inlineStr">
        <is>
          <t>DILA-XHI22</t>
        </is>
      </c>
      <c r="G11859" t="inlineStr">
        <is>
          <t>LASTSCHUETZ</t>
        </is>
      </c>
      <c r="H11859" t="inlineStr">
        <is>
          <t>11kW 1S Federzugkl.</t>
        </is>
      </c>
      <c r="I11859">
        <v>548</v>
      </c>
      <c r="J11859">
        <f>GS90/695.4</f>
        <v>0</v>
      </c>
      <c r="K11859" t="inlineStr">
        <is>
          <t>DIL MC25</t>
        </is>
      </c>
      <c r="M11859" t="inlineStr">
        <is>
          <t>-695Q1</t>
        </is>
      </c>
    </row>
    <row r="11860">
      <c r="A11860">
        <v>11859</v>
      </c>
      <c r="B11860">
        <f>GS90</f>
        <v>0</v>
      </c>
      <c r="C11860" t="inlineStr">
        <is>
          <t>+LS16</t>
        </is>
      </c>
      <c r="D11860" t="inlineStr">
        <is>
          <t>-695Q1</t>
        </is>
      </c>
      <c r="E11860" t="inlineStr">
        <is>
          <t>DILA-XHI22</t>
        </is>
      </c>
      <c r="F11860" t="inlineStr">
        <is>
          <t>DILA-XHI22</t>
        </is>
      </c>
      <c r="G11860" t="inlineStr">
        <is>
          <t>HILFSKONTAKTBLOCK</t>
        </is>
      </c>
      <c r="H11860" t="inlineStr">
        <is>
          <t>2S 2OE Last+Hilfssch. Cage</t>
        </is>
      </c>
      <c r="I11860">
        <v>548</v>
      </c>
      <c r="J11860">
        <f>GS90/695.4</f>
        <v>0</v>
      </c>
      <c r="K11860" t="inlineStr">
        <is>
          <t>DIL MC25</t>
        </is>
      </c>
      <c r="M11860" t="inlineStr">
        <is>
          <t>-695Q1</t>
        </is>
      </c>
    </row>
    <row r="11861">
      <c r="A11861">
        <v>11860</v>
      </c>
      <c r="B11861">
        <f>GS91</f>
        <v>0</v>
      </c>
      <c r="C11861" t="inlineStr">
        <is>
          <t>+LS15</t>
        </is>
      </c>
      <c r="D11861" t="inlineStr">
        <is>
          <t>-695Q1</t>
        </is>
      </c>
      <c r="E11861" t="inlineStr">
        <is>
          <t>DILM150-XHIC22</t>
        </is>
      </c>
      <c r="F11861" t="inlineStr">
        <is>
          <t>DILM150-XHIC22</t>
        </is>
      </c>
      <c r="G11861" t="inlineStr">
        <is>
          <t>HILFSKONTAKTBLOCK</t>
        </is>
      </c>
      <c r="H11861" t="inlineStr">
        <is>
          <t>2S 2OE ab DILMC40</t>
        </is>
      </c>
      <c r="I11861">
        <v>843</v>
      </c>
      <c r="J11861">
        <f>GS91/695.4</f>
        <v>0</v>
      </c>
      <c r="K11861" t="inlineStr">
        <is>
          <t>DIL MC 40</t>
        </is>
      </c>
      <c r="M11861" t="inlineStr">
        <is>
          <t>-695Q1</t>
        </is>
      </c>
    </row>
    <row r="11862">
      <c r="A11862">
        <v>11861</v>
      </c>
      <c r="B11862">
        <f>GS91</f>
        <v>0</v>
      </c>
      <c r="C11862" t="inlineStr">
        <is>
          <t>+LS15</t>
        </is>
      </c>
      <c r="D11862" t="inlineStr">
        <is>
          <t>-695Q1</t>
        </is>
      </c>
      <c r="E11862" t="inlineStr">
        <is>
          <t>DILMC40(RDC24)</t>
        </is>
      </c>
      <c r="F11862" t="inlineStr">
        <is>
          <t>DILM150-XHIC22</t>
        </is>
      </c>
      <c r="G11862" t="inlineStr">
        <is>
          <t>LASTSCHUETZ</t>
        </is>
      </c>
      <c r="H11862" t="inlineStr">
        <is>
          <t>18,5kW Federzugkl.</t>
        </is>
      </c>
      <c r="I11862">
        <v>843</v>
      </c>
      <c r="J11862">
        <f>GS91/695.4</f>
        <v>0</v>
      </c>
      <c r="K11862" t="inlineStr">
        <is>
          <t>DIL MC 40</t>
        </is>
      </c>
      <c r="M11862" t="inlineStr">
        <is>
          <t>-695Q1</t>
        </is>
      </c>
    </row>
    <row r="11863">
      <c r="A11863">
        <v>11862</v>
      </c>
      <c r="B11863">
        <f>GS93</f>
        <v>0</v>
      </c>
      <c r="C11863" t="inlineStr">
        <is>
          <t>+LS14</t>
        </is>
      </c>
      <c r="D11863" t="inlineStr">
        <is>
          <t>-695Q1</t>
        </is>
      </c>
      <c r="E11863" t="inlineStr">
        <is>
          <t>DILA-XHI22</t>
        </is>
      </c>
      <c r="F11863" t="inlineStr">
        <is>
          <t>DILA-XHI22</t>
        </is>
      </c>
      <c r="G11863" t="inlineStr">
        <is>
          <t>HILFSKONTAKTBLOCK</t>
        </is>
      </c>
      <c r="H11863" t="inlineStr">
        <is>
          <t>2S 2OE Last+Hilfssch. Cage</t>
        </is>
      </c>
      <c r="I11863">
        <v>1244</v>
      </c>
      <c r="J11863">
        <f>GS93/695.4</f>
        <v>0</v>
      </c>
      <c r="K11863" t="inlineStr">
        <is>
          <t>DIL MC25</t>
        </is>
      </c>
      <c r="M11863" t="inlineStr">
        <is>
          <t>-695Q1</t>
        </is>
      </c>
    </row>
    <row r="11864">
      <c r="A11864">
        <v>11863</v>
      </c>
      <c r="B11864">
        <f>GS93</f>
        <v>0</v>
      </c>
      <c r="C11864" t="inlineStr">
        <is>
          <t>+LS14</t>
        </is>
      </c>
      <c r="D11864" t="inlineStr">
        <is>
          <t>-695Q1</t>
        </is>
      </c>
      <c r="E11864" t="inlineStr">
        <is>
          <t>DILMC25-10(RDC24)</t>
        </is>
      </c>
      <c r="F11864" t="inlineStr">
        <is>
          <t>DILA-XHI22</t>
        </is>
      </c>
      <c r="G11864" t="inlineStr">
        <is>
          <t>LASTSCHUETZ</t>
        </is>
      </c>
      <c r="H11864" t="inlineStr">
        <is>
          <t>11kW 1S Federzugkl.</t>
        </is>
      </c>
      <c r="I11864">
        <v>1244</v>
      </c>
      <c r="J11864">
        <f>GS93/695.4</f>
        <v>0</v>
      </c>
      <c r="K11864" t="inlineStr">
        <is>
          <t>DIL MC25</t>
        </is>
      </c>
      <c r="M11864" t="inlineStr">
        <is>
          <t>-695Q1</t>
        </is>
      </c>
    </row>
    <row r="11865">
      <c r="A11865">
        <v>11864</v>
      </c>
      <c r="B11865">
        <f>GS08</f>
        <v>0</v>
      </c>
      <c r="C11865" t="inlineStr">
        <is>
          <t>+LS11</t>
        </is>
      </c>
      <c r="D11865" t="inlineStr">
        <is>
          <t>-696Q535.6</t>
        </is>
      </c>
      <c r="E11865" t="inlineStr">
        <is>
          <t>DILM-9-10</t>
        </is>
      </c>
      <c r="F11865" t="inlineStr">
        <is>
          <t>#KALK!</t>
        </is>
      </c>
      <c r="G11865" t="inlineStr">
        <is>
          <t>LASTSCHUETZ</t>
        </is>
      </c>
      <c r="H11865" t="inlineStr">
        <is>
          <t>4kW 1S Federzugkl.</t>
        </is>
      </c>
      <c r="I11865">
        <v>2471</v>
      </c>
      <c r="J11865">
        <f>GS08/696.6</f>
        <v>0</v>
      </c>
      <c r="K11865" t="inlineStr">
        <is>
          <t>DIL MC9</t>
        </is>
      </c>
      <c r="M11865" t="inlineStr">
        <is>
          <t>-696Q535.6</t>
        </is>
      </c>
    </row>
    <row r="11866">
      <c r="A11866">
        <v>11865</v>
      </c>
      <c r="B11866">
        <f>GS90</f>
        <v>0</v>
      </c>
      <c r="C11866" t="inlineStr">
        <is>
          <t>+LS16</t>
        </is>
      </c>
      <c r="D11866" t="inlineStr">
        <is>
          <t>-697Q207.1</t>
        </is>
      </c>
      <c r="E11866" t="inlineStr">
        <is>
          <t>DILM-9-10</t>
        </is>
      </c>
      <c r="F11866" t="inlineStr">
        <is>
          <t>#KALK!</t>
        </is>
      </c>
      <c r="G11866" t="inlineStr">
        <is>
          <t>LASTSCHUETZ</t>
        </is>
      </c>
      <c r="H11866" t="inlineStr">
        <is>
          <t>4kW 1S Federzugkl.</t>
        </is>
      </c>
      <c r="I11866">
        <v>546</v>
      </c>
      <c r="J11866">
        <f>GS90/697.5</f>
        <v>0</v>
      </c>
      <c r="M11866" t="inlineStr">
        <is>
          <t>-697Q207.1</t>
        </is>
      </c>
    </row>
    <row r="11867">
      <c r="A11867">
        <v>11866</v>
      </c>
      <c r="B11867">
        <f>GS93</f>
        <v>0</v>
      </c>
      <c r="C11867" t="inlineStr">
        <is>
          <t>+LS14</t>
        </is>
      </c>
      <c r="D11867" t="inlineStr">
        <is>
          <t>-697Q780.5</t>
        </is>
      </c>
      <c r="E11867" t="inlineStr">
        <is>
          <t>DILM-9-10</t>
        </is>
      </c>
      <c r="F11867" t="inlineStr">
        <is>
          <t>#KALK!</t>
        </is>
      </c>
      <c r="G11867" t="inlineStr">
        <is>
          <t>LASTSCHUETZ</t>
        </is>
      </c>
      <c r="H11867" t="inlineStr">
        <is>
          <t>4kW 1S Federzugkl.</t>
        </is>
      </c>
      <c r="I11867">
        <v>1246</v>
      </c>
      <c r="J11867">
        <f>GS93/697.5</f>
        <v>0</v>
      </c>
      <c r="M11867" t="inlineStr">
        <is>
          <t>-697Q780.5</t>
        </is>
      </c>
    </row>
    <row r="11868">
      <c r="A11868">
        <v>11867</v>
      </c>
      <c r="B11868">
        <f>GS91</f>
        <v>0</v>
      </c>
      <c r="C11868" t="inlineStr">
        <is>
          <t>+LS15</t>
        </is>
      </c>
      <c r="D11868" t="inlineStr">
        <is>
          <t>-698K1120.2</t>
        </is>
      </c>
      <c r="E11868" t="inlineStr">
        <is>
          <t>DILA-22</t>
        </is>
      </c>
      <c r="F11868" t="inlineStr">
        <is>
          <t>#KALK!</t>
        </is>
      </c>
      <c r="G11868" t="inlineStr">
        <is>
          <t>HILFSSCHUETZ</t>
        </is>
      </c>
      <c r="H11868" t="inlineStr">
        <is>
          <t>2S 2Oe Federzugkl.</t>
        </is>
      </c>
      <c r="I11868">
        <v>846</v>
      </c>
      <c r="J11868">
        <f>GS91/698.5</f>
        <v>0</v>
      </c>
      <c r="M11868" t="inlineStr">
        <is>
          <t>-698K1120.2</t>
        </is>
      </c>
    </row>
    <row r="11869">
      <c r="A11869">
        <v>11868</v>
      </c>
      <c r="B11869">
        <f>GS91</f>
        <v>0</v>
      </c>
      <c r="C11869" t="inlineStr">
        <is>
          <t>+LS15</t>
        </is>
      </c>
      <c r="D11869" t="inlineStr">
        <is>
          <t>-698Q1120.4</t>
        </is>
      </c>
      <c r="E11869" t="inlineStr">
        <is>
          <t>DILM-9-10</t>
        </is>
      </c>
      <c r="F11869" t="inlineStr">
        <is>
          <t>#KALK!</t>
        </is>
      </c>
      <c r="G11869" t="inlineStr">
        <is>
          <t>LASTSCHUETZ</t>
        </is>
      </c>
      <c r="H11869" t="inlineStr">
        <is>
          <t>4kW 1S Federzugkl.</t>
        </is>
      </c>
      <c r="I11869">
        <v>846</v>
      </c>
      <c r="J11869">
        <f>GS91/698.7</f>
        <v>0</v>
      </c>
      <c r="M11869" t="inlineStr">
        <is>
          <t>-698Q1120.4</t>
        </is>
      </c>
    </row>
    <row r="11870">
      <c r="A11870">
        <v>11869</v>
      </c>
      <c r="B11870">
        <f>GS90</f>
        <v>0</v>
      </c>
      <c r="C11870" t="inlineStr">
        <is>
          <t>+LS16</t>
        </is>
      </c>
      <c r="D11870" t="inlineStr">
        <is>
          <t>-698Q207.2</t>
        </is>
      </c>
      <c r="E11870" t="inlineStr">
        <is>
          <t>DILM-9-10</t>
        </is>
      </c>
      <c r="F11870" t="inlineStr">
        <is>
          <t>#KALK!</t>
        </is>
      </c>
      <c r="G11870" t="inlineStr">
        <is>
          <t>LASTSCHUETZ</t>
        </is>
      </c>
      <c r="H11870" t="inlineStr">
        <is>
          <t>4kW 1S Federzugkl.</t>
        </is>
      </c>
      <c r="I11870">
        <v>545</v>
      </c>
      <c r="J11870">
        <f>GS90/698.5</f>
        <v>0</v>
      </c>
      <c r="M11870" t="inlineStr">
        <is>
          <t>-698Q207.2</t>
        </is>
      </c>
    </row>
    <row r="11871">
      <c r="A11871">
        <v>11870</v>
      </c>
      <c r="B11871">
        <f>GS93</f>
        <v>0</v>
      </c>
      <c r="C11871" t="inlineStr">
        <is>
          <t>+LS14</t>
        </is>
      </c>
      <c r="D11871" t="inlineStr">
        <is>
          <t>-698Q780.6</t>
        </is>
      </c>
      <c r="E11871" t="inlineStr">
        <is>
          <t>DILM-9-10</t>
        </is>
      </c>
      <c r="F11871" t="inlineStr">
        <is>
          <t>#KALK!</t>
        </is>
      </c>
      <c r="G11871" t="inlineStr">
        <is>
          <t>LASTSCHUETZ</t>
        </is>
      </c>
      <c r="H11871" t="inlineStr">
        <is>
          <t>4kW 1S Federzugkl.</t>
        </is>
      </c>
      <c r="I11871">
        <v>1247</v>
      </c>
      <c r="J11871">
        <f>GS93/698.5</f>
        <v>0</v>
      </c>
      <c r="M11871" t="inlineStr">
        <is>
          <t>-698Q780.6</t>
        </is>
      </c>
    </row>
    <row r="11872">
      <c r="A11872">
        <v>11871</v>
      </c>
      <c r="B11872">
        <f>GS04</f>
        <v>0</v>
      </c>
      <c r="C11872" t="inlineStr">
        <is>
          <t>+LS11</t>
        </is>
      </c>
      <c r="D11872" t="inlineStr">
        <is>
          <t>-699KQ81.4</t>
        </is>
      </c>
      <c r="E11872" t="inlineStr">
        <is>
          <t>DILM-9-01</t>
        </is>
      </c>
      <c r="F11872" t="inlineStr">
        <is>
          <t>#KALK!</t>
        </is>
      </c>
      <c r="G11872" t="inlineStr">
        <is>
          <t>LASTSCHUETZ</t>
        </is>
      </c>
      <c r="H11872" t="inlineStr">
        <is>
          <t>4kW 1Oe Federzugkl.</t>
        </is>
      </c>
      <c r="I11872">
        <v>2067</v>
      </c>
      <c r="J11872">
        <f>GS04/699.6</f>
        <v>0</v>
      </c>
      <c r="M11872" t="inlineStr">
        <is>
          <t>-699KQ81.4</t>
        </is>
      </c>
    </row>
    <row r="11873">
      <c r="A11873">
        <v>11872</v>
      </c>
      <c r="B11873">
        <f>GS90</f>
        <v>0</v>
      </c>
      <c r="C11873" t="inlineStr">
        <is>
          <t>+LS16</t>
        </is>
      </c>
      <c r="D11873" t="inlineStr">
        <is>
          <t>-699Q207.3</t>
        </is>
      </c>
      <c r="E11873" t="inlineStr">
        <is>
          <t>DILM-9-10</t>
        </is>
      </c>
      <c r="F11873" t="inlineStr">
        <is>
          <t>#KALK!</t>
        </is>
      </c>
      <c r="G11873" t="inlineStr">
        <is>
          <t>LASTSCHUETZ</t>
        </is>
      </c>
      <c r="H11873" t="inlineStr">
        <is>
          <t>4kW 1S Federzugkl.</t>
        </is>
      </c>
      <c r="I11873">
        <v>544</v>
      </c>
      <c r="J11873">
        <f>GS90/699.5</f>
        <v>0</v>
      </c>
      <c r="M11873" t="inlineStr">
        <is>
          <t>-699Q207.3</t>
        </is>
      </c>
    </row>
    <row r="11874">
      <c r="A11874">
        <v>11873</v>
      </c>
      <c r="B11874">
        <f>GS93</f>
        <v>0</v>
      </c>
      <c r="C11874" t="inlineStr">
        <is>
          <t>+LS14</t>
        </is>
      </c>
      <c r="D11874" t="inlineStr">
        <is>
          <t>-699Q780.7</t>
        </is>
      </c>
      <c r="E11874" t="inlineStr">
        <is>
          <t>DILM-9-10</t>
        </is>
      </c>
      <c r="F11874" t="inlineStr">
        <is>
          <t>#KALK!</t>
        </is>
      </c>
      <c r="G11874" t="inlineStr">
        <is>
          <t>LASTSCHUETZ</t>
        </is>
      </c>
      <c r="H11874" t="inlineStr">
        <is>
          <t>4kW 1S Federzugkl.</t>
        </is>
      </c>
      <c r="I11874">
        <v>1248</v>
      </c>
      <c r="J11874">
        <f>GS93/699.5</f>
        <v>0</v>
      </c>
      <c r="M11874" t="inlineStr">
        <is>
          <t>-699Q780.7</t>
        </is>
      </c>
    </row>
    <row r="11875">
      <c r="A11875">
        <v>11874</v>
      </c>
      <c r="B11875">
        <f>GS9x</f>
        <v>0</v>
      </c>
      <c r="C11875" t="inlineStr">
        <is>
          <t>+QVW[h1]01</t>
        </is>
      </c>
      <c r="D11875" t="inlineStr">
        <is>
          <t>-6K1</t>
        </is>
      </c>
      <c r="E11875" t="inlineStr">
        <is>
          <t>DILA-40</t>
        </is>
      </c>
      <c r="F11875" t="inlineStr">
        <is>
          <t>#KALK!</t>
        </is>
      </c>
      <c r="G11875" t="inlineStr">
        <is>
          <t>HILFSSCHUETZ</t>
        </is>
      </c>
      <c r="H11875" t="inlineStr">
        <is>
          <t>4S Federzugkl.</t>
        </is>
      </c>
      <c r="I11875">
        <v>173</v>
      </c>
      <c r="J11875">
        <f>GS9x/6.2</f>
        <v>0</v>
      </c>
      <c r="M11875" t="inlineStr">
        <is>
          <t>-6K1</t>
        </is>
      </c>
    </row>
    <row r="11876">
      <c r="A11876">
        <v>11875</v>
      </c>
      <c r="B11876">
        <f>GS9x</f>
        <v>0</v>
      </c>
      <c r="C11876" t="inlineStr">
        <is>
          <t>+QVW[h1]01</t>
        </is>
      </c>
      <c r="D11876" t="inlineStr">
        <is>
          <t>-6Q[a+0].7</t>
        </is>
      </c>
      <c r="E11876" t="inlineStr">
        <is>
          <t>DILM-9-10</t>
        </is>
      </c>
      <c r="F11876" t="inlineStr">
        <is>
          <t>#KALK!</t>
        </is>
      </c>
      <c r="G11876" t="inlineStr">
        <is>
          <t>LASTSCHUETZ</t>
        </is>
      </c>
      <c r="H11876" t="inlineStr">
        <is>
          <t>4kW 1S Federzugkl.</t>
        </is>
      </c>
      <c r="I11876">
        <v>173</v>
      </c>
      <c r="J11876">
        <f>GS9x/6.4</f>
        <v>0</v>
      </c>
      <c r="M11876" t="inlineStr">
        <is>
          <t>-6Q[a+0].7</t>
        </is>
      </c>
    </row>
    <row r="11877">
      <c r="A11877">
        <v>11876</v>
      </c>
      <c r="B11877">
        <f>GS9x</f>
        <v>0</v>
      </c>
      <c r="C11877" t="inlineStr">
        <is>
          <t>+QVW[h1]01</t>
        </is>
      </c>
      <c r="D11877" t="inlineStr">
        <is>
          <t>-6Q2</t>
        </is>
      </c>
      <c r="E11877" t="inlineStr">
        <is>
          <t>DILMC17-10230V50Hz</t>
        </is>
      </c>
      <c r="F11877" t="inlineStr">
        <is>
          <t>#KALK!</t>
        </is>
      </c>
      <c r="G11877" t="inlineStr">
        <is>
          <t>LASTSCHUETZ</t>
        </is>
      </c>
      <c r="H11877" t="inlineStr">
        <is>
          <t>7,5kW 1S Federzugkl.</t>
        </is>
      </c>
      <c r="I11877">
        <v>173</v>
      </c>
      <c r="J11877">
        <f>GS9x/6.7</f>
        <v>0</v>
      </c>
      <c r="K11877" t="inlineStr">
        <is>
          <t>DILMC17</t>
        </is>
      </c>
      <c r="M11877" t="inlineStr">
        <is>
          <t>-6Q2</t>
        </is>
      </c>
    </row>
    <row r="11878">
      <c r="A11878">
        <v>11877</v>
      </c>
      <c r="B11878">
        <f>GS9x</f>
        <v>0</v>
      </c>
      <c r="C11878" t="inlineStr">
        <is>
          <t>+QVW[h1]01</t>
        </is>
      </c>
      <c r="D11878" t="inlineStr">
        <is>
          <t>-6Q3</t>
        </is>
      </c>
      <c r="E11878" t="inlineStr">
        <is>
          <t>DILM150-XHIC22</t>
        </is>
      </c>
      <c r="F11878" t="inlineStr">
        <is>
          <t>DILM150-XHIC22</t>
        </is>
      </c>
      <c r="G11878" t="inlineStr">
        <is>
          <t>HILFSKONTAKTBLOCK</t>
        </is>
      </c>
      <c r="H11878" t="inlineStr">
        <is>
          <t>2S 2OE ab DILMC40</t>
        </is>
      </c>
      <c r="I11878">
        <v>173</v>
      </c>
      <c r="J11878">
        <f>GS9x/6.6</f>
        <v>0</v>
      </c>
      <c r="K11878" t="inlineStr">
        <is>
          <t>DIL MC50</t>
        </is>
      </c>
      <c r="M11878" t="inlineStr">
        <is>
          <t>-6Q3</t>
        </is>
      </c>
    </row>
    <row r="11879">
      <c r="A11879">
        <v>11878</v>
      </c>
      <c r="B11879">
        <f>GS9x</f>
        <v>0</v>
      </c>
      <c r="C11879" t="inlineStr">
        <is>
          <t>+QVW[h1]01</t>
        </is>
      </c>
      <c r="D11879" t="inlineStr">
        <is>
          <t>-6Q3</t>
        </is>
      </c>
      <c r="E11879" t="inlineStr">
        <is>
          <t>DILMC50(RDC24)</t>
        </is>
      </c>
      <c r="F11879" t="inlineStr">
        <is>
          <t>DILM150-XHIC22</t>
        </is>
      </c>
      <c r="G11879" t="inlineStr">
        <is>
          <t>LASTSCHUETZ</t>
        </is>
      </c>
      <c r="H11879" t="inlineStr">
        <is>
          <t>22kW Federzugkl.</t>
        </is>
      </c>
      <c r="I11879">
        <v>173</v>
      </c>
      <c r="J11879">
        <f>GS9x/6.6</f>
        <v>0</v>
      </c>
      <c r="K11879" t="inlineStr">
        <is>
          <t>DIL MC50</t>
        </is>
      </c>
      <c r="M11879" t="inlineStr">
        <is>
          <t>-6Q3</t>
        </is>
      </c>
    </row>
    <row r="11880">
      <c r="A11880">
        <v>11879</v>
      </c>
      <c r="B11880">
        <f>GS92</f>
        <v>0</v>
      </c>
      <c r="C11880" t="inlineStr">
        <is>
          <t>+LS13</t>
        </is>
      </c>
      <c r="D11880" t="inlineStr">
        <is>
          <t>-700K1062.0</t>
        </is>
      </c>
      <c r="E11880" t="inlineStr">
        <is>
          <t>DILA-40</t>
        </is>
      </c>
      <c r="F11880" t="inlineStr">
        <is>
          <t>#KALK!</t>
        </is>
      </c>
      <c r="G11880" t="inlineStr">
        <is>
          <t>HILFSSCHUETZ</t>
        </is>
      </c>
      <c r="H11880" t="inlineStr">
        <is>
          <t>4S Federzugkl.</t>
        </is>
      </c>
      <c r="I11880">
        <v>827</v>
      </c>
      <c r="J11880">
        <f>GS92/700.7</f>
        <v>0</v>
      </c>
      <c r="M11880" t="inlineStr">
        <is>
          <t>-700K1062.0</t>
        </is>
      </c>
    </row>
    <row r="11881">
      <c r="A11881">
        <v>11880</v>
      </c>
      <c r="B11881">
        <f>GS92</f>
        <v>0</v>
      </c>
      <c r="C11881" t="inlineStr">
        <is>
          <t>+LS13</t>
        </is>
      </c>
      <c r="D11881" t="inlineStr">
        <is>
          <t>-700Q1</t>
        </is>
      </c>
      <c r="E11881" t="inlineStr">
        <is>
          <t>DILMC25-10(RDC24)</t>
        </is>
      </c>
      <c r="F11881" t="inlineStr">
        <is>
          <t>DILA-XHI22</t>
        </is>
      </c>
      <c r="G11881" t="inlineStr">
        <is>
          <t>LASTSCHUETZ</t>
        </is>
      </c>
      <c r="H11881" t="inlineStr">
        <is>
          <t>11kW 1S Federzugkl.</t>
        </is>
      </c>
      <c r="I11881">
        <v>827</v>
      </c>
      <c r="J11881">
        <f>GS92/700.4</f>
        <v>0</v>
      </c>
      <c r="K11881" t="inlineStr">
        <is>
          <t>DIL MC25</t>
        </is>
      </c>
      <c r="M11881" t="inlineStr">
        <is>
          <t>-700Q1</t>
        </is>
      </c>
    </row>
    <row r="11882">
      <c r="A11882">
        <v>11881</v>
      </c>
      <c r="B11882">
        <f>GS92</f>
        <v>0</v>
      </c>
      <c r="C11882" t="inlineStr">
        <is>
          <t>+LS13</t>
        </is>
      </c>
      <c r="D11882" t="inlineStr">
        <is>
          <t>-700Q1</t>
        </is>
      </c>
      <c r="E11882" t="inlineStr">
        <is>
          <t>DILA-XHI22</t>
        </is>
      </c>
      <c r="F11882" t="inlineStr">
        <is>
          <t>DILA-XHI22</t>
        </is>
      </c>
      <c r="G11882" t="inlineStr">
        <is>
          <t>HILFSKONTAKTBLOCK</t>
        </is>
      </c>
      <c r="H11882" t="inlineStr">
        <is>
          <t>2S 2OE Last+Hilfssch. Cage</t>
        </is>
      </c>
      <c r="I11882">
        <v>827</v>
      </c>
      <c r="J11882">
        <f>GS92/700.4</f>
        <v>0</v>
      </c>
      <c r="K11882" t="inlineStr">
        <is>
          <t>DIL MC25</t>
        </is>
      </c>
      <c r="M11882" t="inlineStr">
        <is>
          <t>-700Q1</t>
        </is>
      </c>
    </row>
    <row r="11883">
      <c r="A11883">
        <v>11882</v>
      </c>
      <c r="B11883">
        <f>GS91</f>
        <v>0</v>
      </c>
      <c r="C11883" t="inlineStr">
        <is>
          <t>+LS15</t>
        </is>
      </c>
      <c r="D11883" t="inlineStr">
        <is>
          <t>-700Q1121.0</t>
        </is>
      </c>
      <c r="E11883" t="inlineStr">
        <is>
          <t>DILM-9-10</t>
        </is>
      </c>
      <c r="F11883" t="inlineStr">
        <is>
          <t>#KALK!</t>
        </is>
      </c>
      <c r="G11883" t="inlineStr">
        <is>
          <t>LASTSCHUETZ</t>
        </is>
      </c>
      <c r="H11883" t="inlineStr">
        <is>
          <t>4kW 1S Federzugkl.</t>
        </is>
      </c>
      <c r="I11883">
        <v>848</v>
      </c>
      <c r="J11883">
        <f>GS91/700.5</f>
        <v>0</v>
      </c>
      <c r="M11883" t="inlineStr">
        <is>
          <t>-700Q1121.0</t>
        </is>
      </c>
    </row>
    <row r="11884">
      <c r="A11884">
        <v>11883</v>
      </c>
      <c r="B11884">
        <f>GS90</f>
        <v>0</v>
      </c>
      <c r="C11884" t="inlineStr">
        <is>
          <t>+LS16</t>
        </is>
      </c>
      <c r="D11884" t="inlineStr">
        <is>
          <t>-700Q207.4</t>
        </is>
      </c>
      <c r="E11884" t="inlineStr">
        <is>
          <t>DILM-9-10</t>
        </is>
      </c>
      <c r="F11884" t="inlineStr">
        <is>
          <t>#KALK!</t>
        </is>
      </c>
      <c r="G11884" t="inlineStr">
        <is>
          <t>LASTSCHUETZ</t>
        </is>
      </c>
      <c r="H11884" t="inlineStr">
        <is>
          <t>4kW 1S Federzugkl.</t>
        </is>
      </c>
      <c r="I11884">
        <v>543</v>
      </c>
      <c r="J11884">
        <f>GS90/700.5</f>
        <v>0</v>
      </c>
      <c r="M11884" t="inlineStr">
        <is>
          <t>-700Q207.4</t>
        </is>
      </c>
    </row>
    <row r="11885">
      <c r="A11885">
        <v>11884</v>
      </c>
      <c r="B11885">
        <f>GS93</f>
        <v>0</v>
      </c>
      <c r="C11885" t="inlineStr">
        <is>
          <t>+LS14</t>
        </is>
      </c>
      <c r="D11885" t="inlineStr">
        <is>
          <t>-700Q781.0</t>
        </is>
      </c>
      <c r="E11885" t="inlineStr">
        <is>
          <t>DILM-9-10</t>
        </is>
      </c>
      <c r="F11885" t="inlineStr">
        <is>
          <t>#KALK!</t>
        </is>
      </c>
      <c r="G11885" t="inlineStr">
        <is>
          <t>LASTSCHUETZ</t>
        </is>
      </c>
      <c r="H11885" t="inlineStr">
        <is>
          <t>4kW 1S Federzugkl.</t>
        </is>
      </c>
      <c r="I11885">
        <v>1249</v>
      </c>
      <c r="J11885">
        <f>GS93/700.5</f>
        <v>0</v>
      </c>
      <c r="M11885" t="inlineStr">
        <is>
          <t>-700Q781.0</t>
        </is>
      </c>
    </row>
    <row r="11886">
      <c r="A11886">
        <v>11885</v>
      </c>
      <c r="B11886">
        <f>GS92</f>
        <v>0</v>
      </c>
      <c r="C11886" t="inlineStr">
        <is>
          <t>+LS13</t>
        </is>
      </c>
      <c r="D11886" t="inlineStr">
        <is>
          <t>-701Q1062.1</t>
        </is>
      </c>
      <c r="E11886" t="inlineStr">
        <is>
          <t>DILM-9-10</t>
        </is>
      </c>
      <c r="F11886" t="inlineStr">
        <is>
          <t>#KALK!</t>
        </is>
      </c>
      <c r="G11886" t="inlineStr">
        <is>
          <t>LASTSCHUETZ</t>
        </is>
      </c>
      <c r="H11886" t="inlineStr">
        <is>
          <t>4kW 1S Federzugkl.</t>
        </is>
      </c>
      <c r="I11886">
        <v>828</v>
      </c>
      <c r="J11886">
        <f>GS92/701.5</f>
        <v>0</v>
      </c>
      <c r="M11886" t="inlineStr">
        <is>
          <t>-701Q1062.1</t>
        </is>
      </c>
    </row>
    <row r="11887">
      <c r="A11887">
        <v>11886</v>
      </c>
      <c r="B11887">
        <f>GS90</f>
        <v>0</v>
      </c>
      <c r="C11887" t="inlineStr">
        <is>
          <t>+LS16</t>
        </is>
      </c>
      <c r="D11887" t="inlineStr">
        <is>
          <t>-701Q207.5</t>
        </is>
      </c>
      <c r="E11887" t="inlineStr">
        <is>
          <t>DILM-9-10</t>
        </is>
      </c>
      <c r="F11887" t="inlineStr">
        <is>
          <t>#KALK!</t>
        </is>
      </c>
      <c r="G11887" t="inlineStr">
        <is>
          <t>LASTSCHUETZ</t>
        </is>
      </c>
      <c r="H11887" t="inlineStr">
        <is>
          <t>4kW 1S Federzugkl.</t>
        </is>
      </c>
      <c r="I11887">
        <v>542</v>
      </c>
      <c r="J11887">
        <f>GS90/701.5</f>
        <v>0</v>
      </c>
      <c r="M11887" t="inlineStr">
        <is>
          <t>-701Q207.5</t>
        </is>
      </c>
    </row>
    <row r="11888">
      <c r="A11888">
        <v>11887</v>
      </c>
      <c r="B11888">
        <f>GS93</f>
        <v>0</v>
      </c>
      <c r="C11888" t="inlineStr">
        <is>
          <t>+LS14</t>
        </is>
      </c>
      <c r="D11888" t="inlineStr">
        <is>
          <t>-701Q781.1</t>
        </is>
      </c>
      <c r="E11888" t="inlineStr">
        <is>
          <t>DILM-9-10</t>
        </is>
      </c>
      <c r="F11888" t="inlineStr">
        <is>
          <t>#KALK!</t>
        </is>
      </c>
      <c r="G11888" t="inlineStr">
        <is>
          <t>LASTSCHUETZ</t>
        </is>
      </c>
      <c r="H11888" t="inlineStr">
        <is>
          <t>4kW 1S Federzugkl.</t>
        </is>
      </c>
      <c r="I11888">
        <v>1250</v>
      </c>
      <c r="J11888">
        <f>GS93/701.5</f>
        <v>0</v>
      </c>
      <c r="M11888" t="inlineStr">
        <is>
          <t>-701Q781.1</t>
        </is>
      </c>
    </row>
    <row r="11889">
      <c r="A11889">
        <v>11888</v>
      </c>
      <c r="B11889">
        <f>GS91</f>
        <v>0</v>
      </c>
      <c r="C11889" t="inlineStr">
        <is>
          <t>+LS15</t>
        </is>
      </c>
      <c r="D11889" t="inlineStr">
        <is>
          <t>-702Q1121.1</t>
        </is>
      </c>
      <c r="E11889" t="inlineStr">
        <is>
          <t>DILM-9-10</t>
        </is>
      </c>
      <c r="F11889" t="inlineStr">
        <is>
          <t>#KALK!</t>
        </is>
      </c>
      <c r="G11889" t="inlineStr">
        <is>
          <t>LASTSCHUETZ</t>
        </is>
      </c>
      <c r="H11889" t="inlineStr">
        <is>
          <t>4kW 1S Federzugkl.</t>
        </is>
      </c>
      <c r="I11889">
        <v>850</v>
      </c>
      <c r="J11889">
        <f>GS91/702.5</f>
        <v>0</v>
      </c>
      <c r="M11889" t="inlineStr">
        <is>
          <t>-702Q1121.1</t>
        </is>
      </c>
    </row>
    <row r="11890">
      <c r="A11890">
        <v>11889</v>
      </c>
      <c r="B11890">
        <f>GS90</f>
        <v>0</v>
      </c>
      <c r="C11890" t="inlineStr">
        <is>
          <t>+LS16</t>
        </is>
      </c>
      <c r="D11890" t="inlineStr">
        <is>
          <t>-702Q207.6</t>
        </is>
      </c>
      <c r="E11890" t="inlineStr">
        <is>
          <t>DILM-9-10</t>
        </is>
      </c>
      <c r="F11890" t="inlineStr">
        <is>
          <t>#KALK!</t>
        </is>
      </c>
      <c r="G11890" t="inlineStr">
        <is>
          <t>LASTSCHUETZ</t>
        </is>
      </c>
      <c r="H11890" t="inlineStr">
        <is>
          <t>4kW 1S Federzugkl.</t>
        </is>
      </c>
      <c r="I11890">
        <v>541</v>
      </c>
      <c r="J11890">
        <f>GS90/702.5</f>
        <v>0</v>
      </c>
      <c r="M11890" t="inlineStr">
        <is>
          <t>-702Q207.6</t>
        </is>
      </c>
    </row>
    <row r="11891">
      <c r="A11891">
        <v>11890</v>
      </c>
      <c r="B11891">
        <f>GS93</f>
        <v>0</v>
      </c>
      <c r="C11891" t="inlineStr">
        <is>
          <t>+LS14</t>
        </is>
      </c>
      <c r="D11891" t="inlineStr">
        <is>
          <t>-702Q781.2</t>
        </is>
      </c>
      <c r="E11891" t="inlineStr">
        <is>
          <t>DILM-9-10</t>
        </is>
      </c>
      <c r="F11891" t="inlineStr">
        <is>
          <t>#KALK!</t>
        </is>
      </c>
      <c r="G11891" t="inlineStr">
        <is>
          <t>LASTSCHUETZ</t>
        </is>
      </c>
      <c r="H11891" t="inlineStr">
        <is>
          <t>4kW 1S Federzugkl.</t>
        </is>
      </c>
      <c r="I11891">
        <v>1251</v>
      </c>
      <c r="J11891">
        <f>GS93/702.5</f>
        <v>0</v>
      </c>
      <c r="M11891" t="inlineStr">
        <is>
          <t>-702Q781.2</t>
        </is>
      </c>
    </row>
    <row r="11892">
      <c r="A11892">
        <v>11891</v>
      </c>
      <c r="B11892">
        <f>GS90</f>
        <v>0</v>
      </c>
      <c r="C11892" t="inlineStr">
        <is>
          <t>+LS16</t>
        </is>
      </c>
      <c r="D11892" t="inlineStr">
        <is>
          <t>-703Q207.7</t>
        </is>
      </c>
      <c r="E11892" t="inlineStr">
        <is>
          <t>DILM-9-10</t>
        </is>
      </c>
      <c r="F11892" t="inlineStr">
        <is>
          <t>#KALK!</t>
        </is>
      </c>
      <c r="G11892" t="inlineStr">
        <is>
          <t>LASTSCHUETZ</t>
        </is>
      </c>
      <c r="H11892" t="inlineStr">
        <is>
          <t>4kW 1S Federzugkl.</t>
        </is>
      </c>
      <c r="I11892">
        <v>540</v>
      </c>
      <c r="J11892">
        <f>GS90/703.5</f>
        <v>0</v>
      </c>
      <c r="M11892" t="inlineStr">
        <is>
          <t>-703Q207.7</t>
        </is>
      </c>
    </row>
    <row r="11893">
      <c r="A11893">
        <v>11892</v>
      </c>
      <c r="B11893">
        <f>GS93</f>
        <v>0</v>
      </c>
      <c r="C11893" t="inlineStr">
        <is>
          <t>+LS14</t>
        </is>
      </c>
      <c r="D11893" t="inlineStr">
        <is>
          <t>-703Q781.3</t>
        </is>
      </c>
      <c r="E11893" t="inlineStr">
        <is>
          <t>DILM-9-10</t>
        </is>
      </c>
      <c r="F11893" t="inlineStr">
        <is>
          <t>#KALK!</t>
        </is>
      </c>
      <c r="G11893" t="inlineStr">
        <is>
          <t>LASTSCHUETZ</t>
        </is>
      </c>
      <c r="H11893" t="inlineStr">
        <is>
          <t>4kW 1S Federzugkl.</t>
        </is>
      </c>
      <c r="I11893">
        <v>1252</v>
      </c>
      <c r="J11893">
        <f>GS93/703.5</f>
        <v>0</v>
      </c>
      <c r="M11893" t="inlineStr">
        <is>
          <t>-703Q781.3</t>
        </is>
      </c>
    </row>
    <row r="11894">
      <c r="A11894">
        <v>11893</v>
      </c>
      <c r="B11894">
        <f>GS90</f>
        <v>0</v>
      </c>
      <c r="C11894" t="inlineStr">
        <is>
          <t>+LS16</t>
        </is>
      </c>
      <c r="D11894" t="inlineStr">
        <is>
          <t>-704Q208.0</t>
        </is>
      </c>
      <c r="E11894" t="inlineStr">
        <is>
          <t>DILM-9-10</t>
        </is>
      </c>
      <c r="F11894" t="inlineStr">
        <is>
          <t>#KALK!</t>
        </is>
      </c>
      <c r="G11894" t="inlineStr">
        <is>
          <t>LASTSCHUETZ</t>
        </is>
      </c>
      <c r="H11894" t="inlineStr">
        <is>
          <t>4kW 1S Federzugkl.</t>
        </is>
      </c>
      <c r="I11894">
        <v>539</v>
      </c>
      <c r="J11894">
        <f>GS90/704.5</f>
        <v>0</v>
      </c>
      <c r="M11894" t="inlineStr">
        <is>
          <t>-704Q208.0</t>
        </is>
      </c>
    </row>
    <row r="11895">
      <c r="A11895">
        <v>11894</v>
      </c>
      <c r="B11895">
        <f>GS11</f>
        <v>0</v>
      </c>
      <c r="C11895" t="inlineStr">
        <is>
          <t>+LS14</t>
        </is>
      </c>
      <c r="D11895" t="inlineStr">
        <is>
          <t>-705K1</t>
        </is>
      </c>
      <c r="E11895" t="inlineStr">
        <is>
          <t>DILMC25-10230V50HZ</t>
        </is>
      </c>
      <c r="F11895" t="inlineStr">
        <is>
          <t>DILA-XHI22</t>
        </is>
      </c>
      <c r="G11895" t="inlineStr">
        <is>
          <t>LASTSCHUETZ</t>
        </is>
      </c>
      <c r="H11895" t="inlineStr">
        <is>
          <t>11kW 1S Federzugkl.</t>
        </is>
      </c>
      <c r="I11895">
        <v>1173</v>
      </c>
      <c r="J11895">
        <f>GS11/705.4</f>
        <v>0</v>
      </c>
      <c r="K11895" t="inlineStr">
        <is>
          <t>DIL MC25</t>
        </is>
      </c>
      <c r="M11895" t="inlineStr">
        <is>
          <t>-705K1</t>
        </is>
      </c>
    </row>
    <row r="11896">
      <c r="A11896">
        <v>11895</v>
      </c>
      <c r="B11896">
        <f>GS11</f>
        <v>0</v>
      </c>
      <c r="C11896" t="inlineStr">
        <is>
          <t>+LS14</t>
        </is>
      </c>
      <c r="D11896" t="inlineStr">
        <is>
          <t>-705K1</t>
        </is>
      </c>
      <c r="E11896" t="inlineStr">
        <is>
          <t>DILA-XHI22</t>
        </is>
      </c>
      <c r="F11896" t="inlineStr">
        <is>
          <t>DILA-XHI22</t>
        </is>
      </c>
      <c r="G11896" t="inlineStr">
        <is>
          <t>HILFSKONTAKTBLOCK</t>
        </is>
      </c>
      <c r="H11896" t="inlineStr">
        <is>
          <t>2S 2OE Last+Hilfssch. Cage</t>
        </is>
      </c>
      <c r="I11896">
        <v>1173</v>
      </c>
      <c r="J11896">
        <f>GS11/705.4</f>
        <v>0</v>
      </c>
      <c r="K11896" t="inlineStr">
        <is>
          <t>DIL MC25</t>
        </is>
      </c>
      <c r="M11896" t="inlineStr">
        <is>
          <t>-705K1</t>
        </is>
      </c>
    </row>
    <row r="11897">
      <c r="A11897">
        <v>11896</v>
      </c>
      <c r="B11897">
        <f>GS15</f>
        <v>0</v>
      </c>
      <c r="C11897" t="inlineStr">
        <is>
          <t>+LS14</t>
        </is>
      </c>
      <c r="D11897" t="inlineStr">
        <is>
          <t>-705K1</t>
        </is>
      </c>
      <c r="E11897" t="inlineStr">
        <is>
          <t>22_DIL-M</t>
        </is>
      </c>
      <c r="F11897" t="inlineStr">
        <is>
          <t>22_DIL-M</t>
        </is>
      </c>
      <c r="G11897" t="inlineStr">
        <is>
          <t>HILFSKONTAKTBLOCK</t>
        </is>
      </c>
      <c r="H11897" t="inlineStr">
        <is>
          <t>2S 2OE Lastschuetz DIL M</t>
        </is>
      </c>
      <c r="I11897">
        <v>1223</v>
      </c>
      <c r="J11897">
        <f>GS15/705.2</f>
        <v>0</v>
      </c>
      <c r="K11897" t="inlineStr">
        <is>
          <t>DIL0AM</t>
        </is>
      </c>
      <c r="M11897" t="inlineStr">
        <is>
          <t>-705K1</t>
        </is>
      </c>
    </row>
    <row r="11898">
      <c r="A11898">
        <v>11897</v>
      </c>
      <c r="B11898">
        <f>GS15</f>
        <v>0</v>
      </c>
      <c r="C11898" t="inlineStr">
        <is>
          <t>+LS14</t>
        </is>
      </c>
      <c r="D11898" t="inlineStr">
        <is>
          <t>-705K1</t>
        </is>
      </c>
      <c r="E11898" t="inlineStr">
        <is>
          <t>DIL_0AM</t>
        </is>
      </c>
      <c r="F11898" t="inlineStr">
        <is>
          <t>22_DIL-M</t>
        </is>
      </c>
      <c r="G11898" t="inlineStr">
        <is>
          <t>LASTSCHUETZ</t>
        </is>
      </c>
      <c r="H11898" t="inlineStr">
        <is>
          <t>11 kW</t>
        </is>
      </c>
      <c r="I11898">
        <v>1223</v>
      </c>
      <c r="J11898">
        <f>GS15/705.2</f>
        <v>0</v>
      </c>
      <c r="K11898" t="inlineStr">
        <is>
          <t>DIL0AM</t>
        </is>
      </c>
      <c r="M11898" t="inlineStr">
        <is>
          <t>-705K1</t>
        </is>
      </c>
    </row>
    <row r="11899">
      <c r="A11899">
        <v>11898</v>
      </c>
      <c r="B11899">
        <f>GS92</f>
        <v>0</v>
      </c>
      <c r="C11899" t="inlineStr">
        <is>
          <t>+LS13</t>
        </is>
      </c>
      <c r="D11899" t="inlineStr">
        <is>
          <t>-705K1062.4</t>
        </is>
      </c>
      <c r="E11899" t="inlineStr">
        <is>
          <t>DILA-40</t>
        </is>
      </c>
      <c r="F11899" t="inlineStr">
        <is>
          <t>#KALK!</t>
        </is>
      </c>
      <c r="G11899" t="inlineStr">
        <is>
          <t>HILFSSCHUETZ</t>
        </is>
      </c>
      <c r="H11899" t="inlineStr">
        <is>
          <t>4S Federzugkl.</t>
        </is>
      </c>
      <c r="I11899">
        <v>832</v>
      </c>
      <c r="J11899">
        <f>GS92/705.7</f>
        <v>0</v>
      </c>
      <c r="M11899" t="inlineStr">
        <is>
          <t>-705K1062.4</t>
        </is>
      </c>
    </row>
    <row r="11900">
      <c r="A11900">
        <v>11899</v>
      </c>
      <c r="B11900">
        <f>GS91</f>
        <v>0</v>
      </c>
      <c r="C11900" t="inlineStr">
        <is>
          <t>+LS15</t>
        </is>
      </c>
      <c r="D11900" t="inlineStr">
        <is>
          <t>-705K1124.0</t>
        </is>
      </c>
      <c r="E11900" t="inlineStr">
        <is>
          <t>DILA-40</t>
        </is>
      </c>
      <c r="F11900" t="inlineStr">
        <is>
          <t>#KALK!</t>
        </is>
      </c>
      <c r="G11900" t="inlineStr">
        <is>
          <t>HILFSSCHUETZ</t>
        </is>
      </c>
      <c r="H11900" t="inlineStr">
        <is>
          <t>4S Federzugkl.</t>
        </is>
      </c>
      <c r="I11900">
        <v>853</v>
      </c>
      <c r="J11900">
        <f>GS91/705.7</f>
        <v>0</v>
      </c>
      <c r="M11900" t="inlineStr">
        <is>
          <t>-705K1124.0</t>
        </is>
      </c>
    </row>
    <row r="11901">
      <c r="A11901">
        <v>11900</v>
      </c>
      <c r="B11901">
        <f>GS91</f>
        <v>0</v>
      </c>
      <c r="C11901" t="inlineStr">
        <is>
          <t>+LS15</t>
        </is>
      </c>
      <c r="D11901" t="inlineStr">
        <is>
          <t>-705Q1</t>
        </is>
      </c>
      <c r="E11901" t="inlineStr">
        <is>
          <t>DILA-XHI22</t>
        </is>
      </c>
      <c r="F11901" t="inlineStr">
        <is>
          <t>DILA-XHI22</t>
        </is>
      </c>
      <c r="G11901" t="inlineStr">
        <is>
          <t>HILFSKONTAKTBLOCK</t>
        </is>
      </c>
      <c r="H11901" t="inlineStr">
        <is>
          <t>2S 2OE Last+Hilfssch. Cage</t>
        </is>
      </c>
      <c r="I11901">
        <v>853</v>
      </c>
      <c r="J11901">
        <f>GS91/705.4</f>
        <v>0</v>
      </c>
      <c r="K11901" t="inlineStr">
        <is>
          <t>DIL MC25</t>
        </is>
      </c>
      <c r="M11901" t="inlineStr">
        <is>
          <t>-705Q1</t>
        </is>
      </c>
    </row>
    <row r="11902">
      <c r="A11902">
        <v>11901</v>
      </c>
      <c r="B11902">
        <f>GS91</f>
        <v>0</v>
      </c>
      <c r="C11902" t="inlineStr">
        <is>
          <t>+LS15</t>
        </is>
      </c>
      <c r="D11902" t="inlineStr">
        <is>
          <t>-705Q1</t>
        </is>
      </c>
      <c r="E11902" t="inlineStr">
        <is>
          <t>DILMC25-10(RDC24)</t>
        </is>
      </c>
      <c r="F11902" t="inlineStr">
        <is>
          <t>DILA-XHI22</t>
        </is>
      </c>
      <c r="G11902" t="inlineStr">
        <is>
          <t>LASTSCHUETZ</t>
        </is>
      </c>
      <c r="H11902" t="inlineStr">
        <is>
          <t>11kW 1S Federzugkl.</t>
        </is>
      </c>
      <c r="I11902">
        <v>853</v>
      </c>
      <c r="J11902">
        <f>GS91/705.4</f>
        <v>0</v>
      </c>
      <c r="K11902" t="inlineStr">
        <is>
          <t>DIL MC25</t>
        </is>
      </c>
      <c r="M11902" t="inlineStr">
        <is>
          <t>-705Q1</t>
        </is>
      </c>
    </row>
    <row r="11903">
      <c r="A11903">
        <v>11902</v>
      </c>
      <c r="B11903">
        <f>GS92</f>
        <v>0</v>
      </c>
      <c r="C11903" t="inlineStr">
        <is>
          <t>+LS13</t>
        </is>
      </c>
      <c r="D11903" t="inlineStr">
        <is>
          <t>-705Q1</t>
        </is>
      </c>
      <c r="E11903" t="inlineStr">
        <is>
          <t>DILMC25-10(RDC24)</t>
        </is>
      </c>
      <c r="F11903" t="inlineStr">
        <is>
          <t>DILA-XHI22</t>
        </is>
      </c>
      <c r="G11903" t="inlineStr">
        <is>
          <t>LASTSCHUETZ</t>
        </is>
      </c>
      <c r="H11903" t="inlineStr">
        <is>
          <t>11kW 1S Federzugkl.</t>
        </is>
      </c>
      <c r="I11903">
        <v>832</v>
      </c>
      <c r="J11903">
        <f>GS92/705.4</f>
        <v>0</v>
      </c>
      <c r="K11903" t="inlineStr">
        <is>
          <t>DIL MC25</t>
        </is>
      </c>
      <c r="M11903" t="inlineStr">
        <is>
          <t>-705Q1</t>
        </is>
      </c>
    </row>
    <row r="11904">
      <c r="A11904">
        <v>11903</v>
      </c>
      <c r="B11904">
        <f>GS92</f>
        <v>0</v>
      </c>
      <c r="C11904" t="inlineStr">
        <is>
          <t>+LS13</t>
        </is>
      </c>
      <c r="D11904" t="inlineStr">
        <is>
          <t>-705Q1</t>
        </is>
      </c>
      <c r="E11904" t="inlineStr">
        <is>
          <t>DILA-XHI22</t>
        </is>
      </c>
      <c r="F11904" t="inlineStr">
        <is>
          <t>DILA-XHI22</t>
        </is>
      </c>
      <c r="G11904" t="inlineStr">
        <is>
          <t>HILFSKONTAKTBLOCK</t>
        </is>
      </c>
      <c r="H11904" t="inlineStr">
        <is>
          <t>2S 2OE Last+Hilfssch. Cage</t>
        </is>
      </c>
      <c r="I11904">
        <v>832</v>
      </c>
      <c r="J11904">
        <f>GS92/705.4</f>
        <v>0</v>
      </c>
      <c r="K11904" t="inlineStr">
        <is>
          <t>DIL MC25</t>
        </is>
      </c>
      <c r="M11904" t="inlineStr">
        <is>
          <t>-705Q1</t>
        </is>
      </c>
    </row>
    <row r="11905">
      <c r="A11905">
        <v>11904</v>
      </c>
      <c r="B11905">
        <f>GS90</f>
        <v>0</v>
      </c>
      <c r="C11905" t="inlineStr">
        <is>
          <t>+LS16</t>
        </is>
      </c>
      <c r="D11905" t="inlineStr">
        <is>
          <t>-705Q208.1</t>
        </is>
      </c>
      <c r="E11905" t="inlineStr">
        <is>
          <t>DILM-9-10</t>
        </is>
      </c>
      <c r="F11905" t="inlineStr">
        <is>
          <t>#KALK!</t>
        </is>
      </c>
      <c r="G11905" t="inlineStr">
        <is>
          <t>LASTSCHUETZ</t>
        </is>
      </c>
      <c r="H11905" t="inlineStr">
        <is>
          <t>4kW 1S Federzugkl.</t>
        </is>
      </c>
      <c r="I11905">
        <v>538</v>
      </c>
      <c r="J11905">
        <f>GS90/705.5</f>
        <v>0</v>
      </c>
      <c r="M11905" t="inlineStr">
        <is>
          <t>-705Q208.1</t>
        </is>
      </c>
    </row>
    <row r="11906">
      <c r="A11906">
        <v>11905</v>
      </c>
      <c r="B11906">
        <f>GS93</f>
        <v>0</v>
      </c>
      <c r="C11906" t="inlineStr">
        <is>
          <t>+LS14</t>
        </is>
      </c>
      <c r="D11906" t="inlineStr">
        <is>
          <t>-705Q782.1</t>
        </is>
      </c>
      <c r="E11906" t="inlineStr">
        <is>
          <t>DILM-9-10</t>
        </is>
      </c>
      <c r="F11906" t="inlineStr">
        <is>
          <t>#KALK!</t>
        </is>
      </c>
      <c r="G11906" t="inlineStr">
        <is>
          <t>LASTSCHUETZ</t>
        </is>
      </c>
      <c r="H11906" t="inlineStr">
        <is>
          <t>4kW 1S Federzugkl.</t>
        </is>
      </c>
      <c r="I11906">
        <v>1254</v>
      </c>
      <c r="J11906">
        <f>GS93/705.5</f>
        <v>0</v>
      </c>
      <c r="M11906" t="inlineStr">
        <is>
          <t>-705Q782.1</t>
        </is>
      </c>
    </row>
    <row r="11907">
      <c r="A11907">
        <v>11906</v>
      </c>
      <c r="B11907">
        <f>GS04</f>
        <v>0</v>
      </c>
      <c r="C11907" t="inlineStr">
        <is>
          <t>+LS11</t>
        </is>
      </c>
      <c r="D11907" t="inlineStr">
        <is>
          <t>-706K1</t>
        </is>
      </c>
      <c r="E11907" t="inlineStr">
        <is>
          <t>DILA-XHI22</t>
        </is>
      </c>
      <c r="F11907" t="inlineStr">
        <is>
          <t>DILA-XHI22</t>
        </is>
      </c>
      <c r="G11907" t="inlineStr">
        <is>
          <t>HILFSKONTAKTBLOCK</t>
        </is>
      </c>
      <c r="H11907" t="inlineStr">
        <is>
          <t>2S 2OE Last+Hilfssch. Cage</t>
        </is>
      </c>
      <c r="I11907">
        <v>2074</v>
      </c>
      <c r="J11907">
        <f>GS04/706.5</f>
        <v>0</v>
      </c>
      <c r="M11907" t="inlineStr">
        <is>
          <t>-706K1</t>
        </is>
      </c>
    </row>
    <row r="11908">
      <c r="A11908">
        <v>11907</v>
      </c>
      <c r="B11908">
        <f>GS04</f>
        <v>0</v>
      </c>
      <c r="C11908" t="inlineStr">
        <is>
          <t>+LS11</t>
        </is>
      </c>
      <c r="D11908" t="inlineStr">
        <is>
          <t>-706K1</t>
        </is>
      </c>
      <c r="E11908" t="inlineStr">
        <is>
          <t>DILM-9-10</t>
        </is>
      </c>
      <c r="F11908" t="inlineStr">
        <is>
          <t>DILA-XHI22</t>
        </is>
      </c>
      <c r="G11908" t="inlineStr">
        <is>
          <t>LASTSCHUETZ</t>
        </is>
      </c>
      <c r="H11908" t="inlineStr">
        <is>
          <t>4kW 1S Federzugkl.</t>
        </is>
      </c>
      <c r="I11908">
        <v>2074</v>
      </c>
      <c r="J11908">
        <f>GS04/706.5</f>
        <v>0</v>
      </c>
      <c r="M11908" t="inlineStr">
        <is>
          <t>-706K1</t>
        </is>
      </c>
    </row>
    <row r="11909">
      <c r="A11909">
        <v>11908</v>
      </c>
      <c r="B11909">
        <f>GS04</f>
        <v>0</v>
      </c>
      <c r="C11909" t="inlineStr">
        <is>
          <t>+LS11</t>
        </is>
      </c>
      <c r="D11909" t="inlineStr">
        <is>
          <t>-706K2</t>
        </is>
      </c>
      <c r="E11909" t="inlineStr">
        <is>
          <t>DILA-XHI22</t>
        </is>
      </c>
      <c r="F11909" t="inlineStr">
        <is>
          <t>DILA-XHI22</t>
        </is>
      </c>
      <c r="G11909" t="inlineStr">
        <is>
          <t>HILFSKONTAKTBLOCK</t>
        </is>
      </c>
      <c r="H11909" t="inlineStr">
        <is>
          <t>2S 2OE Last+Hilfssch. Cage</t>
        </is>
      </c>
      <c r="I11909">
        <v>2074</v>
      </c>
      <c r="J11909">
        <f>GS04/706.6</f>
        <v>0</v>
      </c>
      <c r="M11909" t="inlineStr">
        <is>
          <t>-706K2</t>
        </is>
      </c>
    </row>
    <row r="11910">
      <c r="A11910">
        <v>11909</v>
      </c>
      <c r="B11910">
        <f>GS04</f>
        <v>0</v>
      </c>
      <c r="C11910" t="inlineStr">
        <is>
          <t>+LS11</t>
        </is>
      </c>
      <c r="D11910" t="inlineStr">
        <is>
          <t>-706K2</t>
        </is>
      </c>
      <c r="E11910" t="inlineStr">
        <is>
          <t>DILM-9-10</t>
        </is>
      </c>
      <c r="F11910" t="inlineStr">
        <is>
          <t>DILA-XHI22</t>
        </is>
      </c>
      <c r="G11910" t="inlineStr">
        <is>
          <t>LASTSCHUETZ</t>
        </is>
      </c>
      <c r="H11910" t="inlineStr">
        <is>
          <t>4kW 1S Federzugkl.</t>
        </is>
      </c>
      <c r="I11910">
        <v>2074</v>
      </c>
      <c r="J11910">
        <f>GS04/706.6</f>
        <v>0</v>
      </c>
      <c r="M11910" t="inlineStr">
        <is>
          <t>-706K2</t>
        </is>
      </c>
    </row>
    <row r="11911">
      <c r="A11911">
        <v>11910</v>
      </c>
      <c r="B11911">
        <f>GS04</f>
        <v>0</v>
      </c>
      <c r="C11911" t="inlineStr">
        <is>
          <t>+LS11</t>
        </is>
      </c>
      <c r="D11911" t="inlineStr">
        <is>
          <t>-706K81.5</t>
        </is>
      </c>
      <c r="E11911" t="inlineStr">
        <is>
          <t>DILA-22</t>
        </is>
      </c>
      <c r="F11911" t="inlineStr">
        <is>
          <t>#KALK!</t>
        </is>
      </c>
      <c r="G11911" t="inlineStr">
        <is>
          <t>HILFSSCHUETZ</t>
        </is>
      </c>
      <c r="H11911" t="inlineStr">
        <is>
          <t>2S 2Oe Federzugkl.</t>
        </is>
      </c>
      <c r="I11911">
        <v>2074</v>
      </c>
      <c r="J11911">
        <f>GS04/706.8</f>
        <v>0</v>
      </c>
      <c r="M11911" t="inlineStr">
        <is>
          <t>-706K81.5</t>
        </is>
      </c>
    </row>
    <row r="11912">
      <c r="A11912">
        <v>11911</v>
      </c>
      <c r="B11912">
        <f>GS92</f>
        <v>0</v>
      </c>
      <c r="C11912" t="inlineStr">
        <is>
          <t>+LS13</t>
        </is>
      </c>
      <c r="D11912" t="inlineStr">
        <is>
          <t>-706Q1062.5</t>
        </is>
      </c>
      <c r="E11912" t="inlineStr">
        <is>
          <t>DILM-9-10</t>
        </is>
      </c>
      <c r="F11912" t="inlineStr">
        <is>
          <t>#KALK!</t>
        </is>
      </c>
      <c r="G11912" t="inlineStr">
        <is>
          <t>LASTSCHUETZ</t>
        </is>
      </c>
      <c r="H11912" t="inlineStr">
        <is>
          <t>4kW 1S Federzugkl.</t>
        </is>
      </c>
      <c r="I11912">
        <v>833</v>
      </c>
      <c r="J11912">
        <f>GS92/706.5</f>
        <v>0</v>
      </c>
      <c r="M11912" t="inlineStr">
        <is>
          <t>-706Q1062.5</t>
        </is>
      </c>
    </row>
    <row r="11913">
      <c r="A11913">
        <v>11912</v>
      </c>
      <c r="B11913">
        <f>GS90</f>
        <v>0</v>
      </c>
      <c r="C11913" t="inlineStr">
        <is>
          <t>+LS16</t>
        </is>
      </c>
      <c r="D11913" t="inlineStr">
        <is>
          <t>-706Q208.2</t>
        </is>
      </c>
      <c r="E11913" t="inlineStr">
        <is>
          <t>DILM-9-10</t>
        </is>
      </c>
      <c r="F11913" t="inlineStr">
        <is>
          <t>#KALK!</t>
        </is>
      </c>
      <c r="G11913" t="inlineStr">
        <is>
          <t>LASTSCHUETZ</t>
        </is>
      </c>
      <c r="H11913" t="inlineStr">
        <is>
          <t>4kW 1S Federzugkl.</t>
        </is>
      </c>
      <c r="I11913">
        <v>537</v>
      </c>
      <c r="J11913">
        <f>GS90/706.5</f>
        <v>0</v>
      </c>
      <c r="M11913" t="inlineStr">
        <is>
          <t>-706Q208.2</t>
        </is>
      </c>
    </row>
    <row r="11914">
      <c r="A11914">
        <v>11913</v>
      </c>
      <c r="B11914">
        <f>GS93</f>
        <v>0</v>
      </c>
      <c r="C11914" t="inlineStr">
        <is>
          <t>+LS14</t>
        </is>
      </c>
      <c r="D11914" t="inlineStr">
        <is>
          <t>-706Q782.2</t>
        </is>
      </c>
      <c r="E11914" t="inlineStr">
        <is>
          <t>DILM-9-10</t>
        </is>
      </c>
      <c r="F11914" t="inlineStr">
        <is>
          <t>#KALK!</t>
        </is>
      </c>
      <c r="G11914" t="inlineStr">
        <is>
          <t>LASTSCHUETZ</t>
        </is>
      </c>
      <c r="H11914" t="inlineStr">
        <is>
          <t>4kW 1S Federzugkl.</t>
        </is>
      </c>
      <c r="I11914">
        <v>1255</v>
      </c>
      <c r="J11914">
        <f>GS93/706.5</f>
        <v>0</v>
      </c>
      <c r="M11914" t="inlineStr">
        <is>
          <t>-706Q782.2</t>
        </is>
      </c>
    </row>
    <row r="11915">
      <c r="A11915">
        <v>11914</v>
      </c>
      <c r="B11915">
        <f>GS15</f>
        <v>0</v>
      </c>
      <c r="C11915" t="inlineStr">
        <is>
          <t>+LS14</t>
        </is>
      </c>
      <c r="D11915" t="inlineStr">
        <is>
          <t>-707K44.5</t>
        </is>
      </c>
      <c r="E11915" t="inlineStr">
        <is>
          <t>DIL_EM-10-G</t>
        </is>
      </c>
      <c r="F11915" t="inlineStr">
        <is>
          <t>#KALK!</t>
        </is>
      </c>
      <c r="G11915" t="inlineStr">
        <is>
          <t>LASTSCHUETZ</t>
        </is>
      </c>
      <c r="H11915" t="inlineStr">
        <is>
          <t>4kW 1S</t>
        </is>
      </c>
      <c r="I11915">
        <v>1225</v>
      </c>
      <c r="J11915">
        <f>GS15/707.7</f>
        <v>0</v>
      </c>
      <c r="M11915" t="inlineStr">
        <is>
          <t>-707K44.5</t>
        </is>
      </c>
    </row>
    <row r="11916">
      <c r="A11916">
        <v>11915</v>
      </c>
      <c r="B11916">
        <f>GS15</f>
        <v>0</v>
      </c>
      <c r="C11916" t="inlineStr">
        <is>
          <t>+LS14</t>
        </is>
      </c>
      <c r="D11916" t="inlineStr">
        <is>
          <t>-708K45.3</t>
        </is>
      </c>
      <c r="E11916" t="inlineStr">
        <is>
          <t>DIL_EM-10-G</t>
        </is>
      </c>
      <c r="F11916" t="inlineStr">
        <is>
          <t>#KALK!</t>
        </is>
      </c>
      <c r="G11916" t="inlineStr">
        <is>
          <t>LASTSCHUETZ</t>
        </is>
      </c>
      <c r="H11916" t="inlineStr">
        <is>
          <t>4kW 1S</t>
        </is>
      </c>
      <c r="I11916">
        <v>1226</v>
      </c>
      <c r="J11916">
        <f>GS15/708.7</f>
        <v>0</v>
      </c>
      <c r="M11916" t="inlineStr">
        <is>
          <t>-708K45.3</t>
        </is>
      </c>
    </row>
    <row r="11917">
      <c r="A11917">
        <v>11916</v>
      </c>
      <c r="B11917">
        <f>GS15</f>
        <v>0</v>
      </c>
      <c r="C11917" t="inlineStr">
        <is>
          <t>+LS14</t>
        </is>
      </c>
      <c r="D11917" t="inlineStr">
        <is>
          <t>-709K46.0</t>
        </is>
      </c>
      <c r="E11917" t="inlineStr">
        <is>
          <t>DIL_EM-10-G</t>
        </is>
      </c>
      <c r="F11917" t="inlineStr">
        <is>
          <t>#KALK!</t>
        </is>
      </c>
      <c r="G11917" t="inlineStr">
        <is>
          <t>LASTSCHUETZ</t>
        </is>
      </c>
      <c r="H11917" t="inlineStr">
        <is>
          <t>4kW 1S</t>
        </is>
      </c>
      <c r="I11917">
        <v>1227</v>
      </c>
      <c r="J11917">
        <f>GS15/709.6</f>
        <v>0</v>
      </c>
      <c r="M11917" t="inlineStr">
        <is>
          <t>-709K46.0</t>
        </is>
      </c>
    </row>
    <row r="11918">
      <c r="A11918">
        <v>11917</v>
      </c>
      <c r="B11918">
        <f>GS15</f>
        <v>0</v>
      </c>
      <c r="C11918" t="inlineStr">
        <is>
          <t>+LS14</t>
        </is>
      </c>
      <c r="D11918" t="inlineStr">
        <is>
          <t>-709K46.1</t>
        </is>
      </c>
      <c r="E11918" t="inlineStr">
        <is>
          <t>DIL_EM-10-G</t>
        </is>
      </c>
      <c r="F11918" t="inlineStr">
        <is>
          <t>#KALK!</t>
        </is>
      </c>
      <c r="G11918" t="inlineStr">
        <is>
          <t>LASTSCHUETZ</t>
        </is>
      </c>
      <c r="H11918" t="inlineStr">
        <is>
          <t>4kW 1S</t>
        </is>
      </c>
      <c r="I11918">
        <v>1227</v>
      </c>
      <c r="J11918">
        <f>GS15/709.6</f>
        <v>0</v>
      </c>
      <c r="M11918" t="inlineStr">
        <is>
          <t>-709K46.1</t>
        </is>
      </c>
    </row>
    <row r="11919">
      <c r="A11919">
        <v>11918</v>
      </c>
      <c r="B11919">
        <f>GS92</f>
        <v>0</v>
      </c>
      <c r="C11919" t="inlineStr">
        <is>
          <t>+LS13</t>
        </is>
      </c>
      <c r="D11919" t="inlineStr">
        <is>
          <t>-710K1063.0</t>
        </is>
      </c>
      <c r="E11919" t="inlineStr">
        <is>
          <t>DILA-40</t>
        </is>
      </c>
      <c r="F11919" t="inlineStr">
        <is>
          <t>#KALK!</t>
        </is>
      </c>
      <c r="G11919" t="inlineStr">
        <is>
          <t>HILFSSCHUETZ</t>
        </is>
      </c>
      <c r="H11919" t="inlineStr">
        <is>
          <t>4S Federzugkl.</t>
        </is>
      </c>
      <c r="I11919">
        <v>837</v>
      </c>
      <c r="J11919">
        <f>GS92/710.7</f>
        <v>0</v>
      </c>
      <c r="M11919" t="inlineStr">
        <is>
          <t>-710K1063.0</t>
        </is>
      </c>
    </row>
    <row r="11920">
      <c r="A11920">
        <v>11919</v>
      </c>
      <c r="B11920">
        <f>GS15</f>
        <v>0</v>
      </c>
      <c r="C11920" t="inlineStr">
        <is>
          <t>+LS14</t>
        </is>
      </c>
      <c r="D11920" t="inlineStr">
        <is>
          <t>-710K46.2</t>
        </is>
      </c>
      <c r="E11920" t="inlineStr">
        <is>
          <t>DIL_EM-10-G</t>
        </is>
      </c>
      <c r="F11920" t="inlineStr">
        <is>
          <t>#KALK!</t>
        </is>
      </c>
      <c r="G11920" t="inlineStr">
        <is>
          <t>LASTSCHUETZ</t>
        </is>
      </c>
      <c r="H11920" t="inlineStr">
        <is>
          <t>4kW 1S</t>
        </is>
      </c>
      <c r="I11920">
        <v>1228</v>
      </c>
      <c r="J11920">
        <f>GS15/710.6</f>
        <v>0</v>
      </c>
      <c r="M11920" t="inlineStr">
        <is>
          <t>-710K46.2</t>
        </is>
      </c>
    </row>
    <row r="11921">
      <c r="A11921">
        <v>11920</v>
      </c>
      <c r="B11921">
        <f>GS15</f>
        <v>0</v>
      </c>
      <c r="C11921" t="inlineStr">
        <is>
          <t>+LS14</t>
        </is>
      </c>
      <c r="D11921" t="inlineStr">
        <is>
          <t>-710K46.3</t>
        </is>
      </c>
      <c r="E11921" t="inlineStr">
        <is>
          <t>DIL_EM-10-G</t>
        </is>
      </c>
      <c r="F11921" t="inlineStr">
        <is>
          <t>#KALK!</t>
        </is>
      </c>
      <c r="G11921" t="inlineStr">
        <is>
          <t>LASTSCHUETZ</t>
        </is>
      </c>
      <c r="H11921" t="inlineStr">
        <is>
          <t>4kW 1S</t>
        </is>
      </c>
      <c r="I11921">
        <v>1228</v>
      </c>
      <c r="J11921">
        <f>GS15/710.6</f>
        <v>0</v>
      </c>
      <c r="M11921" t="inlineStr">
        <is>
          <t>-710K46.3</t>
        </is>
      </c>
    </row>
    <row r="11922">
      <c r="A11922">
        <v>11921</v>
      </c>
      <c r="B11922">
        <f>GS93</f>
        <v>0</v>
      </c>
      <c r="C11922" t="inlineStr">
        <is>
          <t>+LS14</t>
        </is>
      </c>
      <c r="D11922" t="inlineStr">
        <is>
          <t>-710K784.4</t>
        </is>
      </c>
      <c r="E11922" t="inlineStr">
        <is>
          <t>DILA-40</t>
        </is>
      </c>
      <c r="F11922" t="inlineStr">
        <is>
          <t>#KALK!</t>
        </is>
      </c>
      <c r="G11922" t="inlineStr">
        <is>
          <t>HILFSSCHUETZ</t>
        </is>
      </c>
      <c r="H11922" t="inlineStr">
        <is>
          <t>4S Federzugkl.</t>
        </is>
      </c>
      <c r="I11922">
        <v>1259</v>
      </c>
      <c r="J11922">
        <f>GS93/710.7</f>
        <v>0</v>
      </c>
      <c r="M11922" t="inlineStr">
        <is>
          <t>-710K784.4</t>
        </is>
      </c>
    </row>
    <row r="11923">
      <c r="A11923">
        <v>11922</v>
      </c>
      <c r="B11923">
        <f>GS92</f>
        <v>0</v>
      </c>
      <c r="C11923" t="inlineStr">
        <is>
          <t>+LS13</t>
        </is>
      </c>
      <c r="D11923" t="inlineStr">
        <is>
          <t>-710Q1</t>
        </is>
      </c>
      <c r="E11923" t="inlineStr">
        <is>
          <t>DILMC25-10(RDC24)</t>
        </is>
      </c>
      <c r="F11923" t="inlineStr">
        <is>
          <t>DILA-XHI22</t>
        </is>
      </c>
      <c r="G11923" t="inlineStr">
        <is>
          <t>LASTSCHUETZ</t>
        </is>
      </c>
      <c r="H11923" t="inlineStr">
        <is>
          <t>11kW 1S Federzugkl.</t>
        </is>
      </c>
      <c r="I11923">
        <v>837</v>
      </c>
      <c r="J11923">
        <f>GS92/710.4</f>
        <v>0</v>
      </c>
      <c r="K11923" t="inlineStr">
        <is>
          <t>DIL MC25</t>
        </is>
      </c>
      <c r="M11923" t="inlineStr">
        <is>
          <t>-710Q1</t>
        </is>
      </c>
    </row>
    <row r="11924">
      <c r="A11924">
        <v>11923</v>
      </c>
      <c r="B11924">
        <f>GS92</f>
        <v>0</v>
      </c>
      <c r="C11924" t="inlineStr">
        <is>
          <t>+LS13</t>
        </is>
      </c>
      <c r="D11924" t="inlineStr">
        <is>
          <t>-710Q1</t>
        </is>
      </c>
      <c r="E11924" t="inlineStr">
        <is>
          <t>DILA-XHI22</t>
        </is>
      </c>
      <c r="F11924" t="inlineStr">
        <is>
          <t>DILA-XHI22</t>
        </is>
      </c>
      <c r="G11924" t="inlineStr">
        <is>
          <t>HILFSKONTAKTBLOCK</t>
        </is>
      </c>
      <c r="H11924" t="inlineStr">
        <is>
          <t>2S 2OE Last+Hilfssch. Cage</t>
        </is>
      </c>
      <c r="I11924">
        <v>837</v>
      </c>
      <c r="J11924">
        <f>GS92/710.4</f>
        <v>0</v>
      </c>
      <c r="K11924" t="inlineStr">
        <is>
          <t>DIL MC25</t>
        </is>
      </c>
      <c r="M11924" t="inlineStr">
        <is>
          <t>-710Q1</t>
        </is>
      </c>
    </row>
    <row r="11925">
      <c r="A11925">
        <v>11924</v>
      </c>
      <c r="B11925">
        <f>GS93</f>
        <v>0</v>
      </c>
      <c r="C11925" t="inlineStr">
        <is>
          <t>+LS14</t>
        </is>
      </c>
      <c r="D11925" t="inlineStr">
        <is>
          <t>-710Q1</t>
        </is>
      </c>
      <c r="E11925" t="inlineStr">
        <is>
          <t>DILA-XHI22</t>
        </is>
      </c>
      <c r="F11925" t="inlineStr">
        <is>
          <t>DILA-XHI22</t>
        </is>
      </c>
      <c r="G11925" t="inlineStr">
        <is>
          <t>HILFSKONTAKTBLOCK</t>
        </is>
      </c>
      <c r="H11925" t="inlineStr">
        <is>
          <t>2S 2OE Last+Hilfssch. Cage</t>
        </is>
      </c>
      <c r="I11925">
        <v>1259</v>
      </c>
      <c r="J11925">
        <f>GS93/710.4</f>
        <v>0</v>
      </c>
      <c r="K11925" t="inlineStr">
        <is>
          <t>DIL MC25</t>
        </is>
      </c>
      <c r="M11925" t="inlineStr">
        <is>
          <t>-710Q1</t>
        </is>
      </c>
    </row>
    <row r="11926">
      <c r="A11926">
        <v>11925</v>
      </c>
      <c r="B11926">
        <f>GS93</f>
        <v>0</v>
      </c>
      <c r="C11926" t="inlineStr">
        <is>
          <t>+LS14</t>
        </is>
      </c>
      <c r="D11926" t="inlineStr">
        <is>
          <t>-710Q1</t>
        </is>
      </c>
      <c r="E11926" t="inlineStr">
        <is>
          <t>DILMC25-10(RDC24)</t>
        </is>
      </c>
      <c r="F11926" t="inlineStr">
        <is>
          <t>DILA-XHI22</t>
        </is>
      </c>
      <c r="G11926" t="inlineStr">
        <is>
          <t>LASTSCHUETZ</t>
        </is>
      </c>
      <c r="H11926" t="inlineStr">
        <is>
          <t>11kW 1S Federzugkl.</t>
        </is>
      </c>
      <c r="I11926">
        <v>1259</v>
      </c>
      <c r="J11926">
        <f>GS93/710.4</f>
        <v>0</v>
      </c>
      <c r="K11926" t="inlineStr">
        <is>
          <t>DIL MC25</t>
        </is>
      </c>
      <c r="M11926" t="inlineStr">
        <is>
          <t>-710Q1</t>
        </is>
      </c>
    </row>
    <row r="11927">
      <c r="A11927">
        <v>11926</v>
      </c>
      <c r="B11927">
        <f>GS15</f>
        <v>0</v>
      </c>
      <c r="C11927" t="inlineStr">
        <is>
          <t>+LS14</t>
        </is>
      </c>
      <c r="D11927" t="inlineStr">
        <is>
          <t>-711K46.4</t>
        </is>
      </c>
      <c r="E11927" t="inlineStr">
        <is>
          <t>DIL_EM-10-G</t>
        </is>
      </c>
      <c r="F11927" t="inlineStr">
        <is>
          <t>#KALK!</t>
        </is>
      </c>
      <c r="G11927" t="inlineStr">
        <is>
          <t>LASTSCHUETZ</t>
        </is>
      </c>
      <c r="H11927" t="inlineStr">
        <is>
          <t>4kW 1S</t>
        </is>
      </c>
      <c r="I11927">
        <v>1229</v>
      </c>
      <c r="J11927">
        <f>GS15/711.6</f>
        <v>0</v>
      </c>
      <c r="M11927" t="inlineStr">
        <is>
          <t>-711K46.4</t>
        </is>
      </c>
    </row>
    <row r="11928">
      <c r="A11928">
        <v>11927</v>
      </c>
      <c r="B11928">
        <f>GS15</f>
        <v>0</v>
      </c>
      <c r="C11928" t="inlineStr">
        <is>
          <t>+LS14</t>
        </is>
      </c>
      <c r="D11928" t="inlineStr">
        <is>
          <t>-711K46.5</t>
        </is>
      </c>
      <c r="E11928" t="inlineStr">
        <is>
          <t>DIL_EM-10-G</t>
        </is>
      </c>
      <c r="F11928" t="inlineStr">
        <is>
          <t>#KALK!</t>
        </is>
      </c>
      <c r="G11928" t="inlineStr">
        <is>
          <t>LASTSCHUETZ</t>
        </is>
      </c>
      <c r="H11928" t="inlineStr">
        <is>
          <t>4kW 1S</t>
        </is>
      </c>
      <c r="I11928">
        <v>1229</v>
      </c>
      <c r="J11928">
        <f>GS15/711.6</f>
        <v>0</v>
      </c>
      <c r="M11928" t="inlineStr">
        <is>
          <t>-711K46.5</t>
        </is>
      </c>
    </row>
    <row r="11929">
      <c r="A11929">
        <v>11928</v>
      </c>
      <c r="B11929">
        <f>GS92</f>
        <v>0</v>
      </c>
      <c r="C11929" t="inlineStr">
        <is>
          <t>+LS13</t>
        </is>
      </c>
      <c r="D11929" t="inlineStr">
        <is>
          <t>-711Q1063.1</t>
        </is>
      </c>
      <c r="E11929" t="inlineStr">
        <is>
          <t>DILM-9-10</t>
        </is>
      </c>
      <c r="F11929" t="inlineStr">
        <is>
          <t>#KALK!</t>
        </is>
      </c>
      <c r="G11929" t="inlineStr">
        <is>
          <t>LASTSCHUETZ</t>
        </is>
      </c>
      <c r="H11929" t="inlineStr">
        <is>
          <t>4kW 1S Federzugkl.</t>
        </is>
      </c>
      <c r="I11929">
        <v>838</v>
      </c>
      <c r="J11929">
        <f>GS92/711.5</f>
        <v>0</v>
      </c>
      <c r="M11929" t="inlineStr">
        <is>
          <t>-711Q1063.1</t>
        </is>
      </c>
    </row>
    <row r="11930">
      <c r="A11930">
        <v>11929</v>
      </c>
      <c r="B11930">
        <f>GS93</f>
        <v>0</v>
      </c>
      <c r="C11930" t="inlineStr">
        <is>
          <t>+LS14</t>
        </is>
      </c>
      <c r="D11930" t="inlineStr">
        <is>
          <t>-711Q784.5</t>
        </is>
      </c>
      <c r="E11930" t="inlineStr">
        <is>
          <t>DILM-9-10</t>
        </is>
      </c>
      <c r="F11930" t="inlineStr">
        <is>
          <t>DILA-XHI22</t>
        </is>
      </c>
      <c r="G11930" t="inlineStr">
        <is>
          <t>LASTSCHUETZ</t>
        </is>
      </c>
      <c r="H11930" t="inlineStr">
        <is>
          <t>4kW 1S Federzugkl.</t>
        </is>
      </c>
      <c r="I11930">
        <v>1260</v>
      </c>
      <c r="J11930">
        <f>GS93/711.5</f>
        <v>0</v>
      </c>
      <c r="M11930" t="inlineStr">
        <is>
          <t>-711Q784.5</t>
        </is>
      </c>
    </row>
    <row r="11931">
      <c r="A11931">
        <v>11930</v>
      </c>
      <c r="B11931">
        <f>GS93</f>
        <v>0</v>
      </c>
      <c r="C11931" t="inlineStr">
        <is>
          <t>+LS14</t>
        </is>
      </c>
      <c r="D11931" t="inlineStr">
        <is>
          <t>-711Q784.5</t>
        </is>
      </c>
      <c r="E11931" t="inlineStr">
        <is>
          <t>DILA-XHI22</t>
        </is>
      </c>
      <c r="F11931" t="inlineStr">
        <is>
          <t>DILA-XHI22</t>
        </is>
      </c>
      <c r="G11931" t="inlineStr">
        <is>
          <t>HILFSKONTAKTBLOCK</t>
        </is>
      </c>
      <c r="H11931" t="inlineStr">
        <is>
          <t>2S 2OE Last+Hilfssch. Cage</t>
        </is>
      </c>
      <c r="I11931">
        <v>1260</v>
      </c>
      <c r="J11931">
        <f>GS93/711.5</f>
        <v>0</v>
      </c>
      <c r="M11931" t="inlineStr">
        <is>
          <t>-711Q784.5</t>
        </is>
      </c>
    </row>
    <row r="11932">
      <c r="A11932">
        <v>11931</v>
      </c>
      <c r="B11932">
        <f>GS93</f>
        <v>0</v>
      </c>
      <c r="C11932" t="inlineStr">
        <is>
          <t>+LS14</t>
        </is>
      </c>
      <c r="D11932" t="inlineStr">
        <is>
          <t>-711Q784.6</t>
        </is>
      </c>
      <c r="E11932" t="inlineStr">
        <is>
          <t>DILM-9-10</t>
        </is>
      </c>
      <c r="F11932" t="inlineStr">
        <is>
          <t>DILA-XHI22</t>
        </is>
      </c>
      <c r="G11932" t="inlineStr">
        <is>
          <t>LASTSCHUETZ</t>
        </is>
      </c>
      <c r="H11932" t="inlineStr">
        <is>
          <t>4kW 1S Federzugkl.</t>
        </is>
      </c>
      <c r="I11932">
        <v>1260</v>
      </c>
      <c r="J11932">
        <f>GS93/711.6</f>
        <v>0</v>
      </c>
      <c r="M11932" t="inlineStr">
        <is>
          <t>-711Q784.6</t>
        </is>
      </c>
    </row>
    <row r="11933">
      <c r="A11933">
        <v>11932</v>
      </c>
      <c r="B11933">
        <f>GS93</f>
        <v>0</v>
      </c>
      <c r="C11933" t="inlineStr">
        <is>
          <t>+LS14</t>
        </is>
      </c>
      <c r="D11933" t="inlineStr">
        <is>
          <t>-711Q784.6</t>
        </is>
      </c>
      <c r="E11933" t="inlineStr">
        <is>
          <t>DILA-XHI22</t>
        </is>
      </c>
      <c r="F11933" t="inlineStr">
        <is>
          <t>DILA-XHI22</t>
        </is>
      </c>
      <c r="G11933" t="inlineStr">
        <is>
          <t>HILFSKONTAKTBLOCK</t>
        </is>
      </c>
      <c r="H11933" t="inlineStr">
        <is>
          <t>2S 2OE Last+Hilfssch. Cage</t>
        </is>
      </c>
      <c r="I11933">
        <v>1260</v>
      </c>
      <c r="J11933">
        <f>GS93/711.6</f>
        <v>0</v>
      </c>
      <c r="M11933" t="inlineStr">
        <is>
          <t>-711Q784.6</t>
        </is>
      </c>
    </row>
    <row r="11934">
      <c r="A11934">
        <v>11933</v>
      </c>
      <c r="B11934">
        <f>GS15</f>
        <v>0</v>
      </c>
      <c r="C11934" t="inlineStr">
        <is>
          <t>+LS14</t>
        </is>
      </c>
      <c r="D11934" t="inlineStr">
        <is>
          <t>-712K46.6</t>
        </is>
      </c>
      <c r="E11934" t="inlineStr">
        <is>
          <t>DIL_EM-10-G</t>
        </is>
      </c>
      <c r="F11934" t="inlineStr">
        <is>
          <t>#KALK!</t>
        </is>
      </c>
      <c r="G11934" t="inlineStr">
        <is>
          <t>LASTSCHUETZ</t>
        </is>
      </c>
      <c r="H11934" t="inlineStr">
        <is>
          <t>4kW 1S</t>
        </is>
      </c>
      <c r="I11934">
        <v>1230</v>
      </c>
      <c r="J11934">
        <f>GS15/712.6</f>
        <v>0</v>
      </c>
      <c r="M11934" t="inlineStr">
        <is>
          <t>-712K46.6</t>
        </is>
      </c>
    </row>
    <row r="11935">
      <c r="A11935">
        <v>11934</v>
      </c>
      <c r="B11935">
        <f>GS15</f>
        <v>0</v>
      </c>
      <c r="C11935" t="inlineStr">
        <is>
          <t>+LS14</t>
        </is>
      </c>
      <c r="D11935" t="inlineStr">
        <is>
          <t>-712K46.7</t>
        </is>
      </c>
      <c r="E11935" t="inlineStr">
        <is>
          <t>DIL_EM-10-G</t>
        </is>
      </c>
      <c r="F11935" t="inlineStr">
        <is>
          <t>#KALK!</t>
        </is>
      </c>
      <c r="G11935" t="inlineStr">
        <is>
          <t>LASTSCHUETZ</t>
        </is>
      </c>
      <c r="H11935" t="inlineStr">
        <is>
          <t>4kW 1S</t>
        </is>
      </c>
      <c r="I11935">
        <v>1230</v>
      </c>
      <c r="J11935">
        <f>GS15/712.6</f>
        <v>0</v>
      </c>
      <c r="M11935" t="inlineStr">
        <is>
          <t>-712K46.7</t>
        </is>
      </c>
    </row>
    <row r="11936">
      <c r="A11936">
        <v>11935</v>
      </c>
      <c r="B11936">
        <f>GS93</f>
        <v>0</v>
      </c>
      <c r="C11936" t="inlineStr">
        <is>
          <t>+LS14</t>
        </is>
      </c>
      <c r="D11936" t="inlineStr">
        <is>
          <t>-712Q784.7</t>
        </is>
      </c>
      <c r="E11936" t="inlineStr">
        <is>
          <t>DILM-9-10</t>
        </is>
      </c>
      <c r="F11936" t="inlineStr">
        <is>
          <t>#KALK!</t>
        </is>
      </c>
      <c r="G11936" t="inlineStr">
        <is>
          <t>LASTSCHUETZ</t>
        </is>
      </c>
      <c r="H11936" t="inlineStr">
        <is>
          <t>4kW 1S Federzugkl.</t>
        </is>
      </c>
      <c r="I11936">
        <v>1261</v>
      </c>
      <c r="J11936">
        <f>GS93/712.5</f>
        <v>0</v>
      </c>
      <c r="M11936" t="inlineStr">
        <is>
          <t>-712Q784.7</t>
        </is>
      </c>
    </row>
    <row r="11937">
      <c r="A11937">
        <v>11936</v>
      </c>
      <c r="B11937">
        <f>GS15</f>
        <v>0</v>
      </c>
      <c r="C11937" t="inlineStr">
        <is>
          <t>+LS14</t>
        </is>
      </c>
      <c r="D11937" t="inlineStr">
        <is>
          <t>-713K47.0</t>
        </is>
      </c>
      <c r="E11937" t="inlineStr">
        <is>
          <t>22_DIL-E</t>
        </is>
      </c>
      <c r="F11937" t="inlineStr">
        <is>
          <t>22_DIL-E</t>
        </is>
      </c>
      <c r="G11937" t="inlineStr">
        <is>
          <t>HILFSKONTAKTBLOCK</t>
        </is>
      </c>
      <c r="H11937" t="inlineStr">
        <is>
          <t>2S 2OE Last+Hilfsschuetz</t>
        </is>
      </c>
      <c r="I11937">
        <v>1231</v>
      </c>
      <c r="J11937">
        <f>GS15/713.6</f>
        <v>0</v>
      </c>
      <c r="M11937" t="inlineStr">
        <is>
          <t>-713K47.0</t>
        </is>
      </c>
    </row>
    <row r="11938">
      <c r="A11938">
        <v>11937</v>
      </c>
      <c r="B11938">
        <f>GS15</f>
        <v>0</v>
      </c>
      <c r="C11938" t="inlineStr">
        <is>
          <t>+LS14</t>
        </is>
      </c>
      <c r="D11938" t="inlineStr">
        <is>
          <t>-713K47.0</t>
        </is>
      </c>
      <c r="E11938" t="inlineStr">
        <is>
          <t>DIL_EM-10-G</t>
        </is>
      </c>
      <c r="F11938" t="inlineStr">
        <is>
          <t>22_DIL-E</t>
        </is>
      </c>
      <c r="G11938" t="inlineStr">
        <is>
          <t>LASTSCHUETZ</t>
        </is>
      </c>
      <c r="H11938" t="inlineStr">
        <is>
          <t>4kW 1S</t>
        </is>
      </c>
      <c r="I11938">
        <v>1231</v>
      </c>
      <c r="J11938">
        <f>GS15/713.6</f>
        <v>0</v>
      </c>
      <c r="M11938" t="inlineStr">
        <is>
          <t>-713K47.0</t>
        </is>
      </c>
    </row>
    <row r="11939">
      <c r="A11939">
        <v>11938</v>
      </c>
      <c r="B11939">
        <f>GS15</f>
        <v>0</v>
      </c>
      <c r="C11939" t="inlineStr">
        <is>
          <t>+LS14</t>
        </is>
      </c>
      <c r="D11939" t="inlineStr">
        <is>
          <t>-713K47.1</t>
        </is>
      </c>
      <c r="E11939" t="inlineStr">
        <is>
          <t>22_DIL-E</t>
        </is>
      </c>
      <c r="F11939" t="inlineStr">
        <is>
          <t>22_DIL-E</t>
        </is>
      </c>
      <c r="G11939" t="inlineStr">
        <is>
          <t>HILFSKONTAKTBLOCK</t>
        </is>
      </c>
      <c r="H11939" t="inlineStr">
        <is>
          <t>2S 2OE Last+Hilfsschuetz</t>
        </is>
      </c>
      <c r="I11939">
        <v>1231</v>
      </c>
      <c r="J11939">
        <f>GS15/713.6</f>
        <v>0</v>
      </c>
      <c r="M11939" t="inlineStr">
        <is>
          <t>-713K47.1</t>
        </is>
      </c>
    </row>
    <row r="11940">
      <c r="A11940">
        <v>11939</v>
      </c>
      <c r="B11940">
        <f>GS15</f>
        <v>0</v>
      </c>
      <c r="C11940" t="inlineStr">
        <is>
          <t>+LS14</t>
        </is>
      </c>
      <c r="D11940" t="inlineStr">
        <is>
          <t>-713K47.1</t>
        </is>
      </c>
      <c r="E11940" t="inlineStr">
        <is>
          <t>DIL_EM-10-G</t>
        </is>
      </c>
      <c r="F11940" t="inlineStr">
        <is>
          <t>22_DIL-E</t>
        </is>
      </c>
      <c r="G11940" t="inlineStr">
        <is>
          <t>LASTSCHUETZ</t>
        </is>
      </c>
      <c r="H11940" t="inlineStr">
        <is>
          <t>4kW 1S</t>
        </is>
      </c>
      <c r="I11940">
        <v>1231</v>
      </c>
      <c r="J11940">
        <f>GS15/713.6</f>
        <v>0</v>
      </c>
      <c r="M11940" t="inlineStr">
        <is>
          <t>-713K47.1</t>
        </is>
      </c>
    </row>
    <row r="11941">
      <c r="A11941">
        <v>11940</v>
      </c>
      <c r="B11941">
        <f>GS93</f>
        <v>0</v>
      </c>
      <c r="C11941" t="inlineStr">
        <is>
          <t>+LS14</t>
        </is>
      </c>
      <c r="D11941" t="inlineStr">
        <is>
          <t>-713Q785.0</t>
        </is>
      </c>
      <c r="E11941" t="inlineStr">
        <is>
          <t>DILM-9-10</t>
        </is>
      </c>
      <c r="F11941" t="inlineStr">
        <is>
          <t>#KALK!</t>
        </is>
      </c>
      <c r="G11941" t="inlineStr">
        <is>
          <t>LASTSCHUETZ</t>
        </is>
      </c>
      <c r="H11941" t="inlineStr">
        <is>
          <t>4kW 1S Federzugkl.</t>
        </is>
      </c>
      <c r="I11941">
        <v>1262</v>
      </c>
      <c r="J11941">
        <f>GS93/713.5</f>
        <v>0</v>
      </c>
      <c r="M11941" t="inlineStr">
        <is>
          <t>-713Q785.0</t>
        </is>
      </c>
    </row>
    <row r="11942">
      <c r="A11942">
        <v>11941</v>
      </c>
      <c r="B11942">
        <f>GS11</f>
        <v>0</v>
      </c>
      <c r="C11942" t="inlineStr">
        <is>
          <t>+LS14</t>
        </is>
      </c>
      <c r="D11942" t="inlineStr">
        <is>
          <t>-714K3533.0</t>
        </is>
      </c>
      <c r="E11942" t="inlineStr">
        <is>
          <t>DILMC12-10(24VDC)</t>
        </is>
      </c>
      <c r="F11942" t="inlineStr">
        <is>
          <t>#KALK!</t>
        </is>
      </c>
      <c r="G11942" t="inlineStr">
        <is>
          <t>LASTSCHUETZ</t>
        </is>
      </c>
      <c r="H11942" t="inlineStr">
        <is>
          <t>5,5kW 1S Federzugkl.</t>
        </is>
      </c>
      <c r="I11942">
        <v>1182</v>
      </c>
      <c r="J11942">
        <f>GS11/714.5</f>
        <v>0</v>
      </c>
      <c r="K11942" t="inlineStr">
        <is>
          <t>DIL MC12</t>
        </is>
      </c>
      <c r="M11942" t="inlineStr">
        <is>
          <t>-714K3533.0</t>
        </is>
      </c>
    </row>
    <row r="11943">
      <c r="A11943">
        <v>11942</v>
      </c>
      <c r="B11943">
        <f>GS15</f>
        <v>0</v>
      </c>
      <c r="C11943" t="inlineStr">
        <is>
          <t>+LS14</t>
        </is>
      </c>
      <c r="D11943" t="inlineStr">
        <is>
          <t>-714K47.2</t>
        </is>
      </c>
      <c r="E11943" t="inlineStr">
        <is>
          <t>22_DIL-E</t>
        </is>
      </c>
      <c r="F11943" t="inlineStr">
        <is>
          <t>22_DIL-E</t>
        </is>
      </c>
      <c r="G11943" t="inlineStr">
        <is>
          <t>HILFSKONTAKTBLOCK</t>
        </is>
      </c>
      <c r="H11943" t="inlineStr">
        <is>
          <t>2S 2OE Last+Hilfsschuetz</t>
        </is>
      </c>
      <c r="I11943">
        <v>1232</v>
      </c>
      <c r="J11943">
        <f>GS15/714.6</f>
        <v>0</v>
      </c>
      <c r="M11943" t="inlineStr">
        <is>
          <t>-714K47.2</t>
        </is>
      </c>
    </row>
    <row r="11944">
      <c r="A11944">
        <v>11943</v>
      </c>
      <c r="B11944">
        <f>GS15</f>
        <v>0</v>
      </c>
      <c r="C11944" t="inlineStr">
        <is>
          <t>+LS14</t>
        </is>
      </c>
      <c r="D11944" t="inlineStr">
        <is>
          <t>-714K47.2</t>
        </is>
      </c>
      <c r="E11944" t="inlineStr">
        <is>
          <t>DIL_EM-10-G</t>
        </is>
      </c>
      <c r="F11944" t="inlineStr">
        <is>
          <t>22_DIL-E</t>
        </is>
      </c>
      <c r="G11944" t="inlineStr">
        <is>
          <t>LASTSCHUETZ</t>
        </is>
      </c>
      <c r="H11944" t="inlineStr">
        <is>
          <t>4kW 1S</t>
        </is>
      </c>
      <c r="I11944">
        <v>1232</v>
      </c>
      <c r="J11944">
        <f>GS15/714.6</f>
        <v>0</v>
      </c>
      <c r="M11944" t="inlineStr">
        <is>
          <t>-714K47.2</t>
        </is>
      </c>
    </row>
    <row r="11945">
      <c r="A11945">
        <v>11944</v>
      </c>
      <c r="B11945">
        <f>GS15</f>
        <v>0</v>
      </c>
      <c r="C11945" t="inlineStr">
        <is>
          <t>+LS14</t>
        </is>
      </c>
      <c r="D11945" t="inlineStr">
        <is>
          <t>-714K47.3</t>
        </is>
      </c>
      <c r="E11945" t="inlineStr">
        <is>
          <t>22_DIL-E</t>
        </is>
      </c>
      <c r="F11945" t="inlineStr">
        <is>
          <t>22_DIL-E</t>
        </is>
      </c>
      <c r="G11945" t="inlineStr">
        <is>
          <t>HILFSKONTAKTBLOCK</t>
        </is>
      </c>
      <c r="H11945" t="inlineStr">
        <is>
          <t>2S 2OE Last+Hilfsschuetz</t>
        </is>
      </c>
      <c r="I11945">
        <v>1232</v>
      </c>
      <c r="J11945">
        <f>GS15/714.6</f>
        <v>0</v>
      </c>
      <c r="M11945" t="inlineStr">
        <is>
          <t>-714K47.3</t>
        </is>
      </c>
    </row>
    <row r="11946">
      <c r="A11946">
        <v>11945</v>
      </c>
      <c r="B11946">
        <f>GS15</f>
        <v>0</v>
      </c>
      <c r="C11946" t="inlineStr">
        <is>
          <t>+LS14</t>
        </is>
      </c>
      <c r="D11946" t="inlineStr">
        <is>
          <t>-714K47.3</t>
        </is>
      </c>
      <c r="E11946" t="inlineStr">
        <is>
          <t>DIL_EM-10-G</t>
        </is>
      </c>
      <c r="F11946" t="inlineStr">
        <is>
          <t>22_DIL-E</t>
        </is>
      </c>
      <c r="G11946" t="inlineStr">
        <is>
          <t>LASTSCHUETZ</t>
        </is>
      </c>
      <c r="H11946" t="inlineStr">
        <is>
          <t>4kW 1S</t>
        </is>
      </c>
      <c r="I11946">
        <v>1232</v>
      </c>
      <c r="J11946">
        <f>GS15/714.6</f>
        <v>0</v>
      </c>
      <c r="M11946" t="inlineStr">
        <is>
          <t>-714K47.3</t>
        </is>
      </c>
    </row>
    <row r="11947">
      <c r="A11947">
        <v>11946</v>
      </c>
      <c r="B11947">
        <f>GS04</f>
        <v>0</v>
      </c>
      <c r="C11947" t="inlineStr">
        <is>
          <t>+LS11</t>
        </is>
      </c>
      <c r="D11947" t="inlineStr">
        <is>
          <t>-714KQ83.4</t>
        </is>
      </c>
      <c r="E11947" t="inlineStr">
        <is>
          <t>DILM-9-01</t>
        </is>
      </c>
      <c r="F11947" t="inlineStr">
        <is>
          <t>#KALK!</t>
        </is>
      </c>
      <c r="G11947" t="inlineStr">
        <is>
          <t>LASTSCHUETZ</t>
        </is>
      </c>
      <c r="H11947" t="inlineStr">
        <is>
          <t>4kW 1Oe Federzugkl.</t>
        </is>
      </c>
      <c r="I11947">
        <v>2082</v>
      </c>
      <c r="J11947">
        <f>GS04/714.6</f>
        <v>0</v>
      </c>
      <c r="M11947" t="inlineStr">
        <is>
          <t>-714KQ83.4</t>
        </is>
      </c>
    </row>
    <row r="11948">
      <c r="A11948">
        <v>11947</v>
      </c>
      <c r="B11948">
        <f>GS93</f>
        <v>0</v>
      </c>
      <c r="C11948" t="inlineStr">
        <is>
          <t>+LS14</t>
        </is>
      </c>
      <c r="D11948" t="inlineStr">
        <is>
          <t>-714Q785.1</t>
        </is>
      </c>
      <c r="E11948" t="inlineStr">
        <is>
          <t>DILM-9-10</t>
        </is>
      </c>
      <c r="F11948" t="inlineStr">
        <is>
          <t>#KALK!</t>
        </is>
      </c>
      <c r="G11948" t="inlineStr">
        <is>
          <t>LASTSCHUETZ</t>
        </is>
      </c>
      <c r="H11948" t="inlineStr">
        <is>
          <t>4kW 1S Federzugkl.</t>
        </is>
      </c>
      <c r="I11948">
        <v>1263</v>
      </c>
      <c r="J11948">
        <f>GS93/714.5</f>
        <v>0</v>
      </c>
      <c r="M11948" t="inlineStr">
        <is>
          <t>-714Q785.1</t>
        </is>
      </c>
    </row>
    <row r="11949">
      <c r="A11949">
        <v>11948</v>
      </c>
      <c r="B11949">
        <f>GS55</f>
        <v>0</v>
      </c>
      <c r="C11949" t="inlineStr">
        <is>
          <t>+LS11</t>
        </is>
      </c>
      <c r="D11949" t="inlineStr">
        <is>
          <t>-715K1</t>
        </is>
      </c>
      <c r="E11949" t="inlineStr">
        <is>
          <t>DILA-22</t>
        </is>
      </c>
      <c r="F11949" t="inlineStr">
        <is>
          <t>#KALK!</t>
        </is>
      </c>
      <c r="G11949" t="inlineStr">
        <is>
          <t>HILFSSCHUETZ</t>
        </is>
      </c>
      <c r="H11949" t="inlineStr">
        <is>
          <t>2S 2Oe Federzugkl.</t>
        </is>
      </c>
      <c r="I11949">
        <v>972</v>
      </c>
      <c r="J11949">
        <f>GS55/715.7</f>
        <v>0</v>
      </c>
      <c r="M11949" t="inlineStr">
        <is>
          <t>-715K1</t>
        </is>
      </c>
    </row>
    <row r="11950">
      <c r="A11950">
        <v>11949</v>
      </c>
      <c r="B11950">
        <f>GS92</f>
        <v>0</v>
      </c>
      <c r="C11950" t="inlineStr">
        <is>
          <t>+LS13</t>
        </is>
      </c>
      <c r="D11950" t="inlineStr">
        <is>
          <t>-715K1063.4</t>
        </is>
      </c>
      <c r="E11950" t="inlineStr">
        <is>
          <t>DILA-40</t>
        </is>
      </c>
      <c r="F11950" t="inlineStr">
        <is>
          <t>#KALK!</t>
        </is>
      </c>
      <c r="G11950" t="inlineStr">
        <is>
          <t>HILFSSCHUETZ</t>
        </is>
      </c>
      <c r="H11950" t="inlineStr">
        <is>
          <t>4S Federzugkl.</t>
        </is>
      </c>
      <c r="I11950">
        <v>842</v>
      </c>
      <c r="J11950">
        <f>GS92/715.7</f>
        <v>0</v>
      </c>
      <c r="M11950" t="inlineStr">
        <is>
          <t>-715K1063.4</t>
        </is>
      </c>
    </row>
    <row r="11951">
      <c r="A11951">
        <v>11950</v>
      </c>
      <c r="B11951">
        <f>GS90</f>
        <v>0</v>
      </c>
      <c r="C11951" t="inlineStr">
        <is>
          <t>+LS16</t>
        </is>
      </c>
      <c r="D11951" t="inlineStr">
        <is>
          <t>-715K210.0</t>
        </is>
      </c>
      <c r="E11951" t="inlineStr">
        <is>
          <t>DILA-40</t>
        </is>
      </c>
      <c r="F11951" t="inlineStr">
        <is>
          <t>#KALK!</t>
        </is>
      </c>
      <c r="G11951" t="inlineStr">
        <is>
          <t>HILFSSCHUETZ</t>
        </is>
      </c>
      <c r="H11951" t="inlineStr">
        <is>
          <t>4S Federzugkl.</t>
        </is>
      </c>
      <c r="I11951">
        <v>510</v>
      </c>
      <c r="J11951">
        <f>GS90/715.7</f>
        <v>0</v>
      </c>
      <c r="M11951" t="inlineStr">
        <is>
          <t>-715K210.0</t>
        </is>
      </c>
    </row>
    <row r="11952">
      <c r="A11952">
        <v>11951</v>
      </c>
      <c r="B11952">
        <f>GS15</f>
        <v>0</v>
      </c>
      <c r="C11952" t="inlineStr">
        <is>
          <t>+LS14</t>
        </is>
      </c>
      <c r="D11952" t="inlineStr">
        <is>
          <t>-715K47.4</t>
        </is>
      </c>
      <c r="E11952" t="inlineStr">
        <is>
          <t>DIL_EM-10-G</t>
        </is>
      </c>
      <c r="F11952" t="inlineStr">
        <is>
          <t>#KALK!</t>
        </is>
      </c>
      <c r="G11952" t="inlineStr">
        <is>
          <t>LASTSCHUETZ</t>
        </is>
      </c>
      <c r="H11952" t="inlineStr">
        <is>
          <t>4kW 1S</t>
        </is>
      </c>
      <c r="I11952">
        <v>1233</v>
      </c>
      <c r="J11952">
        <f>GS15/715.6</f>
        <v>0</v>
      </c>
      <c r="M11952" t="inlineStr">
        <is>
          <t>-715K47.4</t>
        </is>
      </c>
    </row>
    <row r="11953">
      <c r="A11953">
        <v>11952</v>
      </c>
      <c r="B11953">
        <f>GS15</f>
        <v>0</v>
      </c>
      <c r="C11953" t="inlineStr">
        <is>
          <t>+LS14</t>
        </is>
      </c>
      <c r="D11953" t="inlineStr">
        <is>
          <t>-715K47.5</t>
        </is>
      </c>
      <c r="E11953" t="inlineStr">
        <is>
          <t>DIL_EM-10-G</t>
        </is>
      </c>
      <c r="F11953" t="inlineStr">
        <is>
          <t>#KALK!</t>
        </is>
      </c>
      <c r="G11953" t="inlineStr">
        <is>
          <t>LASTSCHUETZ</t>
        </is>
      </c>
      <c r="H11953" t="inlineStr">
        <is>
          <t>4kW 1S</t>
        </is>
      </c>
      <c r="I11953">
        <v>1233</v>
      </c>
      <c r="J11953">
        <f>GS15/715.6</f>
        <v>0</v>
      </c>
      <c r="M11953" t="inlineStr">
        <is>
          <t>-715K47.5</t>
        </is>
      </c>
    </row>
    <row r="11954">
      <c r="A11954">
        <v>11953</v>
      </c>
      <c r="B11954">
        <f>GS06</f>
        <v>0</v>
      </c>
      <c r="C11954" t="inlineStr">
        <is>
          <t>+LS11</t>
        </is>
      </c>
      <c r="D11954" t="inlineStr">
        <is>
          <t>-715Q1</t>
        </is>
      </c>
      <c r="E11954" t="inlineStr">
        <is>
          <t>DILA-XHI22</t>
        </is>
      </c>
      <c r="F11954" t="inlineStr">
        <is>
          <t>DILA-XHI22</t>
        </is>
      </c>
      <c r="G11954" t="inlineStr">
        <is>
          <t>HILFSKONTAKTBLOCK</t>
        </is>
      </c>
      <c r="H11954" t="inlineStr">
        <is>
          <t>2S 2OE Last+Hilfssch. Cage</t>
        </is>
      </c>
      <c r="I11954">
        <v>1087</v>
      </c>
      <c r="J11954">
        <f>GS06/715.6</f>
        <v>0</v>
      </c>
      <c r="K11954" t="inlineStr">
        <is>
          <t>DIL MC25</t>
        </is>
      </c>
      <c r="M11954" t="inlineStr">
        <is>
          <t>-715Q1</t>
        </is>
      </c>
    </row>
    <row r="11955">
      <c r="A11955">
        <v>11954</v>
      </c>
      <c r="B11955">
        <f>GS06</f>
        <v>0</v>
      </c>
      <c r="C11955" t="inlineStr">
        <is>
          <t>+LS11</t>
        </is>
      </c>
      <c r="D11955" t="inlineStr">
        <is>
          <t>-715Q1</t>
        </is>
      </c>
      <c r="E11955" t="inlineStr">
        <is>
          <t>DILMC25-10(RDC24)</t>
        </is>
      </c>
      <c r="F11955" t="inlineStr">
        <is>
          <t>DILA-XHI22</t>
        </is>
      </c>
      <c r="G11955" t="inlineStr">
        <is>
          <t>LASTSCHUETZ</t>
        </is>
      </c>
      <c r="H11955" t="inlineStr">
        <is>
          <t>11kW 1S Federzugkl.</t>
        </is>
      </c>
      <c r="I11955">
        <v>1087</v>
      </c>
      <c r="J11955">
        <f>GS06/715.6</f>
        <v>0</v>
      </c>
      <c r="K11955" t="inlineStr">
        <is>
          <t>DIL MC25</t>
        </is>
      </c>
      <c r="M11955" t="inlineStr">
        <is>
          <t>-715Q1</t>
        </is>
      </c>
    </row>
    <row r="11956">
      <c r="A11956">
        <v>11955</v>
      </c>
      <c r="B11956">
        <f>GS55</f>
        <v>0</v>
      </c>
      <c r="C11956" t="inlineStr">
        <is>
          <t>+LS11</t>
        </is>
      </c>
      <c r="D11956" t="inlineStr">
        <is>
          <t>-715Q1</t>
        </is>
      </c>
      <c r="E11956" t="inlineStr">
        <is>
          <t>DILM150-XHIC22</t>
        </is>
      </c>
      <c r="F11956" t="inlineStr">
        <is>
          <t>DILM150-XHIC22</t>
        </is>
      </c>
      <c r="G11956" t="inlineStr">
        <is>
          <t>HILFSKONTAKTBLOCK</t>
        </is>
      </c>
      <c r="H11956" t="inlineStr">
        <is>
          <t>2S 2OE ab DILMC40</t>
        </is>
      </c>
      <c r="I11956">
        <v>972</v>
      </c>
      <c r="J11956">
        <f>GS55/715.6</f>
        <v>0</v>
      </c>
      <c r="K11956" t="inlineStr">
        <is>
          <t>DIL MC40</t>
        </is>
      </c>
      <c r="M11956" t="inlineStr">
        <is>
          <t>-715Q1</t>
        </is>
      </c>
    </row>
    <row r="11957">
      <c r="A11957">
        <v>11956</v>
      </c>
      <c r="B11957">
        <f>GS55</f>
        <v>0</v>
      </c>
      <c r="C11957" t="inlineStr">
        <is>
          <t>+LS11</t>
        </is>
      </c>
      <c r="D11957" t="inlineStr">
        <is>
          <t>-715Q1</t>
        </is>
      </c>
      <c r="E11957" t="inlineStr">
        <is>
          <t>DILMC40(RDC24)</t>
        </is>
      </c>
      <c r="F11957" t="inlineStr">
        <is>
          <t>DILM150-XHIC22</t>
        </is>
      </c>
      <c r="G11957" t="inlineStr">
        <is>
          <t>LASTSCHUETZ</t>
        </is>
      </c>
      <c r="H11957" t="inlineStr">
        <is>
          <t>18,5kW Federzugkl.</t>
        </is>
      </c>
      <c r="I11957">
        <v>972</v>
      </c>
      <c r="J11957">
        <f>GS55/715.6</f>
        <v>0</v>
      </c>
      <c r="K11957" t="inlineStr">
        <is>
          <t>DIL MC40</t>
        </is>
      </c>
      <c r="M11957" t="inlineStr">
        <is>
          <t>-715Q1</t>
        </is>
      </c>
    </row>
    <row r="11958">
      <c r="A11958">
        <v>11957</v>
      </c>
      <c r="B11958">
        <f>GS90</f>
        <v>0</v>
      </c>
      <c r="C11958" t="inlineStr">
        <is>
          <t>+LS16</t>
        </is>
      </c>
      <c r="D11958" t="inlineStr">
        <is>
          <t>-715Q1</t>
        </is>
      </c>
      <c r="E11958" t="inlineStr">
        <is>
          <t>DILMC25-10(RDC24)</t>
        </is>
      </c>
      <c r="F11958" t="inlineStr">
        <is>
          <t>DILA-XHI22</t>
        </is>
      </c>
      <c r="G11958" t="inlineStr">
        <is>
          <t>LASTSCHUETZ</t>
        </is>
      </c>
      <c r="H11958" t="inlineStr">
        <is>
          <t>11kW 1S Federzugkl.</t>
        </is>
      </c>
      <c r="I11958">
        <v>510</v>
      </c>
      <c r="J11958">
        <f>GS90/715.4</f>
        <v>0</v>
      </c>
      <c r="K11958" t="inlineStr">
        <is>
          <t>DIL MC25</t>
        </is>
      </c>
      <c r="M11958" t="inlineStr">
        <is>
          <t>-715Q1</t>
        </is>
      </c>
    </row>
    <row r="11959">
      <c r="A11959">
        <v>11958</v>
      </c>
      <c r="B11959">
        <f>GS90</f>
        <v>0</v>
      </c>
      <c r="C11959" t="inlineStr">
        <is>
          <t>+LS16</t>
        </is>
      </c>
      <c r="D11959" t="inlineStr">
        <is>
          <t>-715Q1</t>
        </is>
      </c>
      <c r="E11959" t="inlineStr">
        <is>
          <t>DILA-XHI22</t>
        </is>
      </c>
      <c r="F11959" t="inlineStr">
        <is>
          <t>DILA-XHI22</t>
        </is>
      </c>
      <c r="G11959" t="inlineStr">
        <is>
          <t>HILFSKONTAKTBLOCK</t>
        </is>
      </c>
      <c r="H11959" t="inlineStr">
        <is>
          <t>2S 2OE Last+Hilfssch. Cage</t>
        </is>
      </c>
      <c r="I11959">
        <v>510</v>
      </c>
      <c r="J11959">
        <f>GS90/715.4</f>
        <v>0</v>
      </c>
      <c r="K11959" t="inlineStr">
        <is>
          <t>DIL MC25</t>
        </is>
      </c>
      <c r="M11959" t="inlineStr">
        <is>
          <t>-715Q1</t>
        </is>
      </c>
    </row>
    <row r="11960">
      <c r="A11960">
        <v>11959</v>
      </c>
      <c r="B11960">
        <f>GS92</f>
        <v>0</v>
      </c>
      <c r="C11960" t="inlineStr">
        <is>
          <t>+LS13</t>
        </is>
      </c>
      <c r="D11960" t="inlineStr">
        <is>
          <t>-715Q1</t>
        </is>
      </c>
      <c r="E11960" t="inlineStr">
        <is>
          <t>DILMC25-10(RDC24)</t>
        </is>
      </c>
      <c r="F11960" t="inlineStr">
        <is>
          <t>DILA-XHI22</t>
        </is>
      </c>
      <c r="G11960" t="inlineStr">
        <is>
          <t>LASTSCHUETZ</t>
        </is>
      </c>
      <c r="H11960" t="inlineStr">
        <is>
          <t>11kW 1S Federzugkl.</t>
        </is>
      </c>
      <c r="I11960">
        <v>842</v>
      </c>
      <c r="J11960">
        <f>GS92/715.4</f>
        <v>0</v>
      </c>
      <c r="K11960" t="inlineStr">
        <is>
          <t>DIL MC25</t>
        </is>
      </c>
      <c r="M11960" t="inlineStr">
        <is>
          <t>-715Q1</t>
        </is>
      </c>
    </row>
    <row r="11961">
      <c r="A11961">
        <v>11960</v>
      </c>
      <c r="B11961">
        <f>GS92</f>
        <v>0</v>
      </c>
      <c r="C11961" t="inlineStr">
        <is>
          <t>+LS13</t>
        </is>
      </c>
      <c r="D11961" t="inlineStr">
        <is>
          <t>-715Q1</t>
        </is>
      </c>
      <c r="E11961" t="inlineStr">
        <is>
          <t>DILA-XHI22</t>
        </is>
      </c>
      <c r="F11961" t="inlineStr">
        <is>
          <t>DILA-XHI22</t>
        </is>
      </c>
      <c r="G11961" t="inlineStr">
        <is>
          <t>HILFSKONTAKTBLOCK</t>
        </is>
      </c>
      <c r="H11961" t="inlineStr">
        <is>
          <t>2S 2OE Last+Hilfssch. Cage</t>
        </is>
      </c>
      <c r="I11961">
        <v>842</v>
      </c>
      <c r="J11961">
        <f>GS92/715.4</f>
        <v>0</v>
      </c>
      <c r="K11961" t="inlineStr">
        <is>
          <t>DIL MC25</t>
        </is>
      </c>
      <c r="M11961" t="inlineStr">
        <is>
          <t>-715Q1</t>
        </is>
      </c>
    </row>
    <row r="11962">
      <c r="A11962">
        <v>11961</v>
      </c>
      <c r="B11962">
        <f>GS06</f>
        <v>0</v>
      </c>
      <c r="C11962" t="inlineStr">
        <is>
          <t>+LS11</t>
        </is>
      </c>
      <c r="D11962" t="inlineStr">
        <is>
          <t>-715Q3</t>
        </is>
      </c>
      <c r="E11962" t="inlineStr">
        <is>
          <t>DILA-XHI22</t>
        </is>
      </c>
      <c r="F11962" t="inlineStr">
        <is>
          <t>DILA-XHI22</t>
        </is>
      </c>
      <c r="G11962" t="inlineStr">
        <is>
          <t>HILFSKONTAKTBLOCK</t>
        </is>
      </c>
      <c r="H11962" t="inlineStr">
        <is>
          <t>2S 2OE Last+Hilfssch. Cage</t>
        </is>
      </c>
      <c r="I11962">
        <v>1087</v>
      </c>
      <c r="J11962">
        <f>GS06/715.7</f>
        <v>0</v>
      </c>
      <c r="K11962" t="inlineStr">
        <is>
          <t>DIL MC25</t>
        </is>
      </c>
      <c r="M11962" t="inlineStr">
        <is>
          <t>-715Q3</t>
        </is>
      </c>
    </row>
    <row r="11963">
      <c r="A11963">
        <v>11962</v>
      </c>
      <c r="B11963">
        <f>GS06</f>
        <v>0</v>
      </c>
      <c r="C11963" t="inlineStr">
        <is>
          <t>+LS11</t>
        </is>
      </c>
      <c r="D11963" t="inlineStr">
        <is>
          <t>-715Q3</t>
        </is>
      </c>
      <c r="E11963" t="inlineStr">
        <is>
          <t>DILMC25-10(RDC24)</t>
        </is>
      </c>
      <c r="F11963" t="inlineStr">
        <is>
          <t>DILA-XHI22</t>
        </is>
      </c>
      <c r="G11963" t="inlineStr">
        <is>
          <t>LASTSCHUETZ</t>
        </is>
      </c>
      <c r="H11963" t="inlineStr">
        <is>
          <t>11kW 1S Federzugkl.</t>
        </is>
      </c>
      <c r="I11963">
        <v>1087</v>
      </c>
      <c r="J11963">
        <f>GS06/715.7</f>
        <v>0</v>
      </c>
      <c r="K11963" t="inlineStr">
        <is>
          <t>DIL MC25</t>
        </is>
      </c>
      <c r="M11963" t="inlineStr">
        <is>
          <t>-715Q3</t>
        </is>
      </c>
    </row>
    <row r="11964">
      <c r="A11964">
        <v>11963</v>
      </c>
      <c r="B11964">
        <f>GS93</f>
        <v>0</v>
      </c>
      <c r="C11964" t="inlineStr">
        <is>
          <t>+LS14</t>
        </is>
      </c>
      <c r="D11964" t="inlineStr">
        <is>
          <t>-715Q785.2</t>
        </is>
      </c>
      <c r="E11964" t="inlineStr">
        <is>
          <t>DILM-9-10</t>
        </is>
      </c>
      <c r="F11964" t="inlineStr">
        <is>
          <t>#KALK!</t>
        </is>
      </c>
      <c r="G11964" t="inlineStr">
        <is>
          <t>LASTSCHUETZ</t>
        </is>
      </c>
      <c r="H11964" t="inlineStr">
        <is>
          <t>4kW 1S Federzugkl.</t>
        </is>
      </c>
      <c r="I11964">
        <v>1264</v>
      </c>
      <c r="J11964">
        <f>GS93/715.5</f>
        <v>0</v>
      </c>
      <c r="M11964" t="inlineStr">
        <is>
          <t>-715Q785.2</t>
        </is>
      </c>
    </row>
    <row r="11965">
      <c r="A11965">
        <v>11964</v>
      </c>
      <c r="B11965">
        <f>GS15</f>
        <v>0</v>
      </c>
      <c r="C11965" t="inlineStr">
        <is>
          <t>+LS14</t>
        </is>
      </c>
      <c r="D11965" t="inlineStr">
        <is>
          <t>-716K48.7</t>
        </is>
      </c>
      <c r="E11965" t="inlineStr">
        <is>
          <t>DIL_EM-10-G</t>
        </is>
      </c>
      <c r="F11965" t="inlineStr">
        <is>
          <t>#KALK!</t>
        </is>
      </c>
      <c r="G11965" t="inlineStr">
        <is>
          <t>LASTSCHUETZ</t>
        </is>
      </c>
      <c r="H11965" t="inlineStr">
        <is>
          <t>4kW 1S</t>
        </is>
      </c>
      <c r="I11965">
        <v>1234</v>
      </c>
      <c r="J11965">
        <f>GS15/716.7</f>
        <v>0</v>
      </c>
      <c r="M11965" t="inlineStr">
        <is>
          <t>-716K48.7</t>
        </is>
      </c>
    </row>
    <row r="11966">
      <c r="A11966">
        <v>11965</v>
      </c>
      <c r="B11966">
        <f>GS92</f>
        <v>0</v>
      </c>
      <c r="C11966" t="inlineStr">
        <is>
          <t>+LS13</t>
        </is>
      </c>
      <c r="D11966" t="inlineStr">
        <is>
          <t>-716Q1063.5</t>
        </is>
      </c>
      <c r="E11966" t="inlineStr">
        <is>
          <t>DILM-9-10</t>
        </is>
      </c>
      <c r="F11966" t="inlineStr">
        <is>
          <t>#KALK!</t>
        </is>
      </c>
      <c r="G11966" t="inlineStr">
        <is>
          <t>LASTSCHUETZ</t>
        </is>
      </c>
      <c r="H11966" t="inlineStr">
        <is>
          <t>4kW 1S Federzugkl.</t>
        </is>
      </c>
      <c r="I11966">
        <v>843</v>
      </c>
      <c r="J11966">
        <f>GS92/716.5</f>
        <v>0</v>
      </c>
      <c r="M11966" t="inlineStr">
        <is>
          <t>-716Q1063.5</t>
        </is>
      </c>
    </row>
    <row r="11967">
      <c r="A11967">
        <v>11966</v>
      </c>
      <c r="B11967">
        <f>GS11</f>
        <v>0</v>
      </c>
      <c r="C11967" t="inlineStr">
        <is>
          <t>+LS14</t>
        </is>
      </c>
      <c r="D11967" t="inlineStr">
        <is>
          <t>-717K3533.3</t>
        </is>
      </c>
      <c r="E11967" t="inlineStr">
        <is>
          <t>DILMC12-10(24VDC)</t>
        </is>
      </c>
      <c r="F11967" t="inlineStr">
        <is>
          <t>#KALK!</t>
        </is>
      </c>
      <c r="G11967" t="inlineStr">
        <is>
          <t>LASTSCHUETZ</t>
        </is>
      </c>
      <c r="H11967" t="inlineStr">
        <is>
          <t>5,5kW 1S Federzugkl.</t>
        </is>
      </c>
      <c r="I11967">
        <v>1185</v>
      </c>
      <c r="J11967">
        <f>GS11/717.5</f>
        <v>0</v>
      </c>
      <c r="K11967" t="inlineStr">
        <is>
          <t>DIL MC12</t>
        </is>
      </c>
      <c r="M11967" t="inlineStr">
        <is>
          <t>-717K3533.3</t>
        </is>
      </c>
    </row>
    <row r="11968">
      <c r="A11968">
        <v>11967</v>
      </c>
      <c r="B11968">
        <f>GS15</f>
        <v>0</v>
      </c>
      <c r="C11968" t="inlineStr">
        <is>
          <t>+LS14</t>
        </is>
      </c>
      <c r="D11968" t="inlineStr">
        <is>
          <t>-717K49.5</t>
        </is>
      </c>
      <c r="E11968" t="inlineStr">
        <is>
          <t>DIL_EM-10-G</t>
        </is>
      </c>
      <c r="F11968" t="inlineStr">
        <is>
          <t>#KALK!</t>
        </is>
      </c>
      <c r="G11968" t="inlineStr">
        <is>
          <t>LASTSCHUETZ</t>
        </is>
      </c>
      <c r="H11968" t="inlineStr">
        <is>
          <t>4kW 1S</t>
        </is>
      </c>
      <c r="I11968">
        <v>1235</v>
      </c>
      <c r="J11968">
        <f>GS15/717.7</f>
        <v>0</v>
      </c>
      <c r="M11968" t="inlineStr">
        <is>
          <t>-717K49.5</t>
        </is>
      </c>
    </row>
    <row r="11969">
      <c r="A11969">
        <v>11968</v>
      </c>
      <c r="B11969">
        <f>GS55</f>
        <v>0</v>
      </c>
      <c r="C11969" t="inlineStr">
        <is>
          <t>+LS11</t>
        </is>
      </c>
      <c r="D11969" t="inlineStr">
        <is>
          <t>-717Q1</t>
        </is>
      </c>
      <c r="E11969" t="inlineStr">
        <is>
          <t>DILM-9-10</t>
        </is>
      </c>
      <c r="F11969" t="inlineStr">
        <is>
          <t>#KALK!</t>
        </is>
      </c>
      <c r="G11969" t="inlineStr">
        <is>
          <t>LASTSCHUETZ</t>
        </is>
      </c>
      <c r="H11969" t="inlineStr">
        <is>
          <t>4kW 1S Federzugkl.</t>
        </is>
      </c>
      <c r="I11969">
        <v>974</v>
      </c>
      <c r="J11969">
        <f>GS55/717.7</f>
        <v>0</v>
      </c>
      <c r="M11969" t="inlineStr">
        <is>
          <t>-717Q1</t>
        </is>
      </c>
    </row>
    <row r="11970">
      <c r="A11970">
        <v>11969</v>
      </c>
      <c r="B11970">
        <f>GS90</f>
        <v>0</v>
      </c>
      <c r="C11970" t="inlineStr">
        <is>
          <t>+LS16</t>
        </is>
      </c>
      <c r="D11970" t="inlineStr">
        <is>
          <t>-717Q210.1</t>
        </is>
      </c>
      <c r="E11970" t="inlineStr">
        <is>
          <t>DILM-9-10</t>
        </is>
      </c>
      <c r="F11970" t="inlineStr">
        <is>
          <t>#KALK!</t>
        </is>
      </c>
      <c r="G11970" t="inlineStr">
        <is>
          <t>LASTSCHUETZ</t>
        </is>
      </c>
      <c r="H11970" t="inlineStr">
        <is>
          <t>4kW 1S Federzugkl.</t>
        </is>
      </c>
      <c r="I11970">
        <v>512</v>
      </c>
      <c r="J11970">
        <f>GS90/717.5</f>
        <v>0</v>
      </c>
      <c r="M11970" t="inlineStr">
        <is>
          <t>-717Q210.1</t>
        </is>
      </c>
    </row>
    <row r="11971">
      <c r="A11971">
        <v>11970</v>
      </c>
      <c r="B11971">
        <f>GS15</f>
        <v>0</v>
      </c>
      <c r="C11971" t="inlineStr">
        <is>
          <t>+LS14</t>
        </is>
      </c>
      <c r="D11971" t="inlineStr">
        <is>
          <t>-718K49.6</t>
        </is>
      </c>
      <c r="E11971" t="inlineStr">
        <is>
          <t>DIL_EM-10-G</t>
        </is>
      </c>
      <c r="F11971" t="inlineStr">
        <is>
          <t>#KALK!</t>
        </is>
      </c>
      <c r="G11971" t="inlineStr">
        <is>
          <t>LASTSCHUETZ</t>
        </is>
      </c>
      <c r="H11971" t="inlineStr">
        <is>
          <t>4kW 1S</t>
        </is>
      </c>
      <c r="I11971">
        <v>1236</v>
      </c>
      <c r="J11971">
        <f>GS15/718.6</f>
        <v>0</v>
      </c>
      <c r="M11971" t="inlineStr">
        <is>
          <t>-718K49.6</t>
        </is>
      </c>
    </row>
    <row r="11972">
      <c r="A11972">
        <v>11971</v>
      </c>
      <c r="B11972">
        <f>GS15</f>
        <v>0</v>
      </c>
      <c r="C11972" t="inlineStr">
        <is>
          <t>+LS14</t>
        </is>
      </c>
      <c r="D11972" t="inlineStr">
        <is>
          <t>-718K49.7</t>
        </is>
      </c>
      <c r="E11972" t="inlineStr">
        <is>
          <t>DIL_EM-10-G</t>
        </is>
      </c>
      <c r="F11972" t="inlineStr">
        <is>
          <t>#KALK!</t>
        </is>
      </c>
      <c r="G11972" t="inlineStr">
        <is>
          <t>LASTSCHUETZ</t>
        </is>
      </c>
      <c r="H11972" t="inlineStr">
        <is>
          <t>4kW 1S</t>
        </is>
      </c>
      <c r="I11972">
        <v>1236</v>
      </c>
      <c r="J11972">
        <f>GS15/718.6</f>
        <v>0</v>
      </c>
      <c r="M11972" t="inlineStr">
        <is>
          <t>-718K49.7</t>
        </is>
      </c>
    </row>
    <row r="11973">
      <c r="A11973">
        <v>11972</v>
      </c>
      <c r="B11973">
        <f>GS90</f>
        <v>0</v>
      </c>
      <c r="C11973" t="inlineStr">
        <is>
          <t>+LS16</t>
        </is>
      </c>
      <c r="D11973" t="inlineStr">
        <is>
          <t>-718Q210.2</t>
        </is>
      </c>
      <c r="E11973" t="inlineStr">
        <is>
          <t>DILM-9-10</t>
        </is>
      </c>
      <c r="F11973" t="inlineStr">
        <is>
          <t>#KALK!</t>
        </is>
      </c>
      <c r="G11973" t="inlineStr">
        <is>
          <t>LASTSCHUETZ</t>
        </is>
      </c>
      <c r="H11973" t="inlineStr">
        <is>
          <t>4kW 1S Federzugkl.</t>
        </is>
      </c>
      <c r="I11973">
        <v>513</v>
      </c>
      <c r="J11973">
        <f>GS90/718.5</f>
        <v>0</v>
      </c>
      <c r="M11973" t="inlineStr">
        <is>
          <t>-718Q210.2</t>
        </is>
      </c>
    </row>
    <row r="11974">
      <c r="A11974">
        <v>11973</v>
      </c>
      <c r="B11974">
        <f>GS06</f>
        <v>0</v>
      </c>
      <c r="C11974" t="inlineStr">
        <is>
          <t>+LS11</t>
        </is>
      </c>
      <c r="D11974" t="inlineStr">
        <is>
          <t>-718Q433.5</t>
        </is>
      </c>
      <c r="E11974" t="inlineStr">
        <is>
          <t>DILA-XHI22</t>
        </is>
      </c>
      <c r="F11974" t="inlineStr">
        <is>
          <t>DILA-XHI22</t>
        </is>
      </c>
      <c r="G11974" t="inlineStr">
        <is>
          <t>HILFSKONTAKTBLOCK</t>
        </is>
      </c>
      <c r="H11974" t="inlineStr">
        <is>
          <t>2S 2OE Last+Hilfssch. Cage</t>
        </is>
      </c>
      <c r="I11974">
        <v>986</v>
      </c>
      <c r="J11974">
        <f>GS06/718.6</f>
        <v>0</v>
      </c>
      <c r="M11974" t="inlineStr">
        <is>
          <t>-718Q433.5</t>
        </is>
      </c>
    </row>
    <row r="11975">
      <c r="A11975">
        <v>11974</v>
      </c>
      <c r="B11975">
        <f>GS06</f>
        <v>0</v>
      </c>
      <c r="C11975" t="inlineStr">
        <is>
          <t>+LS11</t>
        </is>
      </c>
      <c r="D11975" t="inlineStr">
        <is>
          <t>-718Q433.5</t>
        </is>
      </c>
      <c r="E11975" t="inlineStr">
        <is>
          <t>DILM-9-01</t>
        </is>
      </c>
      <c r="F11975" t="inlineStr">
        <is>
          <t>DILA-XHI22</t>
        </is>
      </c>
      <c r="G11975" t="inlineStr">
        <is>
          <t>LASTSCHUETZ</t>
        </is>
      </c>
      <c r="H11975" t="inlineStr">
        <is>
          <t>4kW 1Oe Federzugkl.</t>
        </is>
      </c>
      <c r="I11975">
        <v>986</v>
      </c>
      <c r="J11975">
        <f>GS06/718.6</f>
        <v>0</v>
      </c>
      <c r="M11975" t="inlineStr">
        <is>
          <t>-718Q433.5</t>
        </is>
      </c>
    </row>
    <row r="11976">
      <c r="A11976">
        <v>11975</v>
      </c>
      <c r="B11976">
        <f>GS06</f>
        <v>0</v>
      </c>
      <c r="C11976" t="inlineStr">
        <is>
          <t>+LS11</t>
        </is>
      </c>
      <c r="D11976" t="inlineStr">
        <is>
          <t>-718Q433.6</t>
        </is>
      </c>
      <c r="E11976" t="inlineStr">
        <is>
          <t>DILA-XHI22</t>
        </is>
      </c>
      <c r="F11976" t="inlineStr">
        <is>
          <t>DILA-XHI22</t>
        </is>
      </c>
      <c r="G11976" t="inlineStr">
        <is>
          <t>HILFSKONTAKTBLOCK</t>
        </is>
      </c>
      <c r="H11976" t="inlineStr">
        <is>
          <t>2S 2OE Last+Hilfssch. Cage</t>
        </is>
      </c>
      <c r="I11976">
        <v>986</v>
      </c>
      <c r="J11976">
        <f>GS06/718.7</f>
        <v>0</v>
      </c>
      <c r="M11976" t="inlineStr">
        <is>
          <t>-718Q433.6</t>
        </is>
      </c>
    </row>
    <row r="11977">
      <c r="A11977">
        <v>11976</v>
      </c>
      <c r="B11977">
        <f>GS06</f>
        <v>0</v>
      </c>
      <c r="C11977" t="inlineStr">
        <is>
          <t>+LS11</t>
        </is>
      </c>
      <c r="D11977" t="inlineStr">
        <is>
          <t>-718Q433.6</t>
        </is>
      </c>
      <c r="E11977" t="inlineStr">
        <is>
          <t>DILM-9-01</t>
        </is>
      </c>
      <c r="F11977" t="inlineStr">
        <is>
          <t>DILA-XHI22</t>
        </is>
      </c>
      <c r="G11977" t="inlineStr">
        <is>
          <t>LASTSCHUETZ</t>
        </is>
      </c>
      <c r="H11977" t="inlineStr">
        <is>
          <t>4kW 1Oe Federzugkl.</t>
        </is>
      </c>
      <c r="I11977">
        <v>986</v>
      </c>
      <c r="J11977">
        <f>GS06/718.7</f>
        <v>0</v>
      </c>
      <c r="M11977" t="inlineStr">
        <is>
          <t>-718Q433.6</t>
        </is>
      </c>
    </row>
    <row r="11978">
      <c r="A11978">
        <v>11977</v>
      </c>
      <c r="B11978">
        <f>GS15</f>
        <v>0</v>
      </c>
      <c r="C11978" t="inlineStr">
        <is>
          <t>+LS14</t>
        </is>
      </c>
      <c r="D11978" t="inlineStr">
        <is>
          <t>-719K50.0</t>
        </is>
      </c>
      <c r="E11978" t="inlineStr">
        <is>
          <t>DIL_EM-10-G</t>
        </is>
      </c>
      <c r="F11978" t="inlineStr">
        <is>
          <t>#KALK!</t>
        </is>
      </c>
      <c r="G11978" t="inlineStr">
        <is>
          <t>LASTSCHUETZ</t>
        </is>
      </c>
      <c r="H11978" t="inlineStr">
        <is>
          <t>4kW 1S</t>
        </is>
      </c>
      <c r="I11978">
        <v>1237</v>
      </c>
      <c r="J11978">
        <f>GS15/719.6</f>
        <v>0</v>
      </c>
      <c r="M11978" t="inlineStr">
        <is>
          <t>-719K50.0</t>
        </is>
      </c>
    </row>
    <row r="11979">
      <c r="A11979">
        <v>11978</v>
      </c>
      <c r="B11979">
        <f>GS15</f>
        <v>0</v>
      </c>
      <c r="C11979" t="inlineStr">
        <is>
          <t>+LS14</t>
        </is>
      </c>
      <c r="D11979" t="inlineStr">
        <is>
          <t>-719K50.1</t>
        </is>
      </c>
      <c r="E11979" t="inlineStr">
        <is>
          <t>DIL_EM-10-G</t>
        </is>
      </c>
      <c r="F11979" t="inlineStr">
        <is>
          <t>#KALK!</t>
        </is>
      </c>
      <c r="G11979" t="inlineStr">
        <is>
          <t>LASTSCHUETZ</t>
        </is>
      </c>
      <c r="H11979" t="inlineStr">
        <is>
          <t>4kW 1S</t>
        </is>
      </c>
      <c r="I11979">
        <v>1237</v>
      </c>
      <c r="J11979">
        <f>GS15/719.6</f>
        <v>0</v>
      </c>
      <c r="M11979" t="inlineStr">
        <is>
          <t>-719K50.1</t>
        </is>
      </c>
    </row>
    <row r="11980">
      <c r="A11980">
        <v>11979</v>
      </c>
      <c r="B11980">
        <f>GS90</f>
        <v>0</v>
      </c>
      <c r="C11980" t="inlineStr">
        <is>
          <t>+LS16</t>
        </is>
      </c>
      <c r="D11980" t="inlineStr">
        <is>
          <t>-719Q210.3</t>
        </is>
      </c>
      <c r="E11980" t="inlineStr">
        <is>
          <t>DILM-9-10</t>
        </is>
      </c>
      <c r="F11980" t="inlineStr">
        <is>
          <t>#KALK!</t>
        </is>
      </c>
      <c r="G11980" t="inlineStr">
        <is>
          <t>LASTSCHUETZ</t>
        </is>
      </c>
      <c r="H11980" t="inlineStr">
        <is>
          <t>4kW 1S Federzugkl.</t>
        </is>
      </c>
      <c r="I11980">
        <v>514</v>
      </c>
      <c r="J11980">
        <f>GS90/719.5</f>
        <v>0</v>
      </c>
      <c r="M11980" t="inlineStr">
        <is>
          <t>-719Q210.3</t>
        </is>
      </c>
    </row>
    <row r="11981">
      <c r="A11981">
        <v>11980</v>
      </c>
      <c r="B11981">
        <f>GS06</f>
        <v>0</v>
      </c>
      <c r="C11981" t="inlineStr">
        <is>
          <t>+LS11</t>
        </is>
      </c>
      <c r="D11981" t="inlineStr">
        <is>
          <t>-719Q433.7</t>
        </is>
      </c>
      <c r="E11981" t="inlineStr">
        <is>
          <t>DILA-XHI22</t>
        </is>
      </c>
      <c r="F11981" t="inlineStr">
        <is>
          <t>DILA-XHI22</t>
        </is>
      </c>
      <c r="G11981" t="inlineStr">
        <is>
          <t>HILFSKONTAKTBLOCK</t>
        </is>
      </c>
      <c r="H11981" t="inlineStr">
        <is>
          <t>2S 2OE Last+Hilfssch. Cage</t>
        </is>
      </c>
      <c r="I11981">
        <v>988</v>
      </c>
      <c r="J11981">
        <f>GS06/719.6</f>
        <v>0</v>
      </c>
      <c r="M11981" t="inlineStr">
        <is>
          <t>-719Q433.7</t>
        </is>
      </c>
    </row>
    <row r="11982">
      <c r="A11982">
        <v>11981</v>
      </c>
      <c r="B11982">
        <f>GS06</f>
        <v>0</v>
      </c>
      <c r="C11982" t="inlineStr">
        <is>
          <t>+LS11</t>
        </is>
      </c>
      <c r="D11982" t="inlineStr">
        <is>
          <t>-719Q433.7</t>
        </is>
      </c>
      <c r="E11982" t="inlineStr">
        <is>
          <t>DILM-9-01</t>
        </is>
      </c>
      <c r="F11982" t="inlineStr">
        <is>
          <t>DILA-XHI22</t>
        </is>
      </c>
      <c r="G11982" t="inlineStr">
        <is>
          <t>LASTSCHUETZ</t>
        </is>
      </c>
      <c r="H11982" t="inlineStr">
        <is>
          <t>4kW 1Oe Federzugkl.</t>
        </is>
      </c>
      <c r="I11982">
        <v>988</v>
      </c>
      <c r="J11982">
        <f>GS06/719.6</f>
        <v>0</v>
      </c>
      <c r="M11982" t="inlineStr">
        <is>
          <t>-719Q433.7</t>
        </is>
      </c>
    </row>
    <row r="11983">
      <c r="A11983">
        <v>11982</v>
      </c>
      <c r="B11983">
        <f>GS06</f>
        <v>0</v>
      </c>
      <c r="C11983" t="inlineStr">
        <is>
          <t>+LS11</t>
        </is>
      </c>
      <c r="D11983" t="inlineStr">
        <is>
          <t>-719Q434.0</t>
        </is>
      </c>
      <c r="E11983" t="inlineStr">
        <is>
          <t>DILA-XHI22</t>
        </is>
      </c>
      <c r="F11983" t="inlineStr">
        <is>
          <t>DILA-XHI22</t>
        </is>
      </c>
      <c r="G11983" t="inlineStr">
        <is>
          <t>HILFSKONTAKTBLOCK</t>
        </is>
      </c>
      <c r="H11983" t="inlineStr">
        <is>
          <t>2S 2OE Last+Hilfssch. Cage</t>
        </is>
      </c>
      <c r="I11983">
        <v>988</v>
      </c>
      <c r="J11983">
        <f>GS06/719.7</f>
        <v>0</v>
      </c>
      <c r="M11983" t="inlineStr">
        <is>
          <t>-719Q434.0</t>
        </is>
      </c>
    </row>
    <row r="11984">
      <c r="A11984">
        <v>11983</v>
      </c>
      <c r="B11984">
        <f>GS06</f>
        <v>0</v>
      </c>
      <c r="C11984" t="inlineStr">
        <is>
          <t>+LS11</t>
        </is>
      </c>
      <c r="D11984" t="inlineStr">
        <is>
          <t>-719Q434.0</t>
        </is>
      </c>
      <c r="E11984" t="inlineStr">
        <is>
          <t>DILM-9-01</t>
        </is>
      </c>
      <c r="F11984" t="inlineStr">
        <is>
          <t>DILA-XHI22</t>
        </is>
      </c>
      <c r="G11984" t="inlineStr">
        <is>
          <t>LASTSCHUETZ</t>
        </is>
      </c>
      <c r="H11984" t="inlineStr">
        <is>
          <t>4kW 1Oe Federzugkl.</t>
        </is>
      </c>
      <c r="I11984">
        <v>988</v>
      </c>
      <c r="J11984">
        <f>GS06/719.7</f>
        <v>0</v>
      </c>
      <c r="M11984" t="inlineStr">
        <is>
          <t>-719Q434.0</t>
        </is>
      </c>
    </row>
    <row r="11985">
      <c r="A11985">
        <v>11984</v>
      </c>
      <c r="B11985">
        <f>GS92</f>
        <v>0</v>
      </c>
      <c r="C11985" t="inlineStr">
        <is>
          <t>+LS13</t>
        </is>
      </c>
      <c r="D11985" t="inlineStr">
        <is>
          <t>-720K1064.0</t>
        </is>
      </c>
      <c r="E11985" t="inlineStr">
        <is>
          <t>DILA-40</t>
        </is>
      </c>
      <c r="F11985" t="inlineStr">
        <is>
          <t>#KALK!</t>
        </is>
      </c>
      <c r="G11985" t="inlineStr">
        <is>
          <t>HILFSSCHUETZ</t>
        </is>
      </c>
      <c r="H11985" t="inlineStr">
        <is>
          <t>4S Federzugkl.</t>
        </is>
      </c>
      <c r="I11985">
        <v>847</v>
      </c>
      <c r="J11985">
        <f>GS92/720.7</f>
        <v>0</v>
      </c>
      <c r="M11985" t="inlineStr">
        <is>
          <t>-720K1064.0</t>
        </is>
      </c>
    </row>
    <row r="11986">
      <c r="A11986">
        <v>11985</v>
      </c>
      <c r="B11986">
        <f>GS15</f>
        <v>0</v>
      </c>
      <c r="C11986" t="inlineStr">
        <is>
          <t>+LS14</t>
        </is>
      </c>
      <c r="D11986" t="inlineStr">
        <is>
          <t>-720K50.2</t>
        </is>
      </c>
      <c r="E11986" t="inlineStr">
        <is>
          <t>DIL_EM-10-G</t>
        </is>
      </c>
      <c r="F11986" t="inlineStr">
        <is>
          <t>#KALK!</t>
        </is>
      </c>
      <c r="G11986" t="inlineStr">
        <is>
          <t>LASTSCHUETZ</t>
        </is>
      </c>
      <c r="H11986" t="inlineStr">
        <is>
          <t>4kW 1S</t>
        </is>
      </c>
      <c r="I11986">
        <v>1238</v>
      </c>
      <c r="J11986">
        <f>GS15/720.6</f>
        <v>0</v>
      </c>
      <c r="M11986" t="inlineStr">
        <is>
          <t>-720K50.2</t>
        </is>
      </c>
    </row>
    <row r="11987">
      <c r="A11987">
        <v>11986</v>
      </c>
      <c r="B11987">
        <f>GS15</f>
        <v>0</v>
      </c>
      <c r="C11987" t="inlineStr">
        <is>
          <t>+LS14</t>
        </is>
      </c>
      <c r="D11987" t="inlineStr">
        <is>
          <t>-720K50.3</t>
        </is>
      </c>
      <c r="E11987" t="inlineStr">
        <is>
          <t>DIL_EM-10-G</t>
        </is>
      </c>
      <c r="F11987" t="inlineStr">
        <is>
          <t>#KALK!</t>
        </is>
      </c>
      <c r="G11987" t="inlineStr">
        <is>
          <t>LASTSCHUETZ</t>
        </is>
      </c>
      <c r="H11987" t="inlineStr">
        <is>
          <t>4kW 1S</t>
        </is>
      </c>
      <c r="I11987">
        <v>1238</v>
      </c>
      <c r="J11987">
        <f>GS15/720.6</f>
        <v>0</v>
      </c>
      <c r="M11987" t="inlineStr">
        <is>
          <t>-720K50.3</t>
        </is>
      </c>
    </row>
    <row r="11988">
      <c r="A11988">
        <v>11987</v>
      </c>
      <c r="B11988">
        <f>GS93</f>
        <v>0</v>
      </c>
      <c r="C11988" t="inlineStr">
        <is>
          <t>+LS14</t>
        </is>
      </c>
      <c r="D11988" t="inlineStr">
        <is>
          <t>-720K786.4</t>
        </is>
      </c>
      <c r="E11988" t="inlineStr">
        <is>
          <t>DILA-40</t>
        </is>
      </c>
      <c r="F11988" t="inlineStr">
        <is>
          <t>#KALK!</t>
        </is>
      </c>
      <c r="G11988" t="inlineStr">
        <is>
          <t>HILFSSCHUETZ</t>
        </is>
      </c>
      <c r="H11988" t="inlineStr">
        <is>
          <t>4S Federzugkl.</t>
        </is>
      </c>
      <c r="I11988">
        <v>1269</v>
      </c>
      <c r="J11988">
        <f>GS93/720.7</f>
        <v>0</v>
      </c>
      <c r="M11988" t="inlineStr">
        <is>
          <t>-720K786.4</t>
        </is>
      </c>
    </row>
    <row r="11989">
      <c r="A11989">
        <v>11988</v>
      </c>
      <c r="B11989">
        <f>GS92</f>
        <v>0</v>
      </c>
      <c r="C11989" t="inlineStr">
        <is>
          <t>+LS13</t>
        </is>
      </c>
      <c r="D11989" t="inlineStr">
        <is>
          <t>-720Q1</t>
        </is>
      </c>
      <c r="E11989" t="inlineStr">
        <is>
          <t>DILMC25-10(RDC24)</t>
        </is>
      </c>
      <c r="F11989" t="inlineStr">
        <is>
          <t>DILA-XHI22</t>
        </is>
      </c>
      <c r="G11989" t="inlineStr">
        <is>
          <t>LASTSCHUETZ</t>
        </is>
      </c>
      <c r="H11989" t="inlineStr">
        <is>
          <t>11kW 1S Federzugkl.</t>
        </is>
      </c>
      <c r="I11989">
        <v>847</v>
      </c>
      <c r="J11989">
        <f>GS92/720.4</f>
        <v>0</v>
      </c>
      <c r="K11989" t="inlineStr">
        <is>
          <t>DIL MC25</t>
        </is>
      </c>
      <c r="M11989" t="inlineStr">
        <is>
          <t>-720Q1</t>
        </is>
      </c>
    </row>
    <row r="11990">
      <c r="A11990">
        <v>11989</v>
      </c>
      <c r="B11990">
        <f>GS92</f>
        <v>0</v>
      </c>
      <c r="C11990" t="inlineStr">
        <is>
          <t>+LS13</t>
        </is>
      </c>
      <c r="D11990" t="inlineStr">
        <is>
          <t>-720Q1</t>
        </is>
      </c>
      <c r="E11990" t="inlineStr">
        <is>
          <t>DILA-XHI22</t>
        </is>
      </c>
      <c r="F11990" t="inlineStr">
        <is>
          <t>DILA-XHI22</t>
        </is>
      </c>
      <c r="G11990" t="inlineStr">
        <is>
          <t>HILFSKONTAKTBLOCK</t>
        </is>
      </c>
      <c r="H11990" t="inlineStr">
        <is>
          <t>2S 2OE Last+Hilfssch. Cage</t>
        </is>
      </c>
      <c r="I11990">
        <v>847</v>
      </c>
      <c r="J11990">
        <f>GS92/720.4</f>
        <v>0</v>
      </c>
      <c r="K11990" t="inlineStr">
        <is>
          <t>DIL MC25</t>
        </is>
      </c>
      <c r="M11990" t="inlineStr">
        <is>
          <t>-720Q1</t>
        </is>
      </c>
    </row>
    <row r="11991">
      <c r="A11991">
        <v>11990</v>
      </c>
      <c r="B11991">
        <f>GS93</f>
        <v>0</v>
      </c>
      <c r="C11991" t="inlineStr">
        <is>
          <t>+LS14</t>
        </is>
      </c>
      <c r="D11991" t="inlineStr">
        <is>
          <t>-720Q1</t>
        </is>
      </c>
      <c r="E11991" t="inlineStr">
        <is>
          <t>DILA-XHI22</t>
        </is>
      </c>
      <c r="F11991" t="inlineStr">
        <is>
          <t>DILA-XHI22</t>
        </is>
      </c>
      <c r="G11991" t="inlineStr">
        <is>
          <t>HILFSKONTAKTBLOCK</t>
        </is>
      </c>
      <c r="H11991" t="inlineStr">
        <is>
          <t>2S 2OE Last+Hilfssch. Cage</t>
        </is>
      </c>
      <c r="I11991">
        <v>1269</v>
      </c>
      <c r="J11991">
        <f>GS93/720.4</f>
        <v>0</v>
      </c>
      <c r="K11991" t="inlineStr">
        <is>
          <t>DIL MC25</t>
        </is>
      </c>
      <c r="M11991" t="inlineStr">
        <is>
          <t>-720Q1</t>
        </is>
      </c>
    </row>
    <row r="11992">
      <c r="A11992">
        <v>11991</v>
      </c>
      <c r="B11992">
        <f>GS93</f>
        <v>0</v>
      </c>
      <c r="C11992" t="inlineStr">
        <is>
          <t>+LS14</t>
        </is>
      </c>
      <c r="D11992" t="inlineStr">
        <is>
          <t>-720Q1</t>
        </is>
      </c>
      <c r="E11992" t="inlineStr">
        <is>
          <t>DILMC25-10(RDC24)</t>
        </is>
      </c>
      <c r="F11992" t="inlineStr">
        <is>
          <t>DILA-XHI22</t>
        </is>
      </c>
      <c r="G11992" t="inlineStr">
        <is>
          <t>LASTSCHUETZ</t>
        </is>
      </c>
      <c r="H11992" t="inlineStr">
        <is>
          <t>11kW 1S Federzugkl.</t>
        </is>
      </c>
      <c r="I11992">
        <v>1269</v>
      </c>
      <c r="J11992">
        <f>GS93/720.4</f>
        <v>0</v>
      </c>
      <c r="K11992" t="inlineStr">
        <is>
          <t>DIL MC25</t>
        </is>
      </c>
      <c r="M11992" t="inlineStr">
        <is>
          <t>-720Q1</t>
        </is>
      </c>
    </row>
    <row r="11993">
      <c r="A11993">
        <v>11992</v>
      </c>
      <c r="B11993">
        <f>GS90</f>
        <v>0</v>
      </c>
      <c r="C11993" t="inlineStr">
        <is>
          <t>+LS16</t>
        </is>
      </c>
      <c r="D11993" t="inlineStr">
        <is>
          <t>-720Q210.4</t>
        </is>
      </c>
      <c r="E11993" t="inlineStr">
        <is>
          <t>DILM-9-10</t>
        </is>
      </c>
      <c r="F11993" t="inlineStr">
        <is>
          <t>#KALK!</t>
        </is>
      </c>
      <c r="G11993" t="inlineStr">
        <is>
          <t>LASTSCHUETZ</t>
        </is>
      </c>
      <c r="H11993" t="inlineStr">
        <is>
          <t>4kW 1S Federzugkl.</t>
        </is>
      </c>
      <c r="I11993">
        <v>517</v>
      </c>
      <c r="J11993">
        <f>GS90/720.5</f>
        <v>0</v>
      </c>
      <c r="M11993" t="inlineStr">
        <is>
          <t>-720Q210.4</t>
        </is>
      </c>
    </row>
    <row r="11994">
      <c r="A11994">
        <v>11993</v>
      </c>
      <c r="B11994">
        <f>GS04</f>
        <v>0</v>
      </c>
      <c r="C11994" t="inlineStr">
        <is>
          <t>+LS11</t>
        </is>
      </c>
      <c r="D11994" t="inlineStr">
        <is>
          <t>-721K1</t>
        </is>
      </c>
      <c r="E11994" t="inlineStr">
        <is>
          <t>DILM-9-10</t>
        </is>
      </c>
      <c r="F11994" t="inlineStr">
        <is>
          <t>DILA-XHI22</t>
        </is>
      </c>
      <c r="G11994" t="inlineStr">
        <is>
          <t>LASTSCHUETZ</t>
        </is>
      </c>
      <c r="H11994" t="inlineStr">
        <is>
          <t>4kW 1S Federzugkl.</t>
        </is>
      </c>
      <c r="I11994">
        <v>2089</v>
      </c>
      <c r="J11994">
        <f>GS04/721.5</f>
        <v>0</v>
      </c>
      <c r="M11994" t="inlineStr">
        <is>
          <t>-721K1</t>
        </is>
      </c>
    </row>
    <row r="11995">
      <c r="A11995">
        <v>11994</v>
      </c>
      <c r="B11995">
        <f>GS04</f>
        <v>0</v>
      </c>
      <c r="C11995" t="inlineStr">
        <is>
          <t>+LS11</t>
        </is>
      </c>
      <c r="D11995" t="inlineStr">
        <is>
          <t>-721K1</t>
        </is>
      </c>
      <c r="E11995" t="inlineStr">
        <is>
          <t>DILA-XHI22</t>
        </is>
      </c>
      <c r="F11995" t="inlineStr">
        <is>
          <t>DILA-XHI22</t>
        </is>
      </c>
      <c r="G11995" t="inlineStr">
        <is>
          <t>HILFSKONTAKTBLOCK</t>
        </is>
      </c>
      <c r="H11995" t="inlineStr">
        <is>
          <t>2S 2OE Last+Hilfssch. Cage</t>
        </is>
      </c>
      <c r="I11995">
        <v>2089</v>
      </c>
      <c r="J11995">
        <f>GS04/721.5</f>
        <v>0</v>
      </c>
      <c r="M11995" t="inlineStr">
        <is>
          <t>-721K1</t>
        </is>
      </c>
    </row>
    <row r="11996">
      <c r="A11996">
        <v>11995</v>
      </c>
      <c r="B11996">
        <f>GS04</f>
        <v>0</v>
      </c>
      <c r="C11996" t="inlineStr">
        <is>
          <t>+LS11</t>
        </is>
      </c>
      <c r="D11996" t="inlineStr">
        <is>
          <t>-721K2</t>
        </is>
      </c>
      <c r="E11996" t="inlineStr">
        <is>
          <t>DILM-9-10</t>
        </is>
      </c>
      <c r="F11996" t="inlineStr">
        <is>
          <t>DILA-XHI22</t>
        </is>
      </c>
      <c r="G11996" t="inlineStr">
        <is>
          <t>LASTSCHUETZ</t>
        </is>
      </c>
      <c r="H11996" t="inlineStr">
        <is>
          <t>4kW 1S Federzugkl.</t>
        </is>
      </c>
      <c r="I11996">
        <v>2089</v>
      </c>
      <c r="J11996">
        <f>GS04/721.6</f>
        <v>0</v>
      </c>
      <c r="M11996" t="inlineStr">
        <is>
          <t>-721K2</t>
        </is>
      </c>
    </row>
    <row r="11997">
      <c r="A11997">
        <v>11996</v>
      </c>
      <c r="B11997">
        <f>GS04</f>
        <v>0</v>
      </c>
      <c r="C11997" t="inlineStr">
        <is>
          <t>+LS11</t>
        </is>
      </c>
      <c r="D11997" t="inlineStr">
        <is>
          <t>-721K2</t>
        </is>
      </c>
      <c r="E11997" t="inlineStr">
        <is>
          <t>DILA-XHI22</t>
        </is>
      </c>
      <c r="F11997" t="inlineStr">
        <is>
          <t>DILA-XHI22</t>
        </is>
      </c>
      <c r="G11997" t="inlineStr">
        <is>
          <t>HILFSKONTAKTBLOCK</t>
        </is>
      </c>
      <c r="H11997" t="inlineStr">
        <is>
          <t>2S 2OE Last+Hilfssch. Cage</t>
        </is>
      </c>
      <c r="I11997">
        <v>2089</v>
      </c>
      <c r="J11997">
        <f>GS04/721.6</f>
        <v>0</v>
      </c>
      <c r="M11997" t="inlineStr">
        <is>
          <t>-721K2</t>
        </is>
      </c>
    </row>
    <row r="11998">
      <c r="A11998">
        <v>11997</v>
      </c>
      <c r="B11998">
        <f>GS15</f>
        <v>0</v>
      </c>
      <c r="C11998" t="inlineStr">
        <is>
          <t>+LS14</t>
        </is>
      </c>
      <c r="D11998" t="inlineStr">
        <is>
          <t>-721K50.4</t>
        </is>
      </c>
      <c r="E11998" t="inlineStr">
        <is>
          <t>DIL_EM-10-G</t>
        </is>
      </c>
      <c r="F11998" t="inlineStr">
        <is>
          <t>#KALK!</t>
        </is>
      </c>
      <c r="G11998" t="inlineStr">
        <is>
          <t>LASTSCHUETZ</t>
        </is>
      </c>
      <c r="H11998" t="inlineStr">
        <is>
          <t>4kW 1S</t>
        </is>
      </c>
      <c r="I11998">
        <v>1239</v>
      </c>
      <c r="J11998">
        <f>GS15/721.6</f>
        <v>0</v>
      </c>
      <c r="M11998" t="inlineStr">
        <is>
          <t>-721K50.4</t>
        </is>
      </c>
    </row>
    <row r="11999">
      <c r="A11999">
        <v>11998</v>
      </c>
      <c r="B11999">
        <f>GS15</f>
        <v>0</v>
      </c>
      <c r="C11999" t="inlineStr">
        <is>
          <t>+LS14</t>
        </is>
      </c>
      <c r="D11999" t="inlineStr">
        <is>
          <t>-721K50.5</t>
        </is>
      </c>
      <c r="E11999" t="inlineStr">
        <is>
          <t>DIL_EM-10-G</t>
        </is>
      </c>
      <c r="F11999" t="inlineStr">
        <is>
          <t>#KALK!</t>
        </is>
      </c>
      <c r="G11999" t="inlineStr">
        <is>
          <t>LASTSCHUETZ</t>
        </is>
      </c>
      <c r="H11999" t="inlineStr">
        <is>
          <t>4kW 1S</t>
        </is>
      </c>
      <c r="I11999">
        <v>1239</v>
      </c>
      <c r="J11999">
        <f>GS15/721.6</f>
        <v>0</v>
      </c>
      <c r="M11999" t="inlineStr">
        <is>
          <t>-721K50.5</t>
        </is>
      </c>
    </row>
    <row r="12000">
      <c r="A12000">
        <v>11999</v>
      </c>
      <c r="B12000">
        <f>GC22</f>
        <v>0</v>
      </c>
      <c r="C12000" t="inlineStr">
        <is>
          <t>+ES5</t>
        </is>
      </c>
      <c r="D12000" t="inlineStr">
        <is>
          <t>-721K7.0</t>
        </is>
      </c>
      <c r="E12000" t="inlineStr">
        <is>
          <t>DILA-40</t>
        </is>
      </c>
      <c r="F12000" t="inlineStr">
        <is>
          <t>DILA-XHIC40</t>
        </is>
      </c>
      <c r="G12000" t="inlineStr">
        <is>
          <t>HILFSSCHUETZ</t>
        </is>
      </c>
      <c r="H12000" t="inlineStr">
        <is>
          <t>4S Federzugkl.</t>
        </is>
      </c>
      <c r="I12000">
        <v>3747</v>
      </c>
      <c r="J12000">
        <f>GC22/721.6</f>
        <v>0</v>
      </c>
      <c r="M12000" t="inlineStr">
        <is>
          <t>-721K7.0</t>
        </is>
      </c>
    </row>
    <row r="12001">
      <c r="A12001">
        <v>12000</v>
      </c>
      <c r="B12001">
        <f>GC22</f>
        <v>0</v>
      </c>
      <c r="C12001" t="inlineStr">
        <is>
          <t>+ES5</t>
        </is>
      </c>
      <c r="D12001" t="inlineStr">
        <is>
          <t>-721K7.0</t>
        </is>
      </c>
      <c r="E12001" t="inlineStr">
        <is>
          <t>DILA-XHIC40</t>
        </is>
      </c>
      <c r="F12001" t="inlineStr">
        <is>
          <t>DILA-XHIC40</t>
        </is>
      </c>
      <c r="G12001" t="inlineStr">
        <is>
          <t>HILFSKONTAKTBLOCK</t>
        </is>
      </c>
      <c r="H12001" t="inlineStr">
        <is>
          <t>4S Last+Hilfssch. Cage</t>
        </is>
      </c>
      <c r="I12001">
        <v>3747</v>
      </c>
      <c r="J12001">
        <f>GC22/721.6</f>
        <v>0</v>
      </c>
      <c r="M12001" t="inlineStr">
        <is>
          <t>-721K7.0</t>
        </is>
      </c>
    </row>
    <row r="12002">
      <c r="A12002">
        <v>12001</v>
      </c>
      <c r="B12002">
        <f>GS12</f>
        <v>0</v>
      </c>
      <c r="C12002" t="inlineStr">
        <is>
          <t>+ES5</t>
        </is>
      </c>
      <c r="D12002" t="inlineStr">
        <is>
          <t>-721K7.0</t>
        </is>
      </c>
      <c r="E12002" t="inlineStr">
        <is>
          <t>DILA-XHIC40</t>
        </is>
      </c>
      <c r="F12002" t="inlineStr">
        <is>
          <t>DILA-XHIC40</t>
        </is>
      </c>
      <c r="G12002" t="inlineStr">
        <is>
          <t>HILFSKONTAKTBLOCK</t>
        </is>
      </c>
      <c r="H12002" t="inlineStr">
        <is>
          <t>4S Last+Hilfssch. Cage</t>
        </is>
      </c>
      <c r="I12002">
        <v>1187</v>
      </c>
      <c r="J12002">
        <f>GS12/721.6</f>
        <v>0</v>
      </c>
      <c r="M12002" t="inlineStr">
        <is>
          <t>-721K7.0</t>
        </is>
      </c>
    </row>
    <row r="12003">
      <c r="A12003">
        <v>12002</v>
      </c>
      <c r="B12003">
        <f>GS12</f>
        <v>0</v>
      </c>
      <c r="C12003" t="inlineStr">
        <is>
          <t>+ES5</t>
        </is>
      </c>
      <c r="D12003" t="inlineStr">
        <is>
          <t>-721K7.0</t>
        </is>
      </c>
      <c r="E12003" t="inlineStr">
        <is>
          <t>DILA-40</t>
        </is>
      </c>
      <c r="F12003" t="inlineStr">
        <is>
          <t>DILA-XHIC40</t>
        </is>
      </c>
      <c r="G12003" t="inlineStr">
        <is>
          <t>HILFSSCHUETZ</t>
        </is>
      </c>
      <c r="H12003" t="inlineStr">
        <is>
          <t>4S Federzugkl.</t>
        </is>
      </c>
      <c r="I12003">
        <v>1187</v>
      </c>
      <c r="J12003">
        <f>GS12/721.6</f>
        <v>0</v>
      </c>
      <c r="M12003" t="inlineStr">
        <is>
          <t>-721K7.0</t>
        </is>
      </c>
    </row>
    <row r="12004">
      <c r="A12004">
        <v>12003</v>
      </c>
      <c r="B12004">
        <f>GC22</f>
        <v>0</v>
      </c>
      <c r="C12004" t="inlineStr">
        <is>
          <t>+ES5</t>
        </is>
      </c>
      <c r="D12004" t="inlineStr">
        <is>
          <t>-721K7.1</t>
        </is>
      </c>
      <c r="E12004" t="inlineStr">
        <is>
          <t>DILA-40</t>
        </is>
      </c>
      <c r="F12004" t="inlineStr">
        <is>
          <t>DILA-XHIC40</t>
        </is>
      </c>
      <c r="G12004" t="inlineStr">
        <is>
          <t>HILFSSCHUETZ</t>
        </is>
      </c>
      <c r="H12004" t="inlineStr">
        <is>
          <t>4S Federzugkl.</t>
        </is>
      </c>
      <c r="I12004">
        <v>3747</v>
      </c>
      <c r="J12004">
        <f>GC22/721.6</f>
        <v>0</v>
      </c>
      <c r="M12004" t="inlineStr">
        <is>
          <t>-721K7.1</t>
        </is>
      </c>
    </row>
    <row r="12005">
      <c r="A12005">
        <v>12004</v>
      </c>
      <c r="B12005">
        <f>GC22</f>
        <v>0</v>
      </c>
      <c r="C12005" t="inlineStr">
        <is>
          <t>+ES5</t>
        </is>
      </c>
      <c r="D12005" t="inlineStr">
        <is>
          <t>-721K7.1</t>
        </is>
      </c>
      <c r="E12005" t="inlineStr">
        <is>
          <t>DILA-XHIC40</t>
        </is>
      </c>
      <c r="F12005" t="inlineStr">
        <is>
          <t>DILA-XHIC40</t>
        </is>
      </c>
      <c r="G12005" t="inlineStr">
        <is>
          <t>HILFSKONTAKTBLOCK</t>
        </is>
      </c>
      <c r="H12005" t="inlineStr">
        <is>
          <t>4S Last+Hilfssch. Cage</t>
        </is>
      </c>
      <c r="I12005">
        <v>3747</v>
      </c>
      <c r="J12005">
        <f>GC22/721.6</f>
        <v>0</v>
      </c>
      <c r="M12005" t="inlineStr">
        <is>
          <t>-721K7.1</t>
        </is>
      </c>
    </row>
    <row r="12006">
      <c r="A12006">
        <v>12005</v>
      </c>
      <c r="B12006">
        <f>GS12</f>
        <v>0</v>
      </c>
      <c r="C12006" t="inlineStr">
        <is>
          <t>+ES5</t>
        </is>
      </c>
      <c r="D12006" t="inlineStr">
        <is>
          <t>-721K7.1</t>
        </is>
      </c>
      <c r="E12006" t="inlineStr">
        <is>
          <t>DILA-40</t>
        </is>
      </c>
      <c r="F12006" t="inlineStr">
        <is>
          <t>DILA-XHIC40</t>
        </is>
      </c>
      <c r="G12006" t="inlineStr">
        <is>
          <t>HILFSSCHUETZ</t>
        </is>
      </c>
      <c r="H12006" t="inlineStr">
        <is>
          <t>4S Federzugkl.</t>
        </is>
      </c>
      <c r="I12006">
        <v>1187</v>
      </c>
      <c r="J12006">
        <f>GS12/721.6</f>
        <v>0</v>
      </c>
      <c r="M12006" t="inlineStr">
        <is>
          <t>-721K7.1</t>
        </is>
      </c>
    </row>
    <row r="12007">
      <c r="A12007">
        <v>12006</v>
      </c>
      <c r="B12007">
        <f>GS12</f>
        <v>0</v>
      </c>
      <c r="C12007" t="inlineStr">
        <is>
          <t>+ES5</t>
        </is>
      </c>
      <c r="D12007" t="inlineStr">
        <is>
          <t>-721K7.1</t>
        </is>
      </c>
      <c r="E12007" t="inlineStr">
        <is>
          <t>DILA-XHIC40</t>
        </is>
      </c>
      <c r="F12007" t="inlineStr">
        <is>
          <t>DILA-XHIC40</t>
        </is>
      </c>
      <c r="G12007" t="inlineStr">
        <is>
          <t>HILFSKONTAKTBLOCK</t>
        </is>
      </c>
      <c r="H12007" t="inlineStr">
        <is>
          <t>4S Last+Hilfssch. Cage</t>
        </is>
      </c>
      <c r="I12007">
        <v>1187</v>
      </c>
      <c r="J12007">
        <f>GS12/721.6</f>
        <v>0</v>
      </c>
      <c r="M12007" t="inlineStr">
        <is>
          <t>-721K7.1</t>
        </is>
      </c>
    </row>
    <row r="12008">
      <c r="A12008">
        <v>12007</v>
      </c>
      <c r="B12008">
        <f>GS04</f>
        <v>0</v>
      </c>
      <c r="C12008" t="inlineStr">
        <is>
          <t>+LS11</t>
        </is>
      </c>
      <c r="D12008" t="inlineStr">
        <is>
          <t>-721K83.5</t>
        </is>
      </c>
      <c r="E12008" t="inlineStr">
        <is>
          <t>DILA-22</t>
        </is>
      </c>
      <c r="F12008" t="inlineStr">
        <is>
          <t>#KALK!</t>
        </is>
      </c>
      <c r="G12008" t="inlineStr">
        <is>
          <t>HILFSSCHUETZ</t>
        </is>
      </c>
      <c r="H12008" t="inlineStr">
        <is>
          <t>2S 2Oe Federzugkl.</t>
        </is>
      </c>
      <c r="I12008">
        <v>2089</v>
      </c>
      <c r="J12008">
        <f>GS04/721.8</f>
        <v>0</v>
      </c>
      <c r="M12008" t="inlineStr">
        <is>
          <t>-721K83.5</t>
        </is>
      </c>
    </row>
    <row r="12009">
      <c r="A12009">
        <v>12008</v>
      </c>
      <c r="B12009">
        <f>GS92</f>
        <v>0</v>
      </c>
      <c r="C12009" t="inlineStr">
        <is>
          <t>+LS13</t>
        </is>
      </c>
      <c r="D12009" t="inlineStr">
        <is>
          <t>-721Q1064.5</t>
        </is>
      </c>
      <c r="E12009" t="inlineStr">
        <is>
          <t>DILM-9-10</t>
        </is>
      </c>
      <c r="F12009" t="inlineStr">
        <is>
          <t>#KALK!</t>
        </is>
      </c>
      <c r="G12009" t="inlineStr">
        <is>
          <t>LASTSCHUETZ</t>
        </is>
      </c>
      <c r="H12009" t="inlineStr">
        <is>
          <t>4kW 1S Federzugkl.</t>
        </is>
      </c>
      <c r="I12009">
        <v>848</v>
      </c>
      <c r="J12009">
        <f>GS92/721.5</f>
        <v>0</v>
      </c>
      <c r="M12009" t="inlineStr">
        <is>
          <t>-721Q1064.5</t>
        </is>
      </c>
    </row>
    <row r="12010">
      <c r="A12010">
        <v>12009</v>
      </c>
      <c r="B12010">
        <f>GS90</f>
        <v>0</v>
      </c>
      <c r="C12010" t="inlineStr">
        <is>
          <t>+LS16</t>
        </is>
      </c>
      <c r="D12010" t="inlineStr">
        <is>
          <t>-721Q210.5</t>
        </is>
      </c>
      <c r="E12010" t="inlineStr">
        <is>
          <t>DILM-9-10</t>
        </is>
      </c>
      <c r="F12010" t="inlineStr">
        <is>
          <t>#KALK!</t>
        </is>
      </c>
      <c r="G12010" t="inlineStr">
        <is>
          <t>LASTSCHUETZ</t>
        </is>
      </c>
      <c r="H12010" t="inlineStr">
        <is>
          <t>4kW 1S Federzugkl.</t>
        </is>
      </c>
      <c r="I12010">
        <v>515</v>
      </c>
      <c r="J12010">
        <f>GS90/721.5</f>
        <v>0</v>
      </c>
      <c r="M12010" t="inlineStr">
        <is>
          <t>-721Q210.5</t>
        </is>
      </c>
    </row>
    <row r="12011">
      <c r="A12011">
        <v>12010</v>
      </c>
      <c r="B12011">
        <f>GS93</f>
        <v>0</v>
      </c>
      <c r="C12011" t="inlineStr">
        <is>
          <t>+LS14</t>
        </is>
      </c>
      <c r="D12011" t="inlineStr">
        <is>
          <t>-721Q786.5</t>
        </is>
      </c>
      <c r="E12011" t="inlineStr">
        <is>
          <t>DILM-9-10</t>
        </is>
      </c>
      <c r="F12011" t="inlineStr">
        <is>
          <t>#KALK!</t>
        </is>
      </c>
      <c r="G12011" t="inlineStr">
        <is>
          <t>LASTSCHUETZ</t>
        </is>
      </c>
      <c r="H12011" t="inlineStr">
        <is>
          <t>4kW 1S Federzugkl.</t>
        </is>
      </c>
      <c r="I12011">
        <v>1270</v>
      </c>
      <c r="J12011">
        <f>GS93/721.5</f>
        <v>0</v>
      </c>
      <c r="M12011" t="inlineStr">
        <is>
          <t>-721Q786.5</t>
        </is>
      </c>
    </row>
    <row r="12012">
      <c r="A12012">
        <v>12011</v>
      </c>
      <c r="B12012">
        <f>GC22</f>
        <v>0</v>
      </c>
      <c r="C12012" t="inlineStr">
        <is>
          <t>+ES5</t>
        </is>
      </c>
      <c r="D12012" t="inlineStr">
        <is>
          <t>-722K3592.2</t>
        </is>
      </c>
      <c r="E12012" t="inlineStr">
        <is>
          <t>DILA-31</t>
        </is>
      </c>
      <c r="F12012" t="inlineStr">
        <is>
          <t>#KALK!</t>
        </is>
      </c>
      <c r="G12012" t="inlineStr">
        <is>
          <t>HILFSSCHUETZ</t>
        </is>
      </c>
      <c r="H12012" t="inlineStr">
        <is>
          <t>3S 1Oe Federzugkl.</t>
        </is>
      </c>
      <c r="I12012">
        <v>3759</v>
      </c>
      <c r="J12012">
        <f>GC22/722.6</f>
        <v>0</v>
      </c>
      <c r="M12012" t="inlineStr">
        <is>
          <t>-722K3592.2</t>
        </is>
      </c>
    </row>
    <row r="12013">
      <c r="A12013">
        <v>12012</v>
      </c>
      <c r="B12013">
        <f>GS12</f>
        <v>0</v>
      </c>
      <c r="C12013" t="inlineStr">
        <is>
          <t>+ES5</t>
        </is>
      </c>
      <c r="D12013" t="inlineStr">
        <is>
          <t>-722K3592.2</t>
        </is>
      </c>
      <c r="E12013" t="inlineStr">
        <is>
          <t>DILA-31</t>
        </is>
      </c>
      <c r="F12013" t="inlineStr">
        <is>
          <t>#KALK!</t>
        </is>
      </c>
      <c r="G12013" t="inlineStr">
        <is>
          <t>HILFSSCHUETZ</t>
        </is>
      </c>
      <c r="H12013" t="inlineStr">
        <is>
          <t>3S 1Oe Federzugkl.</t>
        </is>
      </c>
      <c r="I12013">
        <v>1188</v>
      </c>
      <c r="J12013">
        <f>GS12/722.6</f>
        <v>0</v>
      </c>
      <c r="M12013" t="inlineStr">
        <is>
          <t>-722K3592.2</t>
        </is>
      </c>
    </row>
    <row r="12014">
      <c r="A12014">
        <v>12013</v>
      </c>
      <c r="B12014">
        <f>GS15</f>
        <v>0</v>
      </c>
      <c r="C12014" t="inlineStr">
        <is>
          <t>+LS14</t>
        </is>
      </c>
      <c r="D12014" t="inlineStr">
        <is>
          <t>-722K50.7</t>
        </is>
      </c>
      <c r="E12014" t="inlineStr">
        <is>
          <t>DIL_EM-10-G</t>
        </is>
      </c>
      <c r="F12014" t="inlineStr">
        <is>
          <t>#KALK!</t>
        </is>
      </c>
      <c r="G12014" t="inlineStr">
        <is>
          <t>LASTSCHUETZ</t>
        </is>
      </c>
      <c r="H12014" t="inlineStr">
        <is>
          <t>4kW 1S</t>
        </is>
      </c>
      <c r="I12014">
        <v>1240</v>
      </c>
      <c r="J12014">
        <f>GS15/722.6</f>
        <v>0</v>
      </c>
      <c r="M12014" t="inlineStr">
        <is>
          <t>-722K50.7</t>
        </is>
      </c>
    </row>
    <row r="12015">
      <c r="A12015">
        <v>12014</v>
      </c>
      <c r="B12015">
        <f>GS15</f>
        <v>0</v>
      </c>
      <c r="C12015" t="inlineStr">
        <is>
          <t>+LS14</t>
        </is>
      </c>
      <c r="D12015" t="inlineStr">
        <is>
          <t>-722K51.0</t>
        </is>
      </c>
      <c r="E12015" t="inlineStr">
        <is>
          <t>DIL_EM-10-G</t>
        </is>
      </c>
      <c r="F12015" t="inlineStr">
        <is>
          <t>#KALK!</t>
        </is>
      </c>
      <c r="G12015" t="inlineStr">
        <is>
          <t>LASTSCHUETZ</t>
        </is>
      </c>
      <c r="H12015" t="inlineStr">
        <is>
          <t>4kW 1S</t>
        </is>
      </c>
      <c r="I12015">
        <v>1240</v>
      </c>
      <c r="J12015">
        <f>GS15/722.6</f>
        <v>0</v>
      </c>
      <c r="M12015" t="inlineStr">
        <is>
          <t>-722K51.0</t>
        </is>
      </c>
    </row>
    <row r="12016">
      <c r="A12016">
        <v>12015</v>
      </c>
      <c r="B12016">
        <f>GS90</f>
        <v>0</v>
      </c>
      <c r="C12016" t="inlineStr">
        <is>
          <t>+LS16</t>
        </is>
      </c>
      <c r="D12016" t="inlineStr">
        <is>
          <t>-722Q210.6</t>
        </is>
      </c>
      <c r="E12016" t="inlineStr">
        <is>
          <t>DILM-9-10</t>
        </is>
      </c>
      <c r="F12016" t="inlineStr">
        <is>
          <t>#KALK!</t>
        </is>
      </c>
      <c r="G12016" t="inlineStr">
        <is>
          <t>LASTSCHUETZ</t>
        </is>
      </c>
      <c r="H12016" t="inlineStr">
        <is>
          <t>4kW 1S Federzugkl.</t>
        </is>
      </c>
      <c r="I12016">
        <v>516</v>
      </c>
      <c r="J12016">
        <f>GS90/722.5</f>
        <v>0</v>
      </c>
      <c r="M12016" t="inlineStr">
        <is>
          <t>-722Q210.6</t>
        </is>
      </c>
    </row>
    <row r="12017">
      <c r="A12017">
        <v>12016</v>
      </c>
      <c r="B12017">
        <f>GS93</f>
        <v>0</v>
      </c>
      <c r="C12017" t="inlineStr">
        <is>
          <t>+LS14</t>
        </is>
      </c>
      <c r="D12017" t="inlineStr">
        <is>
          <t>-722Q786.6</t>
        </is>
      </c>
      <c r="E12017" t="inlineStr">
        <is>
          <t>DILM-9-10</t>
        </is>
      </c>
      <c r="F12017" t="inlineStr">
        <is>
          <t>#KALK!</t>
        </is>
      </c>
      <c r="G12017" t="inlineStr">
        <is>
          <t>LASTSCHUETZ</t>
        </is>
      </c>
      <c r="H12017" t="inlineStr">
        <is>
          <t>4kW 1S Federzugkl.</t>
        </is>
      </c>
      <c r="I12017">
        <v>1271</v>
      </c>
      <c r="J12017">
        <f>GS93/722.5</f>
        <v>0</v>
      </c>
      <c r="M12017" t="inlineStr">
        <is>
          <t>-722Q786.6</t>
        </is>
      </c>
    </row>
    <row r="12018">
      <c r="A12018">
        <v>12017</v>
      </c>
      <c r="B12018">
        <f>GS92</f>
        <v>0</v>
      </c>
      <c r="C12018" t="inlineStr">
        <is>
          <t>+LS13</t>
        </is>
      </c>
      <c r="D12018" t="inlineStr">
        <is>
          <t>-723Q1064.7</t>
        </is>
      </c>
      <c r="E12018" t="inlineStr">
        <is>
          <t>DILM-9-10</t>
        </is>
      </c>
      <c r="F12018" t="inlineStr">
        <is>
          <t>#KALK!</t>
        </is>
      </c>
      <c r="G12018" t="inlineStr">
        <is>
          <t>LASTSCHUETZ</t>
        </is>
      </c>
      <c r="H12018" t="inlineStr">
        <is>
          <t>4kW 1S Federzugkl.</t>
        </is>
      </c>
      <c r="I12018">
        <v>850</v>
      </c>
      <c r="J12018">
        <f>GS92/723.5</f>
        <v>0</v>
      </c>
      <c r="M12018" t="inlineStr">
        <is>
          <t>-723Q1064.7</t>
        </is>
      </c>
    </row>
    <row r="12019">
      <c r="A12019">
        <v>12018</v>
      </c>
      <c r="B12019">
        <f>GS90</f>
        <v>0</v>
      </c>
      <c r="C12019" t="inlineStr">
        <is>
          <t>+LS16</t>
        </is>
      </c>
      <c r="D12019" t="inlineStr">
        <is>
          <t>-723Q210.7</t>
        </is>
      </c>
      <c r="E12019" t="inlineStr">
        <is>
          <t>DILM-9-10</t>
        </is>
      </c>
      <c r="F12019" t="inlineStr">
        <is>
          <t>#KALK!</t>
        </is>
      </c>
      <c r="G12019" t="inlineStr">
        <is>
          <t>LASTSCHUETZ</t>
        </is>
      </c>
      <c r="H12019" t="inlineStr">
        <is>
          <t>4kW 1S Federzugkl.</t>
        </is>
      </c>
      <c r="I12019">
        <v>518</v>
      </c>
      <c r="J12019">
        <f>GS90/723.5</f>
        <v>0</v>
      </c>
      <c r="M12019" t="inlineStr">
        <is>
          <t>-723Q210.7</t>
        </is>
      </c>
    </row>
    <row r="12020">
      <c r="A12020">
        <v>12019</v>
      </c>
      <c r="B12020">
        <f>GS93</f>
        <v>0</v>
      </c>
      <c r="C12020" t="inlineStr">
        <is>
          <t>+LS14</t>
        </is>
      </c>
      <c r="D12020" t="inlineStr">
        <is>
          <t>-723Q786.7</t>
        </is>
      </c>
      <c r="E12020" t="inlineStr">
        <is>
          <t>DILM-9-10</t>
        </is>
      </c>
      <c r="F12020" t="inlineStr">
        <is>
          <t>#KALK!</t>
        </is>
      </c>
      <c r="G12020" t="inlineStr">
        <is>
          <t>LASTSCHUETZ</t>
        </is>
      </c>
      <c r="H12020" t="inlineStr">
        <is>
          <t>4kW 1S Federzugkl.</t>
        </is>
      </c>
      <c r="I12020">
        <v>1272</v>
      </c>
      <c r="J12020">
        <f>GS93/723.5</f>
        <v>0</v>
      </c>
      <c r="M12020" t="inlineStr">
        <is>
          <t>-723Q786.7</t>
        </is>
      </c>
    </row>
    <row r="12021">
      <c r="A12021">
        <v>12020</v>
      </c>
      <c r="B12021">
        <f>GS92</f>
        <v>0</v>
      </c>
      <c r="C12021" t="inlineStr">
        <is>
          <t>+LS13</t>
        </is>
      </c>
      <c r="D12021" t="inlineStr">
        <is>
          <t>-724Q1065.0</t>
        </is>
      </c>
      <c r="E12021" t="inlineStr">
        <is>
          <t>DILM-9-10</t>
        </is>
      </c>
      <c r="F12021" t="inlineStr">
        <is>
          <t>#KALK!</t>
        </is>
      </c>
      <c r="G12021" t="inlineStr">
        <is>
          <t>LASTSCHUETZ</t>
        </is>
      </c>
      <c r="H12021" t="inlineStr">
        <is>
          <t>4kW 1S Federzugkl.</t>
        </is>
      </c>
      <c r="I12021">
        <v>851</v>
      </c>
      <c r="J12021">
        <f>GS92/724.5</f>
        <v>0</v>
      </c>
      <c r="M12021" t="inlineStr">
        <is>
          <t>-724Q1065.0</t>
        </is>
      </c>
    </row>
    <row r="12022">
      <c r="A12022">
        <v>12021</v>
      </c>
      <c r="B12022">
        <f>GS90</f>
        <v>0</v>
      </c>
      <c r="C12022" t="inlineStr">
        <is>
          <t>+LS16</t>
        </is>
      </c>
      <c r="D12022" t="inlineStr">
        <is>
          <t>-724Q211.0</t>
        </is>
      </c>
      <c r="E12022" t="inlineStr">
        <is>
          <t>DILM-9-10</t>
        </is>
      </c>
      <c r="F12022" t="inlineStr">
        <is>
          <t>#KALK!</t>
        </is>
      </c>
      <c r="G12022" t="inlineStr">
        <is>
          <t>LASTSCHUETZ</t>
        </is>
      </c>
      <c r="H12022" t="inlineStr">
        <is>
          <t>4kW 1S Federzugkl.</t>
        </is>
      </c>
      <c r="I12022">
        <v>519</v>
      </c>
      <c r="J12022">
        <f>GS90/724.5</f>
        <v>0</v>
      </c>
      <c r="M12022" t="inlineStr">
        <is>
          <t>-724Q211.0</t>
        </is>
      </c>
    </row>
    <row r="12023">
      <c r="A12023">
        <v>12022</v>
      </c>
      <c r="B12023">
        <f>GS93</f>
        <v>0</v>
      </c>
      <c r="C12023" t="inlineStr">
        <is>
          <t>+LS14</t>
        </is>
      </c>
      <c r="D12023" t="inlineStr">
        <is>
          <t>-724Q787.0</t>
        </is>
      </c>
      <c r="E12023" t="inlineStr">
        <is>
          <t>DILM-9-10</t>
        </is>
      </c>
      <c r="F12023" t="inlineStr">
        <is>
          <t>#KALK!</t>
        </is>
      </c>
      <c r="G12023" t="inlineStr">
        <is>
          <t>LASTSCHUETZ</t>
        </is>
      </c>
      <c r="H12023" t="inlineStr">
        <is>
          <t>4kW 1S Federzugkl.</t>
        </is>
      </c>
      <c r="I12023">
        <v>1273</v>
      </c>
      <c r="J12023">
        <f>GS93/724.5</f>
        <v>0</v>
      </c>
      <c r="M12023" t="inlineStr">
        <is>
          <t>-724Q787.0</t>
        </is>
      </c>
    </row>
    <row r="12024">
      <c r="A12024">
        <v>12023</v>
      </c>
      <c r="B12024">
        <f>GS04</f>
        <v>0</v>
      </c>
      <c r="C12024" t="inlineStr">
        <is>
          <t>+LS11</t>
        </is>
      </c>
      <c r="D12024" t="inlineStr">
        <is>
          <t>-725K1</t>
        </is>
      </c>
      <c r="E12024" t="inlineStr">
        <is>
          <t>DILMC25-10230V50HZ</t>
        </is>
      </c>
      <c r="F12024" t="inlineStr">
        <is>
          <t>DILA-XHI22</t>
        </is>
      </c>
      <c r="G12024" t="inlineStr">
        <is>
          <t>LASTSCHUETZ</t>
        </is>
      </c>
      <c r="H12024" t="inlineStr">
        <is>
          <t>11kW 1S Federzugkl.</t>
        </is>
      </c>
      <c r="I12024">
        <v>2093</v>
      </c>
      <c r="J12024">
        <f>GS04/725.2</f>
        <v>0</v>
      </c>
      <c r="K12024" t="inlineStr">
        <is>
          <t>DILMC25</t>
        </is>
      </c>
      <c r="M12024" t="inlineStr">
        <is>
          <t>-725K1</t>
        </is>
      </c>
    </row>
    <row r="12025">
      <c r="A12025">
        <v>12024</v>
      </c>
      <c r="B12025">
        <f>GS04</f>
        <v>0</v>
      </c>
      <c r="C12025" t="inlineStr">
        <is>
          <t>+LS11</t>
        </is>
      </c>
      <c r="D12025" t="inlineStr">
        <is>
          <t>-725K1</t>
        </is>
      </c>
      <c r="E12025" t="inlineStr">
        <is>
          <t>DILA-XHI22</t>
        </is>
      </c>
      <c r="F12025" t="inlineStr">
        <is>
          <t>DILA-XHI22</t>
        </is>
      </c>
      <c r="G12025" t="inlineStr">
        <is>
          <t>HILFSKONTAKTBLOCK</t>
        </is>
      </c>
      <c r="H12025" t="inlineStr">
        <is>
          <t>2S 2OE Last+Hilfssch. Cage</t>
        </is>
      </c>
      <c r="I12025">
        <v>2093</v>
      </c>
      <c r="J12025">
        <f>GS04/725.2</f>
        <v>0</v>
      </c>
      <c r="K12025" t="inlineStr">
        <is>
          <t>DILMC25</t>
        </is>
      </c>
      <c r="M12025" t="inlineStr">
        <is>
          <t>-725K1</t>
        </is>
      </c>
    </row>
    <row r="12026">
      <c r="A12026">
        <v>12025</v>
      </c>
      <c r="B12026">
        <f>GS21</f>
        <v>0</v>
      </c>
      <c r="C12026" t="inlineStr">
        <is>
          <t>+LS14</t>
        </is>
      </c>
      <c r="D12026" t="inlineStr">
        <is>
          <t>-725K1</t>
        </is>
      </c>
      <c r="E12026" t="inlineStr">
        <is>
          <t>DILMC25-10230V50HZ</t>
        </is>
      </c>
      <c r="F12026" t="inlineStr">
        <is>
          <t>DILA-XHI22</t>
        </is>
      </c>
      <c r="G12026" t="inlineStr">
        <is>
          <t>LASTSCHUETZ</t>
        </is>
      </c>
      <c r="H12026" t="inlineStr">
        <is>
          <t>11kW 1S Federzugkl.</t>
        </is>
      </c>
      <c r="I12026">
        <v>1183</v>
      </c>
      <c r="J12026">
        <f>GS21/725.4</f>
        <v>0</v>
      </c>
      <c r="K12026" t="inlineStr">
        <is>
          <t>DIL MC25</t>
        </is>
      </c>
      <c r="M12026" t="inlineStr">
        <is>
          <t>-725K1</t>
        </is>
      </c>
    </row>
    <row r="12027">
      <c r="A12027">
        <v>12026</v>
      </c>
      <c r="B12027">
        <f>GS21</f>
        <v>0</v>
      </c>
      <c r="C12027" t="inlineStr">
        <is>
          <t>+LS14</t>
        </is>
      </c>
      <c r="D12027" t="inlineStr">
        <is>
          <t>-725K1</t>
        </is>
      </c>
      <c r="E12027" t="inlineStr">
        <is>
          <t>DILA-XHI22</t>
        </is>
      </c>
      <c r="F12027" t="inlineStr">
        <is>
          <t>DILA-XHI22</t>
        </is>
      </c>
      <c r="G12027" t="inlineStr">
        <is>
          <t>HILFSKONTAKTBLOCK</t>
        </is>
      </c>
      <c r="H12027" t="inlineStr">
        <is>
          <t>2S 2OE Last+Hilfssch. Cage</t>
        </is>
      </c>
      <c r="I12027">
        <v>1183</v>
      </c>
      <c r="J12027">
        <f>GS21/725.4</f>
        <v>0</v>
      </c>
      <c r="K12027" t="inlineStr">
        <is>
          <t>DIL MC25</t>
        </is>
      </c>
      <c r="M12027" t="inlineStr">
        <is>
          <t>-725K1</t>
        </is>
      </c>
    </row>
    <row r="12028">
      <c r="A12028">
        <v>12027</v>
      </c>
      <c r="B12028">
        <f>GS55</f>
        <v>0</v>
      </c>
      <c r="C12028" t="inlineStr">
        <is>
          <t>+LS11</t>
        </is>
      </c>
      <c r="D12028" t="inlineStr">
        <is>
          <t>-725K1917.3</t>
        </is>
      </c>
      <c r="E12028" t="inlineStr">
        <is>
          <t>DILA-22</t>
        </is>
      </c>
      <c r="F12028" t="inlineStr">
        <is>
          <t>#KALK!</t>
        </is>
      </c>
      <c r="G12028" t="inlineStr">
        <is>
          <t>HILFSSCHUETZ</t>
        </is>
      </c>
      <c r="H12028" t="inlineStr">
        <is>
          <t>2S 2Oe Federzugkl.</t>
        </is>
      </c>
      <c r="I12028">
        <v>982</v>
      </c>
      <c r="J12028">
        <f>GS55/725.2</f>
        <v>0</v>
      </c>
      <c r="M12028" t="inlineStr">
        <is>
          <t>-725K1917.3</t>
        </is>
      </c>
    </row>
    <row r="12029">
      <c r="A12029">
        <v>12028</v>
      </c>
      <c r="B12029">
        <f>GS05</f>
        <v>0</v>
      </c>
      <c r="C12029" t="inlineStr">
        <is>
          <t>+LS12</t>
        </is>
      </c>
      <c r="D12029" t="inlineStr">
        <is>
          <t>-725Q1</t>
        </is>
      </c>
      <c r="E12029" t="inlineStr">
        <is>
          <t>DILA-XHI22</t>
        </is>
      </c>
      <c r="F12029" t="inlineStr">
        <is>
          <t>DILA-XHI22</t>
        </is>
      </c>
      <c r="G12029" t="inlineStr">
        <is>
          <t>HILFSKONTAKTBLOCK</t>
        </is>
      </c>
      <c r="H12029" t="inlineStr">
        <is>
          <t>2S 2OE Last+Hilfssch. Cage</t>
        </is>
      </c>
      <c r="I12029">
        <v>2734</v>
      </c>
      <c r="J12029">
        <f>GS05/725.6</f>
        <v>0</v>
      </c>
      <c r="K12029" t="inlineStr">
        <is>
          <t>DIL MC25</t>
        </is>
      </c>
      <c r="M12029" t="inlineStr">
        <is>
          <t>-725Q1</t>
        </is>
      </c>
    </row>
    <row r="12030">
      <c r="A12030">
        <v>12029</v>
      </c>
      <c r="B12030">
        <f>GS05</f>
        <v>0</v>
      </c>
      <c r="C12030" t="inlineStr">
        <is>
          <t>+LS12</t>
        </is>
      </c>
      <c r="D12030" t="inlineStr">
        <is>
          <t>-725Q1</t>
        </is>
      </c>
      <c r="E12030" t="inlineStr">
        <is>
          <t>DILMC25-10(RDC24)</t>
        </is>
      </c>
      <c r="F12030" t="inlineStr">
        <is>
          <t>DILA-XHI22</t>
        </is>
      </c>
      <c r="G12030" t="inlineStr">
        <is>
          <t>LASTSCHUETZ</t>
        </is>
      </c>
      <c r="H12030" t="inlineStr">
        <is>
          <t>11kW 1S Federzugkl.</t>
        </is>
      </c>
      <c r="I12030">
        <v>2734</v>
      </c>
      <c r="J12030">
        <f>GS05/725.6</f>
        <v>0</v>
      </c>
      <c r="K12030" t="inlineStr">
        <is>
          <t>DIL MC25</t>
        </is>
      </c>
      <c r="M12030" t="inlineStr">
        <is>
          <t>-725Q1</t>
        </is>
      </c>
    </row>
    <row r="12031">
      <c r="A12031">
        <v>12030</v>
      </c>
      <c r="B12031">
        <f>GS51</f>
        <v>0</v>
      </c>
      <c r="C12031" t="inlineStr">
        <is>
          <t>+LS11</t>
        </is>
      </c>
      <c r="D12031" t="inlineStr">
        <is>
          <t>-725Q1</t>
        </is>
      </c>
      <c r="E12031" t="inlineStr">
        <is>
          <t>DILA-XHI22</t>
        </is>
      </c>
      <c r="F12031" t="inlineStr">
        <is>
          <t>DILA-XHI22</t>
        </is>
      </c>
      <c r="G12031" t="inlineStr">
        <is>
          <t>HILFSKONTAKTBLOCK</t>
        </is>
      </c>
      <c r="H12031" t="inlineStr">
        <is>
          <t>2S 2OE Last+Hilfssch. Cage</t>
        </is>
      </c>
      <c r="I12031">
        <v>867</v>
      </c>
      <c r="J12031">
        <f>GS51/725.6</f>
        <v>0</v>
      </c>
      <c r="K12031" t="inlineStr">
        <is>
          <t>DIL MC25</t>
        </is>
      </c>
      <c r="M12031" t="inlineStr">
        <is>
          <t>-725Q1</t>
        </is>
      </c>
    </row>
    <row r="12032">
      <c r="A12032">
        <v>12031</v>
      </c>
      <c r="B12032">
        <f>GS51</f>
        <v>0</v>
      </c>
      <c r="C12032" t="inlineStr">
        <is>
          <t>+LS11</t>
        </is>
      </c>
      <c r="D12032" t="inlineStr">
        <is>
          <t>-725Q1</t>
        </is>
      </c>
      <c r="E12032" t="inlineStr">
        <is>
          <t>DILMC25-10(RDC24)</t>
        </is>
      </c>
      <c r="F12032" t="inlineStr">
        <is>
          <t>DILA-XHI22</t>
        </is>
      </c>
      <c r="G12032" t="inlineStr">
        <is>
          <t>LASTSCHUETZ</t>
        </is>
      </c>
      <c r="H12032" t="inlineStr">
        <is>
          <t>11kW 1S Federzugkl.</t>
        </is>
      </c>
      <c r="I12032">
        <v>867</v>
      </c>
      <c r="J12032">
        <f>GS51/725.6</f>
        <v>0</v>
      </c>
      <c r="K12032" t="inlineStr">
        <is>
          <t>DIL MC25</t>
        </is>
      </c>
      <c r="M12032" t="inlineStr">
        <is>
          <t>-725Q1</t>
        </is>
      </c>
    </row>
    <row r="12033">
      <c r="A12033">
        <v>12032</v>
      </c>
      <c r="B12033">
        <f>GS55</f>
        <v>0</v>
      </c>
      <c r="C12033" t="inlineStr">
        <is>
          <t>+LS11</t>
        </is>
      </c>
      <c r="D12033" t="inlineStr">
        <is>
          <t>-725Q1917.4</t>
        </is>
      </c>
      <c r="E12033" t="inlineStr">
        <is>
          <t>DILM-9-10</t>
        </is>
      </c>
      <c r="F12033" t="inlineStr">
        <is>
          <t>#KALK!</t>
        </is>
      </c>
      <c r="G12033" t="inlineStr">
        <is>
          <t>LASTSCHUETZ</t>
        </is>
      </c>
      <c r="H12033" t="inlineStr">
        <is>
          <t>4kW 1S Federzugkl.</t>
        </is>
      </c>
      <c r="I12033">
        <v>982</v>
      </c>
      <c r="J12033">
        <f>GS55/725.3</f>
        <v>0</v>
      </c>
      <c r="K12033" t="inlineStr">
        <is>
          <t>DIL MC9</t>
        </is>
      </c>
      <c r="M12033" t="inlineStr">
        <is>
          <t>-725Q1917.4</t>
        </is>
      </c>
    </row>
    <row r="12034">
      <c r="A12034">
        <v>12033</v>
      </c>
      <c r="B12034">
        <f>GS90</f>
        <v>0</v>
      </c>
      <c r="C12034" t="inlineStr">
        <is>
          <t>+LS16</t>
        </is>
      </c>
      <c r="D12034" t="inlineStr">
        <is>
          <t>-725Q211.1</t>
        </is>
      </c>
      <c r="E12034" t="inlineStr">
        <is>
          <t>DILM-9-10</t>
        </is>
      </c>
      <c r="F12034" t="inlineStr">
        <is>
          <t>#KALK!</t>
        </is>
      </c>
      <c r="G12034" t="inlineStr">
        <is>
          <t>LASTSCHUETZ</t>
        </is>
      </c>
      <c r="H12034" t="inlineStr">
        <is>
          <t>4kW 1S Federzugkl.</t>
        </is>
      </c>
      <c r="I12034">
        <v>524</v>
      </c>
      <c r="J12034">
        <f>GS90/725.5</f>
        <v>0</v>
      </c>
      <c r="M12034" t="inlineStr">
        <is>
          <t>-725Q211.1</t>
        </is>
      </c>
    </row>
    <row r="12035">
      <c r="A12035">
        <v>12034</v>
      </c>
      <c r="B12035">
        <f>GS93</f>
        <v>0</v>
      </c>
      <c r="C12035" t="inlineStr">
        <is>
          <t>+LS14</t>
        </is>
      </c>
      <c r="D12035" t="inlineStr">
        <is>
          <t>-725Q787.1</t>
        </is>
      </c>
      <c r="E12035" t="inlineStr">
        <is>
          <t>DILM-9-10</t>
        </is>
      </c>
      <c r="F12035" t="inlineStr">
        <is>
          <t>#KALK!</t>
        </is>
      </c>
      <c r="G12035" t="inlineStr">
        <is>
          <t>LASTSCHUETZ</t>
        </is>
      </c>
      <c r="H12035" t="inlineStr">
        <is>
          <t>4kW 1S Federzugkl.</t>
        </is>
      </c>
      <c r="I12035">
        <v>1274</v>
      </c>
      <c r="J12035">
        <f>GS93/725.5</f>
        <v>0</v>
      </c>
      <c r="M12035" t="inlineStr">
        <is>
          <t>-725Q787.1</t>
        </is>
      </c>
    </row>
    <row r="12036">
      <c r="A12036">
        <v>12035</v>
      </c>
      <c r="B12036">
        <f>GS32</f>
        <v>0</v>
      </c>
      <c r="C12036" t="inlineStr">
        <is>
          <t>+QVW2101</t>
        </is>
      </c>
      <c r="D12036" t="inlineStr">
        <is>
          <t>-726K1</t>
        </is>
      </c>
      <c r="E12036" t="inlineStr">
        <is>
          <t>22_DIL-M</t>
        </is>
      </c>
      <c r="F12036" t="inlineStr">
        <is>
          <t>22_DIL-M</t>
        </is>
      </c>
      <c r="G12036" t="inlineStr">
        <is>
          <t>HILFSKONTAKTBLOCK</t>
        </is>
      </c>
      <c r="H12036" t="inlineStr">
        <is>
          <t>2S 2OE Lastschuetz DIL M</t>
        </is>
      </c>
      <c r="I12036">
        <v>490</v>
      </c>
      <c r="J12036">
        <f>GS32/726.2</f>
        <v>0</v>
      </c>
      <c r="M12036" t="inlineStr">
        <is>
          <t>-726K1</t>
        </is>
      </c>
    </row>
    <row r="12037">
      <c r="A12037">
        <v>12036</v>
      </c>
      <c r="B12037">
        <f>GS32</f>
        <v>0</v>
      </c>
      <c r="C12037" t="inlineStr">
        <is>
          <t>+QVW2101</t>
        </is>
      </c>
      <c r="D12037" t="inlineStr">
        <is>
          <t>-726K1</t>
        </is>
      </c>
      <c r="E12037" t="inlineStr">
        <is>
          <t>DIL_1AM-G</t>
        </is>
      </c>
      <c r="F12037" t="inlineStr">
        <is>
          <t>22_DIL-M</t>
        </is>
      </c>
      <c r="G12037" t="inlineStr">
        <is>
          <t>LASTSCHUETZ</t>
        </is>
      </c>
      <c r="H12037" t="inlineStr">
        <is>
          <t>18,5kW</t>
        </is>
      </c>
      <c r="I12037">
        <v>490</v>
      </c>
      <c r="J12037">
        <f>GS32/726.2</f>
        <v>0</v>
      </c>
      <c r="M12037" t="inlineStr">
        <is>
          <t>-726K1</t>
        </is>
      </c>
    </row>
    <row r="12038">
      <c r="A12038">
        <v>12037</v>
      </c>
      <c r="B12038">
        <f>GS90</f>
        <v>0</v>
      </c>
      <c r="C12038" t="inlineStr">
        <is>
          <t>+LS16</t>
        </is>
      </c>
      <c r="D12038" t="inlineStr">
        <is>
          <t>-726Q211.2</t>
        </is>
      </c>
      <c r="E12038" t="inlineStr">
        <is>
          <t>DILM-9-10</t>
        </is>
      </c>
      <c r="F12038" t="inlineStr">
        <is>
          <t>#KALK!</t>
        </is>
      </c>
      <c r="G12038" t="inlineStr">
        <is>
          <t>LASTSCHUETZ</t>
        </is>
      </c>
      <c r="H12038" t="inlineStr">
        <is>
          <t>4kW 1S Federzugkl.</t>
        </is>
      </c>
      <c r="I12038">
        <v>526</v>
      </c>
      <c r="J12038">
        <f>GS90/726.5</f>
        <v>0</v>
      </c>
      <c r="M12038" t="inlineStr">
        <is>
          <t>-726Q211.2</t>
        </is>
      </c>
    </row>
    <row r="12039">
      <c r="A12039">
        <v>12038</v>
      </c>
      <c r="B12039">
        <f>GS93</f>
        <v>0</v>
      </c>
      <c r="C12039" t="inlineStr">
        <is>
          <t>+LS14</t>
        </is>
      </c>
      <c r="D12039" t="inlineStr">
        <is>
          <t>-726Q787.2</t>
        </is>
      </c>
      <c r="E12039" t="inlineStr">
        <is>
          <t>DILM-9-10</t>
        </is>
      </c>
      <c r="F12039" t="inlineStr">
        <is>
          <t>#KALK!</t>
        </is>
      </c>
      <c r="G12039" t="inlineStr">
        <is>
          <t>LASTSCHUETZ</t>
        </is>
      </c>
      <c r="H12039" t="inlineStr">
        <is>
          <t>4kW 1S Federzugkl.</t>
        </is>
      </c>
      <c r="I12039">
        <v>133</v>
      </c>
      <c r="J12039">
        <f>GS93/726.5</f>
        <v>0</v>
      </c>
      <c r="M12039" t="inlineStr">
        <is>
          <t>-726Q787.2</t>
        </is>
      </c>
    </row>
    <row r="12040">
      <c r="A12040">
        <v>12039</v>
      </c>
      <c r="B12040">
        <f>GS93</f>
        <v>0</v>
      </c>
      <c r="C12040" t="inlineStr">
        <is>
          <t>+LS14</t>
        </is>
      </c>
      <c r="D12040" t="inlineStr">
        <is>
          <t>-727Q787.3</t>
        </is>
      </c>
      <c r="E12040" t="inlineStr">
        <is>
          <t>DILM-9-10</t>
        </is>
      </c>
      <c r="F12040" t="inlineStr">
        <is>
          <t>#KALK!</t>
        </is>
      </c>
      <c r="G12040" t="inlineStr">
        <is>
          <t>LASTSCHUETZ</t>
        </is>
      </c>
      <c r="H12040" t="inlineStr">
        <is>
          <t>4kW 1S Federzugkl.</t>
        </is>
      </c>
      <c r="I12040">
        <v>135</v>
      </c>
      <c r="J12040">
        <f>GS93/727.5</f>
        <v>0</v>
      </c>
      <c r="M12040" t="inlineStr">
        <is>
          <t>-727Q787.3</t>
        </is>
      </c>
    </row>
    <row r="12041">
      <c r="A12041">
        <v>12040</v>
      </c>
      <c r="B12041">
        <f>GS08</f>
        <v>0</v>
      </c>
      <c r="C12041" t="inlineStr">
        <is>
          <t>+LS11</t>
        </is>
      </c>
      <c r="D12041" t="inlineStr">
        <is>
          <t>-728K1</t>
        </is>
      </c>
      <c r="E12041" t="inlineStr">
        <is>
          <t>DILM-9-01</t>
        </is>
      </c>
      <c r="F12041" t="inlineStr">
        <is>
          <t>#KALK!</t>
        </is>
      </c>
      <c r="G12041" t="inlineStr">
        <is>
          <t>LASTSCHUETZ</t>
        </is>
      </c>
      <c r="H12041" t="inlineStr">
        <is>
          <t>4kW 1Oe Federzugkl.</t>
        </is>
      </c>
      <c r="I12041">
        <v>2147</v>
      </c>
      <c r="J12041">
        <f>GS08/728.6</f>
        <v>0</v>
      </c>
      <c r="M12041" t="inlineStr">
        <is>
          <t>-728K1</t>
        </is>
      </c>
    </row>
    <row r="12042">
      <c r="A12042">
        <v>12041</v>
      </c>
      <c r="B12042">
        <f>GS08</f>
        <v>0</v>
      </c>
      <c r="C12042" t="inlineStr">
        <is>
          <t>+LS11</t>
        </is>
      </c>
      <c r="D12042" t="inlineStr">
        <is>
          <t>-728K2</t>
        </is>
      </c>
      <c r="E12042" t="inlineStr">
        <is>
          <t>DILM-9-01</t>
        </is>
      </c>
      <c r="F12042" t="inlineStr">
        <is>
          <t>#KALK!</t>
        </is>
      </c>
      <c r="G12042" t="inlineStr">
        <is>
          <t>LASTSCHUETZ</t>
        </is>
      </c>
      <c r="H12042" t="inlineStr">
        <is>
          <t>4kW 1Oe Federzugkl.</t>
        </is>
      </c>
      <c r="I12042">
        <v>2147</v>
      </c>
      <c r="J12042">
        <f>GS08/728.7</f>
        <v>0</v>
      </c>
      <c r="M12042" t="inlineStr">
        <is>
          <t>-728K2</t>
        </is>
      </c>
    </row>
    <row r="12043">
      <c r="A12043">
        <v>12042</v>
      </c>
      <c r="B12043">
        <f>GS21</f>
        <v>0</v>
      </c>
      <c r="C12043" t="inlineStr">
        <is>
          <t>+LS14</t>
        </is>
      </c>
      <c r="D12043" t="inlineStr">
        <is>
          <t>-728K3518.2</t>
        </is>
      </c>
      <c r="E12043" t="inlineStr">
        <is>
          <t>DILMC12-10(24VDC)</t>
        </is>
      </c>
      <c r="F12043" t="inlineStr">
        <is>
          <t>#KALK!</t>
        </is>
      </c>
      <c r="G12043" t="inlineStr">
        <is>
          <t>LASTSCHUETZ</t>
        </is>
      </c>
      <c r="H12043" t="inlineStr">
        <is>
          <t>5,5kW 1S Federzugkl.</t>
        </is>
      </c>
      <c r="I12043">
        <v>1186</v>
      </c>
      <c r="J12043">
        <f>GS21/728.5</f>
        <v>0</v>
      </c>
      <c r="K12043" t="inlineStr">
        <is>
          <t>DIL MC12</t>
        </is>
      </c>
      <c r="M12043" t="inlineStr">
        <is>
          <t>-728K3518.2</t>
        </is>
      </c>
    </row>
    <row r="12044">
      <c r="A12044">
        <v>12043</v>
      </c>
      <c r="B12044">
        <f>GS32</f>
        <v>0</v>
      </c>
      <c r="C12044" t="inlineStr">
        <is>
          <t>+QVW2101</t>
        </is>
      </c>
      <c r="D12044" t="inlineStr">
        <is>
          <t>-728K3800.2</t>
        </is>
      </c>
      <c r="E12044" t="inlineStr">
        <is>
          <t>DIL_ER-22-G</t>
        </is>
      </c>
      <c r="F12044" t="inlineStr">
        <is>
          <t>#KALK!</t>
        </is>
      </c>
      <c r="G12044" t="inlineStr">
        <is>
          <t>HILFSSCHUETZ</t>
        </is>
      </c>
      <c r="H12044" t="inlineStr">
        <is>
          <t>2S 2OE</t>
        </is>
      </c>
      <c r="I12044">
        <v>488</v>
      </c>
      <c r="J12044">
        <f>GS32/728.2</f>
        <v>0</v>
      </c>
      <c r="M12044" t="inlineStr">
        <is>
          <t>-728K3800.2</t>
        </is>
      </c>
    </row>
    <row r="12045">
      <c r="A12045">
        <v>12044</v>
      </c>
      <c r="B12045">
        <f>GS32</f>
        <v>0</v>
      </c>
      <c r="C12045" t="inlineStr">
        <is>
          <t>+QVW2101</t>
        </is>
      </c>
      <c r="D12045" t="inlineStr">
        <is>
          <t>-728K3800.5</t>
        </is>
      </c>
      <c r="E12045" t="inlineStr">
        <is>
          <t>DIL_EM-10-G</t>
        </is>
      </c>
      <c r="F12045" t="inlineStr">
        <is>
          <t>#KALK!</t>
        </is>
      </c>
      <c r="G12045" t="inlineStr">
        <is>
          <t>LASTSCHUETZ</t>
        </is>
      </c>
      <c r="H12045" t="inlineStr">
        <is>
          <t>4kW 1S</t>
        </is>
      </c>
      <c r="I12045">
        <v>488</v>
      </c>
      <c r="J12045">
        <f>GS32/728.5</f>
        <v>0</v>
      </c>
      <c r="M12045" t="inlineStr">
        <is>
          <t>-728K3800.5</t>
        </is>
      </c>
    </row>
    <row r="12046">
      <c r="A12046">
        <v>12045</v>
      </c>
      <c r="B12046">
        <f>GS32</f>
        <v>0</v>
      </c>
      <c r="C12046" t="inlineStr">
        <is>
          <t>+QVW2101</t>
        </is>
      </c>
      <c r="D12046" t="inlineStr">
        <is>
          <t>-728K3801.4</t>
        </is>
      </c>
      <c r="E12046" t="inlineStr">
        <is>
          <t>DIL_ER-22-G</t>
        </is>
      </c>
      <c r="F12046" t="inlineStr">
        <is>
          <t>#KALK!</t>
        </is>
      </c>
      <c r="G12046" t="inlineStr">
        <is>
          <t>HILFSSCHUETZ</t>
        </is>
      </c>
      <c r="H12046" t="inlineStr">
        <is>
          <t>2S 2OE</t>
        </is>
      </c>
      <c r="I12046">
        <v>488</v>
      </c>
      <c r="J12046">
        <f>GS32/728.3</f>
        <v>0</v>
      </c>
      <c r="M12046" t="inlineStr">
        <is>
          <t>-728K3801.4</t>
        </is>
      </c>
    </row>
    <row r="12047">
      <c r="A12047">
        <v>12046</v>
      </c>
      <c r="B12047">
        <f>GS32</f>
        <v>0</v>
      </c>
      <c r="C12047" t="inlineStr">
        <is>
          <t>+QVW2101</t>
        </is>
      </c>
      <c r="D12047" t="inlineStr">
        <is>
          <t>-728K3801.5</t>
        </is>
      </c>
      <c r="E12047" t="inlineStr">
        <is>
          <t>DIL_ER-22-G</t>
        </is>
      </c>
      <c r="F12047" t="inlineStr">
        <is>
          <t>#KALK!</t>
        </is>
      </c>
      <c r="G12047" t="inlineStr">
        <is>
          <t>HILFSSCHUETZ</t>
        </is>
      </c>
      <c r="H12047" t="inlineStr">
        <is>
          <t>2S 2OE</t>
        </is>
      </c>
      <c r="I12047">
        <v>488</v>
      </c>
      <c r="J12047">
        <f>GS32/728.4</f>
        <v>0</v>
      </c>
      <c r="M12047" t="inlineStr">
        <is>
          <t>-728K3801.5</t>
        </is>
      </c>
    </row>
    <row r="12048">
      <c r="A12048">
        <v>12047</v>
      </c>
      <c r="B12048">
        <f>GS08</f>
        <v>0</v>
      </c>
      <c r="C12048" t="inlineStr">
        <is>
          <t>+LS11</t>
        </is>
      </c>
      <c r="D12048" t="inlineStr">
        <is>
          <t>-729K1</t>
        </is>
      </c>
      <c r="E12048" t="inlineStr">
        <is>
          <t>DILM-9-01</t>
        </is>
      </c>
      <c r="F12048" t="inlineStr">
        <is>
          <t>#KALK!</t>
        </is>
      </c>
      <c r="G12048" t="inlineStr">
        <is>
          <t>LASTSCHUETZ</t>
        </is>
      </c>
      <c r="H12048" t="inlineStr">
        <is>
          <t>4kW 1Oe Federzugkl.</t>
        </is>
      </c>
      <c r="I12048">
        <v>508</v>
      </c>
      <c r="J12048">
        <f>GS08/729.6</f>
        <v>0</v>
      </c>
      <c r="M12048" t="inlineStr">
        <is>
          <t>-729K1</t>
        </is>
      </c>
    </row>
    <row r="12049">
      <c r="A12049">
        <v>12048</v>
      </c>
      <c r="B12049">
        <f>GS08</f>
        <v>0</v>
      </c>
      <c r="C12049" t="inlineStr">
        <is>
          <t>+LS11</t>
        </is>
      </c>
      <c r="D12049" t="inlineStr">
        <is>
          <t>-729K2</t>
        </is>
      </c>
      <c r="E12049" t="inlineStr">
        <is>
          <t>DILM-9-01</t>
        </is>
      </c>
      <c r="F12049" t="inlineStr">
        <is>
          <t>#KALK!</t>
        </is>
      </c>
      <c r="G12049" t="inlineStr">
        <is>
          <t>LASTSCHUETZ</t>
        </is>
      </c>
      <c r="H12049" t="inlineStr">
        <is>
          <t>4kW 1Oe Federzugkl.</t>
        </is>
      </c>
      <c r="I12049">
        <v>508</v>
      </c>
      <c r="J12049">
        <f>GS08/729.7</f>
        <v>0</v>
      </c>
      <c r="M12049" t="inlineStr">
        <is>
          <t>-729K2</t>
        </is>
      </c>
    </row>
    <row r="12050">
      <c r="A12050">
        <v>12049</v>
      </c>
      <c r="B12050">
        <f>GS32</f>
        <v>0</v>
      </c>
      <c r="C12050" t="inlineStr">
        <is>
          <t>+QVW2101</t>
        </is>
      </c>
      <c r="D12050" t="inlineStr">
        <is>
          <t>-729K3800.1</t>
        </is>
      </c>
      <c r="E12050" t="inlineStr">
        <is>
          <t>DIL_EM-10-G</t>
        </is>
      </c>
      <c r="F12050" t="inlineStr">
        <is>
          <t>#KALK!</t>
        </is>
      </c>
      <c r="G12050" t="inlineStr">
        <is>
          <t>LASTSCHUETZ</t>
        </is>
      </c>
      <c r="H12050" t="inlineStr">
        <is>
          <t>4kW 1S</t>
        </is>
      </c>
      <c r="I12050">
        <v>487</v>
      </c>
      <c r="J12050">
        <f>GS32/729.7</f>
        <v>0</v>
      </c>
      <c r="M12050" t="inlineStr">
        <is>
          <t>-729K3800.1</t>
        </is>
      </c>
    </row>
    <row r="12051">
      <c r="A12051">
        <v>12050</v>
      </c>
      <c r="B12051">
        <f>GS08</f>
        <v>0</v>
      </c>
      <c r="C12051" t="inlineStr">
        <is>
          <t>+LS11</t>
        </is>
      </c>
      <c r="D12051" t="inlineStr">
        <is>
          <t>-730K1</t>
        </is>
      </c>
      <c r="E12051" t="inlineStr">
        <is>
          <t>DILM-9-01</t>
        </is>
      </c>
      <c r="F12051" t="inlineStr">
        <is>
          <t>#KALK!</t>
        </is>
      </c>
      <c r="G12051" t="inlineStr">
        <is>
          <t>LASTSCHUETZ</t>
        </is>
      </c>
      <c r="H12051" t="inlineStr">
        <is>
          <t>4kW 1Oe Federzugkl.</t>
        </is>
      </c>
      <c r="I12051">
        <v>1065</v>
      </c>
      <c r="J12051">
        <f>GS08/730.6</f>
        <v>0</v>
      </c>
      <c r="M12051" t="inlineStr">
        <is>
          <t>-730K1</t>
        </is>
      </c>
    </row>
    <row r="12052">
      <c r="A12052">
        <v>12051</v>
      </c>
      <c r="B12052">
        <f>GS92</f>
        <v>0</v>
      </c>
      <c r="C12052" t="inlineStr">
        <is>
          <t>+LS13</t>
        </is>
      </c>
      <c r="D12052" t="inlineStr">
        <is>
          <t>-730K1066.4</t>
        </is>
      </c>
      <c r="E12052" t="inlineStr">
        <is>
          <t>DILA-40</t>
        </is>
      </c>
      <c r="F12052" t="inlineStr">
        <is>
          <t>#KALK!</t>
        </is>
      </c>
      <c r="G12052" t="inlineStr">
        <is>
          <t>HILFSSCHUETZ</t>
        </is>
      </c>
      <c r="H12052" t="inlineStr">
        <is>
          <t>4S Federzugkl.</t>
        </is>
      </c>
      <c r="I12052">
        <v>857</v>
      </c>
      <c r="J12052">
        <f>GS92/730.7</f>
        <v>0</v>
      </c>
      <c r="M12052" t="inlineStr">
        <is>
          <t>-730K1066.4</t>
        </is>
      </c>
    </row>
    <row r="12053">
      <c r="A12053">
        <v>12052</v>
      </c>
      <c r="B12053">
        <f>GS08</f>
        <v>0</v>
      </c>
      <c r="C12053" t="inlineStr">
        <is>
          <t>+LS11</t>
        </is>
      </c>
      <c r="D12053" t="inlineStr">
        <is>
          <t>-730K2</t>
        </is>
      </c>
      <c r="E12053" t="inlineStr">
        <is>
          <t>DILM-9-01</t>
        </is>
      </c>
      <c r="F12053" t="inlineStr">
        <is>
          <t>#KALK!</t>
        </is>
      </c>
      <c r="G12053" t="inlineStr">
        <is>
          <t>LASTSCHUETZ</t>
        </is>
      </c>
      <c r="H12053" t="inlineStr">
        <is>
          <t>4kW 1Oe Federzugkl.</t>
        </is>
      </c>
      <c r="I12053">
        <v>1065</v>
      </c>
      <c r="J12053">
        <f>GS08/730.7</f>
        <v>0</v>
      </c>
      <c r="M12053" t="inlineStr">
        <is>
          <t>-730K2</t>
        </is>
      </c>
    </row>
    <row r="12054">
      <c r="A12054">
        <v>12053</v>
      </c>
      <c r="B12054">
        <f>GS92</f>
        <v>0</v>
      </c>
      <c r="C12054" t="inlineStr">
        <is>
          <t>+LS13</t>
        </is>
      </c>
      <c r="D12054" t="inlineStr">
        <is>
          <t>-730Q1</t>
        </is>
      </c>
      <c r="E12054" t="inlineStr">
        <is>
          <t>DILMC25-10(RDC24)</t>
        </is>
      </c>
      <c r="F12054" t="inlineStr">
        <is>
          <t>DILA-XHI22</t>
        </is>
      </c>
      <c r="G12054" t="inlineStr">
        <is>
          <t>LASTSCHUETZ</t>
        </is>
      </c>
      <c r="H12054" t="inlineStr">
        <is>
          <t>11kW 1S Federzugkl.</t>
        </is>
      </c>
      <c r="I12054">
        <v>857</v>
      </c>
      <c r="J12054">
        <f>GS92/730.4</f>
        <v>0</v>
      </c>
      <c r="K12054" t="inlineStr">
        <is>
          <t>DIL MC25</t>
        </is>
      </c>
      <c r="M12054" t="inlineStr">
        <is>
          <t>-730Q1</t>
        </is>
      </c>
    </row>
    <row r="12055">
      <c r="A12055">
        <v>12054</v>
      </c>
      <c r="B12055">
        <f>GS92</f>
        <v>0</v>
      </c>
      <c r="C12055" t="inlineStr">
        <is>
          <t>+LS13</t>
        </is>
      </c>
      <c r="D12055" t="inlineStr">
        <is>
          <t>-730Q1</t>
        </is>
      </c>
      <c r="E12055" t="inlineStr">
        <is>
          <t>DILA-XHI22</t>
        </is>
      </c>
      <c r="F12055" t="inlineStr">
        <is>
          <t>DILA-XHI22</t>
        </is>
      </c>
      <c r="G12055" t="inlineStr">
        <is>
          <t>HILFSKONTAKTBLOCK</t>
        </is>
      </c>
      <c r="H12055" t="inlineStr">
        <is>
          <t>2S 2OE Last+Hilfssch. Cage</t>
        </is>
      </c>
      <c r="I12055">
        <v>857</v>
      </c>
      <c r="J12055">
        <f>GS92/730.4</f>
        <v>0</v>
      </c>
      <c r="K12055" t="inlineStr">
        <is>
          <t>DIL MC25</t>
        </is>
      </c>
      <c r="M12055" t="inlineStr">
        <is>
          <t>-730Q1</t>
        </is>
      </c>
    </row>
    <row r="12056">
      <c r="A12056">
        <v>12055</v>
      </c>
      <c r="B12056">
        <f>GS08</f>
        <v>0</v>
      </c>
      <c r="C12056" t="inlineStr">
        <is>
          <t>+LS11</t>
        </is>
      </c>
      <c r="D12056" t="inlineStr">
        <is>
          <t>-731K1</t>
        </is>
      </c>
      <c r="E12056" t="inlineStr">
        <is>
          <t>DILM-9-01</t>
        </is>
      </c>
      <c r="F12056" t="inlineStr">
        <is>
          <t>#KALK!</t>
        </is>
      </c>
      <c r="G12056" t="inlineStr">
        <is>
          <t>LASTSCHUETZ</t>
        </is>
      </c>
      <c r="H12056" t="inlineStr">
        <is>
          <t>4kW 1Oe Federzugkl.</t>
        </is>
      </c>
      <c r="I12056">
        <v>1060</v>
      </c>
      <c r="J12056">
        <f>GS08/731.6</f>
        <v>0</v>
      </c>
      <c r="M12056" t="inlineStr">
        <is>
          <t>-731K1</t>
        </is>
      </c>
    </row>
    <row r="12057">
      <c r="A12057">
        <v>12056</v>
      </c>
      <c r="B12057">
        <f>GS08</f>
        <v>0</v>
      </c>
      <c r="C12057" t="inlineStr">
        <is>
          <t>+LS11</t>
        </is>
      </c>
      <c r="D12057" t="inlineStr">
        <is>
          <t>-731K2</t>
        </is>
      </c>
      <c r="E12057" t="inlineStr">
        <is>
          <t>DILM-9-01</t>
        </is>
      </c>
      <c r="F12057" t="inlineStr">
        <is>
          <t>#KALK!</t>
        </is>
      </c>
      <c r="G12057" t="inlineStr">
        <is>
          <t>LASTSCHUETZ</t>
        </is>
      </c>
      <c r="H12057" t="inlineStr">
        <is>
          <t>4kW 1Oe Federzugkl.</t>
        </is>
      </c>
      <c r="I12057">
        <v>1060</v>
      </c>
      <c r="J12057">
        <f>GS08/731.7</f>
        <v>0</v>
      </c>
      <c r="M12057" t="inlineStr">
        <is>
          <t>-731K2</t>
        </is>
      </c>
    </row>
    <row r="12058">
      <c r="A12058">
        <v>12057</v>
      </c>
      <c r="B12058">
        <f>GS32</f>
        <v>0</v>
      </c>
      <c r="C12058" t="inlineStr">
        <is>
          <t>+QVW2101</t>
        </is>
      </c>
      <c r="D12058" t="inlineStr">
        <is>
          <t>-731K3802.1</t>
        </is>
      </c>
      <c r="E12058" t="inlineStr">
        <is>
          <t>DIL_EM-10-G</t>
        </is>
      </c>
      <c r="F12058" t="inlineStr">
        <is>
          <t>#KALK!</t>
        </is>
      </c>
      <c r="G12058" t="inlineStr">
        <is>
          <t>LASTSCHUETZ</t>
        </is>
      </c>
      <c r="H12058" t="inlineStr">
        <is>
          <t>4kW 1S</t>
        </is>
      </c>
      <c r="I12058">
        <v>485</v>
      </c>
      <c r="J12058">
        <f>GS32/731.2</f>
        <v>0</v>
      </c>
      <c r="M12058" t="inlineStr">
        <is>
          <t>-731K3802.1</t>
        </is>
      </c>
    </row>
    <row r="12059">
      <c r="A12059">
        <v>12058</v>
      </c>
      <c r="B12059">
        <f>GS32</f>
        <v>0</v>
      </c>
      <c r="C12059" t="inlineStr">
        <is>
          <t>+QVW2101</t>
        </is>
      </c>
      <c r="D12059" t="inlineStr">
        <is>
          <t>-731K3802.7</t>
        </is>
      </c>
      <c r="E12059" t="inlineStr">
        <is>
          <t>DIL_EM-10-G</t>
        </is>
      </c>
      <c r="F12059" t="inlineStr">
        <is>
          <t>#KALK!</t>
        </is>
      </c>
      <c r="G12059" t="inlineStr">
        <is>
          <t>LASTSCHUETZ</t>
        </is>
      </c>
      <c r="H12059" t="inlineStr">
        <is>
          <t>4kW 1S</t>
        </is>
      </c>
      <c r="I12059">
        <v>485</v>
      </c>
      <c r="J12059">
        <f>GS32/731.3</f>
        <v>0</v>
      </c>
      <c r="M12059" t="inlineStr">
        <is>
          <t>-731K3802.7</t>
        </is>
      </c>
    </row>
    <row r="12060">
      <c r="A12060">
        <v>12059</v>
      </c>
      <c r="B12060">
        <f>GS92</f>
        <v>0</v>
      </c>
      <c r="C12060" t="inlineStr">
        <is>
          <t>+LS13</t>
        </is>
      </c>
      <c r="D12060" t="inlineStr">
        <is>
          <t>-731Q1066.5</t>
        </is>
      </c>
      <c r="E12060" t="inlineStr">
        <is>
          <t>DILM-9-10</t>
        </is>
      </c>
      <c r="F12060" t="inlineStr">
        <is>
          <t>#KALK!</t>
        </is>
      </c>
      <c r="G12060" t="inlineStr">
        <is>
          <t>LASTSCHUETZ</t>
        </is>
      </c>
      <c r="H12060" t="inlineStr">
        <is>
          <t>4kW 1S Federzugkl.</t>
        </is>
      </c>
      <c r="I12060">
        <v>858</v>
      </c>
      <c r="J12060">
        <f>GS92/731.5</f>
        <v>0</v>
      </c>
      <c r="M12060" t="inlineStr">
        <is>
          <t>-731Q1066.5</t>
        </is>
      </c>
    </row>
    <row r="12061">
      <c r="A12061">
        <v>12060</v>
      </c>
      <c r="B12061">
        <f>GS32</f>
        <v>0</v>
      </c>
      <c r="C12061" t="inlineStr">
        <is>
          <t>+QVW2101</t>
        </is>
      </c>
      <c r="D12061" t="inlineStr">
        <is>
          <t>-732K3803.0</t>
        </is>
      </c>
      <c r="E12061" t="inlineStr">
        <is>
          <t>DIL_EM-10-G</t>
        </is>
      </c>
      <c r="F12061" t="inlineStr">
        <is>
          <t>22_DIL-E</t>
        </is>
      </c>
      <c r="G12061" t="inlineStr">
        <is>
          <t>LASTSCHUETZ</t>
        </is>
      </c>
      <c r="H12061" t="inlineStr">
        <is>
          <t>4kW 1S</t>
        </is>
      </c>
      <c r="I12061">
        <v>484</v>
      </c>
      <c r="J12061">
        <f>GS32/732.6</f>
        <v>0</v>
      </c>
      <c r="M12061" t="inlineStr">
        <is>
          <t>-732K3803.0</t>
        </is>
      </c>
    </row>
    <row r="12062">
      <c r="A12062">
        <v>12061</v>
      </c>
      <c r="B12062">
        <f>GS32</f>
        <v>0</v>
      </c>
      <c r="C12062" t="inlineStr">
        <is>
          <t>+QVW2101</t>
        </is>
      </c>
      <c r="D12062" t="inlineStr">
        <is>
          <t>-732K3803.0</t>
        </is>
      </c>
      <c r="E12062" t="inlineStr">
        <is>
          <t>22_DIL-E</t>
        </is>
      </c>
      <c r="F12062" t="inlineStr">
        <is>
          <t>22_DIL-E</t>
        </is>
      </c>
      <c r="G12062" t="inlineStr">
        <is>
          <t>HILFSKONTAKTBLOCK</t>
        </is>
      </c>
      <c r="H12062" t="inlineStr">
        <is>
          <t>2S 2OE Last+Hilfsschuetz</t>
        </is>
      </c>
      <c r="I12062">
        <v>484</v>
      </c>
      <c r="J12062">
        <f>GS32/732.6</f>
        <v>0</v>
      </c>
      <c r="M12062" t="inlineStr">
        <is>
          <t>-732K3803.0</t>
        </is>
      </c>
    </row>
    <row r="12063">
      <c r="A12063">
        <v>12062</v>
      </c>
      <c r="B12063">
        <f>GS32</f>
        <v>0</v>
      </c>
      <c r="C12063" t="inlineStr">
        <is>
          <t>+QVW2101</t>
        </is>
      </c>
      <c r="D12063" t="inlineStr">
        <is>
          <t>-732K3803.1</t>
        </is>
      </c>
      <c r="E12063" t="inlineStr">
        <is>
          <t>DIL_EM-10-G</t>
        </is>
      </c>
      <c r="F12063" t="inlineStr">
        <is>
          <t>22_DIL-E</t>
        </is>
      </c>
      <c r="G12063" t="inlineStr">
        <is>
          <t>LASTSCHUETZ</t>
        </is>
      </c>
      <c r="H12063" t="inlineStr">
        <is>
          <t>4kW 1S</t>
        </is>
      </c>
      <c r="I12063">
        <v>484</v>
      </c>
      <c r="J12063">
        <f>GS32/732.6</f>
        <v>0</v>
      </c>
      <c r="M12063" t="inlineStr">
        <is>
          <t>-732K3803.1</t>
        </is>
      </c>
    </row>
    <row r="12064">
      <c r="A12064">
        <v>12063</v>
      </c>
      <c r="B12064">
        <f>GS32</f>
        <v>0</v>
      </c>
      <c r="C12064" t="inlineStr">
        <is>
          <t>+QVW2101</t>
        </is>
      </c>
      <c r="D12064" t="inlineStr">
        <is>
          <t>-732K3803.1</t>
        </is>
      </c>
      <c r="E12064" t="inlineStr">
        <is>
          <t>22_DIL-E</t>
        </is>
      </c>
      <c r="F12064" t="inlineStr">
        <is>
          <t>22_DIL-E</t>
        </is>
      </c>
      <c r="G12064" t="inlineStr">
        <is>
          <t>HILFSKONTAKTBLOCK</t>
        </is>
      </c>
      <c r="H12064" t="inlineStr">
        <is>
          <t>2S 2OE Last+Hilfsschuetz</t>
        </is>
      </c>
      <c r="I12064">
        <v>484</v>
      </c>
      <c r="J12064">
        <f>GS32/732.6</f>
        <v>0</v>
      </c>
      <c r="M12064" t="inlineStr">
        <is>
          <t>-732K3803.1</t>
        </is>
      </c>
    </row>
    <row r="12065">
      <c r="A12065">
        <v>12064</v>
      </c>
      <c r="B12065">
        <f>GS07</f>
        <v>0</v>
      </c>
      <c r="C12065" t="inlineStr">
        <is>
          <t>+KKLS01</t>
        </is>
      </c>
      <c r="D12065" t="inlineStr">
        <is>
          <t>-733K1</t>
        </is>
      </c>
      <c r="E12065" t="inlineStr">
        <is>
          <t>DILA-40</t>
        </is>
      </c>
      <c r="F12065" t="inlineStr">
        <is>
          <t>DILA-XHIC31</t>
        </is>
      </c>
      <c r="G12065" t="inlineStr">
        <is>
          <t>HILFSSCHUETZ</t>
        </is>
      </c>
      <c r="H12065" t="inlineStr">
        <is>
          <t>4S Federzugkl.</t>
        </is>
      </c>
      <c r="I12065">
        <v>962</v>
      </c>
      <c r="J12065">
        <f>GS07/733.6</f>
        <v>0</v>
      </c>
      <c r="M12065" t="inlineStr">
        <is>
          <t>-733K1</t>
        </is>
      </c>
    </row>
    <row r="12066">
      <c r="A12066">
        <v>12065</v>
      </c>
      <c r="B12066">
        <f>GS07</f>
        <v>0</v>
      </c>
      <c r="C12066" t="inlineStr">
        <is>
          <t>+KKLS01</t>
        </is>
      </c>
      <c r="D12066" t="inlineStr">
        <is>
          <t>-733K1</t>
        </is>
      </c>
      <c r="E12066" t="inlineStr">
        <is>
          <t>DILA-XHIC31</t>
        </is>
      </c>
      <c r="F12066" t="inlineStr">
        <is>
          <t>DILA-XHIC31</t>
        </is>
      </c>
      <c r="G12066" t="inlineStr">
        <is>
          <t>HILFSKONTAKTBLOCK</t>
        </is>
      </c>
      <c r="H12066" t="inlineStr">
        <is>
          <t>3S 1OE Last+Hilfssch. Cage</t>
        </is>
      </c>
      <c r="I12066">
        <v>962</v>
      </c>
      <c r="J12066">
        <f>GS07/733.6</f>
        <v>0</v>
      </c>
      <c r="M12066" t="inlineStr">
        <is>
          <t>-733K1</t>
        </is>
      </c>
    </row>
    <row r="12067">
      <c r="A12067">
        <v>12066</v>
      </c>
      <c r="B12067">
        <f>GS07</f>
        <v>0</v>
      </c>
      <c r="C12067" t="inlineStr">
        <is>
          <t>+KKLS01</t>
        </is>
      </c>
      <c r="D12067" t="inlineStr">
        <is>
          <t>-733K2</t>
        </is>
      </c>
      <c r="E12067" t="inlineStr">
        <is>
          <t>DILA-40</t>
        </is>
      </c>
      <c r="F12067" t="inlineStr">
        <is>
          <t>DILA-XHIC31</t>
        </is>
      </c>
      <c r="G12067" t="inlineStr">
        <is>
          <t>HILFSSCHUETZ</t>
        </is>
      </c>
      <c r="H12067" t="inlineStr">
        <is>
          <t>4S Federzugkl.</t>
        </is>
      </c>
      <c r="I12067">
        <v>962</v>
      </c>
      <c r="J12067">
        <f>GS07/733.7</f>
        <v>0</v>
      </c>
      <c r="M12067" t="inlineStr">
        <is>
          <t>-733K2</t>
        </is>
      </c>
    </row>
    <row r="12068">
      <c r="A12068">
        <v>12067</v>
      </c>
      <c r="B12068">
        <f>GS07</f>
        <v>0</v>
      </c>
      <c r="C12068" t="inlineStr">
        <is>
          <t>+KKLS01</t>
        </is>
      </c>
      <c r="D12068" t="inlineStr">
        <is>
          <t>-733K2</t>
        </is>
      </c>
      <c r="E12068" t="inlineStr">
        <is>
          <t>DILA-XHIC31</t>
        </is>
      </c>
      <c r="F12068" t="inlineStr">
        <is>
          <t>DILA-XHIC31</t>
        </is>
      </c>
      <c r="G12068" t="inlineStr">
        <is>
          <t>HILFSKONTAKTBLOCK</t>
        </is>
      </c>
      <c r="H12068" t="inlineStr">
        <is>
          <t>3S 1OE Last+Hilfssch. Cage</t>
        </is>
      </c>
      <c r="I12068">
        <v>962</v>
      </c>
      <c r="J12068">
        <f>GS07/733.7</f>
        <v>0</v>
      </c>
      <c r="M12068" t="inlineStr">
        <is>
          <t>-733K2</t>
        </is>
      </c>
    </row>
    <row r="12069">
      <c r="A12069">
        <v>12068</v>
      </c>
      <c r="B12069">
        <f>GS08</f>
        <v>0</v>
      </c>
      <c r="C12069" t="inlineStr">
        <is>
          <t>+LS11</t>
        </is>
      </c>
      <c r="D12069" t="inlineStr">
        <is>
          <t>-733K536.0</t>
        </is>
      </c>
      <c r="E12069" t="inlineStr">
        <is>
          <t>DILA-XHI22</t>
        </is>
      </c>
      <c r="F12069" t="inlineStr">
        <is>
          <t>DILA-XHI22</t>
        </is>
      </c>
      <c r="G12069" t="inlineStr">
        <is>
          <t>HILFSKONTAKTBLOCK</t>
        </is>
      </c>
      <c r="H12069" t="inlineStr">
        <is>
          <t>2S 2OE Last+Hilfssch. Cage</t>
        </is>
      </c>
      <c r="I12069">
        <v>1056</v>
      </c>
      <c r="J12069">
        <f>GS08/733.6</f>
        <v>0</v>
      </c>
      <c r="M12069" t="inlineStr">
        <is>
          <t>-733K536.0</t>
        </is>
      </c>
    </row>
    <row r="12070">
      <c r="A12070">
        <v>12069</v>
      </c>
      <c r="B12070">
        <f>GS08</f>
        <v>0</v>
      </c>
      <c r="C12070" t="inlineStr">
        <is>
          <t>+LS11</t>
        </is>
      </c>
      <c r="D12070" t="inlineStr">
        <is>
          <t>-733K536.0</t>
        </is>
      </c>
      <c r="E12070" t="inlineStr">
        <is>
          <t>DIL_ER-40-G</t>
        </is>
      </c>
      <c r="F12070" t="inlineStr">
        <is>
          <t>DILA-XHI22</t>
        </is>
      </c>
      <c r="G12070" t="inlineStr">
        <is>
          <t>HILFSSCHUETZ</t>
        </is>
      </c>
      <c r="H12070" t="inlineStr">
        <is>
          <t>4S</t>
        </is>
      </c>
      <c r="I12070">
        <v>1056</v>
      </c>
      <c r="J12070">
        <f>GS08/733.6</f>
        <v>0</v>
      </c>
      <c r="M12070" t="inlineStr">
        <is>
          <t>-733K536.0</t>
        </is>
      </c>
    </row>
    <row r="12071">
      <c r="A12071">
        <v>12070</v>
      </c>
      <c r="B12071">
        <f>GS04</f>
        <v>0</v>
      </c>
      <c r="C12071" t="inlineStr">
        <is>
          <t>+LS11</t>
        </is>
      </c>
      <c r="D12071" t="inlineStr">
        <is>
          <t>-733KQ87.0</t>
        </is>
      </c>
      <c r="E12071" t="inlineStr">
        <is>
          <t>DILM-9-01</t>
        </is>
      </c>
      <c r="F12071" t="inlineStr">
        <is>
          <t>#KALK!</t>
        </is>
      </c>
      <c r="G12071" t="inlineStr">
        <is>
          <t>LASTSCHUETZ</t>
        </is>
      </c>
      <c r="H12071" t="inlineStr">
        <is>
          <t>4kW 1Oe Federzugkl.</t>
        </is>
      </c>
      <c r="I12071">
        <v>2095</v>
      </c>
      <c r="J12071">
        <f>GS04/733.6</f>
        <v>0</v>
      </c>
      <c r="M12071" t="inlineStr">
        <is>
          <t>-733KQ87.0</t>
        </is>
      </c>
    </row>
    <row r="12072">
      <c r="A12072">
        <v>12071</v>
      </c>
      <c r="B12072">
        <f>GS04</f>
        <v>0</v>
      </c>
      <c r="C12072" t="inlineStr">
        <is>
          <t>+LS11</t>
        </is>
      </c>
      <c r="D12072" t="inlineStr">
        <is>
          <t>-733KQ87.1</t>
        </is>
      </c>
      <c r="E12072" t="inlineStr">
        <is>
          <t>DILM-9-01</t>
        </is>
      </c>
      <c r="F12072" t="inlineStr">
        <is>
          <t>#KALK!</t>
        </is>
      </c>
      <c r="G12072" t="inlineStr">
        <is>
          <t>LASTSCHUETZ</t>
        </is>
      </c>
      <c r="H12072" t="inlineStr">
        <is>
          <t>4kW 1Oe Federzugkl.</t>
        </is>
      </c>
      <c r="I12072">
        <v>2095</v>
      </c>
      <c r="J12072">
        <f>GS04/733.7</f>
        <v>0</v>
      </c>
      <c r="M12072" t="inlineStr">
        <is>
          <t>-733KQ87.1</t>
        </is>
      </c>
    </row>
    <row r="12073">
      <c r="A12073">
        <v>12072</v>
      </c>
      <c r="B12073">
        <f>GS92</f>
        <v>0</v>
      </c>
      <c r="C12073" t="inlineStr">
        <is>
          <t>+LS13</t>
        </is>
      </c>
      <c r="D12073" t="inlineStr">
        <is>
          <t>-733Q1066.7</t>
        </is>
      </c>
      <c r="E12073" t="inlineStr">
        <is>
          <t>DILM-9-10</t>
        </is>
      </c>
      <c r="F12073" t="inlineStr">
        <is>
          <t>#KALK!</t>
        </is>
      </c>
      <c r="G12073" t="inlineStr">
        <is>
          <t>LASTSCHUETZ</t>
        </is>
      </c>
      <c r="H12073" t="inlineStr">
        <is>
          <t>4kW 1S Federzugkl.</t>
        </is>
      </c>
      <c r="I12073">
        <v>860</v>
      </c>
      <c r="J12073">
        <f>GS92/733.5</f>
        <v>0</v>
      </c>
      <c r="M12073" t="inlineStr">
        <is>
          <t>-733Q1066.7</t>
        </is>
      </c>
    </row>
    <row r="12074">
      <c r="A12074">
        <v>12073</v>
      </c>
      <c r="B12074">
        <f>GS07</f>
        <v>0</v>
      </c>
      <c r="C12074" t="inlineStr">
        <is>
          <t>+KKLS01</t>
        </is>
      </c>
      <c r="D12074" t="inlineStr">
        <is>
          <t>-734K1</t>
        </is>
      </c>
      <c r="E12074" t="inlineStr">
        <is>
          <t>DILA-40</t>
        </is>
      </c>
      <c r="F12074" t="inlineStr">
        <is>
          <t>DILA-XHIC31</t>
        </is>
      </c>
      <c r="G12074" t="inlineStr">
        <is>
          <t>HILFSSCHUETZ</t>
        </is>
      </c>
      <c r="H12074" t="inlineStr">
        <is>
          <t>4S Federzugkl.</t>
        </is>
      </c>
      <c r="I12074">
        <v>995</v>
      </c>
      <c r="J12074">
        <f>GS07/734.6</f>
        <v>0</v>
      </c>
      <c r="M12074" t="inlineStr">
        <is>
          <t>-734K1</t>
        </is>
      </c>
    </row>
    <row r="12075">
      <c r="A12075">
        <v>12074</v>
      </c>
      <c r="B12075">
        <f>GS07</f>
        <v>0</v>
      </c>
      <c r="C12075" t="inlineStr">
        <is>
          <t>+KKLS01</t>
        </is>
      </c>
      <c r="D12075" t="inlineStr">
        <is>
          <t>-734K1</t>
        </is>
      </c>
      <c r="E12075" t="inlineStr">
        <is>
          <t>DILA-XHIC31</t>
        </is>
      </c>
      <c r="F12075" t="inlineStr">
        <is>
          <t>DILA-XHIC31</t>
        </is>
      </c>
      <c r="G12075" t="inlineStr">
        <is>
          <t>HILFSKONTAKTBLOCK</t>
        </is>
      </c>
      <c r="H12075" t="inlineStr">
        <is>
          <t>3S 1OE Last+Hilfssch. Cage</t>
        </is>
      </c>
      <c r="I12075">
        <v>995</v>
      </c>
      <c r="J12075">
        <f>GS07/734.6</f>
        <v>0</v>
      </c>
      <c r="M12075" t="inlineStr">
        <is>
          <t>-734K1</t>
        </is>
      </c>
    </row>
    <row r="12076">
      <c r="A12076">
        <v>12075</v>
      </c>
      <c r="B12076">
        <f>GS07</f>
        <v>0</v>
      </c>
      <c r="C12076" t="inlineStr">
        <is>
          <t>+KKLS01</t>
        </is>
      </c>
      <c r="D12076" t="inlineStr">
        <is>
          <t>-734K2</t>
        </is>
      </c>
      <c r="E12076" t="inlineStr">
        <is>
          <t>DILA-40</t>
        </is>
      </c>
      <c r="F12076" t="inlineStr">
        <is>
          <t>DILA-XHIC31</t>
        </is>
      </c>
      <c r="G12076" t="inlineStr">
        <is>
          <t>HILFSSCHUETZ</t>
        </is>
      </c>
      <c r="H12076" t="inlineStr">
        <is>
          <t>4S Federzugkl.</t>
        </is>
      </c>
      <c r="I12076">
        <v>995</v>
      </c>
      <c r="J12076">
        <f>GS07/734.7</f>
        <v>0</v>
      </c>
      <c r="M12076" t="inlineStr">
        <is>
          <t>-734K2</t>
        </is>
      </c>
    </row>
    <row r="12077">
      <c r="A12077">
        <v>12076</v>
      </c>
      <c r="B12077">
        <f>GS07</f>
        <v>0</v>
      </c>
      <c r="C12077" t="inlineStr">
        <is>
          <t>+KKLS01</t>
        </is>
      </c>
      <c r="D12077" t="inlineStr">
        <is>
          <t>-734K2</t>
        </is>
      </c>
      <c r="E12077" t="inlineStr">
        <is>
          <t>DILA-XHIC31</t>
        </is>
      </c>
      <c r="F12077" t="inlineStr">
        <is>
          <t>DILA-XHIC31</t>
        </is>
      </c>
      <c r="G12077" t="inlineStr">
        <is>
          <t>HILFSKONTAKTBLOCK</t>
        </is>
      </c>
      <c r="H12077" t="inlineStr">
        <is>
          <t>3S 1OE Last+Hilfssch. Cage</t>
        </is>
      </c>
      <c r="I12077">
        <v>995</v>
      </c>
      <c r="J12077">
        <f>GS07/734.7</f>
        <v>0</v>
      </c>
      <c r="M12077" t="inlineStr">
        <is>
          <t>-734K2</t>
        </is>
      </c>
    </row>
    <row r="12078">
      <c r="A12078">
        <v>12077</v>
      </c>
      <c r="B12078">
        <f>GS05</f>
        <v>0</v>
      </c>
      <c r="C12078" t="inlineStr">
        <is>
          <t>+LS12</t>
        </is>
      </c>
      <c r="D12078" t="inlineStr">
        <is>
          <t>-734Q446.4</t>
        </is>
      </c>
      <c r="E12078" t="inlineStr">
        <is>
          <t>DILM-9-10</t>
        </is>
      </c>
      <c r="F12078" t="inlineStr">
        <is>
          <t>#KALK!</t>
        </is>
      </c>
      <c r="G12078" t="inlineStr">
        <is>
          <t>LASTSCHUETZ</t>
        </is>
      </c>
      <c r="H12078" t="inlineStr">
        <is>
          <t>4kW 1S Federzugkl.</t>
        </is>
      </c>
      <c r="I12078">
        <v>2743</v>
      </c>
      <c r="J12078">
        <f>GS05/734.6</f>
        <v>0</v>
      </c>
      <c r="K12078" t="inlineStr">
        <is>
          <t>DIL MC9</t>
        </is>
      </c>
      <c r="M12078" t="inlineStr">
        <is>
          <t>-734Q446.4</t>
        </is>
      </c>
    </row>
    <row r="12079">
      <c r="A12079">
        <v>12078</v>
      </c>
      <c r="B12079">
        <f>GS07</f>
        <v>0</v>
      </c>
      <c r="C12079" t="inlineStr">
        <is>
          <t>+KKLS01</t>
        </is>
      </c>
      <c r="D12079" t="inlineStr">
        <is>
          <t>-735K1</t>
        </is>
      </c>
      <c r="E12079" t="inlineStr">
        <is>
          <t>DILA-40</t>
        </is>
      </c>
      <c r="F12079" t="inlineStr">
        <is>
          <t>DILA-XHIC31</t>
        </is>
      </c>
      <c r="G12079" t="inlineStr">
        <is>
          <t>HILFSSCHUETZ</t>
        </is>
      </c>
      <c r="H12079" t="inlineStr">
        <is>
          <t>4S Federzugkl.</t>
        </is>
      </c>
      <c r="I12079">
        <v>996</v>
      </c>
      <c r="J12079">
        <f>GS07/735.6</f>
        <v>0</v>
      </c>
      <c r="M12079" t="inlineStr">
        <is>
          <t>-735K1</t>
        </is>
      </c>
    </row>
    <row r="12080">
      <c r="A12080">
        <v>12079</v>
      </c>
      <c r="B12080">
        <f>GS07</f>
        <v>0</v>
      </c>
      <c r="C12080" t="inlineStr">
        <is>
          <t>+KKLS01</t>
        </is>
      </c>
      <c r="D12080" t="inlineStr">
        <is>
          <t>-735K1</t>
        </is>
      </c>
      <c r="E12080" t="inlineStr">
        <is>
          <t>DILA-XHIC31</t>
        </is>
      </c>
      <c r="F12080" t="inlineStr">
        <is>
          <t>DILA-XHIC31</t>
        </is>
      </c>
      <c r="G12080" t="inlineStr">
        <is>
          <t>HILFSKONTAKTBLOCK</t>
        </is>
      </c>
      <c r="H12080" t="inlineStr">
        <is>
          <t>3S 1OE Last+Hilfssch. Cage</t>
        </is>
      </c>
      <c r="I12080">
        <v>996</v>
      </c>
      <c r="J12080">
        <f>GS07/735.6</f>
        <v>0</v>
      </c>
      <c r="M12080" t="inlineStr">
        <is>
          <t>-735K1</t>
        </is>
      </c>
    </row>
    <row r="12081">
      <c r="A12081">
        <v>12080</v>
      </c>
      <c r="B12081">
        <f>GS15</f>
        <v>0</v>
      </c>
      <c r="C12081" t="inlineStr">
        <is>
          <t>+LS15</t>
        </is>
      </c>
      <c r="D12081" t="inlineStr">
        <is>
          <t>-735K1</t>
        </is>
      </c>
      <c r="E12081" t="inlineStr">
        <is>
          <t>22_DIL-M</t>
        </is>
      </c>
      <c r="F12081" t="inlineStr">
        <is>
          <t>22_DIL-M</t>
        </is>
      </c>
      <c r="G12081" t="inlineStr">
        <is>
          <t>HILFSKONTAKTBLOCK</t>
        </is>
      </c>
      <c r="H12081" t="inlineStr">
        <is>
          <t>2S 2OE Lastschuetz DIL M</t>
        </is>
      </c>
      <c r="I12081">
        <v>1253</v>
      </c>
      <c r="J12081">
        <f>GS15/735.2</f>
        <v>0</v>
      </c>
      <c r="K12081" t="inlineStr">
        <is>
          <t>DIL2AM</t>
        </is>
      </c>
      <c r="M12081" t="inlineStr">
        <is>
          <t>-735K1</t>
        </is>
      </c>
    </row>
    <row r="12082">
      <c r="A12082">
        <v>12081</v>
      </c>
      <c r="B12082">
        <f>GS15</f>
        <v>0</v>
      </c>
      <c r="C12082" t="inlineStr">
        <is>
          <t>+LS15</t>
        </is>
      </c>
      <c r="D12082" t="inlineStr">
        <is>
          <t>-735K1</t>
        </is>
      </c>
      <c r="E12082" t="inlineStr">
        <is>
          <t>DIL_2AM</t>
        </is>
      </c>
      <c r="F12082" t="inlineStr">
        <is>
          <t>22_DIL-M</t>
        </is>
      </c>
      <c r="G12082" t="inlineStr">
        <is>
          <t>LASTSCHUETZ</t>
        </is>
      </c>
      <c r="H12082" t="inlineStr">
        <is>
          <t>30 kW</t>
        </is>
      </c>
      <c r="I12082">
        <v>1253</v>
      </c>
      <c r="J12082">
        <f>GS15/735.2</f>
        <v>0</v>
      </c>
      <c r="K12082" t="inlineStr">
        <is>
          <t>DIL2AM</t>
        </is>
      </c>
      <c r="M12082" t="inlineStr">
        <is>
          <t>-735K1</t>
        </is>
      </c>
    </row>
    <row r="12083">
      <c r="A12083">
        <v>12082</v>
      </c>
      <c r="B12083">
        <f>GS07</f>
        <v>0</v>
      </c>
      <c r="C12083" t="inlineStr">
        <is>
          <t>+KKLS01</t>
        </is>
      </c>
      <c r="D12083" t="inlineStr">
        <is>
          <t>-735K2</t>
        </is>
      </c>
      <c r="E12083" t="inlineStr">
        <is>
          <t>DILA-40</t>
        </is>
      </c>
      <c r="F12083" t="inlineStr">
        <is>
          <t>DILA-XHIC31</t>
        </is>
      </c>
      <c r="G12083" t="inlineStr">
        <is>
          <t>HILFSSCHUETZ</t>
        </is>
      </c>
      <c r="H12083" t="inlineStr">
        <is>
          <t>4S Federzugkl.</t>
        </is>
      </c>
      <c r="I12083">
        <v>996</v>
      </c>
      <c r="J12083">
        <f>GS07/735.7</f>
        <v>0</v>
      </c>
      <c r="M12083" t="inlineStr">
        <is>
          <t>-735K2</t>
        </is>
      </c>
    </row>
    <row r="12084">
      <c r="A12084">
        <v>12083</v>
      </c>
      <c r="B12084">
        <f>GS07</f>
        <v>0</v>
      </c>
      <c r="C12084" t="inlineStr">
        <is>
          <t>+KKLS01</t>
        </is>
      </c>
      <c r="D12084" t="inlineStr">
        <is>
          <t>-735K2</t>
        </is>
      </c>
      <c r="E12084" t="inlineStr">
        <is>
          <t>DILA-XHIC31</t>
        </is>
      </c>
      <c r="F12084" t="inlineStr">
        <is>
          <t>DILA-XHIC31</t>
        </is>
      </c>
      <c r="G12084" t="inlineStr">
        <is>
          <t>HILFSKONTAKTBLOCK</t>
        </is>
      </c>
      <c r="H12084" t="inlineStr">
        <is>
          <t>3S 1OE Last+Hilfssch. Cage</t>
        </is>
      </c>
      <c r="I12084">
        <v>996</v>
      </c>
      <c r="J12084">
        <f>GS07/735.7</f>
        <v>0</v>
      </c>
      <c r="M12084" t="inlineStr">
        <is>
          <t>-735K2</t>
        </is>
      </c>
    </row>
    <row r="12085">
      <c r="A12085">
        <v>12084</v>
      </c>
      <c r="B12085">
        <f>GS21</f>
        <v>0</v>
      </c>
      <c r="C12085" t="inlineStr">
        <is>
          <t>+LS14</t>
        </is>
      </c>
      <c r="D12085" t="inlineStr">
        <is>
          <t>-735K3519.1</t>
        </is>
      </c>
      <c r="E12085" t="inlineStr">
        <is>
          <t>DILMC12-10(24VDC)</t>
        </is>
      </c>
      <c r="F12085" t="inlineStr">
        <is>
          <t>#KALK!</t>
        </is>
      </c>
      <c r="G12085" t="inlineStr">
        <is>
          <t>LASTSCHUETZ</t>
        </is>
      </c>
      <c r="H12085" t="inlineStr">
        <is>
          <t>5,5kW 1S Federzugkl.</t>
        </is>
      </c>
      <c r="I12085">
        <v>1193</v>
      </c>
      <c r="J12085">
        <f>GS21/735.5</f>
        <v>0</v>
      </c>
      <c r="K12085" t="inlineStr">
        <is>
          <t>DIL MC12</t>
        </is>
      </c>
      <c r="M12085" t="inlineStr">
        <is>
          <t>-735K3519.1</t>
        </is>
      </c>
    </row>
    <row r="12086">
      <c r="A12086">
        <v>12085</v>
      </c>
      <c r="B12086">
        <f>GS51</f>
        <v>0</v>
      </c>
      <c r="C12086" t="inlineStr">
        <is>
          <t>+LS11</t>
        </is>
      </c>
      <c r="D12086" t="inlineStr">
        <is>
          <t>-735Q1</t>
        </is>
      </c>
      <c r="E12086" t="inlineStr">
        <is>
          <t>DILA-XHI22</t>
        </is>
      </c>
      <c r="F12086" t="inlineStr">
        <is>
          <t>DILA-XHI22</t>
        </is>
      </c>
      <c r="G12086" t="inlineStr">
        <is>
          <t>HILFSKONTAKTBLOCK</t>
        </is>
      </c>
      <c r="H12086" t="inlineStr">
        <is>
          <t>2S 2OE Last+Hilfssch. Cage</t>
        </is>
      </c>
      <c r="I12086">
        <v>877</v>
      </c>
      <c r="J12086">
        <f>GS51/735.6</f>
        <v>0</v>
      </c>
      <c r="K12086" t="inlineStr">
        <is>
          <t>DIL MC25</t>
        </is>
      </c>
      <c r="M12086" t="inlineStr">
        <is>
          <t>-735Q1</t>
        </is>
      </c>
    </row>
    <row r="12087">
      <c r="A12087">
        <v>12086</v>
      </c>
      <c r="B12087">
        <f>GS51</f>
        <v>0</v>
      </c>
      <c r="C12087" t="inlineStr">
        <is>
          <t>+LS11</t>
        </is>
      </c>
      <c r="D12087" t="inlineStr">
        <is>
          <t>-735Q1</t>
        </is>
      </c>
      <c r="E12087" t="inlineStr">
        <is>
          <t>DILMC25-10(RDC24)</t>
        </is>
      </c>
      <c r="F12087" t="inlineStr">
        <is>
          <t>DILA-XHI22</t>
        </is>
      </c>
      <c r="G12087" t="inlineStr">
        <is>
          <t>LASTSCHUETZ</t>
        </is>
      </c>
      <c r="H12087" t="inlineStr">
        <is>
          <t>11kW 1S Federzugkl.</t>
        </is>
      </c>
      <c r="I12087">
        <v>877</v>
      </c>
      <c r="J12087">
        <f>GS51/735.6</f>
        <v>0</v>
      </c>
      <c r="K12087" t="inlineStr">
        <is>
          <t>DIL MC25</t>
        </is>
      </c>
      <c r="M12087" t="inlineStr">
        <is>
          <t>-735Q1</t>
        </is>
      </c>
    </row>
    <row r="12088">
      <c r="A12088">
        <v>12087</v>
      </c>
      <c r="B12088">
        <f>GS07</f>
        <v>0</v>
      </c>
      <c r="C12088" t="inlineStr">
        <is>
          <t>+KKLS01</t>
        </is>
      </c>
      <c r="D12088" t="inlineStr">
        <is>
          <t>-736K1</t>
        </is>
      </c>
      <c r="E12088" t="inlineStr">
        <is>
          <t>DILA-40</t>
        </is>
      </c>
      <c r="F12088" t="inlineStr">
        <is>
          <t>DILA-XHIC31</t>
        </is>
      </c>
      <c r="G12088" t="inlineStr">
        <is>
          <t>HILFSSCHUETZ</t>
        </is>
      </c>
      <c r="H12088" t="inlineStr">
        <is>
          <t>4S Federzugkl.</t>
        </is>
      </c>
      <c r="I12088">
        <v>959</v>
      </c>
      <c r="J12088">
        <f>GS07/736.6</f>
        <v>0</v>
      </c>
      <c r="M12088" t="inlineStr">
        <is>
          <t>-736K1</t>
        </is>
      </c>
    </row>
    <row r="12089">
      <c r="A12089">
        <v>12088</v>
      </c>
      <c r="B12089">
        <f>GS07</f>
        <v>0</v>
      </c>
      <c r="C12089" t="inlineStr">
        <is>
          <t>+KKLS01</t>
        </is>
      </c>
      <c r="D12089" t="inlineStr">
        <is>
          <t>-736K1</t>
        </is>
      </c>
      <c r="E12089" t="inlineStr">
        <is>
          <t>DILA-XHIC31</t>
        </is>
      </c>
      <c r="F12089" t="inlineStr">
        <is>
          <t>DILA-XHIC31</t>
        </is>
      </c>
      <c r="G12089" t="inlineStr">
        <is>
          <t>HILFSKONTAKTBLOCK</t>
        </is>
      </c>
      <c r="H12089" t="inlineStr">
        <is>
          <t>3S 1OE Last+Hilfssch. Cage</t>
        </is>
      </c>
      <c r="I12089">
        <v>959</v>
      </c>
      <c r="J12089">
        <f>GS07/736.6</f>
        <v>0</v>
      </c>
      <c r="M12089" t="inlineStr">
        <is>
          <t>-736K1</t>
        </is>
      </c>
    </row>
    <row r="12090">
      <c r="A12090">
        <v>12089</v>
      </c>
      <c r="B12090">
        <f>GS07</f>
        <v>0</v>
      </c>
      <c r="C12090" t="inlineStr">
        <is>
          <t>+KKLS01</t>
        </is>
      </c>
      <c r="D12090" t="inlineStr">
        <is>
          <t>-736K2</t>
        </is>
      </c>
      <c r="E12090" t="inlineStr">
        <is>
          <t>DILA-40</t>
        </is>
      </c>
      <c r="F12090" t="inlineStr">
        <is>
          <t>DILA-XHIC31</t>
        </is>
      </c>
      <c r="G12090" t="inlineStr">
        <is>
          <t>HILFSSCHUETZ</t>
        </is>
      </c>
      <c r="H12090" t="inlineStr">
        <is>
          <t>4S Federzugkl.</t>
        </is>
      </c>
      <c r="I12090">
        <v>959</v>
      </c>
      <c r="J12090">
        <f>GS07/736.7</f>
        <v>0</v>
      </c>
      <c r="M12090" t="inlineStr">
        <is>
          <t>-736K2</t>
        </is>
      </c>
    </row>
    <row r="12091">
      <c r="A12091">
        <v>12090</v>
      </c>
      <c r="B12091">
        <f>GS07</f>
        <v>0</v>
      </c>
      <c r="C12091" t="inlineStr">
        <is>
          <t>+KKLS01</t>
        </is>
      </c>
      <c r="D12091" t="inlineStr">
        <is>
          <t>-736K2</t>
        </is>
      </c>
      <c r="E12091" t="inlineStr">
        <is>
          <t>DILA-XHIC31</t>
        </is>
      </c>
      <c r="F12091" t="inlineStr">
        <is>
          <t>DILA-XHIC31</t>
        </is>
      </c>
      <c r="G12091" t="inlineStr">
        <is>
          <t>HILFSKONTAKTBLOCK</t>
        </is>
      </c>
      <c r="H12091" t="inlineStr">
        <is>
          <t>3S 1OE Last+Hilfssch. Cage</t>
        </is>
      </c>
      <c r="I12091">
        <v>959</v>
      </c>
      <c r="J12091">
        <f>GS07/736.7</f>
        <v>0</v>
      </c>
      <c r="M12091" t="inlineStr">
        <is>
          <t>-736K2</t>
        </is>
      </c>
    </row>
    <row r="12092">
      <c r="A12092">
        <v>12091</v>
      </c>
      <c r="B12092">
        <f>GS15</f>
        <v>0</v>
      </c>
      <c r="C12092" t="inlineStr">
        <is>
          <t>+LS15</t>
        </is>
      </c>
      <c r="D12092" t="inlineStr">
        <is>
          <t>-739K42.0</t>
        </is>
      </c>
      <c r="E12092" t="inlineStr">
        <is>
          <t>DIL_ER-22-G</t>
        </is>
      </c>
      <c r="F12092" t="inlineStr">
        <is>
          <t>#KALK!</t>
        </is>
      </c>
      <c r="G12092" t="inlineStr">
        <is>
          <t>HILFSSCHUETZ</t>
        </is>
      </c>
      <c r="H12092" t="inlineStr">
        <is>
          <t>2S 2OE</t>
        </is>
      </c>
      <c r="I12092">
        <v>1257</v>
      </c>
      <c r="J12092">
        <f>GS15/739.5</f>
        <v>0</v>
      </c>
      <c r="M12092" t="inlineStr">
        <is>
          <t>-739K42.0</t>
        </is>
      </c>
    </row>
    <row r="12093">
      <c r="A12093">
        <v>12092</v>
      </c>
      <c r="B12093">
        <f>GS15</f>
        <v>0</v>
      </c>
      <c r="C12093" t="inlineStr">
        <is>
          <t>+LS15</t>
        </is>
      </c>
      <c r="D12093" t="inlineStr">
        <is>
          <t>-739K42.1</t>
        </is>
      </c>
      <c r="E12093" t="inlineStr">
        <is>
          <t>DIL_ER-22-G</t>
        </is>
      </c>
      <c r="F12093" t="inlineStr">
        <is>
          <t>#KALK!</t>
        </is>
      </c>
      <c r="G12093" t="inlineStr">
        <is>
          <t>HILFSSCHUETZ</t>
        </is>
      </c>
      <c r="H12093" t="inlineStr">
        <is>
          <t>2S 2OE</t>
        </is>
      </c>
      <c r="I12093">
        <v>1257</v>
      </c>
      <c r="J12093">
        <f>GS15/739.6</f>
        <v>0</v>
      </c>
      <c r="M12093" t="inlineStr">
        <is>
          <t>-739K42.1</t>
        </is>
      </c>
    </row>
    <row r="12094">
      <c r="A12094">
        <v>12093</v>
      </c>
      <c r="B12094">
        <f>GS15</f>
        <v>0</v>
      </c>
      <c r="C12094" t="inlineStr">
        <is>
          <t>+LS15</t>
        </is>
      </c>
      <c r="D12094" t="inlineStr">
        <is>
          <t>-739K42.2</t>
        </is>
      </c>
      <c r="E12094" t="inlineStr">
        <is>
          <t>DIL_ER-22-G</t>
        </is>
      </c>
      <c r="F12094" t="inlineStr">
        <is>
          <t>#KALK!</t>
        </is>
      </c>
      <c r="G12094" t="inlineStr">
        <is>
          <t>HILFSSCHUETZ</t>
        </is>
      </c>
      <c r="H12094" t="inlineStr">
        <is>
          <t>2S 2OE</t>
        </is>
      </c>
      <c r="I12094">
        <v>1257</v>
      </c>
      <c r="J12094">
        <f>GS15/739.7</f>
        <v>0</v>
      </c>
      <c r="M12094" t="inlineStr">
        <is>
          <t>-739K42.2</t>
        </is>
      </c>
    </row>
    <row r="12095">
      <c r="A12095">
        <v>12094</v>
      </c>
      <c r="B12095">
        <f>GS15</f>
        <v>0</v>
      </c>
      <c r="C12095" t="inlineStr">
        <is>
          <t>+LS15</t>
        </is>
      </c>
      <c r="D12095" t="inlineStr">
        <is>
          <t>-739K42.4</t>
        </is>
      </c>
      <c r="E12095" t="inlineStr">
        <is>
          <t>DIL_EM-10-G</t>
        </is>
      </c>
      <c r="F12095" t="inlineStr">
        <is>
          <t>#KALK!</t>
        </is>
      </c>
      <c r="G12095" t="inlineStr">
        <is>
          <t>LASTSCHUETZ</t>
        </is>
      </c>
      <c r="H12095" t="inlineStr">
        <is>
          <t>4kW 1S</t>
        </is>
      </c>
      <c r="I12095">
        <v>1257</v>
      </c>
      <c r="J12095">
        <f>GS15/739.7</f>
        <v>0</v>
      </c>
      <c r="M12095" t="inlineStr">
        <is>
          <t>-739K42.4</t>
        </is>
      </c>
    </row>
    <row r="12096">
      <c r="A12096">
        <v>12095</v>
      </c>
      <c r="B12096">
        <f>GS08</f>
        <v>0</v>
      </c>
      <c r="C12096" t="inlineStr">
        <is>
          <t>+LS[p1]</t>
        </is>
      </c>
      <c r="D12096" t="inlineStr">
        <is>
          <t>-73K1</t>
        </is>
      </c>
      <c r="E12096" t="inlineStr">
        <is>
          <t>DILM-9-01</t>
        </is>
      </c>
      <c r="F12096" t="inlineStr">
        <is>
          <t>#KALK!</t>
        </is>
      </c>
      <c r="G12096" t="inlineStr">
        <is>
          <t>LASTSCHUETZ</t>
        </is>
      </c>
      <c r="H12096" t="inlineStr">
        <is>
          <t>4kW 1Oe Federzugkl.</t>
        </is>
      </c>
      <c r="I12096">
        <v>243</v>
      </c>
      <c r="J12096">
        <f>GS08/73.6</f>
        <v>0</v>
      </c>
      <c r="M12096" t="inlineStr">
        <is>
          <t>-73K1</t>
        </is>
      </c>
    </row>
    <row r="12097">
      <c r="A12097">
        <v>12096</v>
      </c>
      <c r="B12097">
        <f>GS08</f>
        <v>0</v>
      </c>
      <c r="C12097" t="inlineStr">
        <is>
          <t>+LS[p1]</t>
        </is>
      </c>
      <c r="D12097" t="inlineStr">
        <is>
          <t>-73K2</t>
        </is>
      </c>
      <c r="E12097" t="inlineStr">
        <is>
          <t>DILM-9-01</t>
        </is>
      </c>
      <c r="F12097" t="inlineStr">
        <is>
          <t>#KALK!</t>
        </is>
      </c>
      <c r="G12097" t="inlineStr">
        <is>
          <t>LASTSCHUETZ</t>
        </is>
      </c>
      <c r="H12097" t="inlineStr">
        <is>
          <t>4kW 1Oe Federzugkl.</t>
        </is>
      </c>
      <c r="I12097">
        <v>243</v>
      </c>
      <c r="J12097">
        <f>GS08/73.7</f>
        <v>0</v>
      </c>
      <c r="M12097" t="inlineStr">
        <is>
          <t>-73K2</t>
        </is>
      </c>
    </row>
    <row r="12098">
      <c r="A12098">
        <v>12097</v>
      </c>
      <c r="B12098">
        <f>GS04</f>
        <v>0</v>
      </c>
      <c r="C12098" t="inlineStr">
        <is>
          <t>+LS11</t>
        </is>
      </c>
      <c r="D12098" t="inlineStr">
        <is>
          <t>-740K1</t>
        </is>
      </c>
      <c r="E12098" t="inlineStr">
        <is>
          <t>DILM-9-10</t>
        </is>
      </c>
      <c r="F12098" t="inlineStr">
        <is>
          <t>DILA-XHI22</t>
        </is>
      </c>
      <c r="G12098" t="inlineStr">
        <is>
          <t>LASTSCHUETZ</t>
        </is>
      </c>
      <c r="H12098" t="inlineStr">
        <is>
          <t>4kW 1S Federzugkl.</t>
        </is>
      </c>
      <c r="I12098">
        <v>2108</v>
      </c>
      <c r="J12098">
        <f>GS04/740.5</f>
        <v>0</v>
      </c>
      <c r="M12098" t="inlineStr">
        <is>
          <t>-740K1</t>
        </is>
      </c>
    </row>
    <row r="12099">
      <c r="A12099">
        <v>12098</v>
      </c>
      <c r="B12099">
        <f>GS04</f>
        <v>0</v>
      </c>
      <c r="C12099" t="inlineStr">
        <is>
          <t>+LS11</t>
        </is>
      </c>
      <c r="D12099" t="inlineStr">
        <is>
          <t>-740K1</t>
        </is>
      </c>
      <c r="E12099" t="inlineStr">
        <is>
          <t>DILA-XHI22</t>
        </is>
      </c>
      <c r="F12099" t="inlineStr">
        <is>
          <t>DILA-XHI22</t>
        </is>
      </c>
      <c r="G12099" t="inlineStr">
        <is>
          <t>HILFSKONTAKTBLOCK</t>
        </is>
      </c>
      <c r="H12099" t="inlineStr">
        <is>
          <t>2S 2OE Last+Hilfssch. Cage</t>
        </is>
      </c>
      <c r="I12099">
        <v>2108</v>
      </c>
      <c r="J12099">
        <f>GS04/740.5</f>
        <v>0</v>
      </c>
      <c r="M12099" t="inlineStr">
        <is>
          <t>-740K1</t>
        </is>
      </c>
    </row>
    <row r="12100">
      <c r="A12100">
        <v>12099</v>
      </c>
      <c r="B12100">
        <f>GS04</f>
        <v>0</v>
      </c>
      <c r="C12100" t="inlineStr">
        <is>
          <t>+LS11</t>
        </is>
      </c>
      <c r="D12100" t="inlineStr">
        <is>
          <t>-740K2</t>
        </is>
      </c>
      <c r="E12100" t="inlineStr">
        <is>
          <t>DILM-9-10</t>
        </is>
      </c>
      <c r="F12100" t="inlineStr">
        <is>
          <t>DILA-XHI22</t>
        </is>
      </c>
      <c r="G12100" t="inlineStr">
        <is>
          <t>LASTSCHUETZ</t>
        </is>
      </c>
      <c r="H12100" t="inlineStr">
        <is>
          <t>4kW 1S Federzugkl.</t>
        </is>
      </c>
      <c r="I12100">
        <v>2108</v>
      </c>
      <c r="J12100">
        <f>GS04/740.6</f>
        <v>0</v>
      </c>
      <c r="M12100" t="inlineStr">
        <is>
          <t>-740K2</t>
        </is>
      </c>
    </row>
    <row r="12101">
      <c r="A12101">
        <v>12100</v>
      </c>
      <c r="B12101">
        <f>GS04</f>
        <v>0</v>
      </c>
      <c r="C12101" t="inlineStr">
        <is>
          <t>+LS11</t>
        </is>
      </c>
      <c r="D12101" t="inlineStr">
        <is>
          <t>-740K2</t>
        </is>
      </c>
      <c r="E12101" t="inlineStr">
        <is>
          <t>DILA-XHI22</t>
        </is>
      </c>
      <c r="F12101" t="inlineStr">
        <is>
          <t>DILA-XHI22</t>
        </is>
      </c>
      <c r="G12101" t="inlineStr">
        <is>
          <t>HILFSKONTAKTBLOCK</t>
        </is>
      </c>
      <c r="H12101" t="inlineStr">
        <is>
          <t>2S 2OE Last+Hilfssch. Cage</t>
        </is>
      </c>
      <c r="I12101">
        <v>2108</v>
      </c>
      <c r="J12101">
        <f>GS04/740.6</f>
        <v>0</v>
      </c>
      <c r="M12101" t="inlineStr">
        <is>
          <t>-740K2</t>
        </is>
      </c>
    </row>
    <row r="12102">
      <c r="A12102">
        <v>12101</v>
      </c>
      <c r="B12102">
        <f>GS15</f>
        <v>0</v>
      </c>
      <c r="C12102" t="inlineStr">
        <is>
          <t>+LS15</t>
        </is>
      </c>
      <c r="D12102" t="inlineStr">
        <is>
          <t>-742K1</t>
        </is>
      </c>
      <c r="E12102" t="inlineStr">
        <is>
          <t>DIL_EM-10-G</t>
        </is>
      </c>
      <c r="F12102" t="inlineStr">
        <is>
          <t>#KALK!</t>
        </is>
      </c>
      <c r="G12102" t="inlineStr">
        <is>
          <t>LASTSCHUETZ</t>
        </is>
      </c>
      <c r="H12102" t="inlineStr">
        <is>
          <t>4kW 1S</t>
        </is>
      </c>
      <c r="I12102">
        <v>1260</v>
      </c>
      <c r="J12102">
        <f>GS15/742.5</f>
        <v>0</v>
      </c>
      <c r="M12102" t="inlineStr">
        <is>
          <t>-742K1</t>
        </is>
      </c>
    </row>
    <row r="12103">
      <c r="A12103">
        <v>12102</v>
      </c>
      <c r="B12103">
        <f>GS07</f>
        <v>0</v>
      </c>
      <c r="C12103" t="inlineStr">
        <is>
          <t>+KKLS02</t>
        </is>
      </c>
      <c r="D12103" t="inlineStr">
        <is>
          <t>-743K1</t>
        </is>
      </c>
      <c r="E12103" t="inlineStr">
        <is>
          <t>DILA-40</t>
        </is>
      </c>
      <c r="F12103" t="inlineStr">
        <is>
          <t>DILA-XHIC31</t>
        </is>
      </c>
      <c r="G12103" t="inlineStr">
        <is>
          <t>HILFSSCHUETZ</t>
        </is>
      </c>
      <c r="H12103" t="inlineStr">
        <is>
          <t>4S Federzugkl.</t>
        </is>
      </c>
      <c r="I12103">
        <v>985</v>
      </c>
      <c r="J12103">
        <f>GS07/743.6</f>
        <v>0</v>
      </c>
      <c r="M12103" t="inlineStr">
        <is>
          <t>-743K1</t>
        </is>
      </c>
    </row>
    <row r="12104">
      <c r="A12104">
        <v>12103</v>
      </c>
      <c r="B12104">
        <f>GS07</f>
        <v>0</v>
      </c>
      <c r="C12104" t="inlineStr">
        <is>
          <t>+KKLS02</t>
        </is>
      </c>
      <c r="D12104" t="inlineStr">
        <is>
          <t>-743K1</t>
        </is>
      </c>
      <c r="E12104" t="inlineStr">
        <is>
          <t>DILA-XHIC31</t>
        </is>
      </c>
      <c r="F12104" t="inlineStr">
        <is>
          <t>DILA-XHIC31</t>
        </is>
      </c>
      <c r="G12104" t="inlineStr">
        <is>
          <t>HILFSKONTAKTBLOCK</t>
        </is>
      </c>
      <c r="H12104" t="inlineStr">
        <is>
          <t>3S 1OE Last+Hilfssch. Cage</t>
        </is>
      </c>
      <c r="I12104">
        <v>985</v>
      </c>
      <c r="J12104">
        <f>GS07/743.6</f>
        <v>0</v>
      </c>
      <c r="M12104" t="inlineStr">
        <is>
          <t>-743K1</t>
        </is>
      </c>
    </row>
    <row r="12105">
      <c r="A12105">
        <v>12104</v>
      </c>
      <c r="B12105">
        <f>GS07</f>
        <v>0</v>
      </c>
      <c r="C12105" t="inlineStr">
        <is>
          <t>+KKLS02</t>
        </is>
      </c>
      <c r="D12105" t="inlineStr">
        <is>
          <t>-743K2</t>
        </is>
      </c>
      <c r="E12105" t="inlineStr">
        <is>
          <t>DILA-40</t>
        </is>
      </c>
      <c r="F12105" t="inlineStr">
        <is>
          <t>DILA-XHIC31</t>
        </is>
      </c>
      <c r="G12105" t="inlineStr">
        <is>
          <t>HILFSSCHUETZ</t>
        </is>
      </c>
      <c r="H12105" t="inlineStr">
        <is>
          <t>4S Federzugkl.</t>
        </is>
      </c>
      <c r="I12105">
        <v>985</v>
      </c>
      <c r="J12105">
        <f>GS07/743.7</f>
        <v>0</v>
      </c>
      <c r="M12105" t="inlineStr">
        <is>
          <t>-743K2</t>
        </is>
      </c>
    </row>
    <row r="12106">
      <c r="A12106">
        <v>12105</v>
      </c>
      <c r="B12106">
        <f>GS07</f>
        <v>0</v>
      </c>
      <c r="C12106" t="inlineStr">
        <is>
          <t>+KKLS02</t>
        </is>
      </c>
      <c r="D12106" t="inlineStr">
        <is>
          <t>-743K2</t>
        </is>
      </c>
      <c r="E12106" t="inlineStr">
        <is>
          <t>DILA-XHIC31</t>
        </is>
      </c>
      <c r="F12106" t="inlineStr">
        <is>
          <t>DILA-XHIC31</t>
        </is>
      </c>
      <c r="G12106" t="inlineStr">
        <is>
          <t>HILFSKONTAKTBLOCK</t>
        </is>
      </c>
      <c r="H12106" t="inlineStr">
        <is>
          <t>3S 1OE Last+Hilfssch. Cage</t>
        </is>
      </c>
      <c r="I12106">
        <v>985</v>
      </c>
      <c r="J12106">
        <f>GS07/743.7</f>
        <v>0</v>
      </c>
      <c r="M12106" t="inlineStr">
        <is>
          <t>-743K2</t>
        </is>
      </c>
    </row>
    <row r="12107">
      <c r="A12107">
        <v>12106</v>
      </c>
      <c r="B12107">
        <f>GS07</f>
        <v>0</v>
      </c>
      <c r="C12107" t="inlineStr">
        <is>
          <t>+KKLS02</t>
        </is>
      </c>
      <c r="D12107" t="inlineStr">
        <is>
          <t>-744K1</t>
        </is>
      </c>
      <c r="E12107" t="inlineStr">
        <is>
          <t>DILA-40</t>
        </is>
      </c>
      <c r="F12107" t="inlineStr">
        <is>
          <t>DILA-XHIC31</t>
        </is>
      </c>
      <c r="G12107" t="inlineStr">
        <is>
          <t>HILFSSCHUETZ</t>
        </is>
      </c>
      <c r="H12107" t="inlineStr">
        <is>
          <t>4S Federzugkl.</t>
        </is>
      </c>
      <c r="I12107">
        <v>984</v>
      </c>
      <c r="J12107">
        <f>GS07/744.6</f>
        <v>0</v>
      </c>
      <c r="M12107" t="inlineStr">
        <is>
          <t>-744K1</t>
        </is>
      </c>
    </row>
    <row r="12108">
      <c r="A12108">
        <v>12107</v>
      </c>
      <c r="B12108">
        <f>GS07</f>
        <v>0</v>
      </c>
      <c r="C12108" t="inlineStr">
        <is>
          <t>+KKLS02</t>
        </is>
      </c>
      <c r="D12108" t="inlineStr">
        <is>
          <t>-744K1</t>
        </is>
      </c>
      <c r="E12108" t="inlineStr">
        <is>
          <t>DILA-XHIC31</t>
        </is>
      </c>
      <c r="F12108" t="inlineStr">
        <is>
          <t>DILA-XHIC31</t>
        </is>
      </c>
      <c r="G12108" t="inlineStr">
        <is>
          <t>HILFSKONTAKTBLOCK</t>
        </is>
      </c>
      <c r="H12108" t="inlineStr">
        <is>
          <t>3S 1OE Last+Hilfssch. Cage</t>
        </is>
      </c>
      <c r="I12108">
        <v>984</v>
      </c>
      <c r="J12108">
        <f>GS07/744.6</f>
        <v>0</v>
      </c>
      <c r="M12108" t="inlineStr">
        <is>
          <t>-744K1</t>
        </is>
      </c>
    </row>
    <row r="12109">
      <c r="A12109">
        <v>12108</v>
      </c>
      <c r="B12109">
        <f>GS07</f>
        <v>0</v>
      </c>
      <c r="C12109" t="inlineStr">
        <is>
          <t>+KKLS02</t>
        </is>
      </c>
      <c r="D12109" t="inlineStr">
        <is>
          <t>-744K2</t>
        </is>
      </c>
      <c r="E12109" t="inlineStr">
        <is>
          <t>DILA-40</t>
        </is>
      </c>
      <c r="F12109" t="inlineStr">
        <is>
          <t>DILA-XHIC31</t>
        </is>
      </c>
      <c r="G12109" t="inlineStr">
        <is>
          <t>HILFSSCHUETZ</t>
        </is>
      </c>
      <c r="H12109" t="inlineStr">
        <is>
          <t>4S Federzugkl.</t>
        </is>
      </c>
      <c r="I12109">
        <v>984</v>
      </c>
      <c r="J12109">
        <f>GS07/744.7</f>
        <v>0</v>
      </c>
      <c r="M12109" t="inlineStr">
        <is>
          <t>-744K2</t>
        </is>
      </c>
    </row>
    <row r="12110">
      <c r="A12110">
        <v>12109</v>
      </c>
      <c r="B12110">
        <f>GS07</f>
        <v>0</v>
      </c>
      <c r="C12110" t="inlineStr">
        <is>
          <t>+KKLS02</t>
        </is>
      </c>
      <c r="D12110" t="inlineStr">
        <is>
          <t>-744K2</t>
        </is>
      </c>
      <c r="E12110" t="inlineStr">
        <is>
          <t>DILA-XHIC31</t>
        </is>
      </c>
      <c r="F12110" t="inlineStr">
        <is>
          <t>DILA-XHIC31</t>
        </is>
      </c>
      <c r="G12110" t="inlineStr">
        <is>
          <t>HILFSKONTAKTBLOCK</t>
        </is>
      </c>
      <c r="H12110" t="inlineStr">
        <is>
          <t>3S 1OE Last+Hilfssch. Cage</t>
        </is>
      </c>
      <c r="I12110">
        <v>984</v>
      </c>
      <c r="J12110">
        <f>GS07/744.7</f>
        <v>0</v>
      </c>
      <c r="M12110" t="inlineStr">
        <is>
          <t>-744K2</t>
        </is>
      </c>
    </row>
    <row r="12111">
      <c r="A12111">
        <v>12110</v>
      </c>
      <c r="B12111">
        <f>GS07</f>
        <v>0</v>
      </c>
      <c r="C12111" t="inlineStr">
        <is>
          <t>+KKLS02</t>
        </is>
      </c>
      <c r="D12111" t="inlineStr">
        <is>
          <t>-745K1</t>
        </is>
      </c>
      <c r="E12111" t="inlineStr">
        <is>
          <t>DILA-40</t>
        </is>
      </c>
      <c r="F12111" t="inlineStr">
        <is>
          <t>DILA-XHIC31</t>
        </is>
      </c>
      <c r="G12111" t="inlineStr">
        <is>
          <t>HILFSSCHUETZ</t>
        </is>
      </c>
      <c r="H12111" t="inlineStr">
        <is>
          <t>4S Federzugkl.</t>
        </is>
      </c>
      <c r="I12111">
        <v>983</v>
      </c>
      <c r="J12111">
        <f>GS07/745.6</f>
        <v>0</v>
      </c>
      <c r="M12111" t="inlineStr">
        <is>
          <t>-745K1</t>
        </is>
      </c>
    </row>
    <row r="12112">
      <c r="A12112">
        <v>12111</v>
      </c>
      <c r="B12112">
        <f>GS07</f>
        <v>0</v>
      </c>
      <c r="C12112" t="inlineStr">
        <is>
          <t>+KKLS02</t>
        </is>
      </c>
      <c r="D12112" t="inlineStr">
        <is>
          <t>-745K1</t>
        </is>
      </c>
      <c r="E12112" t="inlineStr">
        <is>
          <t>DILA-XHIC31</t>
        </is>
      </c>
      <c r="F12112" t="inlineStr">
        <is>
          <t>DILA-XHIC31</t>
        </is>
      </c>
      <c r="G12112" t="inlineStr">
        <is>
          <t>HILFSKONTAKTBLOCK</t>
        </is>
      </c>
      <c r="H12112" t="inlineStr">
        <is>
          <t>3S 1OE Last+Hilfssch. Cage</t>
        </is>
      </c>
      <c r="I12112">
        <v>983</v>
      </c>
      <c r="J12112">
        <f>GS07/745.6</f>
        <v>0</v>
      </c>
      <c r="M12112" t="inlineStr">
        <is>
          <t>-745K1</t>
        </is>
      </c>
    </row>
    <row r="12113">
      <c r="A12113">
        <v>12112</v>
      </c>
      <c r="B12113">
        <f>GS93</f>
        <v>0</v>
      </c>
      <c r="C12113" t="inlineStr">
        <is>
          <t>+LS15</t>
        </is>
      </c>
      <c r="D12113" t="inlineStr">
        <is>
          <t>-745K1050.0</t>
        </is>
      </c>
      <c r="E12113" t="inlineStr">
        <is>
          <t>DILA-40</t>
        </is>
      </c>
      <c r="F12113" t="inlineStr">
        <is>
          <t>#KALK!</t>
        </is>
      </c>
      <c r="G12113" t="inlineStr">
        <is>
          <t>HILFSSCHUETZ</t>
        </is>
      </c>
      <c r="H12113" t="inlineStr">
        <is>
          <t>4S Federzugkl.</t>
        </is>
      </c>
      <c r="I12113">
        <v>1285</v>
      </c>
      <c r="J12113">
        <f>GS93/745.7</f>
        <v>0</v>
      </c>
      <c r="M12113" t="inlineStr">
        <is>
          <t>-745K1050.0</t>
        </is>
      </c>
    </row>
    <row r="12114">
      <c r="A12114">
        <v>12113</v>
      </c>
      <c r="B12114">
        <f>GS92</f>
        <v>0</v>
      </c>
      <c r="C12114" t="inlineStr">
        <is>
          <t>+LS14</t>
        </is>
      </c>
      <c r="D12114" t="inlineStr">
        <is>
          <t>-745K1070.0</t>
        </is>
      </c>
      <c r="E12114" t="inlineStr">
        <is>
          <t>DILA-40</t>
        </is>
      </c>
      <c r="F12114" t="inlineStr">
        <is>
          <t>#KALK!</t>
        </is>
      </c>
      <c r="G12114" t="inlineStr">
        <is>
          <t>HILFSSCHUETZ</t>
        </is>
      </c>
      <c r="H12114" t="inlineStr">
        <is>
          <t>4S Federzugkl.</t>
        </is>
      </c>
      <c r="I12114">
        <v>872</v>
      </c>
      <c r="J12114">
        <f>GS92/745.7</f>
        <v>0</v>
      </c>
      <c r="M12114" t="inlineStr">
        <is>
          <t>-745K1070.0</t>
        </is>
      </c>
    </row>
    <row r="12115">
      <c r="A12115">
        <v>12114</v>
      </c>
      <c r="B12115">
        <f>GS07</f>
        <v>0</v>
      </c>
      <c r="C12115" t="inlineStr">
        <is>
          <t>+KKLS02</t>
        </is>
      </c>
      <c r="D12115" t="inlineStr">
        <is>
          <t>-745K2</t>
        </is>
      </c>
      <c r="E12115" t="inlineStr">
        <is>
          <t>DILA-XHIC31</t>
        </is>
      </c>
      <c r="F12115" t="inlineStr">
        <is>
          <t>DILA-XHIC31</t>
        </is>
      </c>
      <c r="G12115" t="inlineStr">
        <is>
          <t>HILFSKONTAKTBLOCK</t>
        </is>
      </c>
      <c r="H12115" t="inlineStr">
        <is>
          <t>3S 1OE Last+Hilfssch. Cage</t>
        </is>
      </c>
      <c r="I12115">
        <v>983</v>
      </c>
      <c r="J12115">
        <f>GS07/745.7</f>
        <v>0</v>
      </c>
      <c r="M12115" t="inlineStr">
        <is>
          <t>-745K2</t>
        </is>
      </c>
    </row>
    <row r="12116">
      <c r="A12116">
        <v>12115</v>
      </c>
      <c r="B12116">
        <f>GS07</f>
        <v>0</v>
      </c>
      <c r="C12116" t="inlineStr">
        <is>
          <t>+KKLS02</t>
        </is>
      </c>
      <c r="D12116" t="inlineStr">
        <is>
          <t>-745K2</t>
        </is>
      </c>
      <c r="E12116" t="inlineStr">
        <is>
          <t>DILA-40</t>
        </is>
      </c>
      <c r="F12116" t="inlineStr">
        <is>
          <t>DILA-XHIC31</t>
        </is>
      </c>
      <c r="G12116" t="inlineStr">
        <is>
          <t>HILFSSCHUETZ</t>
        </is>
      </c>
      <c r="H12116" t="inlineStr">
        <is>
          <t>4S Federzugkl.</t>
        </is>
      </c>
      <c r="I12116">
        <v>983</v>
      </c>
      <c r="J12116">
        <f>GS07/745.7</f>
        <v>0</v>
      </c>
      <c r="M12116" t="inlineStr">
        <is>
          <t>-745K2</t>
        </is>
      </c>
    </row>
    <row r="12117">
      <c r="A12117">
        <v>12116</v>
      </c>
      <c r="B12117">
        <f>GS08</f>
        <v>0</v>
      </c>
      <c r="C12117" t="inlineStr">
        <is>
          <t>+LS12</t>
        </is>
      </c>
      <c r="D12117" t="inlineStr">
        <is>
          <t>-745Q1</t>
        </is>
      </c>
      <c r="E12117" t="inlineStr">
        <is>
          <t>DILA-XHI22</t>
        </is>
      </c>
      <c r="F12117" t="inlineStr">
        <is>
          <t>DILA-XHI22</t>
        </is>
      </c>
      <c r="G12117" t="inlineStr">
        <is>
          <t>HILFSKONTAKTBLOCK</t>
        </is>
      </c>
      <c r="H12117" t="inlineStr">
        <is>
          <t>2S 2OE Last+Hilfssch. Cage</t>
        </is>
      </c>
      <c r="I12117">
        <v>1314</v>
      </c>
      <c r="J12117">
        <f>GS08/745.6</f>
        <v>0</v>
      </c>
      <c r="K12117" t="inlineStr">
        <is>
          <t>DIL MC25</t>
        </is>
      </c>
      <c r="M12117" t="inlineStr">
        <is>
          <t>-745Q1</t>
        </is>
      </c>
    </row>
    <row r="12118">
      <c r="A12118">
        <v>12117</v>
      </c>
      <c r="B12118">
        <f>GS08</f>
        <v>0</v>
      </c>
      <c r="C12118" t="inlineStr">
        <is>
          <t>+LS12</t>
        </is>
      </c>
      <c r="D12118" t="inlineStr">
        <is>
          <t>-745Q1</t>
        </is>
      </c>
      <c r="E12118" t="inlineStr">
        <is>
          <t>DILMC25-10(RDC24)</t>
        </is>
      </c>
      <c r="F12118" t="inlineStr">
        <is>
          <t>DILA-XHI22</t>
        </is>
      </c>
      <c r="G12118" t="inlineStr">
        <is>
          <t>LASTSCHUETZ</t>
        </is>
      </c>
      <c r="H12118" t="inlineStr">
        <is>
          <t>11kW 1S Federzugkl.</t>
        </is>
      </c>
      <c r="I12118">
        <v>1314</v>
      </c>
      <c r="J12118">
        <f>GS08/745.6</f>
        <v>0</v>
      </c>
      <c r="K12118" t="inlineStr">
        <is>
          <t>DIL MC25</t>
        </is>
      </c>
      <c r="M12118" t="inlineStr">
        <is>
          <t>-745Q1</t>
        </is>
      </c>
    </row>
    <row r="12119">
      <c r="A12119">
        <v>12118</v>
      </c>
      <c r="B12119">
        <f>GS51</f>
        <v>0</v>
      </c>
      <c r="C12119" t="inlineStr">
        <is>
          <t>+LS11</t>
        </is>
      </c>
      <c r="D12119" t="inlineStr">
        <is>
          <t>-745Q1</t>
        </is>
      </c>
      <c r="E12119" t="inlineStr">
        <is>
          <t>DILA-XHI22</t>
        </is>
      </c>
      <c r="F12119" t="inlineStr">
        <is>
          <t>DILA-XHI22</t>
        </is>
      </c>
      <c r="G12119" t="inlineStr">
        <is>
          <t>HILFSKONTAKTBLOCK</t>
        </is>
      </c>
      <c r="H12119" t="inlineStr">
        <is>
          <t>2S 2OE Last+Hilfssch. Cage</t>
        </is>
      </c>
      <c r="I12119">
        <v>887</v>
      </c>
      <c r="J12119">
        <f>GS51/745.6</f>
        <v>0</v>
      </c>
      <c r="K12119" t="inlineStr">
        <is>
          <t>DIL MC25</t>
        </is>
      </c>
      <c r="M12119" t="inlineStr">
        <is>
          <t>-745Q1</t>
        </is>
      </c>
    </row>
    <row r="12120">
      <c r="A12120">
        <v>12119</v>
      </c>
      <c r="B12120">
        <f>GS51</f>
        <v>0</v>
      </c>
      <c r="C12120" t="inlineStr">
        <is>
          <t>+LS11</t>
        </is>
      </c>
      <c r="D12120" t="inlineStr">
        <is>
          <t>-745Q1</t>
        </is>
      </c>
      <c r="E12120" t="inlineStr">
        <is>
          <t>DILMC25-10(RDC24)</t>
        </is>
      </c>
      <c r="F12120" t="inlineStr">
        <is>
          <t>DILA-XHI22</t>
        </is>
      </c>
      <c r="G12120" t="inlineStr">
        <is>
          <t>LASTSCHUETZ</t>
        </is>
      </c>
      <c r="H12120" t="inlineStr">
        <is>
          <t>11kW 1S Federzugkl.</t>
        </is>
      </c>
      <c r="I12120">
        <v>887</v>
      </c>
      <c r="J12120">
        <f>GS51/745.6</f>
        <v>0</v>
      </c>
      <c r="K12120" t="inlineStr">
        <is>
          <t>DIL MC25</t>
        </is>
      </c>
      <c r="M12120" t="inlineStr">
        <is>
          <t>-745Q1</t>
        </is>
      </c>
    </row>
    <row r="12121">
      <c r="A12121">
        <v>12120</v>
      </c>
      <c r="B12121">
        <f>GS92</f>
        <v>0</v>
      </c>
      <c r="C12121" t="inlineStr">
        <is>
          <t>+LS14</t>
        </is>
      </c>
      <c r="D12121" t="inlineStr">
        <is>
          <t>-745Q1</t>
        </is>
      </c>
      <c r="E12121" t="inlineStr">
        <is>
          <t>DILMC25-10(RDC24)</t>
        </is>
      </c>
      <c r="F12121" t="inlineStr">
        <is>
          <t>DILA-XHI22</t>
        </is>
      </c>
      <c r="G12121" t="inlineStr">
        <is>
          <t>LASTSCHUETZ</t>
        </is>
      </c>
      <c r="H12121" t="inlineStr">
        <is>
          <t>11kW 1S Federzugkl.</t>
        </is>
      </c>
      <c r="I12121">
        <v>872</v>
      </c>
      <c r="J12121">
        <f>GS92/745.4</f>
        <v>0</v>
      </c>
      <c r="K12121" t="inlineStr">
        <is>
          <t>DIL MC25</t>
        </is>
      </c>
      <c r="M12121" t="inlineStr">
        <is>
          <t>-745Q1</t>
        </is>
      </c>
    </row>
    <row r="12122">
      <c r="A12122">
        <v>12121</v>
      </c>
      <c r="B12122">
        <f>GS92</f>
        <v>0</v>
      </c>
      <c r="C12122" t="inlineStr">
        <is>
          <t>+LS14</t>
        </is>
      </c>
      <c r="D12122" t="inlineStr">
        <is>
          <t>-745Q1</t>
        </is>
      </c>
      <c r="E12122" t="inlineStr">
        <is>
          <t>DILA-XHI22</t>
        </is>
      </c>
      <c r="F12122" t="inlineStr">
        <is>
          <t>DILA-XHI22</t>
        </is>
      </c>
      <c r="G12122" t="inlineStr">
        <is>
          <t>HILFSKONTAKTBLOCK</t>
        </is>
      </c>
      <c r="H12122" t="inlineStr">
        <is>
          <t>2S 2OE Last+Hilfssch. Cage</t>
        </is>
      </c>
      <c r="I12122">
        <v>872</v>
      </c>
      <c r="J12122">
        <f>GS92/745.4</f>
        <v>0</v>
      </c>
      <c r="K12122" t="inlineStr">
        <is>
          <t>DIL MC25</t>
        </is>
      </c>
      <c r="M12122" t="inlineStr">
        <is>
          <t>-745Q1</t>
        </is>
      </c>
    </row>
    <row r="12123">
      <c r="A12123">
        <v>12122</v>
      </c>
      <c r="B12123">
        <f>GS93</f>
        <v>0</v>
      </c>
      <c r="C12123" t="inlineStr">
        <is>
          <t>+LS15</t>
        </is>
      </c>
      <c r="D12123" t="inlineStr">
        <is>
          <t>-745Q1</t>
        </is>
      </c>
      <c r="E12123" t="inlineStr">
        <is>
          <t>DILA-XHI22</t>
        </is>
      </c>
      <c r="F12123" t="inlineStr">
        <is>
          <t>DILA-XHI22</t>
        </is>
      </c>
      <c r="G12123" t="inlineStr">
        <is>
          <t>HILFSKONTAKTBLOCK</t>
        </is>
      </c>
      <c r="H12123" t="inlineStr">
        <is>
          <t>2S 2OE Last+Hilfssch. Cage</t>
        </is>
      </c>
      <c r="I12123">
        <v>1285</v>
      </c>
      <c r="J12123">
        <f>GS93/745.4</f>
        <v>0</v>
      </c>
      <c r="K12123" t="inlineStr">
        <is>
          <t>DIL MC25</t>
        </is>
      </c>
      <c r="M12123" t="inlineStr">
        <is>
          <t>-745Q1</t>
        </is>
      </c>
    </row>
    <row r="12124">
      <c r="A12124">
        <v>12123</v>
      </c>
      <c r="B12124">
        <f>GS93</f>
        <v>0</v>
      </c>
      <c r="C12124" t="inlineStr">
        <is>
          <t>+LS15</t>
        </is>
      </c>
      <c r="D12124" t="inlineStr">
        <is>
          <t>-745Q1</t>
        </is>
      </c>
      <c r="E12124" t="inlineStr">
        <is>
          <t>DILMC25-10(RDC24)</t>
        </is>
      </c>
      <c r="F12124" t="inlineStr">
        <is>
          <t>DILA-XHI22</t>
        </is>
      </c>
      <c r="G12124" t="inlineStr">
        <is>
          <t>LASTSCHUETZ</t>
        </is>
      </c>
      <c r="H12124" t="inlineStr">
        <is>
          <t>11kW 1S Federzugkl.</t>
        </is>
      </c>
      <c r="I12124">
        <v>1285</v>
      </c>
      <c r="J12124">
        <f>GS93/745.4</f>
        <v>0</v>
      </c>
      <c r="K12124" t="inlineStr">
        <is>
          <t>DIL MC25</t>
        </is>
      </c>
      <c r="M12124" t="inlineStr">
        <is>
          <t>-745Q1</t>
        </is>
      </c>
    </row>
    <row r="12125">
      <c r="A12125">
        <v>12124</v>
      </c>
      <c r="B12125">
        <f>GS06</f>
        <v>0</v>
      </c>
      <c r="C12125" t="inlineStr">
        <is>
          <t>+LS11</t>
        </is>
      </c>
      <c r="D12125" t="inlineStr">
        <is>
          <t>-746K1</t>
        </is>
      </c>
      <c r="E12125" t="inlineStr">
        <is>
          <t>DILM-9-01</t>
        </is>
      </c>
      <c r="F12125" t="inlineStr">
        <is>
          <t>#KALK!</t>
        </is>
      </c>
      <c r="G12125" t="inlineStr">
        <is>
          <t>LASTSCHUETZ</t>
        </is>
      </c>
      <c r="H12125" t="inlineStr">
        <is>
          <t>4kW 1Oe Federzugkl.</t>
        </is>
      </c>
      <c r="I12125">
        <v>1611</v>
      </c>
      <c r="J12125">
        <f>GS06/746.6</f>
        <v>0</v>
      </c>
      <c r="M12125" t="inlineStr">
        <is>
          <t>-746K1</t>
        </is>
      </c>
    </row>
    <row r="12126">
      <c r="A12126">
        <v>12125</v>
      </c>
      <c r="B12126">
        <f>GS07</f>
        <v>0</v>
      </c>
      <c r="C12126" t="inlineStr">
        <is>
          <t>+KKLS02</t>
        </is>
      </c>
      <c r="D12126" t="inlineStr">
        <is>
          <t>-746K1</t>
        </is>
      </c>
      <c r="E12126" t="inlineStr">
        <is>
          <t>DILA-XHIC31</t>
        </is>
      </c>
      <c r="F12126" t="inlineStr">
        <is>
          <t>DILA-XHIC31</t>
        </is>
      </c>
      <c r="G12126" t="inlineStr">
        <is>
          <t>HILFSKONTAKTBLOCK</t>
        </is>
      </c>
      <c r="H12126" t="inlineStr">
        <is>
          <t>3S 1OE Last+Hilfssch. Cage</t>
        </is>
      </c>
      <c r="I12126">
        <v>982</v>
      </c>
      <c r="J12126">
        <f>GS07/746.6</f>
        <v>0</v>
      </c>
      <c r="M12126" t="inlineStr">
        <is>
          <t>-746K1</t>
        </is>
      </c>
    </row>
    <row r="12127">
      <c r="A12127">
        <v>12126</v>
      </c>
      <c r="B12127">
        <f>GS07</f>
        <v>0</v>
      </c>
      <c r="C12127" t="inlineStr">
        <is>
          <t>+KKLS02</t>
        </is>
      </c>
      <c r="D12127" t="inlineStr">
        <is>
          <t>-746K1</t>
        </is>
      </c>
      <c r="E12127" t="inlineStr">
        <is>
          <t>DILA-40</t>
        </is>
      </c>
      <c r="F12127" t="inlineStr">
        <is>
          <t>DILA-XHIC31</t>
        </is>
      </c>
      <c r="G12127" t="inlineStr">
        <is>
          <t>HILFSSCHUETZ</t>
        </is>
      </c>
      <c r="H12127" t="inlineStr">
        <is>
          <t>4S Federzugkl.</t>
        </is>
      </c>
      <c r="I12127">
        <v>982</v>
      </c>
      <c r="J12127">
        <f>GS07/746.6</f>
        <v>0</v>
      </c>
      <c r="M12127" t="inlineStr">
        <is>
          <t>-746K1</t>
        </is>
      </c>
    </row>
    <row r="12128">
      <c r="A12128">
        <v>12127</v>
      </c>
      <c r="B12128">
        <f>GS06</f>
        <v>0</v>
      </c>
      <c r="C12128" t="inlineStr">
        <is>
          <t>+LS11</t>
        </is>
      </c>
      <c r="D12128" t="inlineStr">
        <is>
          <t>-746K2</t>
        </is>
      </c>
      <c r="E12128" t="inlineStr">
        <is>
          <t>DILM-9-01</t>
        </is>
      </c>
      <c r="F12128" t="inlineStr">
        <is>
          <t>#KALK!</t>
        </is>
      </c>
      <c r="G12128" t="inlineStr">
        <is>
          <t>LASTSCHUETZ</t>
        </is>
      </c>
      <c r="H12128" t="inlineStr">
        <is>
          <t>4kW 1Oe Federzugkl.</t>
        </is>
      </c>
      <c r="I12128">
        <v>1611</v>
      </c>
      <c r="J12128">
        <f>GS06/746.7</f>
        <v>0</v>
      </c>
      <c r="M12128" t="inlineStr">
        <is>
          <t>-746K2</t>
        </is>
      </c>
    </row>
    <row r="12129">
      <c r="A12129">
        <v>12128</v>
      </c>
      <c r="B12129">
        <f>GS07</f>
        <v>0</v>
      </c>
      <c r="C12129" t="inlineStr">
        <is>
          <t>+KKLS02</t>
        </is>
      </c>
      <c r="D12129" t="inlineStr">
        <is>
          <t>-746K2</t>
        </is>
      </c>
      <c r="E12129" t="inlineStr">
        <is>
          <t>DILA-XHIC31</t>
        </is>
      </c>
      <c r="F12129" t="inlineStr">
        <is>
          <t>DILA-XHIC31</t>
        </is>
      </c>
      <c r="G12129" t="inlineStr">
        <is>
          <t>HILFSKONTAKTBLOCK</t>
        </is>
      </c>
      <c r="H12129" t="inlineStr">
        <is>
          <t>3S 1OE Last+Hilfssch. Cage</t>
        </is>
      </c>
      <c r="I12129">
        <v>982</v>
      </c>
      <c r="J12129">
        <f>GS07/746.7</f>
        <v>0</v>
      </c>
      <c r="M12129" t="inlineStr">
        <is>
          <t>-746K2</t>
        </is>
      </c>
    </row>
    <row r="12130">
      <c r="A12130">
        <v>12129</v>
      </c>
      <c r="B12130">
        <f>GS07</f>
        <v>0</v>
      </c>
      <c r="C12130" t="inlineStr">
        <is>
          <t>+KKLS02</t>
        </is>
      </c>
      <c r="D12130" t="inlineStr">
        <is>
          <t>-746K2</t>
        </is>
      </c>
      <c r="E12130" t="inlineStr">
        <is>
          <t>DILA-40</t>
        </is>
      </c>
      <c r="F12130" t="inlineStr">
        <is>
          <t>DILA-XHIC31</t>
        </is>
      </c>
      <c r="G12130" t="inlineStr">
        <is>
          <t>HILFSSCHUETZ</t>
        </is>
      </c>
      <c r="H12130" t="inlineStr">
        <is>
          <t>4S Federzugkl.</t>
        </is>
      </c>
      <c r="I12130">
        <v>982</v>
      </c>
      <c r="J12130">
        <f>GS07/746.7</f>
        <v>0</v>
      </c>
      <c r="M12130" t="inlineStr">
        <is>
          <t>-746K2</t>
        </is>
      </c>
    </row>
    <row r="12131">
      <c r="A12131">
        <v>12130</v>
      </c>
      <c r="B12131">
        <f>GS93</f>
        <v>0</v>
      </c>
      <c r="C12131" t="inlineStr">
        <is>
          <t>+LS15</t>
        </is>
      </c>
      <c r="D12131" t="inlineStr">
        <is>
          <t>-746Q1050.1</t>
        </is>
      </c>
      <c r="E12131" t="inlineStr">
        <is>
          <t>DILM-9-10</t>
        </is>
      </c>
      <c r="F12131" t="inlineStr">
        <is>
          <t>#KALK!</t>
        </is>
      </c>
      <c r="G12131" t="inlineStr">
        <is>
          <t>LASTSCHUETZ</t>
        </is>
      </c>
      <c r="H12131" t="inlineStr">
        <is>
          <t>4kW 1S Federzugkl.</t>
        </is>
      </c>
      <c r="I12131">
        <v>1286</v>
      </c>
      <c r="J12131">
        <f>GS93/746.5</f>
        <v>0</v>
      </c>
      <c r="M12131" t="inlineStr">
        <is>
          <t>-746Q1050.1</t>
        </is>
      </c>
    </row>
    <row r="12132">
      <c r="A12132">
        <v>12131</v>
      </c>
      <c r="B12132">
        <f>GS92</f>
        <v>0</v>
      </c>
      <c r="C12132" t="inlineStr">
        <is>
          <t>+LS14</t>
        </is>
      </c>
      <c r="D12132" t="inlineStr">
        <is>
          <t>-746Q1070.1</t>
        </is>
      </c>
      <c r="E12132" t="inlineStr">
        <is>
          <t>DILA-XHI22</t>
        </is>
      </c>
      <c r="F12132" t="inlineStr">
        <is>
          <t>DILA-XHI22</t>
        </is>
      </c>
      <c r="G12132" t="inlineStr">
        <is>
          <t>HILFSKONTAKTBLOCK</t>
        </is>
      </c>
      <c r="H12132" t="inlineStr">
        <is>
          <t>2S 2OE Last+Hilfssch. Cage</t>
        </is>
      </c>
      <c r="I12132">
        <v>873</v>
      </c>
      <c r="J12132">
        <f>GS92/746.5</f>
        <v>0</v>
      </c>
      <c r="M12132" t="inlineStr">
        <is>
          <t>-746Q1070.1</t>
        </is>
      </c>
    </row>
    <row r="12133">
      <c r="A12133">
        <v>12132</v>
      </c>
      <c r="B12133">
        <f>GS92</f>
        <v>0</v>
      </c>
      <c r="C12133" t="inlineStr">
        <is>
          <t>+LS14</t>
        </is>
      </c>
      <c r="D12133" t="inlineStr">
        <is>
          <t>-746Q1070.1</t>
        </is>
      </c>
      <c r="E12133" t="inlineStr">
        <is>
          <t>DILM-9-10</t>
        </is>
      </c>
      <c r="F12133" t="inlineStr">
        <is>
          <t>DILA-XHI22</t>
        </is>
      </c>
      <c r="G12133" t="inlineStr">
        <is>
          <t>LASTSCHUETZ</t>
        </is>
      </c>
      <c r="H12133" t="inlineStr">
        <is>
          <t>4kW 1S Federzugkl.</t>
        </is>
      </c>
      <c r="I12133">
        <v>873</v>
      </c>
      <c r="J12133">
        <f>GS92/746.5</f>
        <v>0</v>
      </c>
      <c r="M12133" t="inlineStr">
        <is>
          <t>-746Q1070.1</t>
        </is>
      </c>
    </row>
    <row r="12134">
      <c r="A12134">
        <v>12133</v>
      </c>
      <c r="B12134">
        <f>GS92</f>
        <v>0</v>
      </c>
      <c r="C12134" t="inlineStr">
        <is>
          <t>+LS14</t>
        </is>
      </c>
      <c r="D12134" t="inlineStr">
        <is>
          <t>-746Q1070.2</t>
        </is>
      </c>
      <c r="E12134" t="inlineStr">
        <is>
          <t>DILA-XHI22</t>
        </is>
      </c>
      <c r="F12134" t="inlineStr">
        <is>
          <t>DILA-XHI22</t>
        </is>
      </c>
      <c r="G12134" t="inlineStr">
        <is>
          <t>HILFSKONTAKTBLOCK</t>
        </is>
      </c>
      <c r="H12134" t="inlineStr">
        <is>
          <t>2S 2OE Last+Hilfssch. Cage</t>
        </is>
      </c>
      <c r="I12134">
        <v>873</v>
      </c>
      <c r="J12134">
        <f>GS92/746.6</f>
        <v>0</v>
      </c>
      <c r="M12134" t="inlineStr">
        <is>
          <t>-746Q1070.2</t>
        </is>
      </c>
    </row>
    <row r="12135">
      <c r="A12135">
        <v>12134</v>
      </c>
      <c r="B12135">
        <f>GS92</f>
        <v>0</v>
      </c>
      <c r="C12135" t="inlineStr">
        <is>
          <t>+LS14</t>
        </is>
      </c>
      <c r="D12135" t="inlineStr">
        <is>
          <t>-746Q1070.2</t>
        </is>
      </c>
      <c r="E12135" t="inlineStr">
        <is>
          <t>DILM-9-10</t>
        </is>
      </c>
      <c r="F12135" t="inlineStr">
        <is>
          <t>DILA-XHI22</t>
        </is>
      </c>
      <c r="G12135" t="inlineStr">
        <is>
          <t>LASTSCHUETZ</t>
        </is>
      </c>
      <c r="H12135" t="inlineStr">
        <is>
          <t>4kW 1S Federzugkl.</t>
        </is>
      </c>
      <c r="I12135">
        <v>873</v>
      </c>
      <c r="J12135">
        <f>GS92/746.6</f>
        <v>0</v>
      </c>
      <c r="M12135" t="inlineStr">
        <is>
          <t>-746Q1070.2</t>
        </is>
      </c>
    </row>
    <row r="12136">
      <c r="A12136">
        <v>12135</v>
      </c>
      <c r="B12136">
        <f>GS06</f>
        <v>0</v>
      </c>
      <c r="C12136" t="inlineStr">
        <is>
          <t>+LS11</t>
        </is>
      </c>
      <c r="D12136" t="inlineStr">
        <is>
          <t>-747K1</t>
        </is>
      </c>
      <c r="E12136" t="inlineStr">
        <is>
          <t>DILM-9-01</t>
        </is>
      </c>
      <c r="F12136" t="inlineStr">
        <is>
          <t>#KALK!</t>
        </is>
      </c>
      <c r="G12136" t="inlineStr">
        <is>
          <t>LASTSCHUETZ</t>
        </is>
      </c>
      <c r="H12136" t="inlineStr">
        <is>
          <t>4kW 1Oe Federzugkl.</t>
        </is>
      </c>
      <c r="I12136">
        <v>950</v>
      </c>
      <c r="J12136">
        <f>GS06/747.6</f>
        <v>0</v>
      </c>
      <c r="M12136" t="inlineStr">
        <is>
          <t>-747K1</t>
        </is>
      </c>
    </row>
    <row r="12137">
      <c r="A12137">
        <v>12136</v>
      </c>
      <c r="B12137">
        <f>GS06</f>
        <v>0</v>
      </c>
      <c r="C12137" t="inlineStr">
        <is>
          <t>+LS11</t>
        </is>
      </c>
      <c r="D12137" t="inlineStr">
        <is>
          <t>-747K2</t>
        </is>
      </c>
      <c r="E12137" t="inlineStr">
        <is>
          <t>DILM-9-01</t>
        </is>
      </c>
      <c r="F12137" t="inlineStr">
        <is>
          <t>#KALK!</t>
        </is>
      </c>
      <c r="G12137" t="inlineStr">
        <is>
          <t>LASTSCHUETZ</t>
        </is>
      </c>
      <c r="H12137" t="inlineStr">
        <is>
          <t>4kW 1Oe Federzugkl.</t>
        </is>
      </c>
      <c r="I12137">
        <v>950</v>
      </c>
      <c r="J12137">
        <f>GS06/747.7</f>
        <v>0</v>
      </c>
      <c r="M12137" t="inlineStr">
        <is>
          <t>-747K2</t>
        </is>
      </c>
    </row>
    <row r="12138">
      <c r="A12138">
        <v>12137</v>
      </c>
      <c r="B12138">
        <f>GS92</f>
        <v>0</v>
      </c>
      <c r="C12138" t="inlineStr">
        <is>
          <t>+LS14</t>
        </is>
      </c>
      <c r="D12138" t="inlineStr">
        <is>
          <t>-747Q1070.3</t>
        </is>
      </c>
      <c r="E12138" t="inlineStr">
        <is>
          <t>DILM-9-10</t>
        </is>
      </c>
      <c r="F12138" t="inlineStr">
        <is>
          <t>#KALK!</t>
        </is>
      </c>
      <c r="G12138" t="inlineStr">
        <is>
          <t>LASTSCHUETZ</t>
        </is>
      </c>
      <c r="H12138" t="inlineStr">
        <is>
          <t>4kW 1S Federzugkl.</t>
        </is>
      </c>
      <c r="I12138">
        <v>874</v>
      </c>
      <c r="J12138">
        <f>GS92/747.5</f>
        <v>0</v>
      </c>
      <c r="M12138" t="inlineStr">
        <is>
          <t>-747Q1070.3</t>
        </is>
      </c>
    </row>
    <row r="12139">
      <c r="A12139">
        <v>12138</v>
      </c>
      <c r="B12139">
        <f>GS06</f>
        <v>0</v>
      </c>
      <c r="C12139" t="inlineStr">
        <is>
          <t>+LS11</t>
        </is>
      </c>
      <c r="D12139" t="inlineStr">
        <is>
          <t>-748K434.1</t>
        </is>
      </c>
      <c r="E12139" t="inlineStr">
        <is>
          <t>DILA-XHI22</t>
        </is>
      </c>
      <c r="F12139" t="inlineStr">
        <is>
          <t>DILA-XHI22</t>
        </is>
      </c>
      <c r="G12139" t="inlineStr">
        <is>
          <t>HILFSKONTAKTBLOCK</t>
        </is>
      </c>
      <c r="H12139" t="inlineStr">
        <is>
          <t>2S 2OE Last+Hilfssch. Cage</t>
        </is>
      </c>
      <c r="I12139">
        <v>951</v>
      </c>
      <c r="J12139">
        <f>GS06/748.7</f>
        <v>0</v>
      </c>
      <c r="M12139" t="inlineStr">
        <is>
          <t>-748K434.1</t>
        </is>
      </c>
    </row>
    <row r="12140">
      <c r="A12140">
        <v>12139</v>
      </c>
      <c r="B12140">
        <f>GS06</f>
        <v>0</v>
      </c>
      <c r="C12140" t="inlineStr">
        <is>
          <t>+LS11</t>
        </is>
      </c>
      <c r="D12140" t="inlineStr">
        <is>
          <t>-748K434.1</t>
        </is>
      </c>
      <c r="E12140" t="inlineStr">
        <is>
          <t>DIL_ER-40-G</t>
        </is>
      </c>
      <c r="F12140" t="inlineStr">
        <is>
          <t>DILA-XHI22</t>
        </is>
      </c>
      <c r="G12140" t="inlineStr">
        <is>
          <t>HILFSSCHUETZ</t>
        </is>
      </c>
      <c r="H12140" t="inlineStr">
        <is>
          <t>4S</t>
        </is>
      </c>
      <c r="I12140">
        <v>951</v>
      </c>
      <c r="J12140">
        <f>GS06/748.7</f>
        <v>0</v>
      </c>
      <c r="M12140" t="inlineStr">
        <is>
          <t>-748K434.1</t>
        </is>
      </c>
    </row>
    <row r="12141">
      <c r="A12141">
        <v>12140</v>
      </c>
      <c r="B12141">
        <f>GS92</f>
        <v>0</v>
      </c>
      <c r="C12141" t="inlineStr">
        <is>
          <t>+LS14</t>
        </is>
      </c>
      <c r="D12141" t="inlineStr">
        <is>
          <t>-748Q1070.4</t>
        </is>
      </c>
      <c r="E12141" t="inlineStr">
        <is>
          <t>DILM-9-10</t>
        </is>
      </c>
      <c r="F12141" t="inlineStr">
        <is>
          <t>#KALK!</t>
        </is>
      </c>
      <c r="G12141" t="inlineStr">
        <is>
          <t>LASTSCHUETZ</t>
        </is>
      </c>
      <c r="H12141" t="inlineStr">
        <is>
          <t>4kW 1S Federzugkl.</t>
        </is>
      </c>
      <c r="I12141">
        <v>875</v>
      </c>
      <c r="J12141">
        <f>GS92/748.5</f>
        <v>0</v>
      </c>
      <c r="M12141" t="inlineStr">
        <is>
          <t>-748Q1070.4</t>
        </is>
      </c>
    </row>
    <row r="12142">
      <c r="A12142">
        <v>12141</v>
      </c>
      <c r="B12142">
        <f>GS04</f>
        <v>0</v>
      </c>
      <c r="C12142" t="inlineStr">
        <is>
          <t>+LS11</t>
        </is>
      </c>
      <c r="D12142" t="inlineStr">
        <is>
          <t>-749K89.0</t>
        </is>
      </c>
      <c r="E12142" t="inlineStr">
        <is>
          <t>DILMC25-10(RDC24)</t>
        </is>
      </c>
      <c r="F12142" t="inlineStr">
        <is>
          <t>DILA-XHI22</t>
        </is>
      </c>
      <c r="G12142" t="inlineStr">
        <is>
          <t>LASTSCHUETZ</t>
        </is>
      </c>
      <c r="H12142" t="inlineStr">
        <is>
          <t>11kW 1S Federzugkl.</t>
        </is>
      </c>
      <c r="I12142">
        <v>2117</v>
      </c>
      <c r="J12142">
        <f>GS04/749.6</f>
        <v>0</v>
      </c>
      <c r="K12142" t="inlineStr">
        <is>
          <t>DIL MC25</t>
        </is>
      </c>
      <c r="M12142" t="inlineStr">
        <is>
          <t>-749K89.0</t>
        </is>
      </c>
    </row>
    <row r="12143">
      <c r="A12143">
        <v>12142</v>
      </c>
      <c r="B12143">
        <f>GS04</f>
        <v>0</v>
      </c>
      <c r="C12143" t="inlineStr">
        <is>
          <t>+LS11</t>
        </is>
      </c>
      <c r="D12143" t="inlineStr">
        <is>
          <t>-749K89.0</t>
        </is>
      </c>
      <c r="E12143" t="inlineStr">
        <is>
          <t>DILA-XHI22</t>
        </is>
      </c>
      <c r="F12143" t="inlineStr">
        <is>
          <t>DILA-XHI22</t>
        </is>
      </c>
      <c r="G12143" t="inlineStr">
        <is>
          <t>HILFSKONTAKTBLOCK</t>
        </is>
      </c>
      <c r="H12143" t="inlineStr">
        <is>
          <t>2S 2OE Last+Hilfssch. Cage</t>
        </is>
      </c>
      <c r="I12143">
        <v>2117</v>
      </c>
      <c r="J12143">
        <f>GS04/749.6</f>
        <v>0</v>
      </c>
      <c r="K12143" t="inlineStr">
        <is>
          <t>DIL MC25</t>
        </is>
      </c>
      <c r="M12143" t="inlineStr">
        <is>
          <t>-749K89.0</t>
        </is>
      </c>
    </row>
    <row r="12144">
      <c r="A12144">
        <v>12143</v>
      </c>
      <c r="B12144">
        <f>GS08</f>
        <v>0</v>
      </c>
      <c r="C12144" t="inlineStr">
        <is>
          <t>+LS[p1]</t>
        </is>
      </c>
      <c r="D12144" t="inlineStr">
        <is>
          <t>-74K1</t>
        </is>
      </c>
      <c r="E12144" t="inlineStr">
        <is>
          <t>DILM-9-01</t>
        </is>
      </c>
      <c r="F12144" t="inlineStr">
        <is>
          <t>#KALK!</t>
        </is>
      </c>
      <c r="G12144" t="inlineStr">
        <is>
          <t>LASTSCHUETZ</t>
        </is>
      </c>
      <c r="H12144" t="inlineStr">
        <is>
          <t>4kW 1Oe Federzugkl.</t>
        </is>
      </c>
      <c r="I12144">
        <v>244</v>
      </c>
      <c r="J12144">
        <f>GS08/74.6</f>
        <v>0</v>
      </c>
      <c r="M12144" t="inlineStr">
        <is>
          <t>-74K1</t>
        </is>
      </c>
    </row>
    <row r="12145">
      <c r="A12145">
        <v>12144</v>
      </c>
      <c r="B12145">
        <f>GS08</f>
        <v>0</v>
      </c>
      <c r="C12145" t="inlineStr">
        <is>
          <t>+LS[p1]</t>
        </is>
      </c>
      <c r="D12145" t="inlineStr">
        <is>
          <t>-74K2</t>
        </is>
      </c>
      <c r="E12145" t="inlineStr">
        <is>
          <t>DILM-9-01</t>
        </is>
      </c>
      <c r="F12145" t="inlineStr">
        <is>
          <t>#KALK!</t>
        </is>
      </c>
      <c r="G12145" t="inlineStr">
        <is>
          <t>LASTSCHUETZ</t>
        </is>
      </c>
      <c r="H12145" t="inlineStr">
        <is>
          <t>4kW 1Oe Federzugkl.</t>
        </is>
      </c>
      <c r="I12145">
        <v>244</v>
      </c>
      <c r="J12145">
        <f>GS08/74.7</f>
        <v>0</v>
      </c>
      <c r="M12145" t="inlineStr">
        <is>
          <t>-74K2</t>
        </is>
      </c>
    </row>
    <row r="12146">
      <c r="A12146">
        <v>12145</v>
      </c>
      <c r="B12146">
        <f>GS66</f>
        <v>0</v>
      </c>
      <c r="C12146" t="inlineStr">
        <is>
          <t>+KKFW[ll]B</t>
        </is>
      </c>
      <c r="D12146" t="inlineStr">
        <is>
          <t>-74Q3</t>
        </is>
      </c>
      <c r="E12146" t="inlineStr">
        <is>
          <t>DILM-9-10</t>
        </is>
      </c>
      <c r="F12146" t="inlineStr">
        <is>
          <t>#KALK!</t>
        </is>
      </c>
      <c r="G12146" t="inlineStr">
        <is>
          <t>LASTSCHUETZ</t>
        </is>
      </c>
      <c r="H12146" t="inlineStr">
        <is>
          <t>4kW 1S Federzugkl.</t>
        </is>
      </c>
      <c r="I12146">
        <v>213</v>
      </c>
      <c r="J12146">
        <f>GS66/74.6</f>
        <v>0</v>
      </c>
      <c r="M12146" t="inlineStr">
        <is>
          <t>-74Q3</t>
        </is>
      </c>
    </row>
    <row r="12147">
      <c r="A12147">
        <v>12146</v>
      </c>
      <c r="B12147">
        <f>GS8x</f>
        <v>0</v>
      </c>
      <c r="C12147" t="inlineStr">
        <is>
          <t>+KKFWB</t>
        </is>
      </c>
      <c r="D12147" t="inlineStr">
        <is>
          <t>-74Q3</t>
        </is>
      </c>
      <c r="E12147" t="inlineStr">
        <is>
          <t>DILM-9-10</t>
        </is>
      </c>
      <c r="F12147" t="inlineStr">
        <is>
          <t>#KALK!</t>
        </is>
      </c>
      <c r="G12147" t="inlineStr">
        <is>
          <t>LASTSCHUETZ</t>
        </is>
      </c>
      <c r="H12147" t="inlineStr">
        <is>
          <t>4kW 1S Federzugkl.</t>
        </is>
      </c>
      <c r="I12147">
        <v>220</v>
      </c>
      <c r="J12147">
        <f>GS8x/74.7</f>
        <v>0</v>
      </c>
      <c r="M12147" t="inlineStr">
        <is>
          <t>-74Q3</t>
        </is>
      </c>
    </row>
    <row r="12148">
      <c r="A12148">
        <v>12147</v>
      </c>
      <c r="B12148">
        <f>GS93</f>
        <v>0</v>
      </c>
      <c r="C12148" t="inlineStr">
        <is>
          <t>+LS15</t>
        </is>
      </c>
      <c r="D12148" t="inlineStr">
        <is>
          <t>-750K1050.4</t>
        </is>
      </c>
      <c r="E12148" t="inlineStr">
        <is>
          <t>DILA-40</t>
        </is>
      </c>
      <c r="F12148" t="inlineStr">
        <is>
          <t>#KALK!</t>
        </is>
      </c>
      <c r="G12148" t="inlineStr">
        <is>
          <t>HILFSSCHUETZ</t>
        </is>
      </c>
      <c r="H12148" t="inlineStr">
        <is>
          <t>4S Federzugkl.</t>
        </is>
      </c>
      <c r="I12148">
        <v>1290</v>
      </c>
      <c r="J12148">
        <f>GS93/750.7</f>
        <v>0</v>
      </c>
      <c r="M12148" t="inlineStr">
        <is>
          <t>-750K1050.4</t>
        </is>
      </c>
    </row>
    <row r="12149">
      <c r="A12149">
        <v>12148</v>
      </c>
      <c r="B12149">
        <f>GS93</f>
        <v>0</v>
      </c>
      <c r="C12149" t="inlineStr">
        <is>
          <t>+LS15</t>
        </is>
      </c>
      <c r="D12149" t="inlineStr">
        <is>
          <t>-750Q1</t>
        </is>
      </c>
      <c r="E12149" t="inlineStr">
        <is>
          <t>DILA-XHI22</t>
        </is>
      </c>
      <c r="F12149" t="inlineStr">
        <is>
          <t>DILA-XHI22</t>
        </is>
      </c>
      <c r="G12149" t="inlineStr">
        <is>
          <t>HILFSKONTAKTBLOCK</t>
        </is>
      </c>
      <c r="H12149" t="inlineStr">
        <is>
          <t>2S 2OE Last+Hilfssch. Cage</t>
        </is>
      </c>
      <c r="I12149">
        <v>1290</v>
      </c>
      <c r="J12149">
        <f>GS93/750.4</f>
        <v>0</v>
      </c>
      <c r="K12149" t="inlineStr">
        <is>
          <t>DIL MC25</t>
        </is>
      </c>
      <c r="M12149" t="inlineStr">
        <is>
          <t>-750Q1</t>
        </is>
      </c>
    </row>
    <row r="12150">
      <c r="A12150">
        <v>12149</v>
      </c>
      <c r="B12150">
        <f>GS93</f>
        <v>0</v>
      </c>
      <c r="C12150" t="inlineStr">
        <is>
          <t>+LS15</t>
        </is>
      </c>
      <c r="D12150" t="inlineStr">
        <is>
          <t>-750Q1</t>
        </is>
      </c>
      <c r="E12150" t="inlineStr">
        <is>
          <t>DILMC25-10(RDC24)</t>
        </is>
      </c>
      <c r="F12150" t="inlineStr">
        <is>
          <t>DILA-XHI22</t>
        </is>
      </c>
      <c r="G12150" t="inlineStr">
        <is>
          <t>LASTSCHUETZ</t>
        </is>
      </c>
      <c r="H12150" t="inlineStr">
        <is>
          <t>11kW 1S Federzugkl.</t>
        </is>
      </c>
      <c r="I12150">
        <v>1290</v>
      </c>
      <c r="J12150">
        <f>GS93/750.4</f>
        <v>0</v>
      </c>
      <c r="K12150" t="inlineStr">
        <is>
          <t>DIL MC25</t>
        </is>
      </c>
      <c r="M12150" t="inlineStr">
        <is>
          <t>-750Q1</t>
        </is>
      </c>
    </row>
    <row r="12151">
      <c r="A12151">
        <v>12150</v>
      </c>
      <c r="B12151">
        <f>GS93</f>
        <v>0</v>
      </c>
      <c r="C12151" t="inlineStr">
        <is>
          <t>+LS15</t>
        </is>
      </c>
      <c r="D12151" t="inlineStr">
        <is>
          <t>-751Q1050.5</t>
        </is>
      </c>
      <c r="E12151" t="inlineStr">
        <is>
          <t>DILM-9-10</t>
        </is>
      </c>
      <c r="F12151" t="inlineStr">
        <is>
          <t>#KALK!</t>
        </is>
      </c>
      <c r="G12151" t="inlineStr">
        <is>
          <t>LASTSCHUETZ</t>
        </is>
      </c>
      <c r="H12151" t="inlineStr">
        <is>
          <t>4kW 1S Federzugkl.</t>
        </is>
      </c>
      <c r="I12151">
        <v>1291</v>
      </c>
      <c r="J12151">
        <f>GS93/751.5</f>
        <v>0</v>
      </c>
      <c r="M12151" t="inlineStr">
        <is>
          <t>-751Q1050.5</t>
        </is>
      </c>
    </row>
    <row r="12152">
      <c r="A12152">
        <v>12151</v>
      </c>
      <c r="B12152">
        <f>GS21</f>
        <v>0</v>
      </c>
      <c r="C12152" t="inlineStr">
        <is>
          <t>+LS15</t>
        </is>
      </c>
      <c r="D12152" t="inlineStr">
        <is>
          <t>-755K1</t>
        </is>
      </c>
      <c r="E12152" t="inlineStr">
        <is>
          <t>DILMC25-10230V50HZ</t>
        </is>
      </c>
      <c r="F12152" t="inlineStr">
        <is>
          <t>DILA-XHI22</t>
        </is>
      </c>
      <c r="G12152" t="inlineStr">
        <is>
          <t>LASTSCHUETZ</t>
        </is>
      </c>
      <c r="H12152" t="inlineStr">
        <is>
          <t>11kW 1S Federzugkl.</t>
        </is>
      </c>
      <c r="I12152">
        <v>1210</v>
      </c>
      <c r="J12152">
        <f>GS21/755.4</f>
        <v>0</v>
      </c>
      <c r="K12152" t="inlineStr">
        <is>
          <t>DIL MC25</t>
        </is>
      </c>
      <c r="M12152" t="inlineStr">
        <is>
          <t>-755K1</t>
        </is>
      </c>
    </row>
    <row r="12153">
      <c r="A12153">
        <v>12152</v>
      </c>
      <c r="B12153">
        <f>GS21</f>
        <v>0</v>
      </c>
      <c r="C12153" t="inlineStr">
        <is>
          <t>+LS15</t>
        </is>
      </c>
      <c r="D12153" t="inlineStr">
        <is>
          <t>-755K1</t>
        </is>
      </c>
      <c r="E12153" t="inlineStr">
        <is>
          <t>DILA-XHI22</t>
        </is>
      </c>
      <c r="F12153" t="inlineStr">
        <is>
          <t>DILA-XHI22</t>
        </is>
      </c>
      <c r="G12153" t="inlineStr">
        <is>
          <t>HILFSKONTAKTBLOCK</t>
        </is>
      </c>
      <c r="H12153" t="inlineStr">
        <is>
          <t>2S 2OE Last+Hilfssch. Cage</t>
        </is>
      </c>
      <c r="I12153">
        <v>1210</v>
      </c>
      <c r="J12153">
        <f>GS21/755.4</f>
        <v>0</v>
      </c>
      <c r="K12153" t="inlineStr">
        <is>
          <t>DIL MC25</t>
        </is>
      </c>
      <c r="M12153" t="inlineStr">
        <is>
          <t>-755K1</t>
        </is>
      </c>
    </row>
    <row r="12154">
      <c r="A12154">
        <v>12153</v>
      </c>
      <c r="B12154">
        <f>GS55</f>
        <v>0</v>
      </c>
      <c r="C12154" t="inlineStr">
        <is>
          <t>+LS12</t>
        </is>
      </c>
      <c r="D12154" t="inlineStr">
        <is>
          <t>-755K1</t>
        </is>
      </c>
      <c r="E12154" t="inlineStr">
        <is>
          <t>DILA-22</t>
        </is>
      </c>
      <c r="F12154" t="inlineStr">
        <is>
          <t>#KALK!</t>
        </is>
      </c>
      <c r="G12154" t="inlineStr">
        <is>
          <t>HILFSSCHUETZ</t>
        </is>
      </c>
      <c r="H12154" t="inlineStr">
        <is>
          <t>2S 2Oe Federzugkl.</t>
        </is>
      </c>
      <c r="I12154">
        <v>1006</v>
      </c>
      <c r="J12154">
        <f>GS55/755.7</f>
        <v>0</v>
      </c>
      <c r="M12154" t="inlineStr">
        <is>
          <t>-755K1</t>
        </is>
      </c>
    </row>
    <row r="12155">
      <c r="A12155">
        <v>12154</v>
      </c>
      <c r="B12155">
        <f>GS93</f>
        <v>0</v>
      </c>
      <c r="C12155" t="inlineStr">
        <is>
          <t>+LS15</t>
        </is>
      </c>
      <c r="D12155" t="inlineStr">
        <is>
          <t>-755K1051.0</t>
        </is>
      </c>
      <c r="E12155" t="inlineStr">
        <is>
          <t>DILA-40</t>
        </is>
      </c>
      <c r="F12155" t="inlineStr">
        <is>
          <t>#KALK!</t>
        </is>
      </c>
      <c r="G12155" t="inlineStr">
        <is>
          <t>HILFSSCHUETZ</t>
        </is>
      </c>
      <c r="H12155" t="inlineStr">
        <is>
          <t>4S Federzugkl.</t>
        </is>
      </c>
      <c r="I12155">
        <v>1295</v>
      </c>
      <c r="J12155">
        <f>GS93/755.7</f>
        <v>0</v>
      </c>
      <c r="M12155" t="inlineStr">
        <is>
          <t>-755K1051.0</t>
        </is>
      </c>
    </row>
    <row r="12156">
      <c r="A12156">
        <v>12155</v>
      </c>
      <c r="B12156">
        <f>GS92</f>
        <v>0</v>
      </c>
      <c r="C12156" t="inlineStr">
        <is>
          <t>+LS14</t>
        </is>
      </c>
      <c r="D12156" t="inlineStr">
        <is>
          <t>-755K1073.4</t>
        </is>
      </c>
      <c r="E12156" t="inlineStr">
        <is>
          <t>DILA-40</t>
        </is>
      </c>
      <c r="F12156" t="inlineStr">
        <is>
          <t>#KALK!</t>
        </is>
      </c>
      <c r="G12156" t="inlineStr">
        <is>
          <t>HILFSSCHUETZ</t>
        </is>
      </c>
      <c r="H12156" t="inlineStr">
        <is>
          <t>4S Federzugkl.</t>
        </is>
      </c>
      <c r="I12156">
        <v>882</v>
      </c>
      <c r="J12156">
        <f>GS92/755.7</f>
        <v>0</v>
      </c>
      <c r="M12156" t="inlineStr">
        <is>
          <t>-755K1073.4</t>
        </is>
      </c>
    </row>
    <row r="12157">
      <c r="A12157">
        <v>12156</v>
      </c>
      <c r="B12157">
        <f>GS08</f>
        <v>0</v>
      </c>
      <c r="C12157" t="inlineStr">
        <is>
          <t>+LS12</t>
        </is>
      </c>
      <c r="D12157" t="inlineStr">
        <is>
          <t>-755Q1</t>
        </is>
      </c>
      <c r="E12157" t="inlineStr">
        <is>
          <t>DILA-XHI22</t>
        </is>
      </c>
      <c r="F12157" t="inlineStr">
        <is>
          <t>DILA-XHI22</t>
        </is>
      </c>
      <c r="G12157" t="inlineStr">
        <is>
          <t>HILFSKONTAKTBLOCK</t>
        </is>
      </c>
      <c r="H12157" t="inlineStr">
        <is>
          <t>2S 2OE Last+Hilfssch. Cage</t>
        </is>
      </c>
      <c r="I12157">
        <v>302</v>
      </c>
      <c r="J12157">
        <f>GS08/755.6</f>
        <v>0</v>
      </c>
      <c r="K12157" t="inlineStr">
        <is>
          <t>DIL MC25</t>
        </is>
      </c>
      <c r="M12157" t="inlineStr">
        <is>
          <t>-755Q1</t>
        </is>
      </c>
    </row>
    <row r="12158">
      <c r="A12158">
        <v>12157</v>
      </c>
      <c r="B12158">
        <f>GS08</f>
        <v>0</v>
      </c>
      <c r="C12158" t="inlineStr">
        <is>
          <t>+LS12</t>
        </is>
      </c>
      <c r="D12158" t="inlineStr">
        <is>
          <t>-755Q1</t>
        </is>
      </c>
      <c r="E12158" t="inlineStr">
        <is>
          <t>DILMC25-10(RDC24)</t>
        </is>
      </c>
      <c r="F12158" t="inlineStr">
        <is>
          <t>DILA-XHI22</t>
        </is>
      </c>
      <c r="G12158" t="inlineStr">
        <is>
          <t>LASTSCHUETZ</t>
        </is>
      </c>
      <c r="H12158" t="inlineStr">
        <is>
          <t>11kW 1S Federzugkl.</t>
        </is>
      </c>
      <c r="I12158">
        <v>302</v>
      </c>
      <c r="J12158">
        <f>GS08/755.6</f>
        <v>0</v>
      </c>
      <c r="K12158" t="inlineStr">
        <is>
          <t>DIL MC25</t>
        </is>
      </c>
      <c r="M12158" t="inlineStr">
        <is>
          <t>-755Q1</t>
        </is>
      </c>
    </row>
    <row r="12159">
      <c r="A12159">
        <v>12158</v>
      </c>
      <c r="B12159">
        <f>GS51</f>
        <v>0</v>
      </c>
      <c r="C12159" t="inlineStr">
        <is>
          <t>+LS11</t>
        </is>
      </c>
      <c r="D12159" t="inlineStr">
        <is>
          <t>-755Q1</t>
        </is>
      </c>
      <c r="E12159" t="inlineStr">
        <is>
          <t>DILA-XHI22</t>
        </is>
      </c>
      <c r="F12159" t="inlineStr">
        <is>
          <t>DILA-XHI22</t>
        </is>
      </c>
      <c r="G12159" t="inlineStr">
        <is>
          <t>HILFSKONTAKTBLOCK</t>
        </is>
      </c>
      <c r="H12159" t="inlineStr">
        <is>
          <t>2S 2OE Last+Hilfssch. Cage</t>
        </is>
      </c>
      <c r="I12159">
        <v>897</v>
      </c>
      <c r="J12159">
        <f>GS51/755.6</f>
        <v>0</v>
      </c>
      <c r="K12159" t="inlineStr">
        <is>
          <t>DIL MC25</t>
        </is>
      </c>
      <c r="M12159" t="inlineStr">
        <is>
          <t>-755Q1</t>
        </is>
      </c>
    </row>
    <row r="12160">
      <c r="A12160">
        <v>12159</v>
      </c>
      <c r="B12160">
        <f>GS51</f>
        <v>0</v>
      </c>
      <c r="C12160" t="inlineStr">
        <is>
          <t>+LS11</t>
        </is>
      </c>
      <c r="D12160" t="inlineStr">
        <is>
          <t>-755Q1</t>
        </is>
      </c>
      <c r="E12160" t="inlineStr">
        <is>
          <t>DILMC25-10(RDC24)</t>
        </is>
      </c>
      <c r="F12160" t="inlineStr">
        <is>
          <t>DILA-XHI22</t>
        </is>
      </c>
      <c r="G12160" t="inlineStr">
        <is>
          <t>LASTSCHUETZ</t>
        </is>
      </c>
      <c r="H12160" t="inlineStr">
        <is>
          <t>11kW 1S Federzugkl.</t>
        </is>
      </c>
      <c r="I12160">
        <v>897</v>
      </c>
      <c r="J12160">
        <f>GS51/755.6</f>
        <v>0</v>
      </c>
      <c r="K12160" t="inlineStr">
        <is>
          <t>DIL MC25</t>
        </is>
      </c>
      <c r="M12160" t="inlineStr">
        <is>
          <t>-755Q1</t>
        </is>
      </c>
    </row>
    <row r="12161">
      <c r="A12161">
        <v>12160</v>
      </c>
      <c r="B12161">
        <f>GS55</f>
        <v>0</v>
      </c>
      <c r="C12161" t="inlineStr">
        <is>
          <t>+LS12</t>
        </is>
      </c>
      <c r="D12161" t="inlineStr">
        <is>
          <t>-755Q1</t>
        </is>
      </c>
      <c r="E12161" t="inlineStr">
        <is>
          <t>DILM150-XHIC22</t>
        </is>
      </c>
      <c r="F12161" t="inlineStr">
        <is>
          <t>DILM150-XHIC22</t>
        </is>
      </c>
      <c r="G12161" t="inlineStr">
        <is>
          <t>HILFSKONTAKTBLOCK</t>
        </is>
      </c>
      <c r="H12161" t="inlineStr">
        <is>
          <t>2S 2OE ab DILMC40</t>
        </is>
      </c>
      <c r="I12161">
        <v>1006</v>
      </c>
      <c r="J12161">
        <f>GS55/755.6</f>
        <v>0</v>
      </c>
      <c r="K12161" t="inlineStr">
        <is>
          <t>DIL MC40</t>
        </is>
      </c>
      <c r="M12161" t="inlineStr">
        <is>
          <t>-755Q1</t>
        </is>
      </c>
    </row>
    <row r="12162">
      <c r="A12162">
        <v>12161</v>
      </c>
      <c r="B12162">
        <f>GS55</f>
        <v>0</v>
      </c>
      <c r="C12162" t="inlineStr">
        <is>
          <t>+LS12</t>
        </is>
      </c>
      <c r="D12162" t="inlineStr">
        <is>
          <t>-755Q1</t>
        </is>
      </c>
      <c r="E12162" t="inlineStr">
        <is>
          <t>DILMC40(RDC24)</t>
        </is>
      </c>
      <c r="F12162" t="inlineStr">
        <is>
          <t>DILM150-XHIC22</t>
        </is>
      </c>
      <c r="G12162" t="inlineStr">
        <is>
          <t>LASTSCHUETZ</t>
        </is>
      </c>
      <c r="H12162" t="inlineStr">
        <is>
          <t>18,5kW Federzugkl.</t>
        </is>
      </c>
      <c r="I12162">
        <v>1006</v>
      </c>
      <c r="J12162">
        <f>GS55/755.6</f>
        <v>0</v>
      </c>
      <c r="K12162" t="inlineStr">
        <is>
          <t>DIL MC40</t>
        </is>
      </c>
      <c r="M12162" t="inlineStr">
        <is>
          <t>-755Q1</t>
        </is>
      </c>
    </row>
    <row r="12163">
      <c r="A12163">
        <v>12162</v>
      </c>
      <c r="B12163">
        <f>GS92</f>
        <v>0</v>
      </c>
      <c r="C12163" t="inlineStr">
        <is>
          <t>+LS14</t>
        </is>
      </c>
      <c r="D12163" t="inlineStr">
        <is>
          <t>-755Q1</t>
        </is>
      </c>
      <c r="E12163" t="inlineStr">
        <is>
          <t>DILA-XHIC31</t>
        </is>
      </c>
      <c r="F12163" t="inlineStr">
        <is>
          <t>DILA-XHIC31</t>
        </is>
      </c>
      <c r="G12163" t="inlineStr">
        <is>
          <t>HILFSKONTAKTBLOCK</t>
        </is>
      </c>
      <c r="H12163" t="inlineStr">
        <is>
          <t>3S 1OE Last+Hilfssch. Cage</t>
        </is>
      </c>
      <c r="I12163">
        <v>882</v>
      </c>
      <c r="J12163">
        <f>GS92/755.4</f>
        <v>0</v>
      </c>
      <c r="K12163" t="inlineStr">
        <is>
          <t>DIL MC25</t>
        </is>
      </c>
      <c r="M12163" t="inlineStr">
        <is>
          <t>-755Q1</t>
        </is>
      </c>
    </row>
    <row r="12164">
      <c r="A12164">
        <v>12163</v>
      </c>
      <c r="B12164">
        <f>GS92</f>
        <v>0</v>
      </c>
      <c r="C12164" t="inlineStr">
        <is>
          <t>+LS14</t>
        </is>
      </c>
      <c r="D12164" t="inlineStr">
        <is>
          <t>-755Q1</t>
        </is>
      </c>
      <c r="E12164" t="inlineStr">
        <is>
          <t>DILMC25-10(RDC24)</t>
        </is>
      </c>
      <c r="F12164" t="inlineStr">
        <is>
          <t>DILA-XHIC31</t>
        </is>
      </c>
      <c r="G12164" t="inlineStr">
        <is>
          <t>LASTSCHUETZ</t>
        </is>
      </c>
      <c r="H12164" t="inlineStr">
        <is>
          <t>11kW 1S Federzugkl.</t>
        </is>
      </c>
      <c r="I12164">
        <v>882</v>
      </c>
      <c r="J12164">
        <f>GS92/755.4</f>
        <v>0</v>
      </c>
      <c r="K12164" t="inlineStr">
        <is>
          <t>DIL MC25</t>
        </is>
      </c>
      <c r="M12164" t="inlineStr">
        <is>
          <t>-755Q1</t>
        </is>
      </c>
    </row>
    <row r="12165">
      <c r="A12165">
        <v>12164</v>
      </c>
      <c r="B12165">
        <f>GS93</f>
        <v>0</v>
      </c>
      <c r="C12165" t="inlineStr">
        <is>
          <t>+LS15</t>
        </is>
      </c>
      <c r="D12165" t="inlineStr">
        <is>
          <t>-755Q1</t>
        </is>
      </c>
      <c r="E12165" t="inlineStr">
        <is>
          <t>DILA-XHI22</t>
        </is>
      </c>
      <c r="F12165" t="inlineStr">
        <is>
          <t>DILA-XHI22</t>
        </is>
      </c>
      <c r="G12165" t="inlineStr">
        <is>
          <t>HILFSKONTAKTBLOCK</t>
        </is>
      </c>
      <c r="H12165" t="inlineStr">
        <is>
          <t>2S 2OE Last+Hilfssch. Cage</t>
        </is>
      </c>
      <c r="I12165">
        <v>1295</v>
      </c>
      <c r="J12165">
        <f>GS93/755.4</f>
        <v>0</v>
      </c>
      <c r="K12165" t="inlineStr">
        <is>
          <t>DIL MC25</t>
        </is>
      </c>
      <c r="M12165" t="inlineStr">
        <is>
          <t>-755Q1</t>
        </is>
      </c>
    </row>
    <row r="12166">
      <c r="A12166">
        <v>12165</v>
      </c>
      <c r="B12166">
        <f>GS93</f>
        <v>0</v>
      </c>
      <c r="C12166" t="inlineStr">
        <is>
          <t>+LS15</t>
        </is>
      </c>
      <c r="D12166" t="inlineStr">
        <is>
          <t>-755Q1</t>
        </is>
      </c>
      <c r="E12166" t="inlineStr">
        <is>
          <t>DILMC25-10(RDC24)</t>
        </is>
      </c>
      <c r="F12166" t="inlineStr">
        <is>
          <t>DILA-XHI22</t>
        </is>
      </c>
      <c r="G12166" t="inlineStr">
        <is>
          <t>LASTSCHUETZ</t>
        </is>
      </c>
      <c r="H12166" t="inlineStr">
        <is>
          <t>11kW 1S Federzugkl.</t>
        </is>
      </c>
      <c r="I12166">
        <v>1295</v>
      </c>
      <c r="J12166">
        <f>GS93/755.4</f>
        <v>0</v>
      </c>
      <c r="K12166" t="inlineStr">
        <is>
          <t>DIL MC25</t>
        </is>
      </c>
      <c r="M12166" t="inlineStr">
        <is>
          <t>-755Q1</t>
        </is>
      </c>
    </row>
    <row r="12167">
      <c r="A12167">
        <v>12166</v>
      </c>
      <c r="B12167">
        <f>GC22</f>
        <v>0</v>
      </c>
      <c r="C12167" t="inlineStr">
        <is>
          <t>+LS7</t>
        </is>
      </c>
      <c r="D12167" t="inlineStr">
        <is>
          <t>-756K1</t>
        </is>
      </c>
      <c r="E12167" t="inlineStr">
        <is>
          <t>DILA-XHI22</t>
        </is>
      </c>
      <c r="F12167" t="inlineStr">
        <is>
          <t>DILA-XHI22</t>
        </is>
      </c>
      <c r="G12167" t="inlineStr">
        <is>
          <t>HILFSKONTAKTBLOCK</t>
        </is>
      </c>
      <c r="H12167" t="inlineStr">
        <is>
          <t>2S 2OE Last+Hilfssch. Cage</t>
        </is>
      </c>
      <c r="I12167">
        <v>574</v>
      </c>
      <c r="J12167">
        <f>GC22/756.2</f>
        <v>0</v>
      </c>
      <c r="K12167" t="inlineStr">
        <is>
          <t>DIL MC 25</t>
        </is>
      </c>
      <c r="M12167" t="inlineStr">
        <is>
          <t>-756K1</t>
        </is>
      </c>
    </row>
    <row r="12168">
      <c r="A12168">
        <v>12167</v>
      </c>
      <c r="B12168">
        <f>GC22</f>
        <v>0</v>
      </c>
      <c r="C12168" t="inlineStr">
        <is>
          <t>+LS7</t>
        </is>
      </c>
      <c r="D12168" t="inlineStr">
        <is>
          <t>-756K1</t>
        </is>
      </c>
      <c r="E12168" t="inlineStr">
        <is>
          <t>DILMC25-10230V50HZ</t>
        </is>
      </c>
      <c r="F12168" t="inlineStr">
        <is>
          <t>DILA-XHI22</t>
        </is>
      </c>
      <c r="G12168" t="inlineStr">
        <is>
          <t>LASTSCHUETZ</t>
        </is>
      </c>
      <c r="H12168" t="inlineStr">
        <is>
          <t>11kW 1S Federzugkl.</t>
        </is>
      </c>
      <c r="I12168">
        <v>574</v>
      </c>
      <c r="J12168">
        <f>GC22/756.2</f>
        <v>0</v>
      </c>
      <c r="K12168" t="inlineStr">
        <is>
          <t>DIL MC 25</t>
        </is>
      </c>
      <c r="M12168" t="inlineStr">
        <is>
          <t>-756K1</t>
        </is>
      </c>
    </row>
    <row r="12169">
      <c r="A12169">
        <v>12168</v>
      </c>
      <c r="B12169">
        <f>GS12</f>
        <v>0</v>
      </c>
      <c r="C12169" t="inlineStr">
        <is>
          <t>+LS7</t>
        </is>
      </c>
      <c r="D12169" t="inlineStr">
        <is>
          <t>-756K1</t>
        </is>
      </c>
      <c r="E12169" t="inlineStr">
        <is>
          <t>DILMC25-10230V50HZ</t>
        </is>
      </c>
      <c r="F12169" t="inlineStr">
        <is>
          <t>DILA-XHI22</t>
        </is>
      </c>
      <c r="G12169" t="inlineStr">
        <is>
          <t>LASTSCHUETZ</t>
        </is>
      </c>
      <c r="H12169" t="inlineStr">
        <is>
          <t>11kW 1S Federzugkl.</t>
        </is>
      </c>
      <c r="I12169">
        <v>1170</v>
      </c>
      <c r="J12169">
        <f>GS12/756.2</f>
        <v>0</v>
      </c>
      <c r="K12169" t="inlineStr">
        <is>
          <t>DIL MC 25</t>
        </is>
      </c>
      <c r="M12169" t="inlineStr">
        <is>
          <t>-756K1</t>
        </is>
      </c>
    </row>
    <row r="12170">
      <c r="A12170">
        <v>12169</v>
      </c>
      <c r="B12170">
        <f>GS12</f>
        <v>0</v>
      </c>
      <c r="C12170" t="inlineStr">
        <is>
          <t>+LS7</t>
        </is>
      </c>
      <c r="D12170" t="inlineStr">
        <is>
          <t>-756K1</t>
        </is>
      </c>
      <c r="E12170" t="inlineStr">
        <is>
          <t>DILA-XHI22</t>
        </is>
      </c>
      <c r="F12170" t="inlineStr">
        <is>
          <t>DILA-XHI22</t>
        </is>
      </c>
      <c r="G12170" t="inlineStr">
        <is>
          <t>HILFSKONTAKTBLOCK</t>
        </is>
      </c>
      <c r="H12170" t="inlineStr">
        <is>
          <t>2S 2OE Last+Hilfssch. Cage</t>
        </is>
      </c>
      <c r="I12170">
        <v>1170</v>
      </c>
      <c r="J12170">
        <f>GS12/756.2</f>
        <v>0</v>
      </c>
      <c r="K12170" t="inlineStr">
        <is>
          <t>DIL MC 25</t>
        </is>
      </c>
      <c r="M12170" t="inlineStr">
        <is>
          <t>-756K1</t>
        </is>
      </c>
    </row>
    <row r="12171">
      <c r="A12171">
        <v>12170</v>
      </c>
      <c r="B12171">
        <f>GS32</f>
        <v>0</v>
      </c>
      <c r="C12171" t="inlineStr">
        <is>
          <t>+QVW2201</t>
        </is>
      </c>
      <c r="D12171" t="inlineStr">
        <is>
          <t>-756K1</t>
        </is>
      </c>
      <c r="E12171" t="inlineStr">
        <is>
          <t>22_DIL-M</t>
        </is>
      </c>
      <c r="F12171" t="inlineStr">
        <is>
          <t>22_DIL-M</t>
        </is>
      </c>
      <c r="G12171" t="inlineStr">
        <is>
          <t>HILFSKONTAKTBLOCK</t>
        </is>
      </c>
      <c r="H12171" t="inlineStr">
        <is>
          <t>2S 2OE Lastschuetz DIL M</t>
        </is>
      </c>
      <c r="I12171">
        <v>462</v>
      </c>
      <c r="J12171">
        <f>GS32/756.2</f>
        <v>0</v>
      </c>
      <c r="M12171" t="inlineStr">
        <is>
          <t>-756K1</t>
        </is>
      </c>
    </row>
    <row r="12172">
      <c r="A12172">
        <v>12171</v>
      </c>
      <c r="B12172">
        <f>GS32</f>
        <v>0</v>
      </c>
      <c r="C12172" t="inlineStr">
        <is>
          <t>+QVW2201</t>
        </is>
      </c>
      <c r="D12172" t="inlineStr">
        <is>
          <t>-756K1</t>
        </is>
      </c>
      <c r="E12172" t="inlineStr">
        <is>
          <t>DIL_1AM-G</t>
        </is>
      </c>
      <c r="F12172" t="inlineStr">
        <is>
          <t>22_DIL-M</t>
        </is>
      </c>
      <c r="G12172" t="inlineStr">
        <is>
          <t>LASTSCHUETZ</t>
        </is>
      </c>
      <c r="H12172" t="inlineStr">
        <is>
          <t>18,5kW</t>
        </is>
      </c>
      <c r="I12172">
        <v>462</v>
      </c>
      <c r="J12172">
        <f>GS32/756.2</f>
        <v>0</v>
      </c>
      <c r="M12172" t="inlineStr">
        <is>
          <t>-756K1</t>
        </is>
      </c>
    </row>
    <row r="12173">
      <c r="A12173">
        <v>12172</v>
      </c>
      <c r="B12173">
        <f>GS93</f>
        <v>0</v>
      </c>
      <c r="C12173" t="inlineStr">
        <is>
          <t>+LS15</t>
        </is>
      </c>
      <c r="D12173" t="inlineStr">
        <is>
          <t>-756Q1051.1</t>
        </is>
      </c>
      <c r="E12173" t="inlineStr">
        <is>
          <t>DILM-9-10</t>
        </is>
      </c>
      <c r="F12173" t="inlineStr">
        <is>
          <t>#KALK!</t>
        </is>
      </c>
      <c r="G12173" t="inlineStr">
        <is>
          <t>LASTSCHUETZ</t>
        </is>
      </c>
      <c r="H12173" t="inlineStr">
        <is>
          <t>4kW 1S Federzugkl.</t>
        </is>
      </c>
      <c r="I12173">
        <v>1296</v>
      </c>
      <c r="J12173">
        <f>GS93/756.5</f>
        <v>0</v>
      </c>
      <c r="M12173" t="inlineStr">
        <is>
          <t>-756Q1051.1</t>
        </is>
      </c>
    </row>
    <row r="12174">
      <c r="A12174">
        <v>12173</v>
      </c>
      <c r="B12174">
        <f>GS21</f>
        <v>0</v>
      </c>
      <c r="C12174" t="inlineStr">
        <is>
          <t>+LS15</t>
        </is>
      </c>
      <c r="D12174" t="inlineStr">
        <is>
          <t>-757K3524.1</t>
        </is>
      </c>
      <c r="E12174" t="inlineStr">
        <is>
          <t>DILMC12-10(24VDC)</t>
        </is>
      </c>
      <c r="F12174" t="inlineStr">
        <is>
          <t>#KALK!</t>
        </is>
      </c>
      <c r="G12174" t="inlineStr">
        <is>
          <t>LASTSCHUETZ</t>
        </is>
      </c>
      <c r="H12174" t="inlineStr">
        <is>
          <t>5,5kW 1S Federzugkl.</t>
        </is>
      </c>
      <c r="I12174">
        <v>1212</v>
      </c>
      <c r="J12174">
        <f>GS21/757.5</f>
        <v>0</v>
      </c>
      <c r="K12174" t="inlineStr">
        <is>
          <t>DIL MC12</t>
        </is>
      </c>
      <c r="M12174" t="inlineStr">
        <is>
          <t>-757K3524.1</t>
        </is>
      </c>
    </row>
    <row r="12175">
      <c r="A12175">
        <v>12174</v>
      </c>
      <c r="B12175">
        <f>GS55</f>
        <v>0</v>
      </c>
      <c r="C12175" t="inlineStr">
        <is>
          <t>+LS12</t>
        </is>
      </c>
      <c r="D12175" t="inlineStr">
        <is>
          <t>-757Q1</t>
        </is>
      </c>
      <c r="E12175" t="inlineStr">
        <is>
          <t>DILM-9-10</t>
        </is>
      </c>
      <c r="F12175" t="inlineStr">
        <is>
          <t>#KALK!</t>
        </is>
      </c>
      <c r="G12175" t="inlineStr">
        <is>
          <t>LASTSCHUETZ</t>
        </is>
      </c>
      <c r="H12175" t="inlineStr">
        <is>
          <t>4kW 1S Federzugkl.</t>
        </is>
      </c>
      <c r="I12175">
        <v>1010</v>
      </c>
      <c r="J12175">
        <f>GS55/757.7</f>
        <v>0</v>
      </c>
      <c r="M12175" t="inlineStr">
        <is>
          <t>-757Q1</t>
        </is>
      </c>
    </row>
    <row r="12176">
      <c r="A12176">
        <v>12175</v>
      </c>
      <c r="B12176">
        <f>GC22</f>
        <v>0</v>
      </c>
      <c r="C12176" t="inlineStr">
        <is>
          <t>+LS7</t>
        </is>
      </c>
      <c r="D12176" t="inlineStr">
        <is>
          <t>-758K3512.3</t>
        </is>
      </c>
      <c r="E12176" t="inlineStr">
        <is>
          <t>DILM-9-10</t>
        </is>
      </c>
      <c r="F12176" t="inlineStr">
        <is>
          <t>#KALK!</t>
        </is>
      </c>
      <c r="G12176" t="inlineStr">
        <is>
          <t>LASTSCHUETZ</t>
        </is>
      </c>
      <c r="H12176" t="inlineStr">
        <is>
          <t>4kW 1S Federzugkl.</t>
        </is>
      </c>
      <c r="I12176">
        <v>565</v>
      </c>
      <c r="J12176">
        <f>GC22/758.8</f>
        <v>0</v>
      </c>
      <c r="M12176" t="inlineStr">
        <is>
          <t>-758K3512.3</t>
        </is>
      </c>
    </row>
    <row r="12177">
      <c r="A12177">
        <v>12176</v>
      </c>
      <c r="B12177">
        <f>GS12</f>
        <v>0</v>
      </c>
      <c r="C12177" t="inlineStr">
        <is>
          <t>+LS7</t>
        </is>
      </c>
      <c r="D12177" t="inlineStr">
        <is>
          <t>-758K3512.3</t>
        </is>
      </c>
      <c r="E12177" t="inlineStr">
        <is>
          <t>DILM-9-10</t>
        </is>
      </c>
      <c r="F12177" t="inlineStr">
        <is>
          <t>#KALK!</t>
        </is>
      </c>
      <c r="G12177" t="inlineStr">
        <is>
          <t>LASTSCHUETZ</t>
        </is>
      </c>
      <c r="H12177" t="inlineStr">
        <is>
          <t>4kW 1S Federzugkl.</t>
        </is>
      </c>
      <c r="I12177">
        <v>1168</v>
      </c>
      <c r="J12177">
        <f>GS12/758.8</f>
        <v>0</v>
      </c>
      <c r="M12177" t="inlineStr">
        <is>
          <t>-758K3512.3</t>
        </is>
      </c>
    </row>
    <row r="12178">
      <c r="A12178">
        <v>12177</v>
      </c>
      <c r="B12178">
        <f>GS32</f>
        <v>0</v>
      </c>
      <c r="C12178" t="inlineStr">
        <is>
          <t>+QVW2201</t>
        </is>
      </c>
      <c r="D12178" t="inlineStr">
        <is>
          <t>-758K3900.2</t>
        </is>
      </c>
      <c r="E12178" t="inlineStr">
        <is>
          <t>DIL_ER-22-G</t>
        </is>
      </c>
      <c r="F12178" t="inlineStr">
        <is>
          <t>#KALK!</t>
        </is>
      </c>
      <c r="G12178" t="inlineStr">
        <is>
          <t>HILFSSCHUETZ</t>
        </is>
      </c>
      <c r="H12178" t="inlineStr">
        <is>
          <t>2S 2OE</t>
        </is>
      </c>
      <c r="I12178">
        <v>460</v>
      </c>
      <c r="J12178">
        <f>GS32/758.2</f>
        <v>0</v>
      </c>
      <c r="M12178" t="inlineStr">
        <is>
          <t>-758K3900.2</t>
        </is>
      </c>
    </row>
    <row r="12179">
      <c r="A12179">
        <v>12178</v>
      </c>
      <c r="B12179">
        <f>GS32</f>
        <v>0</v>
      </c>
      <c r="C12179" t="inlineStr">
        <is>
          <t>+QVW2201</t>
        </is>
      </c>
      <c r="D12179" t="inlineStr">
        <is>
          <t>-758K3900.5</t>
        </is>
      </c>
      <c r="E12179" t="inlineStr">
        <is>
          <t>DIL_EM-10-G</t>
        </is>
      </c>
      <c r="F12179" t="inlineStr">
        <is>
          <t>#KALK!</t>
        </is>
      </c>
      <c r="G12179" t="inlineStr">
        <is>
          <t>LASTSCHUETZ</t>
        </is>
      </c>
      <c r="H12179" t="inlineStr">
        <is>
          <t>4kW 1S</t>
        </is>
      </c>
      <c r="I12179">
        <v>460</v>
      </c>
      <c r="J12179">
        <f>GS32/758.5</f>
        <v>0</v>
      </c>
      <c r="M12179" t="inlineStr">
        <is>
          <t>-758K3900.5</t>
        </is>
      </c>
    </row>
    <row r="12180">
      <c r="A12180">
        <v>12179</v>
      </c>
      <c r="B12180">
        <f>GS32</f>
        <v>0</v>
      </c>
      <c r="C12180" t="inlineStr">
        <is>
          <t>+QVW2201</t>
        </is>
      </c>
      <c r="D12180" t="inlineStr">
        <is>
          <t>-758K3901.4</t>
        </is>
      </c>
      <c r="E12180" t="inlineStr">
        <is>
          <t>DIL_ER-22-G</t>
        </is>
      </c>
      <c r="F12180" t="inlineStr">
        <is>
          <t>#KALK!</t>
        </is>
      </c>
      <c r="G12180" t="inlineStr">
        <is>
          <t>HILFSSCHUETZ</t>
        </is>
      </c>
      <c r="H12180" t="inlineStr">
        <is>
          <t>2S 2OE</t>
        </is>
      </c>
      <c r="I12180">
        <v>460</v>
      </c>
      <c r="J12180">
        <f>GS32/758.3</f>
        <v>0</v>
      </c>
      <c r="M12180" t="inlineStr">
        <is>
          <t>-758K3901.4</t>
        </is>
      </c>
    </row>
    <row r="12181">
      <c r="A12181">
        <v>12180</v>
      </c>
      <c r="B12181">
        <f>GS32</f>
        <v>0</v>
      </c>
      <c r="C12181" t="inlineStr">
        <is>
          <t>+QVW2201</t>
        </is>
      </c>
      <c r="D12181" t="inlineStr">
        <is>
          <t>-758K3901.5</t>
        </is>
      </c>
      <c r="E12181" t="inlineStr">
        <is>
          <t>DIL_ER-22-G</t>
        </is>
      </c>
      <c r="F12181" t="inlineStr">
        <is>
          <t>#KALK!</t>
        </is>
      </c>
      <c r="G12181" t="inlineStr">
        <is>
          <t>HILFSSCHUETZ</t>
        </is>
      </c>
      <c r="H12181" t="inlineStr">
        <is>
          <t>2S 2OE</t>
        </is>
      </c>
      <c r="I12181">
        <v>460</v>
      </c>
      <c r="J12181">
        <f>GS32/758.4</f>
        <v>0</v>
      </c>
      <c r="M12181" t="inlineStr">
        <is>
          <t>-758K3901.5</t>
        </is>
      </c>
    </row>
    <row r="12182">
      <c r="A12182">
        <v>12181</v>
      </c>
      <c r="B12182">
        <f>GC22</f>
        <v>0</v>
      </c>
      <c r="C12182" t="inlineStr">
        <is>
          <t>+LS7</t>
        </is>
      </c>
      <c r="D12182" t="inlineStr">
        <is>
          <t>-759K3512.4</t>
        </is>
      </c>
      <c r="E12182" t="inlineStr">
        <is>
          <t>DILM-9-01</t>
        </is>
      </c>
      <c r="F12182" t="inlineStr">
        <is>
          <t>#KALK!</t>
        </is>
      </c>
      <c r="G12182" t="inlineStr">
        <is>
          <t>LASTSCHUETZ</t>
        </is>
      </c>
      <c r="H12182" t="inlineStr">
        <is>
          <t>4kW 1Oe Federzugkl.</t>
        </is>
      </c>
      <c r="I12182">
        <v>566</v>
      </c>
      <c r="J12182">
        <f>GC22/759.6</f>
        <v>0</v>
      </c>
      <c r="M12182" t="inlineStr">
        <is>
          <t>-759K3512.4</t>
        </is>
      </c>
    </row>
    <row r="12183">
      <c r="A12183">
        <v>12182</v>
      </c>
      <c r="B12183">
        <f>GS12</f>
        <v>0</v>
      </c>
      <c r="C12183" t="inlineStr">
        <is>
          <t>+LS7</t>
        </is>
      </c>
      <c r="D12183" t="inlineStr">
        <is>
          <t>-759K3512.4</t>
        </is>
      </c>
      <c r="E12183" t="inlineStr">
        <is>
          <t>DILM-9-01</t>
        </is>
      </c>
      <c r="F12183" t="inlineStr">
        <is>
          <t>#KALK!</t>
        </is>
      </c>
      <c r="G12183" t="inlineStr">
        <is>
          <t>LASTSCHUETZ</t>
        </is>
      </c>
      <c r="H12183" t="inlineStr">
        <is>
          <t>4kW 1Oe Federzugkl.</t>
        </is>
      </c>
      <c r="I12183">
        <v>1167</v>
      </c>
      <c r="J12183">
        <f>GS12/759.6</f>
        <v>0</v>
      </c>
      <c r="M12183" t="inlineStr">
        <is>
          <t>-759K3512.4</t>
        </is>
      </c>
    </row>
    <row r="12184">
      <c r="A12184">
        <v>12183</v>
      </c>
      <c r="B12184">
        <f>GC22</f>
        <v>0</v>
      </c>
      <c r="C12184" t="inlineStr">
        <is>
          <t>+LS7</t>
        </is>
      </c>
      <c r="D12184" t="inlineStr">
        <is>
          <t>-759K3512.5</t>
        </is>
      </c>
      <c r="E12184" t="inlineStr">
        <is>
          <t>DILM-9-10</t>
        </is>
      </c>
      <c r="F12184" t="inlineStr">
        <is>
          <t>#KALK!</t>
        </is>
      </c>
      <c r="G12184" t="inlineStr">
        <is>
          <t>LASTSCHUETZ</t>
        </is>
      </c>
      <c r="H12184" t="inlineStr">
        <is>
          <t>4kW 1S Federzugkl.</t>
        </is>
      </c>
      <c r="I12184">
        <v>566</v>
      </c>
      <c r="J12184">
        <f>GC22/759.7</f>
        <v>0</v>
      </c>
      <c r="M12184" t="inlineStr">
        <is>
          <t>-759K3512.5</t>
        </is>
      </c>
    </row>
    <row r="12185">
      <c r="A12185">
        <v>12184</v>
      </c>
      <c r="B12185">
        <f>GS12</f>
        <v>0</v>
      </c>
      <c r="C12185" t="inlineStr">
        <is>
          <t>+LS7</t>
        </is>
      </c>
      <c r="D12185" t="inlineStr">
        <is>
          <t>-759K3512.5</t>
        </is>
      </c>
      <c r="E12185" t="inlineStr">
        <is>
          <t>DILM-9-10</t>
        </is>
      </c>
      <c r="F12185" t="inlineStr">
        <is>
          <t>#KALK!</t>
        </is>
      </c>
      <c r="G12185" t="inlineStr">
        <is>
          <t>LASTSCHUETZ</t>
        </is>
      </c>
      <c r="H12185" t="inlineStr">
        <is>
          <t>4kW 1S Federzugkl.</t>
        </is>
      </c>
      <c r="I12185">
        <v>1167</v>
      </c>
      <c r="J12185">
        <f>GS12/759.7</f>
        <v>0</v>
      </c>
      <c r="M12185" t="inlineStr">
        <is>
          <t>-759K3512.5</t>
        </is>
      </c>
    </row>
    <row r="12186">
      <c r="A12186">
        <v>12185</v>
      </c>
      <c r="B12186">
        <f>GC22</f>
        <v>0</v>
      </c>
      <c r="C12186" t="inlineStr">
        <is>
          <t>+LS7</t>
        </is>
      </c>
      <c r="D12186" t="inlineStr">
        <is>
          <t>-759K3514.6</t>
        </is>
      </c>
      <c r="E12186" t="inlineStr">
        <is>
          <t>DILM-9-01</t>
        </is>
      </c>
      <c r="F12186" t="inlineStr">
        <is>
          <t>#KALK!</t>
        </is>
      </c>
      <c r="G12186" t="inlineStr">
        <is>
          <t>LASTSCHUETZ</t>
        </is>
      </c>
      <c r="H12186" t="inlineStr">
        <is>
          <t>4kW 1Oe Federzugkl.</t>
        </is>
      </c>
      <c r="I12186">
        <v>566</v>
      </c>
      <c r="J12186">
        <f>GC22/759.6</f>
        <v>0</v>
      </c>
      <c r="M12186" t="inlineStr">
        <is>
          <t>-759K3514.6</t>
        </is>
      </c>
    </row>
    <row r="12187">
      <c r="A12187">
        <v>12186</v>
      </c>
      <c r="B12187">
        <f>GS12</f>
        <v>0</v>
      </c>
      <c r="C12187" t="inlineStr">
        <is>
          <t>+LS7</t>
        </is>
      </c>
      <c r="D12187" t="inlineStr">
        <is>
          <t>-759K3514.6</t>
        </is>
      </c>
      <c r="E12187" t="inlineStr">
        <is>
          <t>DILM-9-01</t>
        </is>
      </c>
      <c r="F12187" t="inlineStr">
        <is>
          <t>#KALK!</t>
        </is>
      </c>
      <c r="G12187" t="inlineStr">
        <is>
          <t>LASTSCHUETZ</t>
        </is>
      </c>
      <c r="H12187" t="inlineStr">
        <is>
          <t>4kW 1Oe Federzugkl.</t>
        </is>
      </c>
      <c r="I12187">
        <v>1167</v>
      </c>
      <c r="J12187">
        <f>GS12/759.6</f>
        <v>0</v>
      </c>
      <c r="M12187" t="inlineStr">
        <is>
          <t>-759K3514.6</t>
        </is>
      </c>
    </row>
    <row r="12188">
      <c r="A12188">
        <v>12187</v>
      </c>
      <c r="B12188">
        <f>GS32</f>
        <v>0</v>
      </c>
      <c r="C12188" t="inlineStr">
        <is>
          <t>+QVW2201</t>
        </is>
      </c>
      <c r="D12188" t="inlineStr">
        <is>
          <t>-759K3900.1</t>
        </is>
      </c>
      <c r="E12188" t="inlineStr">
        <is>
          <t>DIL_EM-10-G</t>
        </is>
      </c>
      <c r="F12188" t="inlineStr">
        <is>
          <t>#KALK!</t>
        </is>
      </c>
      <c r="G12188" t="inlineStr">
        <is>
          <t>LASTSCHUETZ</t>
        </is>
      </c>
      <c r="H12188" t="inlineStr">
        <is>
          <t>4kW 1S</t>
        </is>
      </c>
      <c r="I12188">
        <v>459</v>
      </c>
      <c r="J12188">
        <f>GS32/759.7</f>
        <v>0</v>
      </c>
      <c r="M12188" t="inlineStr">
        <is>
          <t>-759K3900.1</t>
        </is>
      </c>
    </row>
    <row r="12189">
      <c r="A12189">
        <v>12188</v>
      </c>
      <c r="B12189">
        <f>GS51</f>
        <v>0</v>
      </c>
      <c r="C12189" t="inlineStr">
        <is>
          <t>+LS11</t>
        </is>
      </c>
      <c r="D12189" t="inlineStr">
        <is>
          <t>-759Q418.2</t>
        </is>
      </c>
      <c r="E12189" t="inlineStr">
        <is>
          <t>DILM-9-10</t>
        </is>
      </c>
      <c r="F12189" t="inlineStr">
        <is>
          <t>#KALK!</t>
        </is>
      </c>
      <c r="G12189" t="inlineStr">
        <is>
          <t>LASTSCHUETZ</t>
        </is>
      </c>
      <c r="H12189" t="inlineStr">
        <is>
          <t>4kW 1S Federzugkl.</t>
        </is>
      </c>
      <c r="I12189">
        <v>902</v>
      </c>
      <c r="J12189">
        <f>GS51/759.6</f>
        <v>0</v>
      </c>
      <c r="K12189" t="inlineStr">
        <is>
          <t>DIL MC9</t>
        </is>
      </c>
      <c r="M12189" t="inlineStr">
        <is>
          <t>-759Q418.2</t>
        </is>
      </c>
    </row>
    <row r="12190">
      <c r="A12190">
        <v>12189</v>
      </c>
      <c r="B12190">
        <f>GS08</f>
        <v>0</v>
      </c>
      <c r="C12190" t="inlineStr">
        <is>
          <t>+LS[p1]</t>
        </is>
      </c>
      <c r="D12190" t="inlineStr">
        <is>
          <t>-75K1</t>
        </is>
      </c>
      <c r="E12190" t="inlineStr">
        <is>
          <t>DILA-40</t>
        </is>
      </c>
      <c r="F12190" t="inlineStr">
        <is>
          <t>DILA-XHIC31</t>
        </is>
      </c>
      <c r="G12190" t="inlineStr">
        <is>
          <t>HILFSSCHUETZ</t>
        </is>
      </c>
      <c r="H12190" t="inlineStr">
        <is>
          <t>4S Federzugkl.</t>
        </is>
      </c>
      <c r="I12190">
        <v>245</v>
      </c>
      <c r="J12190">
        <f>GS08/75.7</f>
        <v>0</v>
      </c>
      <c r="M12190" t="inlineStr">
        <is>
          <t>-75K1</t>
        </is>
      </c>
    </row>
    <row r="12191">
      <c r="A12191">
        <v>12190</v>
      </c>
      <c r="B12191">
        <f>GS08</f>
        <v>0</v>
      </c>
      <c r="C12191" t="inlineStr">
        <is>
          <t>+LS[p1]</t>
        </is>
      </c>
      <c r="D12191" t="inlineStr">
        <is>
          <t>-75K1</t>
        </is>
      </c>
      <c r="E12191" t="inlineStr">
        <is>
          <t>DILA-XHIC31</t>
        </is>
      </c>
      <c r="F12191" t="inlineStr">
        <is>
          <t>DILA-XHIC31</t>
        </is>
      </c>
      <c r="G12191" t="inlineStr">
        <is>
          <t>HILFSKONTAKTBLOCK</t>
        </is>
      </c>
      <c r="H12191" t="inlineStr">
        <is>
          <t>3S 1OE Last+Hilfssch. Cage</t>
        </is>
      </c>
      <c r="I12191">
        <v>245</v>
      </c>
      <c r="J12191">
        <f>GS08/75.7</f>
        <v>0</v>
      </c>
      <c r="M12191" t="inlineStr">
        <is>
          <t>-75K1</t>
        </is>
      </c>
    </row>
    <row r="12192">
      <c r="A12192">
        <v>12191</v>
      </c>
      <c r="B12192">
        <f>GS08</f>
        <v>0</v>
      </c>
      <c r="C12192" t="inlineStr">
        <is>
          <t>+LS[p1]</t>
        </is>
      </c>
      <c r="D12192" t="inlineStr">
        <is>
          <t>-75Q[a+2].7</t>
        </is>
      </c>
      <c r="E12192" t="inlineStr">
        <is>
          <t>DILM-9-10</t>
        </is>
      </c>
      <c r="F12192" t="inlineStr">
        <is>
          <t>#KALK!</t>
        </is>
      </c>
      <c r="G12192" t="inlineStr">
        <is>
          <t>LASTSCHUETZ</t>
        </is>
      </c>
      <c r="H12192" t="inlineStr">
        <is>
          <t>4kW 1S Federzugkl.</t>
        </is>
      </c>
      <c r="I12192">
        <v>245</v>
      </c>
      <c r="J12192">
        <f>GS08/75.5</f>
        <v>0</v>
      </c>
      <c r="M12192" t="inlineStr">
        <is>
          <t>-75Q[a+2].7</t>
        </is>
      </c>
    </row>
    <row r="12193">
      <c r="A12193">
        <v>12192</v>
      </c>
      <c r="B12193">
        <f>GC22</f>
        <v>0</v>
      </c>
      <c r="C12193" t="inlineStr">
        <is>
          <t>+LS7</t>
        </is>
      </c>
      <c r="D12193" t="inlineStr">
        <is>
          <t>-760K3513.3</t>
        </is>
      </c>
      <c r="E12193" t="inlineStr">
        <is>
          <t>DILM-9-10</t>
        </is>
      </c>
      <c r="F12193" t="inlineStr">
        <is>
          <t>#KALK!</t>
        </is>
      </c>
      <c r="G12193" t="inlineStr">
        <is>
          <t>LASTSCHUETZ</t>
        </is>
      </c>
      <c r="H12193" t="inlineStr">
        <is>
          <t>4kW 1S Federzugkl.</t>
        </is>
      </c>
      <c r="I12193">
        <v>567</v>
      </c>
      <c r="J12193">
        <f>GC22/760.8</f>
        <v>0</v>
      </c>
      <c r="M12193" t="inlineStr">
        <is>
          <t>-760K3513.3</t>
        </is>
      </c>
    </row>
    <row r="12194">
      <c r="A12194">
        <v>12193</v>
      </c>
      <c r="B12194">
        <f>GS12</f>
        <v>0</v>
      </c>
      <c r="C12194" t="inlineStr">
        <is>
          <t>+LS7</t>
        </is>
      </c>
      <c r="D12194" t="inlineStr">
        <is>
          <t>-760K3513.3</t>
        </is>
      </c>
      <c r="E12194" t="inlineStr">
        <is>
          <t>DILM-9-10</t>
        </is>
      </c>
      <c r="F12194" t="inlineStr">
        <is>
          <t>#KALK!</t>
        </is>
      </c>
      <c r="G12194" t="inlineStr">
        <is>
          <t>LASTSCHUETZ</t>
        </is>
      </c>
      <c r="H12194" t="inlineStr">
        <is>
          <t>4kW 1S Federzugkl.</t>
        </is>
      </c>
      <c r="I12194">
        <v>1166</v>
      </c>
      <c r="J12194">
        <f>GS12/760.8</f>
        <v>0</v>
      </c>
      <c r="M12194" t="inlineStr">
        <is>
          <t>-760K3513.3</t>
        </is>
      </c>
    </row>
    <row r="12195">
      <c r="A12195">
        <v>12194</v>
      </c>
      <c r="B12195">
        <f>GS21</f>
        <v>0</v>
      </c>
      <c r="C12195" t="inlineStr">
        <is>
          <t>+LS15</t>
        </is>
      </c>
      <c r="D12195" t="inlineStr">
        <is>
          <t>-760K3524.4</t>
        </is>
      </c>
      <c r="E12195" t="inlineStr">
        <is>
          <t>DILMC12-10(24VDC)</t>
        </is>
      </c>
      <c r="F12195" t="inlineStr">
        <is>
          <t>#KALK!</t>
        </is>
      </c>
      <c r="G12195" t="inlineStr">
        <is>
          <t>LASTSCHUETZ</t>
        </is>
      </c>
      <c r="H12195" t="inlineStr">
        <is>
          <t>5,5kW 1S Federzugkl.</t>
        </is>
      </c>
      <c r="I12195">
        <v>1215</v>
      </c>
      <c r="J12195">
        <f>GS21/760.5</f>
        <v>0</v>
      </c>
      <c r="K12195" t="inlineStr">
        <is>
          <t>DIL MC12</t>
        </is>
      </c>
      <c r="M12195" t="inlineStr">
        <is>
          <t>-760K3524.4</t>
        </is>
      </c>
    </row>
    <row r="12196">
      <c r="A12196">
        <v>12195</v>
      </c>
      <c r="B12196">
        <f>GS51</f>
        <v>0</v>
      </c>
      <c r="C12196" t="inlineStr">
        <is>
          <t>+LS11</t>
        </is>
      </c>
      <c r="D12196" t="inlineStr">
        <is>
          <t>-760Q418.3</t>
        </is>
      </c>
      <c r="E12196" t="inlineStr">
        <is>
          <t>DILM-9-10</t>
        </is>
      </c>
      <c r="F12196" t="inlineStr">
        <is>
          <t>#KALK!</t>
        </is>
      </c>
      <c r="G12196" t="inlineStr">
        <is>
          <t>LASTSCHUETZ</t>
        </is>
      </c>
      <c r="H12196" t="inlineStr">
        <is>
          <t>4kW 1S Federzugkl.</t>
        </is>
      </c>
      <c r="I12196">
        <v>903</v>
      </c>
      <c r="J12196">
        <f>GS51/760.6</f>
        <v>0</v>
      </c>
      <c r="K12196" t="inlineStr">
        <is>
          <t>DIL MC9</t>
        </is>
      </c>
      <c r="M12196" t="inlineStr">
        <is>
          <t>-760Q418.3</t>
        </is>
      </c>
    </row>
    <row r="12197">
      <c r="A12197">
        <v>12196</v>
      </c>
      <c r="B12197">
        <f>GC22</f>
        <v>0</v>
      </c>
      <c r="C12197" t="inlineStr">
        <is>
          <t>+LS7</t>
        </is>
      </c>
      <c r="D12197" t="inlineStr">
        <is>
          <t>-761K3513.4</t>
        </is>
      </c>
      <c r="E12197" t="inlineStr">
        <is>
          <t>DILM-9-01</t>
        </is>
      </c>
      <c r="F12197" t="inlineStr">
        <is>
          <t>#KALK!</t>
        </is>
      </c>
      <c r="G12197" t="inlineStr">
        <is>
          <t>LASTSCHUETZ</t>
        </is>
      </c>
      <c r="H12197" t="inlineStr">
        <is>
          <t>4kW 1Oe Federzugkl.</t>
        </is>
      </c>
      <c r="I12197">
        <v>638</v>
      </c>
      <c r="J12197">
        <f>GC22/761.6</f>
        <v>0</v>
      </c>
      <c r="M12197" t="inlineStr">
        <is>
          <t>-761K3513.4</t>
        </is>
      </c>
    </row>
    <row r="12198">
      <c r="A12198">
        <v>12197</v>
      </c>
      <c r="B12198">
        <f>GS12</f>
        <v>0</v>
      </c>
      <c r="C12198" t="inlineStr">
        <is>
          <t>+LS7</t>
        </is>
      </c>
      <c r="D12198" t="inlineStr">
        <is>
          <t>-761K3513.4</t>
        </is>
      </c>
      <c r="E12198" t="inlineStr">
        <is>
          <t>DILM-9-01</t>
        </is>
      </c>
      <c r="F12198" t="inlineStr">
        <is>
          <t>#KALK!</t>
        </is>
      </c>
      <c r="G12198" t="inlineStr">
        <is>
          <t>LASTSCHUETZ</t>
        </is>
      </c>
      <c r="H12198" t="inlineStr">
        <is>
          <t>4kW 1Oe Federzugkl.</t>
        </is>
      </c>
      <c r="I12198">
        <v>1165</v>
      </c>
      <c r="J12198">
        <f>GS12/761.6</f>
        <v>0</v>
      </c>
      <c r="M12198" t="inlineStr">
        <is>
          <t>-761K3513.4</t>
        </is>
      </c>
    </row>
    <row r="12199">
      <c r="A12199">
        <v>12198</v>
      </c>
      <c r="B12199">
        <f>GC22</f>
        <v>0</v>
      </c>
      <c r="C12199" t="inlineStr">
        <is>
          <t>+LS7</t>
        </is>
      </c>
      <c r="D12199" t="inlineStr">
        <is>
          <t>-761K3513.5</t>
        </is>
      </c>
      <c r="E12199" t="inlineStr">
        <is>
          <t>DILM-9-10</t>
        </is>
      </c>
      <c r="F12199" t="inlineStr">
        <is>
          <t>#KALK!</t>
        </is>
      </c>
      <c r="G12199" t="inlineStr">
        <is>
          <t>LASTSCHUETZ</t>
        </is>
      </c>
      <c r="H12199" t="inlineStr">
        <is>
          <t>4kW 1S Federzugkl.</t>
        </is>
      </c>
      <c r="I12199">
        <v>638</v>
      </c>
      <c r="J12199">
        <f>GC22/761.7</f>
        <v>0</v>
      </c>
      <c r="M12199" t="inlineStr">
        <is>
          <t>-761K3513.5</t>
        </is>
      </c>
    </row>
    <row r="12200">
      <c r="A12200">
        <v>12199</v>
      </c>
      <c r="B12200">
        <f>GS12</f>
        <v>0</v>
      </c>
      <c r="C12200" t="inlineStr">
        <is>
          <t>+LS7</t>
        </is>
      </c>
      <c r="D12200" t="inlineStr">
        <is>
          <t>-761K3513.5</t>
        </is>
      </c>
      <c r="E12200" t="inlineStr">
        <is>
          <t>DILM-9-10</t>
        </is>
      </c>
      <c r="F12200" t="inlineStr">
        <is>
          <t>#KALK!</t>
        </is>
      </c>
      <c r="G12200" t="inlineStr">
        <is>
          <t>LASTSCHUETZ</t>
        </is>
      </c>
      <c r="H12200" t="inlineStr">
        <is>
          <t>4kW 1S Federzugkl.</t>
        </is>
      </c>
      <c r="I12200">
        <v>1165</v>
      </c>
      <c r="J12200">
        <f>GS12/761.7</f>
        <v>0</v>
      </c>
      <c r="M12200" t="inlineStr">
        <is>
          <t>-761K3513.5</t>
        </is>
      </c>
    </row>
    <row r="12201">
      <c r="A12201">
        <v>12200</v>
      </c>
      <c r="B12201">
        <f>GC22</f>
        <v>0</v>
      </c>
      <c r="C12201" t="inlineStr">
        <is>
          <t>+LS7</t>
        </is>
      </c>
      <c r="D12201" t="inlineStr">
        <is>
          <t>-761K3514.7</t>
        </is>
      </c>
      <c r="E12201" t="inlineStr">
        <is>
          <t>DILM-9-01</t>
        </is>
      </c>
      <c r="F12201" t="inlineStr">
        <is>
          <t>#KALK!</t>
        </is>
      </c>
      <c r="G12201" t="inlineStr">
        <is>
          <t>LASTSCHUETZ</t>
        </is>
      </c>
      <c r="H12201" t="inlineStr">
        <is>
          <t>4kW 1Oe Federzugkl.</t>
        </is>
      </c>
      <c r="I12201">
        <v>638</v>
      </c>
      <c r="J12201">
        <f>GC22/761.6</f>
        <v>0</v>
      </c>
      <c r="M12201" t="inlineStr">
        <is>
          <t>-761K3514.7</t>
        </is>
      </c>
    </row>
    <row r="12202">
      <c r="A12202">
        <v>12201</v>
      </c>
      <c r="B12202">
        <f>GS12</f>
        <v>0</v>
      </c>
      <c r="C12202" t="inlineStr">
        <is>
          <t>+LS7</t>
        </is>
      </c>
      <c r="D12202" t="inlineStr">
        <is>
          <t>-761K3514.7</t>
        </is>
      </c>
      <c r="E12202" t="inlineStr">
        <is>
          <t>DILM-9-01</t>
        </is>
      </c>
      <c r="F12202" t="inlineStr">
        <is>
          <t>#KALK!</t>
        </is>
      </c>
      <c r="G12202" t="inlineStr">
        <is>
          <t>LASTSCHUETZ</t>
        </is>
      </c>
      <c r="H12202" t="inlineStr">
        <is>
          <t>4kW 1Oe Federzugkl.</t>
        </is>
      </c>
      <c r="I12202">
        <v>1165</v>
      </c>
      <c r="J12202">
        <f>GS12/761.6</f>
        <v>0</v>
      </c>
      <c r="M12202" t="inlineStr">
        <is>
          <t>-761K3514.7</t>
        </is>
      </c>
    </row>
    <row r="12203">
      <c r="A12203">
        <v>12202</v>
      </c>
      <c r="B12203">
        <f>GS32</f>
        <v>0</v>
      </c>
      <c r="C12203" t="inlineStr">
        <is>
          <t>+QVW2201</t>
        </is>
      </c>
      <c r="D12203" t="inlineStr">
        <is>
          <t>-761K3902.1</t>
        </is>
      </c>
      <c r="E12203" t="inlineStr">
        <is>
          <t>DIL_EM-10-G</t>
        </is>
      </c>
      <c r="F12203" t="inlineStr">
        <is>
          <t>#KALK!</t>
        </is>
      </c>
      <c r="G12203" t="inlineStr">
        <is>
          <t>LASTSCHUETZ</t>
        </is>
      </c>
      <c r="H12203" t="inlineStr">
        <is>
          <t>4kW 1S</t>
        </is>
      </c>
      <c r="I12203">
        <v>457</v>
      </c>
      <c r="J12203">
        <f>GS32/761.2</f>
        <v>0</v>
      </c>
      <c r="M12203" t="inlineStr">
        <is>
          <t>-761K3902.1</t>
        </is>
      </c>
    </row>
    <row r="12204">
      <c r="A12204">
        <v>12203</v>
      </c>
      <c r="B12204">
        <f>GS32</f>
        <v>0</v>
      </c>
      <c r="C12204" t="inlineStr">
        <is>
          <t>+QVW2201</t>
        </is>
      </c>
      <c r="D12204" t="inlineStr">
        <is>
          <t>-761K3902.7</t>
        </is>
      </c>
      <c r="E12204" t="inlineStr">
        <is>
          <t>DIL_EM-10-G</t>
        </is>
      </c>
      <c r="F12204" t="inlineStr">
        <is>
          <t>#KALK!</t>
        </is>
      </c>
      <c r="G12204" t="inlineStr">
        <is>
          <t>LASTSCHUETZ</t>
        </is>
      </c>
      <c r="H12204" t="inlineStr">
        <is>
          <t>4kW 1S</t>
        </is>
      </c>
      <c r="I12204">
        <v>457</v>
      </c>
      <c r="J12204">
        <f>GS32/761.3</f>
        <v>0</v>
      </c>
      <c r="M12204" t="inlineStr">
        <is>
          <t>-761K3902.7</t>
        </is>
      </c>
    </row>
    <row r="12205">
      <c r="A12205">
        <v>12204</v>
      </c>
      <c r="B12205">
        <f>GC22</f>
        <v>0</v>
      </c>
      <c r="C12205" t="inlineStr">
        <is>
          <t>+LS7</t>
        </is>
      </c>
      <c r="D12205" t="inlineStr">
        <is>
          <t>-762K3514.1</t>
        </is>
      </c>
      <c r="E12205" t="inlineStr">
        <is>
          <t>DILM-9-10</t>
        </is>
      </c>
      <c r="F12205" t="inlineStr">
        <is>
          <t>#KALK!</t>
        </is>
      </c>
      <c r="G12205" t="inlineStr">
        <is>
          <t>LASTSCHUETZ</t>
        </is>
      </c>
      <c r="H12205" t="inlineStr">
        <is>
          <t>4kW 1S Federzugkl.</t>
        </is>
      </c>
      <c r="I12205">
        <v>680</v>
      </c>
      <c r="J12205">
        <f>GC22/762.8</f>
        <v>0</v>
      </c>
      <c r="M12205" t="inlineStr">
        <is>
          <t>-762K3514.1</t>
        </is>
      </c>
    </row>
    <row r="12206">
      <c r="A12206">
        <v>12205</v>
      </c>
      <c r="B12206">
        <f>GS12</f>
        <v>0</v>
      </c>
      <c r="C12206" t="inlineStr">
        <is>
          <t>+LS7</t>
        </is>
      </c>
      <c r="D12206" t="inlineStr">
        <is>
          <t>-762K3514.1</t>
        </is>
      </c>
      <c r="E12206" t="inlineStr">
        <is>
          <t>DILM-9-10</t>
        </is>
      </c>
      <c r="F12206" t="inlineStr">
        <is>
          <t>#KALK!</t>
        </is>
      </c>
      <c r="G12206" t="inlineStr">
        <is>
          <t>LASTSCHUETZ</t>
        </is>
      </c>
      <c r="H12206" t="inlineStr">
        <is>
          <t>4kW 1S Federzugkl.</t>
        </is>
      </c>
      <c r="I12206">
        <v>1164</v>
      </c>
      <c r="J12206">
        <f>GS12/762.8</f>
        <v>0</v>
      </c>
      <c r="M12206" t="inlineStr">
        <is>
          <t>-762K3514.1</t>
        </is>
      </c>
    </row>
    <row r="12207">
      <c r="A12207">
        <v>12206</v>
      </c>
      <c r="B12207">
        <f>GS32</f>
        <v>0</v>
      </c>
      <c r="C12207" t="inlineStr">
        <is>
          <t>+QVW2201</t>
        </is>
      </c>
      <c r="D12207" t="inlineStr">
        <is>
          <t>-762K3903.0</t>
        </is>
      </c>
      <c r="E12207" t="inlineStr">
        <is>
          <t>DIL_EM-10-G</t>
        </is>
      </c>
      <c r="F12207" t="inlineStr">
        <is>
          <t>22_DIL-E</t>
        </is>
      </c>
      <c r="G12207" t="inlineStr">
        <is>
          <t>LASTSCHUETZ</t>
        </is>
      </c>
      <c r="H12207" t="inlineStr">
        <is>
          <t>4kW 1S</t>
        </is>
      </c>
      <c r="I12207">
        <v>456</v>
      </c>
      <c r="J12207">
        <f>GS32/762.6</f>
        <v>0</v>
      </c>
      <c r="M12207" t="inlineStr">
        <is>
          <t>-762K3903.0</t>
        </is>
      </c>
    </row>
    <row r="12208">
      <c r="A12208">
        <v>12207</v>
      </c>
      <c r="B12208">
        <f>GS32</f>
        <v>0</v>
      </c>
      <c r="C12208" t="inlineStr">
        <is>
          <t>+QVW2201</t>
        </is>
      </c>
      <c r="D12208" t="inlineStr">
        <is>
          <t>-762K3903.0</t>
        </is>
      </c>
      <c r="E12208" t="inlineStr">
        <is>
          <t>22_DIL-E</t>
        </is>
      </c>
      <c r="F12208" t="inlineStr">
        <is>
          <t>22_DIL-E</t>
        </is>
      </c>
      <c r="G12208" t="inlineStr">
        <is>
          <t>HILFSKONTAKTBLOCK</t>
        </is>
      </c>
      <c r="H12208" t="inlineStr">
        <is>
          <t>2S 2OE Last+Hilfsschuetz</t>
        </is>
      </c>
      <c r="I12208">
        <v>456</v>
      </c>
      <c r="J12208">
        <f>GS32/762.6</f>
        <v>0</v>
      </c>
      <c r="M12208" t="inlineStr">
        <is>
          <t>-762K3903.0</t>
        </is>
      </c>
    </row>
    <row r="12209">
      <c r="A12209">
        <v>12208</v>
      </c>
      <c r="B12209">
        <f>GS32</f>
        <v>0</v>
      </c>
      <c r="C12209" t="inlineStr">
        <is>
          <t>+QVW2201</t>
        </is>
      </c>
      <c r="D12209" t="inlineStr">
        <is>
          <t>-762K3903.1</t>
        </is>
      </c>
      <c r="E12209" t="inlineStr">
        <is>
          <t>DIL_EM-10-G</t>
        </is>
      </c>
      <c r="F12209" t="inlineStr">
        <is>
          <t>22_DIL-E</t>
        </is>
      </c>
      <c r="G12209" t="inlineStr">
        <is>
          <t>LASTSCHUETZ</t>
        </is>
      </c>
      <c r="H12209" t="inlineStr">
        <is>
          <t>4kW 1S</t>
        </is>
      </c>
      <c r="I12209">
        <v>456</v>
      </c>
      <c r="J12209">
        <f>GS32/762.6</f>
        <v>0</v>
      </c>
      <c r="M12209" t="inlineStr">
        <is>
          <t>-762K3903.1</t>
        </is>
      </c>
    </row>
    <row r="12210">
      <c r="A12210">
        <v>12209</v>
      </c>
      <c r="B12210">
        <f>GS32</f>
        <v>0</v>
      </c>
      <c r="C12210" t="inlineStr">
        <is>
          <t>+QVW2201</t>
        </is>
      </c>
      <c r="D12210" t="inlineStr">
        <is>
          <t>-762K3903.1</t>
        </is>
      </c>
      <c r="E12210" t="inlineStr">
        <is>
          <t>22_DIL-E</t>
        </is>
      </c>
      <c r="F12210" t="inlineStr">
        <is>
          <t>22_DIL-E</t>
        </is>
      </c>
      <c r="G12210" t="inlineStr">
        <is>
          <t>HILFSKONTAKTBLOCK</t>
        </is>
      </c>
      <c r="H12210" t="inlineStr">
        <is>
          <t>2S 2OE Last+Hilfsschuetz</t>
        </is>
      </c>
      <c r="I12210">
        <v>456</v>
      </c>
      <c r="J12210">
        <f>GS32/762.6</f>
        <v>0</v>
      </c>
      <c r="M12210" t="inlineStr">
        <is>
          <t>-762K3903.1</t>
        </is>
      </c>
    </row>
    <row r="12211">
      <c r="A12211">
        <v>12210</v>
      </c>
      <c r="B12211">
        <f>GS92</f>
        <v>0</v>
      </c>
      <c r="C12211" t="inlineStr">
        <is>
          <t>+LS14</t>
        </is>
      </c>
      <c r="D12211" t="inlineStr">
        <is>
          <t>-762Q1074.2</t>
        </is>
      </c>
      <c r="E12211" t="inlineStr">
        <is>
          <t>DILM-9-10</t>
        </is>
      </c>
      <c r="F12211" t="inlineStr">
        <is>
          <t>#KALK!</t>
        </is>
      </c>
      <c r="G12211" t="inlineStr">
        <is>
          <t>LASTSCHUETZ</t>
        </is>
      </c>
      <c r="H12211" t="inlineStr">
        <is>
          <t>4kW 1S Federzugkl.</t>
        </is>
      </c>
      <c r="I12211">
        <v>889</v>
      </c>
      <c r="J12211">
        <f>GS92/762.5</f>
        <v>0</v>
      </c>
      <c r="M12211" t="inlineStr">
        <is>
          <t>-762Q1074.2</t>
        </is>
      </c>
    </row>
    <row r="12212">
      <c r="A12212">
        <v>12211</v>
      </c>
      <c r="B12212">
        <f>GS51</f>
        <v>0</v>
      </c>
      <c r="C12212" t="inlineStr">
        <is>
          <t>+LS11</t>
        </is>
      </c>
      <c r="D12212" t="inlineStr">
        <is>
          <t>-762Q418.4</t>
        </is>
      </c>
      <c r="E12212" t="inlineStr">
        <is>
          <t>DILM-9-10</t>
        </is>
      </c>
      <c r="F12212" t="inlineStr">
        <is>
          <t>#KALK!</t>
        </is>
      </c>
      <c r="G12212" t="inlineStr">
        <is>
          <t>LASTSCHUETZ</t>
        </is>
      </c>
      <c r="H12212" t="inlineStr">
        <is>
          <t>4kW 1S Federzugkl.</t>
        </is>
      </c>
      <c r="I12212">
        <v>906</v>
      </c>
      <c r="J12212">
        <f>GS51/762.6</f>
        <v>0</v>
      </c>
      <c r="K12212" t="inlineStr">
        <is>
          <t>DIL MC9</t>
        </is>
      </c>
      <c r="M12212" t="inlineStr">
        <is>
          <t>-762Q418.4</t>
        </is>
      </c>
    </row>
    <row r="12213">
      <c r="A12213">
        <v>12212</v>
      </c>
      <c r="B12213">
        <f>GS92</f>
        <v>0</v>
      </c>
      <c r="C12213" t="inlineStr">
        <is>
          <t>+LS14</t>
        </is>
      </c>
      <c r="D12213" t="inlineStr">
        <is>
          <t>-763Q1074.3</t>
        </is>
      </c>
      <c r="E12213" t="inlineStr">
        <is>
          <t>DILM-9-10</t>
        </is>
      </c>
      <c r="F12213" t="inlineStr">
        <is>
          <t>#KALK!</t>
        </is>
      </c>
      <c r="G12213" t="inlineStr">
        <is>
          <t>LASTSCHUETZ</t>
        </is>
      </c>
      <c r="H12213" t="inlineStr">
        <is>
          <t>4kW 1S Federzugkl.</t>
        </is>
      </c>
      <c r="I12213">
        <v>890</v>
      </c>
      <c r="J12213">
        <f>GS92/763.5</f>
        <v>0</v>
      </c>
      <c r="M12213" t="inlineStr">
        <is>
          <t>-763Q1074.3</t>
        </is>
      </c>
    </row>
    <row r="12214">
      <c r="A12214">
        <v>12213</v>
      </c>
      <c r="B12214">
        <f>GS06</f>
        <v>0</v>
      </c>
      <c r="C12214" t="inlineStr">
        <is>
          <t>+LS12</t>
        </is>
      </c>
      <c r="D12214" t="inlineStr">
        <is>
          <t>-765K1</t>
        </is>
      </c>
      <c r="E12214" t="inlineStr">
        <is>
          <t>DILA-22</t>
        </is>
      </c>
      <c r="F12214" t="inlineStr">
        <is>
          <t>#KALK!</t>
        </is>
      </c>
      <c r="G12214" t="inlineStr">
        <is>
          <t>HILFSSCHUETZ</t>
        </is>
      </c>
      <c r="H12214" t="inlineStr">
        <is>
          <t>2S 2Oe Federzugkl.</t>
        </is>
      </c>
      <c r="I12214">
        <v>1071</v>
      </c>
      <c r="J12214">
        <f>GS06/765.8</f>
        <v>0</v>
      </c>
      <c r="M12214" t="inlineStr">
        <is>
          <t>-765K1</t>
        </is>
      </c>
    </row>
    <row r="12215">
      <c r="A12215">
        <v>12214</v>
      </c>
      <c r="B12215">
        <f>GS93</f>
        <v>0</v>
      </c>
      <c r="C12215" t="inlineStr">
        <is>
          <t>+LS15</t>
        </is>
      </c>
      <c r="D12215" t="inlineStr">
        <is>
          <t>-765K1052.4</t>
        </is>
      </c>
      <c r="E12215" t="inlineStr">
        <is>
          <t>DILA-40</t>
        </is>
      </c>
      <c r="F12215" t="inlineStr">
        <is>
          <t>#KALK!</t>
        </is>
      </c>
      <c r="G12215" t="inlineStr">
        <is>
          <t>HILFSSCHUETZ</t>
        </is>
      </c>
      <c r="H12215" t="inlineStr">
        <is>
          <t>4S Federzugkl.</t>
        </is>
      </c>
      <c r="I12215">
        <v>1305</v>
      </c>
      <c r="J12215">
        <f>GS93/765.7</f>
        <v>0</v>
      </c>
      <c r="M12215" t="inlineStr">
        <is>
          <t>-765K1052.4</t>
        </is>
      </c>
    </row>
    <row r="12216">
      <c r="A12216">
        <v>12215</v>
      </c>
      <c r="B12216">
        <f>GS92</f>
        <v>0</v>
      </c>
      <c r="C12216" t="inlineStr">
        <is>
          <t>+LS14</t>
        </is>
      </c>
      <c r="D12216" t="inlineStr">
        <is>
          <t>-765K1075.0</t>
        </is>
      </c>
      <c r="E12216" t="inlineStr">
        <is>
          <t>DILA-22</t>
        </is>
      </c>
      <c r="F12216" t="inlineStr">
        <is>
          <t>#KALK!</t>
        </is>
      </c>
      <c r="G12216" t="inlineStr">
        <is>
          <t>HILFSSCHUETZ</t>
        </is>
      </c>
      <c r="H12216" t="inlineStr">
        <is>
          <t>2S 2Oe Federzugkl.</t>
        </is>
      </c>
      <c r="I12216">
        <v>892</v>
      </c>
      <c r="J12216">
        <f>GS92/765.6</f>
        <v>0</v>
      </c>
      <c r="M12216" t="inlineStr">
        <is>
          <t>-765K1075.0</t>
        </is>
      </c>
    </row>
    <row r="12217">
      <c r="A12217">
        <v>12216</v>
      </c>
      <c r="B12217">
        <f>GS55</f>
        <v>0</v>
      </c>
      <c r="C12217" t="inlineStr">
        <is>
          <t>+LS12</t>
        </is>
      </c>
      <c r="D12217" t="inlineStr">
        <is>
          <t>-765K1923.3</t>
        </is>
      </c>
      <c r="E12217" t="inlineStr">
        <is>
          <t>DILA-22</t>
        </is>
      </c>
      <c r="F12217" t="inlineStr">
        <is>
          <t>#KALK!</t>
        </is>
      </c>
      <c r="G12217" t="inlineStr">
        <is>
          <t>HILFSSCHUETZ</t>
        </is>
      </c>
      <c r="H12217" t="inlineStr">
        <is>
          <t>2S 2Oe Federzugkl.</t>
        </is>
      </c>
      <c r="I12217">
        <v>1019</v>
      </c>
      <c r="J12217">
        <f>GS55/765.2</f>
        <v>0</v>
      </c>
      <c r="M12217" t="inlineStr">
        <is>
          <t>-765K1923.3</t>
        </is>
      </c>
    </row>
    <row r="12218">
      <c r="A12218">
        <v>12217</v>
      </c>
      <c r="B12218">
        <f>GS06</f>
        <v>0</v>
      </c>
      <c r="C12218" t="inlineStr">
        <is>
          <t>+LS12</t>
        </is>
      </c>
      <c r="D12218" t="inlineStr">
        <is>
          <t>-765Q1</t>
        </is>
      </c>
      <c r="E12218" t="inlineStr">
        <is>
          <t>DILM150-XHIC22</t>
        </is>
      </c>
      <c r="F12218" t="inlineStr">
        <is>
          <t>DILM150-XHIC22</t>
        </is>
      </c>
      <c r="G12218" t="inlineStr">
        <is>
          <t>HILFSKONTAKTBLOCK</t>
        </is>
      </c>
      <c r="H12218" t="inlineStr">
        <is>
          <t>2S 2OE ab DILMC40</t>
        </is>
      </c>
      <c r="I12218">
        <v>1071</v>
      </c>
      <c r="J12218">
        <f>GS06/765.7</f>
        <v>0</v>
      </c>
      <c r="K12218" t="inlineStr">
        <is>
          <t>DIL MC40</t>
        </is>
      </c>
      <c r="M12218" t="inlineStr">
        <is>
          <t>-765Q1</t>
        </is>
      </c>
    </row>
    <row r="12219">
      <c r="A12219">
        <v>12218</v>
      </c>
      <c r="B12219">
        <f>GS06</f>
        <v>0</v>
      </c>
      <c r="C12219" t="inlineStr">
        <is>
          <t>+LS12</t>
        </is>
      </c>
      <c r="D12219" t="inlineStr">
        <is>
          <t>-765Q1</t>
        </is>
      </c>
      <c r="E12219" t="inlineStr">
        <is>
          <t>DILMC40(RDC24)</t>
        </is>
      </c>
      <c r="F12219" t="inlineStr">
        <is>
          <t>DILM150-XHIC22</t>
        </is>
      </c>
      <c r="G12219" t="inlineStr">
        <is>
          <t>LASTSCHUETZ</t>
        </is>
      </c>
      <c r="H12219" t="inlineStr">
        <is>
          <t>18,5kW Federzugkl.</t>
        </is>
      </c>
      <c r="I12219">
        <v>1071</v>
      </c>
      <c r="J12219">
        <f>GS06/765.7</f>
        <v>0</v>
      </c>
      <c r="K12219" t="inlineStr">
        <is>
          <t>DIL MC40</t>
        </is>
      </c>
      <c r="M12219" t="inlineStr">
        <is>
          <t>-765Q1</t>
        </is>
      </c>
    </row>
    <row r="12220">
      <c r="A12220">
        <v>12219</v>
      </c>
      <c r="B12220">
        <f>GS92</f>
        <v>0</v>
      </c>
      <c r="C12220" t="inlineStr">
        <is>
          <t>+LS14</t>
        </is>
      </c>
      <c r="D12220" t="inlineStr">
        <is>
          <t>-765Q1</t>
        </is>
      </c>
      <c r="E12220" t="inlineStr">
        <is>
          <t>DILA-XHIC31</t>
        </is>
      </c>
      <c r="F12220" t="inlineStr">
        <is>
          <t>DILA-XHIC31</t>
        </is>
      </c>
      <c r="G12220" t="inlineStr">
        <is>
          <t>HILFSKONTAKTBLOCK</t>
        </is>
      </c>
      <c r="H12220" t="inlineStr">
        <is>
          <t>3S 1OE Last+Hilfssch. Cage</t>
        </is>
      </c>
      <c r="I12220">
        <v>892</v>
      </c>
      <c r="J12220">
        <f>GS92/765.2</f>
        <v>0</v>
      </c>
      <c r="M12220" t="inlineStr">
        <is>
          <t>-765Q1</t>
        </is>
      </c>
    </row>
    <row r="12221">
      <c r="A12221">
        <v>12220</v>
      </c>
      <c r="B12221">
        <f>GS92</f>
        <v>0</v>
      </c>
      <c r="C12221" t="inlineStr">
        <is>
          <t>+LS14</t>
        </is>
      </c>
      <c r="D12221" t="inlineStr">
        <is>
          <t>-765Q1</t>
        </is>
      </c>
      <c r="E12221" t="inlineStr">
        <is>
          <t>DILMC25-10(RDC24)</t>
        </is>
      </c>
      <c r="F12221" t="inlineStr">
        <is>
          <t>DILA-XHIC31</t>
        </is>
      </c>
      <c r="G12221" t="inlineStr">
        <is>
          <t>LASTSCHUETZ</t>
        </is>
      </c>
      <c r="H12221" t="inlineStr">
        <is>
          <t>11kW 1S Federzugkl.</t>
        </is>
      </c>
      <c r="I12221">
        <v>892</v>
      </c>
      <c r="J12221">
        <f>GS92/765.2</f>
        <v>0</v>
      </c>
      <c r="M12221" t="inlineStr">
        <is>
          <t>-765Q1</t>
        </is>
      </c>
    </row>
    <row r="12222">
      <c r="A12222">
        <v>12221</v>
      </c>
      <c r="B12222">
        <f>GS93</f>
        <v>0</v>
      </c>
      <c r="C12222" t="inlineStr">
        <is>
          <t>+LS15</t>
        </is>
      </c>
      <c r="D12222" t="inlineStr">
        <is>
          <t>-765Q1</t>
        </is>
      </c>
      <c r="E12222" t="inlineStr">
        <is>
          <t>DILA-XHI22</t>
        </is>
      </c>
      <c r="F12222" t="inlineStr">
        <is>
          <t>DILA-XHI22</t>
        </is>
      </c>
      <c r="G12222" t="inlineStr">
        <is>
          <t>HILFSKONTAKTBLOCK</t>
        </is>
      </c>
      <c r="H12222" t="inlineStr">
        <is>
          <t>2S 2OE Last+Hilfssch. Cage</t>
        </is>
      </c>
      <c r="I12222">
        <v>1305</v>
      </c>
      <c r="J12222">
        <f>GS93/765.4</f>
        <v>0</v>
      </c>
      <c r="K12222" t="inlineStr">
        <is>
          <t>DIL MC25</t>
        </is>
      </c>
      <c r="M12222" t="inlineStr">
        <is>
          <t>-765Q1</t>
        </is>
      </c>
    </row>
    <row r="12223">
      <c r="A12223">
        <v>12222</v>
      </c>
      <c r="B12223">
        <f>GS93</f>
        <v>0</v>
      </c>
      <c r="C12223" t="inlineStr">
        <is>
          <t>+LS15</t>
        </is>
      </c>
      <c r="D12223" t="inlineStr">
        <is>
          <t>-765Q1</t>
        </is>
      </c>
      <c r="E12223" t="inlineStr">
        <is>
          <t>DILMC25-10(RDC24)</t>
        </is>
      </c>
      <c r="F12223" t="inlineStr">
        <is>
          <t>DILA-XHI22</t>
        </is>
      </c>
      <c r="G12223" t="inlineStr">
        <is>
          <t>LASTSCHUETZ</t>
        </is>
      </c>
      <c r="H12223" t="inlineStr">
        <is>
          <t>11kW 1S Federzugkl.</t>
        </is>
      </c>
      <c r="I12223">
        <v>1305</v>
      </c>
      <c r="J12223">
        <f>GS93/765.4</f>
        <v>0</v>
      </c>
      <c r="K12223" t="inlineStr">
        <is>
          <t>DIL MC25</t>
        </is>
      </c>
      <c r="M12223" t="inlineStr">
        <is>
          <t>-765Q1</t>
        </is>
      </c>
    </row>
    <row r="12224">
      <c r="A12224">
        <v>12223</v>
      </c>
      <c r="B12224">
        <f>GS55</f>
        <v>0</v>
      </c>
      <c r="C12224" t="inlineStr">
        <is>
          <t>+LS12</t>
        </is>
      </c>
      <c r="D12224" t="inlineStr">
        <is>
          <t>-765Q1923.4</t>
        </is>
      </c>
      <c r="E12224" t="inlineStr">
        <is>
          <t>DILM-9-10</t>
        </is>
      </c>
      <c r="F12224" t="inlineStr">
        <is>
          <t>#KALK!</t>
        </is>
      </c>
      <c r="G12224" t="inlineStr">
        <is>
          <t>LASTSCHUETZ</t>
        </is>
      </c>
      <c r="H12224" t="inlineStr">
        <is>
          <t>4kW 1S Federzugkl.</t>
        </is>
      </c>
      <c r="I12224">
        <v>1019</v>
      </c>
      <c r="J12224">
        <f>GS55/765.3</f>
        <v>0</v>
      </c>
      <c r="K12224" t="inlineStr">
        <is>
          <t>DIL MC9</t>
        </is>
      </c>
      <c r="M12224" t="inlineStr">
        <is>
          <t>-765Q1923.4</t>
        </is>
      </c>
    </row>
    <row r="12225">
      <c r="A12225">
        <v>12224</v>
      </c>
      <c r="B12225">
        <f>GS92</f>
        <v>0</v>
      </c>
      <c r="C12225" t="inlineStr">
        <is>
          <t>+LS14</t>
        </is>
      </c>
      <c r="D12225" t="inlineStr">
        <is>
          <t>-765Q2</t>
        </is>
      </c>
      <c r="E12225" t="inlineStr">
        <is>
          <t>DILM-9-01</t>
        </is>
      </c>
      <c r="F12225" t="inlineStr">
        <is>
          <t>#KALK!</t>
        </is>
      </c>
      <c r="G12225" t="inlineStr">
        <is>
          <t>LASTSCHUETZ</t>
        </is>
      </c>
      <c r="H12225" t="inlineStr">
        <is>
          <t>4kW 1Oe Federzugkl.</t>
        </is>
      </c>
      <c r="I12225">
        <v>892</v>
      </c>
      <c r="J12225">
        <f>GS92/765.3</f>
        <v>0</v>
      </c>
      <c r="M12225" t="inlineStr">
        <is>
          <t>-765Q2</t>
        </is>
      </c>
    </row>
    <row r="12226">
      <c r="A12226">
        <v>12225</v>
      </c>
      <c r="B12226">
        <f>GS93</f>
        <v>0</v>
      </c>
      <c r="C12226" t="inlineStr">
        <is>
          <t>+LS15</t>
        </is>
      </c>
      <c r="D12226" t="inlineStr">
        <is>
          <t>-766Q1052.5</t>
        </is>
      </c>
      <c r="E12226" t="inlineStr">
        <is>
          <t>DILM-9-10</t>
        </is>
      </c>
      <c r="F12226" t="inlineStr">
        <is>
          <t>#KALK!</t>
        </is>
      </c>
      <c r="G12226" t="inlineStr">
        <is>
          <t>LASTSCHUETZ</t>
        </is>
      </c>
      <c r="H12226" t="inlineStr">
        <is>
          <t>4kW 1S Federzugkl.</t>
        </is>
      </c>
      <c r="I12226">
        <v>1306</v>
      </c>
      <c r="J12226">
        <f>GS93/766.5</f>
        <v>0</v>
      </c>
      <c r="M12226" t="inlineStr">
        <is>
          <t>-766Q1052.5</t>
        </is>
      </c>
    </row>
    <row r="12227">
      <c r="A12227">
        <v>12226</v>
      </c>
      <c r="B12227">
        <f>GS51</f>
        <v>0</v>
      </c>
      <c r="C12227" t="inlineStr">
        <is>
          <t>+LS11</t>
        </is>
      </c>
      <c r="D12227" t="inlineStr">
        <is>
          <t>-766Q418.6</t>
        </is>
      </c>
      <c r="E12227" t="inlineStr">
        <is>
          <t>DILM-9-10</t>
        </is>
      </c>
      <c r="F12227" t="inlineStr">
        <is>
          <t>#KALK!</t>
        </is>
      </c>
      <c r="G12227" t="inlineStr">
        <is>
          <t>LASTSCHUETZ</t>
        </is>
      </c>
      <c r="H12227" t="inlineStr">
        <is>
          <t>4kW 1S Federzugkl.</t>
        </is>
      </c>
      <c r="I12227">
        <v>909</v>
      </c>
      <c r="J12227">
        <f>GS51/766.6</f>
        <v>0</v>
      </c>
      <c r="K12227" t="inlineStr">
        <is>
          <t>DIL MC9</t>
        </is>
      </c>
      <c r="M12227" t="inlineStr">
        <is>
          <t>-766Q418.6</t>
        </is>
      </c>
    </row>
    <row r="12228">
      <c r="A12228">
        <v>12227</v>
      </c>
      <c r="B12228">
        <f>GS93</f>
        <v>0</v>
      </c>
      <c r="C12228" t="inlineStr">
        <is>
          <t>+LS15</t>
        </is>
      </c>
      <c r="D12228" t="inlineStr">
        <is>
          <t>-767Q1052.6</t>
        </is>
      </c>
      <c r="E12228" t="inlineStr">
        <is>
          <t>DILM-9-10</t>
        </is>
      </c>
      <c r="F12228" t="inlineStr">
        <is>
          <t>#KALK!</t>
        </is>
      </c>
      <c r="G12228" t="inlineStr">
        <is>
          <t>LASTSCHUETZ</t>
        </is>
      </c>
      <c r="H12228" t="inlineStr">
        <is>
          <t>4kW 1S Federzugkl.</t>
        </is>
      </c>
      <c r="I12228">
        <v>1307</v>
      </c>
      <c r="J12228">
        <f>GS93/767.5</f>
        <v>0</v>
      </c>
      <c r="M12228" t="inlineStr">
        <is>
          <t>-767Q1052.6</t>
        </is>
      </c>
    </row>
    <row r="12229">
      <c r="A12229">
        <v>12228</v>
      </c>
      <c r="B12229">
        <f>GC22</f>
        <v>0</v>
      </c>
      <c r="C12229" t="inlineStr">
        <is>
          <t>+LS7</t>
        </is>
      </c>
      <c r="D12229" t="inlineStr">
        <is>
          <t>-768K1</t>
        </is>
      </c>
      <c r="E12229" t="inlineStr">
        <is>
          <t>DILA-XHI22</t>
        </is>
      </c>
      <c r="F12229" t="inlineStr">
        <is>
          <t>DILA-XHI22</t>
        </is>
      </c>
      <c r="G12229" t="inlineStr">
        <is>
          <t>HILFSKONTAKTBLOCK</t>
        </is>
      </c>
      <c r="H12229" t="inlineStr">
        <is>
          <t>2S 2OE Last+Hilfssch. Cage</t>
        </is>
      </c>
      <c r="I12229">
        <v>580</v>
      </c>
      <c r="J12229">
        <f>GC22/768.2</f>
        <v>0</v>
      </c>
      <c r="K12229" t="inlineStr">
        <is>
          <t>DIL MC 25</t>
        </is>
      </c>
      <c r="M12229" t="inlineStr">
        <is>
          <t>-768K1</t>
        </is>
      </c>
    </row>
    <row r="12230">
      <c r="A12230">
        <v>12229</v>
      </c>
      <c r="B12230">
        <f>GC22</f>
        <v>0</v>
      </c>
      <c r="C12230" t="inlineStr">
        <is>
          <t>+LS7</t>
        </is>
      </c>
      <c r="D12230" t="inlineStr">
        <is>
          <t>-768K1</t>
        </is>
      </c>
      <c r="E12230" t="inlineStr">
        <is>
          <t>DILMC25-10230V50HZ</t>
        </is>
      </c>
      <c r="F12230" t="inlineStr">
        <is>
          <t>DILA-XHI22</t>
        </is>
      </c>
      <c r="G12230" t="inlineStr">
        <is>
          <t>LASTSCHUETZ</t>
        </is>
      </c>
      <c r="H12230" t="inlineStr">
        <is>
          <t>11kW 1S Federzugkl.</t>
        </is>
      </c>
      <c r="I12230">
        <v>580</v>
      </c>
      <c r="J12230">
        <f>GC22/768.2</f>
        <v>0</v>
      </c>
      <c r="K12230" t="inlineStr">
        <is>
          <t>DIL MC 25</t>
        </is>
      </c>
      <c r="M12230" t="inlineStr">
        <is>
          <t>-768K1</t>
        </is>
      </c>
    </row>
    <row r="12231">
      <c r="A12231">
        <v>12230</v>
      </c>
      <c r="B12231">
        <f>GS06</f>
        <v>0</v>
      </c>
      <c r="C12231" t="inlineStr">
        <is>
          <t>+LS12</t>
        </is>
      </c>
      <c r="D12231" t="inlineStr">
        <is>
          <t>-768K1</t>
        </is>
      </c>
      <c r="E12231" t="inlineStr">
        <is>
          <t>DILM-9-10</t>
        </is>
      </c>
      <c r="F12231" t="inlineStr">
        <is>
          <t>#KALK!</t>
        </is>
      </c>
      <c r="G12231" t="inlineStr">
        <is>
          <t>LASTSCHUETZ</t>
        </is>
      </c>
      <c r="H12231" t="inlineStr">
        <is>
          <t>4kW 1S Federzugkl.</t>
        </is>
      </c>
      <c r="I12231">
        <v>1074</v>
      </c>
      <c r="J12231">
        <f>GS06/768.5</f>
        <v>0</v>
      </c>
      <c r="M12231" t="inlineStr">
        <is>
          <t>-768K1</t>
        </is>
      </c>
    </row>
    <row r="12232">
      <c r="A12232">
        <v>12231</v>
      </c>
      <c r="B12232">
        <f>GS12</f>
        <v>0</v>
      </c>
      <c r="C12232" t="inlineStr">
        <is>
          <t>+LS7</t>
        </is>
      </c>
      <c r="D12232" t="inlineStr">
        <is>
          <t>-768K1</t>
        </is>
      </c>
      <c r="E12232" t="inlineStr">
        <is>
          <t>DILMC25-10230V50HZ</t>
        </is>
      </c>
      <c r="F12232" t="inlineStr">
        <is>
          <t>DILA-XHI22</t>
        </is>
      </c>
      <c r="G12232" t="inlineStr">
        <is>
          <t>LASTSCHUETZ</t>
        </is>
      </c>
      <c r="H12232" t="inlineStr">
        <is>
          <t>11kW 1S Federzugkl.</t>
        </is>
      </c>
      <c r="I12232">
        <v>1158</v>
      </c>
      <c r="J12232">
        <f>GS12/768.2</f>
        <v>0</v>
      </c>
      <c r="K12232" t="inlineStr">
        <is>
          <t>DIL MC 25</t>
        </is>
      </c>
      <c r="M12232" t="inlineStr">
        <is>
          <t>-768K1</t>
        </is>
      </c>
    </row>
    <row r="12233">
      <c r="A12233">
        <v>12232</v>
      </c>
      <c r="B12233">
        <f>GS12</f>
        <v>0</v>
      </c>
      <c r="C12233" t="inlineStr">
        <is>
          <t>+LS7</t>
        </is>
      </c>
      <c r="D12233" t="inlineStr">
        <is>
          <t>-768K1</t>
        </is>
      </c>
      <c r="E12233" t="inlineStr">
        <is>
          <t>DILA-XHI22</t>
        </is>
      </c>
      <c r="F12233" t="inlineStr">
        <is>
          <t>DILA-XHI22</t>
        </is>
      </c>
      <c r="G12233" t="inlineStr">
        <is>
          <t>HILFSKONTAKTBLOCK</t>
        </is>
      </c>
      <c r="H12233" t="inlineStr">
        <is>
          <t>2S 2OE Last+Hilfssch. Cage</t>
        </is>
      </c>
      <c r="I12233">
        <v>1158</v>
      </c>
      <c r="J12233">
        <f>GS12/768.2</f>
        <v>0</v>
      </c>
      <c r="K12233" t="inlineStr">
        <is>
          <t>DIL MC 25</t>
        </is>
      </c>
      <c r="M12233" t="inlineStr">
        <is>
          <t>-768K1</t>
        </is>
      </c>
    </row>
    <row r="12234">
      <c r="A12234">
        <v>12233</v>
      </c>
      <c r="B12234">
        <f>GS93</f>
        <v>0</v>
      </c>
      <c r="C12234" t="inlineStr">
        <is>
          <t>+LS15</t>
        </is>
      </c>
      <c r="D12234" t="inlineStr">
        <is>
          <t>-768Q1052.7</t>
        </is>
      </c>
      <c r="E12234" t="inlineStr">
        <is>
          <t>DILM-9-10</t>
        </is>
      </c>
      <c r="F12234" t="inlineStr">
        <is>
          <t>#KALK!</t>
        </is>
      </c>
      <c r="G12234" t="inlineStr">
        <is>
          <t>LASTSCHUETZ</t>
        </is>
      </c>
      <c r="H12234" t="inlineStr">
        <is>
          <t>4kW 1S Federzugkl.</t>
        </is>
      </c>
      <c r="I12234">
        <v>1308</v>
      </c>
      <c r="J12234">
        <f>GS93/768.5</f>
        <v>0</v>
      </c>
      <c r="M12234" t="inlineStr">
        <is>
          <t>-768Q1052.7</t>
        </is>
      </c>
    </row>
    <row r="12235">
      <c r="A12235">
        <v>12234</v>
      </c>
      <c r="B12235">
        <f>GS93</f>
        <v>0</v>
      </c>
      <c r="C12235" t="inlineStr">
        <is>
          <t>+LS15</t>
        </is>
      </c>
      <c r="D12235" t="inlineStr">
        <is>
          <t>-769Q1053.0</t>
        </is>
      </c>
      <c r="E12235" t="inlineStr">
        <is>
          <t>DILM-9-10</t>
        </is>
      </c>
      <c r="F12235" t="inlineStr">
        <is>
          <t>#KALK!</t>
        </is>
      </c>
      <c r="G12235" t="inlineStr">
        <is>
          <t>LASTSCHUETZ</t>
        </is>
      </c>
      <c r="H12235" t="inlineStr">
        <is>
          <t>4kW 1S Federzugkl.</t>
        </is>
      </c>
      <c r="I12235">
        <v>1309</v>
      </c>
      <c r="J12235">
        <f>GS93/769.5</f>
        <v>0</v>
      </c>
      <c r="M12235" t="inlineStr">
        <is>
          <t>-769Q1053.0</t>
        </is>
      </c>
    </row>
    <row r="12236">
      <c r="A12236">
        <v>12235</v>
      </c>
      <c r="B12236">
        <f>GS92</f>
        <v>0</v>
      </c>
      <c r="C12236" t="inlineStr">
        <is>
          <t>+LS14</t>
        </is>
      </c>
      <c r="D12236" t="inlineStr">
        <is>
          <t>-770K1071.0</t>
        </is>
      </c>
      <c r="E12236" t="inlineStr">
        <is>
          <t>DILA-40</t>
        </is>
      </c>
      <c r="F12236" t="inlineStr">
        <is>
          <t>#KALK!</t>
        </is>
      </c>
      <c r="G12236" t="inlineStr">
        <is>
          <t>HILFSSCHUETZ</t>
        </is>
      </c>
      <c r="H12236" t="inlineStr">
        <is>
          <t>4S Federzugkl.</t>
        </is>
      </c>
      <c r="I12236">
        <v>897</v>
      </c>
      <c r="J12236">
        <f>GS92/770.7</f>
        <v>0</v>
      </c>
      <c r="M12236" t="inlineStr">
        <is>
          <t>-770K1071.0</t>
        </is>
      </c>
    </row>
    <row r="12237">
      <c r="A12237">
        <v>12236</v>
      </c>
      <c r="B12237">
        <f>GC22</f>
        <v>0</v>
      </c>
      <c r="C12237" t="inlineStr">
        <is>
          <t>+LS7</t>
        </is>
      </c>
      <c r="D12237" t="inlineStr">
        <is>
          <t>-770K3515.3</t>
        </is>
      </c>
      <c r="E12237" t="inlineStr">
        <is>
          <t>DILM-9-10</t>
        </is>
      </c>
      <c r="F12237" t="inlineStr">
        <is>
          <t>#KALK!</t>
        </is>
      </c>
      <c r="G12237" t="inlineStr">
        <is>
          <t>LASTSCHUETZ</t>
        </is>
      </c>
      <c r="H12237" t="inlineStr">
        <is>
          <t>4kW 1S Federzugkl.</t>
        </is>
      </c>
      <c r="I12237">
        <v>3569</v>
      </c>
      <c r="J12237">
        <f>GC22/770.8</f>
        <v>0</v>
      </c>
      <c r="M12237" t="inlineStr">
        <is>
          <t>-770K3515.3</t>
        </is>
      </c>
    </row>
    <row r="12238">
      <c r="A12238">
        <v>12237</v>
      </c>
      <c r="B12238">
        <f>GS12</f>
        <v>0</v>
      </c>
      <c r="C12238" t="inlineStr">
        <is>
          <t>+LS7</t>
        </is>
      </c>
      <c r="D12238" t="inlineStr">
        <is>
          <t>-770K3515.3</t>
        </is>
      </c>
      <c r="E12238" t="inlineStr">
        <is>
          <t>DILM-9-10</t>
        </is>
      </c>
      <c r="F12238" t="inlineStr">
        <is>
          <t>#KALK!</t>
        </is>
      </c>
      <c r="G12238" t="inlineStr">
        <is>
          <t>LASTSCHUETZ</t>
        </is>
      </c>
      <c r="H12238" t="inlineStr">
        <is>
          <t>4kW 1S Federzugkl.</t>
        </is>
      </c>
      <c r="I12238">
        <v>1156</v>
      </c>
      <c r="J12238">
        <f>GS12/770.8</f>
        <v>0</v>
      </c>
      <c r="M12238" t="inlineStr">
        <is>
          <t>-770K3515.3</t>
        </is>
      </c>
    </row>
    <row r="12239">
      <c r="A12239">
        <v>12238</v>
      </c>
      <c r="B12239">
        <f>GS92</f>
        <v>0</v>
      </c>
      <c r="C12239" t="inlineStr">
        <is>
          <t>+LS14</t>
        </is>
      </c>
      <c r="D12239" t="inlineStr">
        <is>
          <t>-770Q1</t>
        </is>
      </c>
      <c r="E12239" t="inlineStr">
        <is>
          <t>DILMC25-10(RDC24)</t>
        </is>
      </c>
      <c r="F12239" t="inlineStr">
        <is>
          <t>DILA-XHI22</t>
        </is>
      </c>
      <c r="G12239" t="inlineStr">
        <is>
          <t>LASTSCHUETZ</t>
        </is>
      </c>
      <c r="H12239" t="inlineStr">
        <is>
          <t>11kW 1S Federzugkl.</t>
        </is>
      </c>
      <c r="I12239">
        <v>897</v>
      </c>
      <c r="J12239">
        <f>GS92/770.4</f>
        <v>0</v>
      </c>
      <c r="K12239" t="inlineStr">
        <is>
          <t>DIL MC25</t>
        </is>
      </c>
      <c r="M12239" t="inlineStr">
        <is>
          <t>-770Q1</t>
        </is>
      </c>
    </row>
    <row r="12240">
      <c r="A12240">
        <v>12239</v>
      </c>
      <c r="B12240">
        <f>GS92</f>
        <v>0</v>
      </c>
      <c r="C12240" t="inlineStr">
        <is>
          <t>+LS14</t>
        </is>
      </c>
      <c r="D12240" t="inlineStr">
        <is>
          <t>-770Q1</t>
        </is>
      </c>
      <c r="E12240" t="inlineStr">
        <is>
          <t>DILA-XHI22</t>
        </is>
      </c>
      <c r="F12240" t="inlineStr">
        <is>
          <t>DILA-XHI22</t>
        </is>
      </c>
      <c r="G12240" t="inlineStr">
        <is>
          <t>HILFSKONTAKTBLOCK</t>
        </is>
      </c>
      <c r="H12240" t="inlineStr">
        <is>
          <t>2S 2OE Last+Hilfssch. Cage</t>
        </is>
      </c>
      <c r="I12240">
        <v>897</v>
      </c>
      <c r="J12240">
        <f>GS92/770.4</f>
        <v>0</v>
      </c>
      <c r="K12240" t="inlineStr">
        <is>
          <t>DIL MC25</t>
        </is>
      </c>
      <c r="M12240" t="inlineStr">
        <is>
          <t>-770Q1</t>
        </is>
      </c>
    </row>
    <row r="12241">
      <c r="A12241">
        <v>12240</v>
      </c>
      <c r="B12241">
        <f>GS93</f>
        <v>0</v>
      </c>
      <c r="C12241" t="inlineStr">
        <is>
          <t>+LS15</t>
        </is>
      </c>
      <c r="D12241" t="inlineStr">
        <is>
          <t>-770Q1053.1</t>
        </is>
      </c>
      <c r="E12241" t="inlineStr">
        <is>
          <t>DILM-9-10</t>
        </is>
      </c>
      <c r="F12241" t="inlineStr">
        <is>
          <t>#KALK!</t>
        </is>
      </c>
      <c r="G12241" t="inlineStr">
        <is>
          <t>LASTSCHUETZ</t>
        </is>
      </c>
      <c r="H12241" t="inlineStr">
        <is>
          <t>4kW 1S Federzugkl.</t>
        </is>
      </c>
      <c r="I12241">
        <v>1310</v>
      </c>
      <c r="J12241">
        <f>GS93/770.5</f>
        <v>0</v>
      </c>
      <c r="M12241" t="inlineStr">
        <is>
          <t>-770Q1053.1</t>
        </is>
      </c>
    </row>
    <row r="12242">
      <c r="A12242">
        <v>12241</v>
      </c>
      <c r="B12242">
        <f>GC22</f>
        <v>0</v>
      </c>
      <c r="C12242" t="inlineStr">
        <is>
          <t>+LS7</t>
        </is>
      </c>
      <c r="D12242" t="inlineStr">
        <is>
          <t>-771K3515.4</t>
        </is>
      </c>
      <c r="E12242" t="inlineStr">
        <is>
          <t>DILM-9-01</t>
        </is>
      </c>
      <c r="F12242" t="inlineStr">
        <is>
          <t>#KALK!</t>
        </is>
      </c>
      <c r="G12242" t="inlineStr">
        <is>
          <t>LASTSCHUETZ</t>
        </is>
      </c>
      <c r="H12242" t="inlineStr">
        <is>
          <t>4kW 1Oe Federzugkl.</t>
        </is>
      </c>
      <c r="I12242">
        <v>3570</v>
      </c>
      <c r="J12242">
        <f>GC22/771.6</f>
        <v>0</v>
      </c>
      <c r="M12242" t="inlineStr">
        <is>
          <t>-771K3515.4</t>
        </is>
      </c>
    </row>
    <row r="12243">
      <c r="A12243">
        <v>12242</v>
      </c>
      <c r="B12243">
        <f>GS12</f>
        <v>0</v>
      </c>
      <c r="C12243" t="inlineStr">
        <is>
          <t>+LS7</t>
        </is>
      </c>
      <c r="D12243" t="inlineStr">
        <is>
          <t>-771K3515.4</t>
        </is>
      </c>
      <c r="E12243" t="inlineStr">
        <is>
          <t>DILM-9-01</t>
        </is>
      </c>
      <c r="F12243" t="inlineStr">
        <is>
          <t>#KALK!</t>
        </is>
      </c>
      <c r="G12243" t="inlineStr">
        <is>
          <t>LASTSCHUETZ</t>
        </is>
      </c>
      <c r="H12243" t="inlineStr">
        <is>
          <t>4kW 1Oe Federzugkl.</t>
        </is>
      </c>
      <c r="I12243">
        <v>1155</v>
      </c>
      <c r="J12243">
        <f>GS12/771.6</f>
        <v>0</v>
      </c>
      <c r="M12243" t="inlineStr">
        <is>
          <t>-771K3515.4</t>
        </is>
      </c>
    </row>
    <row r="12244">
      <c r="A12244">
        <v>12243</v>
      </c>
      <c r="B12244">
        <f>GC22</f>
        <v>0</v>
      </c>
      <c r="C12244" t="inlineStr">
        <is>
          <t>+LS7</t>
        </is>
      </c>
      <c r="D12244" t="inlineStr">
        <is>
          <t>-771K3515.5</t>
        </is>
      </c>
      <c r="E12244" t="inlineStr">
        <is>
          <t>DILM-9-10</t>
        </is>
      </c>
      <c r="F12244" t="inlineStr">
        <is>
          <t>#KALK!</t>
        </is>
      </c>
      <c r="G12244" t="inlineStr">
        <is>
          <t>LASTSCHUETZ</t>
        </is>
      </c>
      <c r="H12244" t="inlineStr">
        <is>
          <t>4kW 1S Federzugkl.</t>
        </is>
      </c>
      <c r="I12244">
        <v>3570</v>
      </c>
      <c r="J12244">
        <f>GC22/771.7</f>
        <v>0</v>
      </c>
      <c r="M12244" t="inlineStr">
        <is>
          <t>-771K3515.5</t>
        </is>
      </c>
    </row>
    <row r="12245">
      <c r="A12245">
        <v>12244</v>
      </c>
      <c r="B12245">
        <f>GS12</f>
        <v>0</v>
      </c>
      <c r="C12245" t="inlineStr">
        <is>
          <t>+LS7</t>
        </is>
      </c>
      <c r="D12245" t="inlineStr">
        <is>
          <t>-771K3515.5</t>
        </is>
      </c>
      <c r="E12245" t="inlineStr">
        <is>
          <t>DILM-9-10</t>
        </is>
      </c>
      <c r="F12245" t="inlineStr">
        <is>
          <t>#KALK!</t>
        </is>
      </c>
      <c r="G12245" t="inlineStr">
        <is>
          <t>LASTSCHUETZ</t>
        </is>
      </c>
      <c r="H12245" t="inlineStr">
        <is>
          <t>4kW 1S Federzugkl.</t>
        </is>
      </c>
      <c r="I12245">
        <v>1155</v>
      </c>
      <c r="J12245">
        <f>GS12/771.7</f>
        <v>0</v>
      </c>
      <c r="M12245" t="inlineStr">
        <is>
          <t>-771K3515.5</t>
        </is>
      </c>
    </row>
    <row r="12246">
      <c r="A12246">
        <v>12245</v>
      </c>
      <c r="B12246">
        <f>GC22</f>
        <v>0</v>
      </c>
      <c r="C12246" t="inlineStr">
        <is>
          <t>+LS7</t>
        </is>
      </c>
      <c r="D12246" t="inlineStr">
        <is>
          <t>-771K3517.6</t>
        </is>
      </c>
      <c r="E12246" t="inlineStr">
        <is>
          <t>DILM-9-01</t>
        </is>
      </c>
      <c r="F12246" t="inlineStr">
        <is>
          <t>#KALK!</t>
        </is>
      </c>
      <c r="G12246" t="inlineStr">
        <is>
          <t>LASTSCHUETZ</t>
        </is>
      </c>
      <c r="H12246" t="inlineStr">
        <is>
          <t>4kW 1Oe Federzugkl.</t>
        </is>
      </c>
      <c r="I12246">
        <v>3570</v>
      </c>
      <c r="J12246">
        <f>GC22/771.6</f>
        <v>0</v>
      </c>
      <c r="M12246" t="inlineStr">
        <is>
          <t>-771K3517.6</t>
        </is>
      </c>
    </row>
    <row r="12247">
      <c r="A12247">
        <v>12246</v>
      </c>
      <c r="B12247">
        <f>GS12</f>
        <v>0</v>
      </c>
      <c r="C12247" t="inlineStr">
        <is>
          <t>+LS7</t>
        </is>
      </c>
      <c r="D12247" t="inlineStr">
        <is>
          <t>-771K3517.6</t>
        </is>
      </c>
      <c r="E12247" t="inlineStr">
        <is>
          <t>DILM-9-01</t>
        </is>
      </c>
      <c r="F12247" t="inlineStr">
        <is>
          <t>#KALK!</t>
        </is>
      </c>
      <c r="G12247" t="inlineStr">
        <is>
          <t>LASTSCHUETZ</t>
        </is>
      </c>
      <c r="H12247" t="inlineStr">
        <is>
          <t>4kW 1Oe Federzugkl.</t>
        </is>
      </c>
      <c r="I12247">
        <v>1155</v>
      </c>
      <c r="J12247">
        <f>GS12/771.6</f>
        <v>0</v>
      </c>
      <c r="M12247" t="inlineStr">
        <is>
          <t>-771K3517.6</t>
        </is>
      </c>
    </row>
    <row r="12248">
      <c r="A12248">
        <v>12247</v>
      </c>
      <c r="B12248">
        <f>GS93</f>
        <v>0</v>
      </c>
      <c r="C12248" t="inlineStr">
        <is>
          <t>+LS15</t>
        </is>
      </c>
      <c r="D12248" t="inlineStr">
        <is>
          <t>-771Q1053.2</t>
        </is>
      </c>
      <c r="E12248" t="inlineStr">
        <is>
          <t>DILM-9-10</t>
        </is>
      </c>
      <c r="F12248" t="inlineStr">
        <is>
          <t>#KALK!</t>
        </is>
      </c>
      <c r="G12248" t="inlineStr">
        <is>
          <t>LASTSCHUETZ</t>
        </is>
      </c>
      <c r="H12248" t="inlineStr">
        <is>
          <t>4kW 1S Federzugkl.</t>
        </is>
      </c>
      <c r="I12248">
        <v>1311</v>
      </c>
      <c r="J12248">
        <f>GS93/771.5</f>
        <v>0</v>
      </c>
      <c r="M12248" t="inlineStr">
        <is>
          <t>-771Q1053.2</t>
        </is>
      </c>
    </row>
    <row r="12249">
      <c r="A12249">
        <v>12248</v>
      </c>
      <c r="B12249">
        <f>GS92</f>
        <v>0</v>
      </c>
      <c r="C12249" t="inlineStr">
        <is>
          <t>+LS14</t>
        </is>
      </c>
      <c r="D12249" t="inlineStr">
        <is>
          <t>-771Q1071.1</t>
        </is>
      </c>
      <c r="E12249" t="inlineStr">
        <is>
          <t>DILA-XHI22</t>
        </is>
      </c>
      <c r="F12249" t="inlineStr">
        <is>
          <t>DILA-XHI22</t>
        </is>
      </c>
      <c r="G12249" t="inlineStr">
        <is>
          <t>HILFSKONTAKTBLOCK</t>
        </is>
      </c>
      <c r="H12249" t="inlineStr">
        <is>
          <t>2S 2OE Last+Hilfssch. Cage</t>
        </is>
      </c>
      <c r="I12249">
        <v>898</v>
      </c>
      <c r="J12249">
        <f>GS92/771.5</f>
        <v>0</v>
      </c>
      <c r="M12249" t="inlineStr">
        <is>
          <t>-771Q1071.1</t>
        </is>
      </c>
    </row>
    <row r="12250">
      <c r="A12250">
        <v>12249</v>
      </c>
      <c r="B12250">
        <f>GS92</f>
        <v>0</v>
      </c>
      <c r="C12250" t="inlineStr">
        <is>
          <t>+LS14</t>
        </is>
      </c>
      <c r="D12250" t="inlineStr">
        <is>
          <t>-771Q1071.1</t>
        </is>
      </c>
      <c r="E12250" t="inlineStr">
        <is>
          <t>DILM-9-10</t>
        </is>
      </c>
      <c r="F12250" t="inlineStr">
        <is>
          <t>DILA-XHI22</t>
        </is>
      </c>
      <c r="G12250" t="inlineStr">
        <is>
          <t>LASTSCHUETZ</t>
        </is>
      </c>
      <c r="H12250" t="inlineStr">
        <is>
          <t>4kW 1S Federzugkl.</t>
        </is>
      </c>
      <c r="I12250">
        <v>898</v>
      </c>
      <c r="J12250">
        <f>GS92/771.5</f>
        <v>0</v>
      </c>
      <c r="M12250" t="inlineStr">
        <is>
          <t>-771Q1071.1</t>
        </is>
      </c>
    </row>
    <row r="12251">
      <c r="A12251">
        <v>12250</v>
      </c>
      <c r="B12251">
        <f>GS92</f>
        <v>0</v>
      </c>
      <c r="C12251" t="inlineStr">
        <is>
          <t>+LS14</t>
        </is>
      </c>
      <c r="D12251" t="inlineStr">
        <is>
          <t>-771Q1071.2</t>
        </is>
      </c>
      <c r="E12251" t="inlineStr">
        <is>
          <t>DILA-XHI22</t>
        </is>
      </c>
      <c r="F12251" t="inlineStr">
        <is>
          <t>DILA-XHI22</t>
        </is>
      </c>
      <c r="G12251" t="inlineStr">
        <is>
          <t>HILFSKONTAKTBLOCK</t>
        </is>
      </c>
      <c r="H12251" t="inlineStr">
        <is>
          <t>2S 2OE Last+Hilfssch. Cage</t>
        </is>
      </c>
      <c r="I12251">
        <v>898</v>
      </c>
      <c r="J12251">
        <f>GS92/771.6</f>
        <v>0</v>
      </c>
      <c r="M12251" t="inlineStr">
        <is>
          <t>-771Q1071.2</t>
        </is>
      </c>
    </row>
    <row r="12252">
      <c r="A12252">
        <v>12251</v>
      </c>
      <c r="B12252">
        <f>GS92</f>
        <v>0</v>
      </c>
      <c r="C12252" t="inlineStr">
        <is>
          <t>+LS14</t>
        </is>
      </c>
      <c r="D12252" t="inlineStr">
        <is>
          <t>-771Q1071.2</t>
        </is>
      </c>
      <c r="E12252" t="inlineStr">
        <is>
          <t>DILM-9-10</t>
        </is>
      </c>
      <c r="F12252" t="inlineStr">
        <is>
          <t>DILA-XHI22</t>
        </is>
      </c>
      <c r="G12252" t="inlineStr">
        <is>
          <t>LASTSCHUETZ</t>
        </is>
      </c>
      <c r="H12252" t="inlineStr">
        <is>
          <t>4kW 1S Federzugkl.</t>
        </is>
      </c>
      <c r="I12252">
        <v>898</v>
      </c>
      <c r="J12252">
        <f>GS92/771.6</f>
        <v>0</v>
      </c>
      <c r="M12252" t="inlineStr">
        <is>
          <t>-771Q1071.2</t>
        </is>
      </c>
    </row>
    <row r="12253">
      <c r="A12253">
        <v>12252</v>
      </c>
      <c r="B12253">
        <f>GC22</f>
        <v>0</v>
      </c>
      <c r="C12253" t="inlineStr">
        <is>
          <t>+LS7</t>
        </is>
      </c>
      <c r="D12253" t="inlineStr">
        <is>
          <t>-772K3516.3</t>
        </is>
      </c>
      <c r="E12253" t="inlineStr">
        <is>
          <t>DILM-9-10</t>
        </is>
      </c>
      <c r="F12253" t="inlineStr">
        <is>
          <t>#KALK!</t>
        </is>
      </c>
      <c r="G12253" t="inlineStr">
        <is>
          <t>LASTSCHUETZ</t>
        </is>
      </c>
      <c r="H12253" t="inlineStr">
        <is>
          <t>4kW 1S Federzugkl.</t>
        </is>
      </c>
      <c r="I12253">
        <v>3571</v>
      </c>
      <c r="J12253">
        <f>GC22/772.8</f>
        <v>0</v>
      </c>
      <c r="M12253" t="inlineStr">
        <is>
          <t>-772K3516.3</t>
        </is>
      </c>
    </row>
    <row r="12254">
      <c r="A12254">
        <v>12253</v>
      </c>
      <c r="B12254">
        <f>GS12</f>
        <v>0</v>
      </c>
      <c r="C12254" t="inlineStr">
        <is>
          <t>+LS7</t>
        </is>
      </c>
      <c r="D12254" t="inlineStr">
        <is>
          <t>-772K3516.3</t>
        </is>
      </c>
      <c r="E12254" t="inlineStr">
        <is>
          <t>DILM-9-10</t>
        </is>
      </c>
      <c r="F12254" t="inlineStr">
        <is>
          <t>#KALK!</t>
        </is>
      </c>
      <c r="G12254" t="inlineStr">
        <is>
          <t>LASTSCHUETZ</t>
        </is>
      </c>
      <c r="H12254" t="inlineStr">
        <is>
          <t>4kW 1S Federzugkl.</t>
        </is>
      </c>
      <c r="I12254">
        <v>1154</v>
      </c>
      <c r="J12254">
        <f>GS12/772.8</f>
        <v>0</v>
      </c>
      <c r="M12254" t="inlineStr">
        <is>
          <t>-772K3516.3</t>
        </is>
      </c>
    </row>
    <row r="12255">
      <c r="A12255">
        <v>12254</v>
      </c>
      <c r="B12255">
        <f>GS93</f>
        <v>0</v>
      </c>
      <c r="C12255" t="inlineStr">
        <is>
          <t>+LS15</t>
        </is>
      </c>
      <c r="D12255" t="inlineStr">
        <is>
          <t>-772Q1053.3</t>
        </is>
      </c>
      <c r="E12255" t="inlineStr">
        <is>
          <t>DILM-9-10</t>
        </is>
      </c>
      <c r="F12255" t="inlineStr">
        <is>
          <t>#KALK!</t>
        </is>
      </c>
      <c r="G12255" t="inlineStr">
        <is>
          <t>LASTSCHUETZ</t>
        </is>
      </c>
      <c r="H12255" t="inlineStr">
        <is>
          <t>4kW 1S Federzugkl.</t>
        </is>
      </c>
      <c r="I12255">
        <v>1312</v>
      </c>
      <c r="J12255">
        <f>GS93/772.5</f>
        <v>0</v>
      </c>
      <c r="M12255" t="inlineStr">
        <is>
          <t>-772Q1053.3</t>
        </is>
      </c>
    </row>
    <row r="12256">
      <c r="A12256">
        <v>12255</v>
      </c>
      <c r="B12256">
        <f>GS92</f>
        <v>0</v>
      </c>
      <c r="C12256" t="inlineStr">
        <is>
          <t>+LS14</t>
        </is>
      </c>
      <c r="D12256" t="inlineStr">
        <is>
          <t>-772Q1071.3</t>
        </is>
      </c>
      <c r="E12256" t="inlineStr">
        <is>
          <t>DILM-9-10</t>
        </is>
      </c>
      <c r="F12256" t="inlineStr">
        <is>
          <t>#KALK!</t>
        </is>
      </c>
      <c r="G12256" t="inlineStr">
        <is>
          <t>LASTSCHUETZ</t>
        </is>
      </c>
      <c r="H12256" t="inlineStr">
        <is>
          <t>4kW 1S Federzugkl.</t>
        </is>
      </c>
      <c r="I12256">
        <v>899</v>
      </c>
      <c r="J12256">
        <f>GS92/772.5</f>
        <v>0</v>
      </c>
      <c r="M12256" t="inlineStr">
        <is>
          <t>-772Q1071.3</t>
        </is>
      </c>
    </row>
    <row r="12257">
      <c r="A12257">
        <v>12256</v>
      </c>
      <c r="B12257">
        <f>GC22</f>
        <v>0</v>
      </c>
      <c r="C12257" t="inlineStr">
        <is>
          <t>+LS7</t>
        </is>
      </c>
      <c r="D12257" t="inlineStr">
        <is>
          <t>-773K3516.4</t>
        </is>
      </c>
      <c r="E12257" t="inlineStr">
        <is>
          <t>DILM-9-01</t>
        </is>
      </c>
      <c r="F12257" t="inlineStr">
        <is>
          <t>#KALK!</t>
        </is>
      </c>
      <c r="G12257" t="inlineStr">
        <is>
          <t>LASTSCHUETZ</t>
        </is>
      </c>
      <c r="H12257" t="inlineStr">
        <is>
          <t>4kW 1Oe Federzugkl.</t>
        </is>
      </c>
      <c r="I12257">
        <v>3572</v>
      </c>
      <c r="J12257">
        <f>GC22/773.6</f>
        <v>0</v>
      </c>
      <c r="M12257" t="inlineStr">
        <is>
          <t>-773K3516.4</t>
        </is>
      </c>
    </row>
    <row r="12258">
      <c r="A12258">
        <v>12257</v>
      </c>
      <c r="B12258">
        <f>GS12</f>
        <v>0</v>
      </c>
      <c r="C12258" t="inlineStr">
        <is>
          <t>+LS7</t>
        </is>
      </c>
      <c r="D12258" t="inlineStr">
        <is>
          <t>-773K3516.4</t>
        </is>
      </c>
      <c r="E12258" t="inlineStr">
        <is>
          <t>DILM-9-01</t>
        </is>
      </c>
      <c r="F12258" t="inlineStr">
        <is>
          <t>#KALK!</t>
        </is>
      </c>
      <c r="G12258" t="inlineStr">
        <is>
          <t>LASTSCHUETZ</t>
        </is>
      </c>
      <c r="H12258" t="inlineStr">
        <is>
          <t>4kW 1Oe Federzugkl.</t>
        </is>
      </c>
      <c r="I12258">
        <v>1153</v>
      </c>
      <c r="J12258">
        <f>GS12/773.6</f>
        <v>0</v>
      </c>
      <c r="M12258" t="inlineStr">
        <is>
          <t>-773K3516.4</t>
        </is>
      </c>
    </row>
    <row r="12259">
      <c r="A12259">
        <v>12258</v>
      </c>
      <c r="B12259">
        <f>GC22</f>
        <v>0</v>
      </c>
      <c r="C12259" t="inlineStr">
        <is>
          <t>+LS7</t>
        </is>
      </c>
      <c r="D12259" t="inlineStr">
        <is>
          <t>-773K3516.5</t>
        </is>
      </c>
      <c r="E12259" t="inlineStr">
        <is>
          <t>DILM-9-10</t>
        </is>
      </c>
      <c r="F12259" t="inlineStr">
        <is>
          <t>#KALK!</t>
        </is>
      </c>
      <c r="G12259" t="inlineStr">
        <is>
          <t>LASTSCHUETZ</t>
        </is>
      </c>
      <c r="H12259" t="inlineStr">
        <is>
          <t>4kW 1S Federzugkl.</t>
        </is>
      </c>
      <c r="I12259">
        <v>3572</v>
      </c>
      <c r="J12259">
        <f>GC22/773.7</f>
        <v>0</v>
      </c>
      <c r="M12259" t="inlineStr">
        <is>
          <t>-773K3516.5</t>
        </is>
      </c>
    </row>
    <row r="12260">
      <c r="A12260">
        <v>12259</v>
      </c>
      <c r="B12260">
        <f>GS12</f>
        <v>0</v>
      </c>
      <c r="C12260" t="inlineStr">
        <is>
          <t>+LS7</t>
        </is>
      </c>
      <c r="D12260" t="inlineStr">
        <is>
          <t>-773K3516.5</t>
        </is>
      </c>
      <c r="E12260" t="inlineStr">
        <is>
          <t>DILM-9-10</t>
        </is>
      </c>
      <c r="F12260" t="inlineStr">
        <is>
          <t>#KALK!</t>
        </is>
      </c>
      <c r="G12260" t="inlineStr">
        <is>
          <t>LASTSCHUETZ</t>
        </is>
      </c>
      <c r="H12260" t="inlineStr">
        <is>
          <t>4kW 1S Federzugkl.</t>
        </is>
      </c>
      <c r="I12260">
        <v>1153</v>
      </c>
      <c r="J12260">
        <f>GS12/773.7</f>
        <v>0</v>
      </c>
      <c r="M12260" t="inlineStr">
        <is>
          <t>-773K3516.5</t>
        </is>
      </c>
    </row>
    <row r="12261">
      <c r="A12261">
        <v>12260</v>
      </c>
      <c r="B12261">
        <f>GC22</f>
        <v>0</v>
      </c>
      <c r="C12261" t="inlineStr">
        <is>
          <t>+LS7</t>
        </is>
      </c>
      <c r="D12261" t="inlineStr">
        <is>
          <t>-773K3517.7</t>
        </is>
      </c>
      <c r="E12261" t="inlineStr">
        <is>
          <t>DILM-9-01</t>
        </is>
      </c>
      <c r="F12261" t="inlineStr">
        <is>
          <t>#KALK!</t>
        </is>
      </c>
      <c r="G12261" t="inlineStr">
        <is>
          <t>LASTSCHUETZ</t>
        </is>
      </c>
      <c r="H12261" t="inlineStr">
        <is>
          <t>4kW 1Oe Federzugkl.</t>
        </is>
      </c>
      <c r="I12261">
        <v>3572</v>
      </c>
      <c r="J12261">
        <f>GC22/773.6</f>
        <v>0</v>
      </c>
      <c r="M12261" t="inlineStr">
        <is>
          <t>-773K3517.7</t>
        </is>
      </c>
    </row>
    <row r="12262">
      <c r="A12262">
        <v>12261</v>
      </c>
      <c r="B12262">
        <f>GS12</f>
        <v>0</v>
      </c>
      <c r="C12262" t="inlineStr">
        <is>
          <t>+LS7</t>
        </is>
      </c>
      <c r="D12262" t="inlineStr">
        <is>
          <t>-773K3517.7</t>
        </is>
      </c>
      <c r="E12262" t="inlineStr">
        <is>
          <t>DILM-9-01</t>
        </is>
      </c>
      <c r="F12262" t="inlineStr">
        <is>
          <t>#KALK!</t>
        </is>
      </c>
      <c r="G12262" t="inlineStr">
        <is>
          <t>LASTSCHUETZ</t>
        </is>
      </c>
      <c r="H12262" t="inlineStr">
        <is>
          <t>4kW 1Oe Federzugkl.</t>
        </is>
      </c>
      <c r="I12262">
        <v>1153</v>
      </c>
      <c r="J12262">
        <f>GS12/773.6</f>
        <v>0</v>
      </c>
      <c r="M12262" t="inlineStr">
        <is>
          <t>-773K3517.7</t>
        </is>
      </c>
    </row>
    <row r="12263">
      <c r="A12263">
        <v>12262</v>
      </c>
      <c r="B12263">
        <f>GS93</f>
        <v>0</v>
      </c>
      <c r="C12263" t="inlineStr">
        <is>
          <t>+LS15</t>
        </is>
      </c>
      <c r="D12263" t="inlineStr">
        <is>
          <t>-773Q1053.4</t>
        </is>
      </c>
      <c r="E12263" t="inlineStr">
        <is>
          <t>DILM-9-10</t>
        </is>
      </c>
      <c r="F12263" t="inlineStr">
        <is>
          <t>#KALK!</t>
        </is>
      </c>
      <c r="G12263" t="inlineStr">
        <is>
          <t>LASTSCHUETZ</t>
        </is>
      </c>
      <c r="H12263" t="inlineStr">
        <is>
          <t>4kW 1S Federzugkl.</t>
        </is>
      </c>
      <c r="I12263">
        <v>1313</v>
      </c>
      <c r="J12263">
        <f>GS93/773.5</f>
        <v>0</v>
      </c>
      <c r="M12263" t="inlineStr">
        <is>
          <t>-773Q1053.4</t>
        </is>
      </c>
    </row>
    <row r="12264">
      <c r="A12264">
        <v>12263</v>
      </c>
      <c r="B12264">
        <f>GS06</f>
        <v>0</v>
      </c>
      <c r="C12264" t="inlineStr">
        <is>
          <t>+LS12</t>
        </is>
      </c>
      <c r="D12264" t="inlineStr">
        <is>
          <t>-773Q706.1</t>
        </is>
      </c>
      <c r="E12264" t="inlineStr">
        <is>
          <t>DILM-9-10</t>
        </is>
      </c>
      <c r="F12264" t="inlineStr">
        <is>
          <t>#KALK!</t>
        </is>
      </c>
      <c r="G12264" t="inlineStr">
        <is>
          <t>LASTSCHUETZ</t>
        </is>
      </c>
      <c r="H12264" t="inlineStr">
        <is>
          <t>4kW 1S Federzugkl.</t>
        </is>
      </c>
      <c r="I12264">
        <v>1079</v>
      </c>
      <c r="J12264">
        <f>GS06/773.6</f>
        <v>0</v>
      </c>
      <c r="K12264" t="inlineStr">
        <is>
          <t>DIL MC9</t>
        </is>
      </c>
      <c r="M12264" t="inlineStr">
        <is>
          <t>-773Q706.1</t>
        </is>
      </c>
    </row>
    <row r="12265">
      <c r="A12265">
        <v>12264</v>
      </c>
      <c r="B12265">
        <f>GC22</f>
        <v>0</v>
      </c>
      <c r="C12265" t="inlineStr">
        <is>
          <t>+LS7</t>
        </is>
      </c>
      <c r="D12265" t="inlineStr">
        <is>
          <t>-774K3517.1</t>
        </is>
      </c>
      <c r="E12265" t="inlineStr">
        <is>
          <t>DILM-9-10</t>
        </is>
      </c>
      <c r="F12265" t="inlineStr">
        <is>
          <t>#KALK!</t>
        </is>
      </c>
      <c r="G12265" t="inlineStr">
        <is>
          <t>LASTSCHUETZ</t>
        </is>
      </c>
      <c r="H12265" t="inlineStr">
        <is>
          <t>4kW 1S Federzugkl.</t>
        </is>
      </c>
      <c r="I12265">
        <v>3573</v>
      </c>
      <c r="J12265">
        <f>GC22/774.8</f>
        <v>0</v>
      </c>
      <c r="M12265" t="inlineStr">
        <is>
          <t>-774K3517.1</t>
        </is>
      </c>
    </row>
    <row r="12266">
      <c r="A12266">
        <v>12265</v>
      </c>
      <c r="B12266">
        <f>GS12</f>
        <v>0</v>
      </c>
      <c r="C12266" t="inlineStr">
        <is>
          <t>+LS7</t>
        </is>
      </c>
      <c r="D12266" t="inlineStr">
        <is>
          <t>-774K3517.1</t>
        </is>
      </c>
      <c r="E12266" t="inlineStr">
        <is>
          <t>DILM-9-10</t>
        </is>
      </c>
      <c r="F12266" t="inlineStr">
        <is>
          <t>#KALK!</t>
        </is>
      </c>
      <c r="G12266" t="inlineStr">
        <is>
          <t>LASTSCHUETZ</t>
        </is>
      </c>
      <c r="H12266" t="inlineStr">
        <is>
          <t>4kW 1S Federzugkl.</t>
        </is>
      </c>
      <c r="I12266">
        <v>1152</v>
      </c>
      <c r="J12266">
        <f>GS12/774.8</f>
        <v>0</v>
      </c>
      <c r="M12266" t="inlineStr">
        <is>
          <t>-774K3517.1</t>
        </is>
      </c>
    </row>
    <row r="12267">
      <c r="A12267">
        <v>12266</v>
      </c>
      <c r="B12267">
        <f>GS05</f>
        <v>0</v>
      </c>
      <c r="C12267" t="inlineStr">
        <is>
          <t>+LS13</t>
        </is>
      </c>
      <c r="D12267" t="inlineStr">
        <is>
          <t>-775Q1</t>
        </is>
      </c>
      <c r="E12267" t="inlineStr">
        <is>
          <t>DILA-XHI22</t>
        </is>
      </c>
      <c r="F12267" t="inlineStr">
        <is>
          <t>DILA-XHI22</t>
        </is>
      </c>
      <c r="G12267" t="inlineStr">
        <is>
          <t>HILFSKONTAKTBLOCK</t>
        </is>
      </c>
      <c r="H12267" t="inlineStr">
        <is>
          <t>2S 2OE Last+Hilfssch. Cage</t>
        </is>
      </c>
      <c r="I12267">
        <v>2634</v>
      </c>
      <c r="J12267">
        <f>GS05/775.6</f>
        <v>0</v>
      </c>
      <c r="K12267" t="inlineStr">
        <is>
          <t>DIL MC25</t>
        </is>
      </c>
      <c r="M12267" t="inlineStr">
        <is>
          <t>-775Q1</t>
        </is>
      </c>
    </row>
    <row r="12268">
      <c r="A12268">
        <v>12267</v>
      </c>
      <c r="B12268">
        <f>GS05</f>
        <v>0</v>
      </c>
      <c r="C12268" t="inlineStr">
        <is>
          <t>+LS13</t>
        </is>
      </c>
      <c r="D12268" t="inlineStr">
        <is>
          <t>-775Q1</t>
        </is>
      </c>
      <c r="E12268" t="inlineStr">
        <is>
          <t>DILMC25-10(RDC24)</t>
        </is>
      </c>
      <c r="F12268" t="inlineStr">
        <is>
          <t>DILA-XHI22</t>
        </is>
      </c>
      <c r="G12268" t="inlineStr">
        <is>
          <t>LASTSCHUETZ</t>
        </is>
      </c>
      <c r="H12268" t="inlineStr">
        <is>
          <t>11kW 1S Federzugkl.</t>
        </is>
      </c>
      <c r="I12268">
        <v>2634</v>
      </c>
      <c r="J12268">
        <f>GS05/775.6</f>
        <v>0</v>
      </c>
      <c r="K12268" t="inlineStr">
        <is>
          <t>DIL MC25</t>
        </is>
      </c>
      <c r="M12268" t="inlineStr">
        <is>
          <t>-775Q1</t>
        </is>
      </c>
    </row>
    <row r="12269">
      <c r="A12269">
        <v>12268</v>
      </c>
      <c r="B12269">
        <f>GS93</f>
        <v>0</v>
      </c>
      <c r="C12269" t="inlineStr">
        <is>
          <t>+LS15</t>
        </is>
      </c>
      <c r="D12269" t="inlineStr">
        <is>
          <t>-775Q1053.6</t>
        </is>
      </c>
      <c r="E12269" t="inlineStr">
        <is>
          <t>DILM-9-10</t>
        </is>
      </c>
      <c r="F12269" t="inlineStr">
        <is>
          <t>#KALK!</t>
        </is>
      </c>
      <c r="G12269" t="inlineStr">
        <is>
          <t>LASTSCHUETZ</t>
        </is>
      </c>
      <c r="H12269" t="inlineStr">
        <is>
          <t>4kW 1S Federzugkl.</t>
        </is>
      </c>
      <c r="I12269">
        <v>1315</v>
      </c>
      <c r="J12269">
        <f>GS93/775.5</f>
        <v>0</v>
      </c>
      <c r="M12269" t="inlineStr">
        <is>
          <t>-775Q1053.6</t>
        </is>
      </c>
    </row>
    <row r="12270">
      <c r="A12270">
        <v>12269</v>
      </c>
      <c r="B12270">
        <f>GS06</f>
        <v>0</v>
      </c>
      <c r="C12270" t="inlineStr">
        <is>
          <t>+LS12</t>
        </is>
      </c>
      <c r="D12270" t="inlineStr">
        <is>
          <t>-778Q706.2</t>
        </is>
      </c>
      <c r="E12270" t="inlineStr">
        <is>
          <t>DILM-9-10</t>
        </is>
      </c>
      <c r="F12270" t="inlineStr">
        <is>
          <t>#KALK!</t>
        </is>
      </c>
      <c r="G12270" t="inlineStr">
        <is>
          <t>LASTSCHUETZ</t>
        </is>
      </c>
      <c r="H12270" t="inlineStr">
        <is>
          <t>4kW 1S Federzugkl.</t>
        </is>
      </c>
      <c r="I12270">
        <v>1084</v>
      </c>
      <c r="J12270">
        <f>GS06/778.6</f>
        <v>0</v>
      </c>
      <c r="K12270" t="inlineStr">
        <is>
          <t>DIL MC9</t>
        </is>
      </c>
      <c r="M12270" t="inlineStr">
        <is>
          <t>-778Q706.2</t>
        </is>
      </c>
    </row>
    <row r="12271">
      <c r="A12271">
        <v>12270</v>
      </c>
      <c r="B12271">
        <f>GS08</f>
        <v>0</v>
      </c>
      <c r="C12271" t="inlineStr">
        <is>
          <t>+LS[p1]</t>
        </is>
      </c>
      <c r="D12271" t="inlineStr">
        <is>
          <t>-77K1</t>
        </is>
      </c>
      <c r="E12271" t="inlineStr">
        <is>
          <t>DILM-9-01</t>
        </is>
      </c>
      <c r="F12271" t="inlineStr">
        <is>
          <t>#KALK!</t>
        </is>
      </c>
      <c r="G12271" t="inlineStr">
        <is>
          <t>LASTSCHUETZ</t>
        </is>
      </c>
      <c r="H12271" t="inlineStr">
        <is>
          <t>4kW 1Oe Federzugkl.</t>
        </is>
      </c>
      <c r="I12271">
        <v>247</v>
      </c>
      <c r="J12271">
        <f>GS08/77.6</f>
        <v>0</v>
      </c>
      <c r="M12271" t="inlineStr">
        <is>
          <t>-77K1</t>
        </is>
      </c>
    </row>
    <row r="12272">
      <c r="A12272">
        <v>12271</v>
      </c>
      <c r="B12272">
        <f>GS08</f>
        <v>0</v>
      </c>
      <c r="C12272" t="inlineStr">
        <is>
          <t>+LS[p1]</t>
        </is>
      </c>
      <c r="D12272" t="inlineStr">
        <is>
          <t>-77K2</t>
        </is>
      </c>
      <c r="E12272" t="inlineStr">
        <is>
          <t>DILM-9-01</t>
        </is>
      </c>
      <c r="F12272" t="inlineStr">
        <is>
          <t>#KALK!</t>
        </is>
      </c>
      <c r="G12272" t="inlineStr">
        <is>
          <t>LASTSCHUETZ</t>
        </is>
      </c>
      <c r="H12272" t="inlineStr">
        <is>
          <t>4kW 1Oe Federzugkl.</t>
        </is>
      </c>
      <c r="I12272">
        <v>247</v>
      </c>
      <c r="J12272">
        <f>GS08/77.7</f>
        <v>0</v>
      </c>
      <c r="M12272" t="inlineStr">
        <is>
          <t>-77K2</t>
        </is>
      </c>
    </row>
    <row r="12273">
      <c r="A12273">
        <v>12272</v>
      </c>
      <c r="B12273">
        <f>GS92</f>
        <v>0</v>
      </c>
      <c r="C12273" t="inlineStr">
        <is>
          <t>+LS14</t>
        </is>
      </c>
      <c r="D12273" t="inlineStr">
        <is>
          <t>-780K1077.4</t>
        </is>
      </c>
      <c r="E12273" t="inlineStr">
        <is>
          <t>DILA-40</t>
        </is>
      </c>
      <c r="F12273" t="inlineStr">
        <is>
          <t>#KALK!</t>
        </is>
      </c>
      <c r="G12273" t="inlineStr">
        <is>
          <t>HILFSSCHUETZ</t>
        </is>
      </c>
      <c r="H12273" t="inlineStr">
        <is>
          <t>4S Federzugkl.</t>
        </is>
      </c>
      <c r="I12273">
        <v>907</v>
      </c>
      <c r="J12273">
        <f>GS92/780.7</f>
        <v>0</v>
      </c>
      <c r="M12273" t="inlineStr">
        <is>
          <t>-780K1077.4</t>
        </is>
      </c>
    </row>
    <row r="12274">
      <c r="A12274">
        <v>12273</v>
      </c>
      <c r="B12274">
        <f>GS92</f>
        <v>0</v>
      </c>
      <c r="C12274" t="inlineStr">
        <is>
          <t>+LS14</t>
        </is>
      </c>
      <c r="D12274" t="inlineStr">
        <is>
          <t>-780Q1</t>
        </is>
      </c>
      <c r="E12274" t="inlineStr">
        <is>
          <t>DILA-XHIC31</t>
        </is>
      </c>
      <c r="F12274" t="inlineStr">
        <is>
          <t>DILA-XHIC31</t>
        </is>
      </c>
      <c r="G12274" t="inlineStr">
        <is>
          <t>HILFSKONTAKTBLOCK</t>
        </is>
      </c>
      <c r="H12274" t="inlineStr">
        <is>
          <t>3S 1OE Last+Hilfssch. Cage</t>
        </is>
      </c>
      <c r="I12274">
        <v>907</v>
      </c>
      <c r="J12274">
        <f>GS92/780.4</f>
        <v>0</v>
      </c>
      <c r="K12274" t="inlineStr">
        <is>
          <t>DIL MC25</t>
        </is>
      </c>
      <c r="M12274" t="inlineStr">
        <is>
          <t>-780Q1</t>
        </is>
      </c>
    </row>
    <row r="12275">
      <c r="A12275">
        <v>12274</v>
      </c>
      <c r="B12275">
        <f>GS92</f>
        <v>0</v>
      </c>
      <c r="C12275" t="inlineStr">
        <is>
          <t>+LS14</t>
        </is>
      </c>
      <c r="D12275" t="inlineStr">
        <is>
          <t>-780Q1</t>
        </is>
      </c>
      <c r="E12275" t="inlineStr">
        <is>
          <t>DILMC25-10(RDC24)</t>
        </is>
      </c>
      <c r="F12275" t="inlineStr">
        <is>
          <t>DILA-XHIC31</t>
        </is>
      </c>
      <c r="G12275" t="inlineStr">
        <is>
          <t>LASTSCHUETZ</t>
        </is>
      </c>
      <c r="H12275" t="inlineStr">
        <is>
          <t>11kW 1S Federzugkl.</t>
        </is>
      </c>
      <c r="I12275">
        <v>907</v>
      </c>
      <c r="J12275">
        <f>GS92/780.4</f>
        <v>0</v>
      </c>
      <c r="K12275" t="inlineStr">
        <is>
          <t>DIL MC25</t>
        </is>
      </c>
      <c r="M12275" t="inlineStr">
        <is>
          <t>-780Q1</t>
        </is>
      </c>
    </row>
    <row r="12276">
      <c r="A12276">
        <v>12275</v>
      </c>
      <c r="B12276">
        <f>GS06</f>
        <v>0</v>
      </c>
      <c r="C12276" t="inlineStr">
        <is>
          <t>+LS12</t>
        </is>
      </c>
      <c r="D12276" t="inlineStr">
        <is>
          <t>-780Q706.3</t>
        </is>
      </c>
      <c r="E12276" t="inlineStr">
        <is>
          <t>DILM-9-10</t>
        </is>
      </c>
      <c r="F12276" t="inlineStr">
        <is>
          <t>#KALK!</t>
        </is>
      </c>
      <c r="G12276" t="inlineStr">
        <is>
          <t>LASTSCHUETZ</t>
        </is>
      </c>
      <c r="H12276" t="inlineStr">
        <is>
          <t>4kW 1S Federzugkl.</t>
        </is>
      </c>
      <c r="I12276">
        <v>1086</v>
      </c>
      <c r="J12276">
        <f>GS06/780.6</f>
        <v>0</v>
      </c>
      <c r="K12276" t="inlineStr">
        <is>
          <t>DIL MC9</t>
        </is>
      </c>
      <c r="M12276" t="inlineStr">
        <is>
          <t>-780Q706.3</t>
        </is>
      </c>
    </row>
    <row r="12277">
      <c r="A12277">
        <v>12276</v>
      </c>
      <c r="B12277">
        <f>GS06</f>
        <v>0</v>
      </c>
      <c r="C12277" t="inlineStr">
        <is>
          <t>+LS12</t>
        </is>
      </c>
      <c r="D12277" t="inlineStr">
        <is>
          <t>-785Q706.4</t>
        </is>
      </c>
      <c r="E12277" t="inlineStr">
        <is>
          <t>DILM-9-10</t>
        </is>
      </c>
      <c r="F12277" t="inlineStr">
        <is>
          <t>#KALK!</t>
        </is>
      </c>
      <c r="G12277" t="inlineStr">
        <is>
          <t>LASTSCHUETZ</t>
        </is>
      </c>
      <c r="H12277" t="inlineStr">
        <is>
          <t>4kW 1S Federzugkl.</t>
        </is>
      </c>
      <c r="I12277">
        <v>1140</v>
      </c>
      <c r="J12277">
        <f>GS06/785.6</f>
        <v>0</v>
      </c>
      <c r="K12277" t="inlineStr">
        <is>
          <t>DIL MC9</t>
        </is>
      </c>
      <c r="M12277" t="inlineStr">
        <is>
          <t>-785Q706.4</t>
        </is>
      </c>
    </row>
    <row r="12278">
      <c r="A12278">
        <v>12277</v>
      </c>
      <c r="B12278">
        <f>GS92</f>
        <v>0</v>
      </c>
      <c r="C12278" t="inlineStr">
        <is>
          <t>+LS14</t>
        </is>
      </c>
      <c r="D12278" t="inlineStr">
        <is>
          <t>-786Q1078.2</t>
        </is>
      </c>
      <c r="E12278" t="inlineStr">
        <is>
          <t>DILM-9-10</t>
        </is>
      </c>
      <c r="F12278" t="inlineStr">
        <is>
          <t>#KALK!</t>
        </is>
      </c>
      <c r="G12278" t="inlineStr">
        <is>
          <t>LASTSCHUETZ</t>
        </is>
      </c>
      <c r="H12278" t="inlineStr">
        <is>
          <t>4kW 1S Federzugkl.</t>
        </is>
      </c>
      <c r="I12278">
        <v>913</v>
      </c>
      <c r="J12278">
        <f>GS92/786.5</f>
        <v>0</v>
      </c>
      <c r="M12278" t="inlineStr">
        <is>
          <t>-786Q1078.2</t>
        </is>
      </c>
    </row>
    <row r="12279">
      <c r="A12279">
        <v>12278</v>
      </c>
      <c r="B12279">
        <f>GS92</f>
        <v>0</v>
      </c>
      <c r="C12279" t="inlineStr">
        <is>
          <t>+LS14</t>
        </is>
      </c>
      <c r="D12279" t="inlineStr">
        <is>
          <t>-787Q1078.3</t>
        </is>
      </c>
      <c r="E12279" t="inlineStr">
        <is>
          <t>DILM-9-10</t>
        </is>
      </c>
      <c r="F12279" t="inlineStr">
        <is>
          <t>#KALK!</t>
        </is>
      </c>
      <c r="G12279" t="inlineStr">
        <is>
          <t>LASTSCHUETZ</t>
        </is>
      </c>
      <c r="H12279" t="inlineStr">
        <is>
          <t>4kW 1S Federzugkl.</t>
        </is>
      </c>
      <c r="I12279">
        <v>914</v>
      </c>
      <c r="J12279">
        <f>GS92/787.5</f>
        <v>0</v>
      </c>
      <c r="M12279" t="inlineStr">
        <is>
          <t>-787Q1078.3</t>
        </is>
      </c>
    </row>
    <row r="12280">
      <c r="A12280">
        <v>12279</v>
      </c>
      <c r="B12280">
        <f>GS92</f>
        <v>0</v>
      </c>
      <c r="C12280" t="inlineStr">
        <is>
          <t>+LS14</t>
        </is>
      </c>
      <c r="D12280" t="inlineStr">
        <is>
          <t>-788Q1078.4</t>
        </is>
      </c>
      <c r="E12280" t="inlineStr">
        <is>
          <t>DILM-9-10</t>
        </is>
      </c>
      <c r="F12280" t="inlineStr">
        <is>
          <t>#KALK!</t>
        </is>
      </c>
      <c r="G12280" t="inlineStr">
        <is>
          <t>LASTSCHUETZ</t>
        </is>
      </c>
      <c r="H12280" t="inlineStr">
        <is>
          <t>4kW 1S Federzugkl.</t>
        </is>
      </c>
      <c r="I12280">
        <v>915</v>
      </c>
      <c r="J12280">
        <f>GS92/788.5</f>
        <v>0</v>
      </c>
      <c r="M12280" t="inlineStr">
        <is>
          <t>-788Q1078.4</t>
        </is>
      </c>
    </row>
    <row r="12281">
      <c r="A12281">
        <v>12280</v>
      </c>
      <c r="B12281">
        <f>GS92</f>
        <v>0</v>
      </c>
      <c r="C12281" t="inlineStr">
        <is>
          <t>+LS14</t>
        </is>
      </c>
      <c r="D12281" t="inlineStr">
        <is>
          <t>-789Q1078.5</t>
        </is>
      </c>
      <c r="E12281" t="inlineStr">
        <is>
          <t>DILM-9-10</t>
        </is>
      </c>
      <c r="F12281" t="inlineStr">
        <is>
          <t>#KALK!</t>
        </is>
      </c>
      <c r="G12281" t="inlineStr">
        <is>
          <t>LASTSCHUETZ</t>
        </is>
      </c>
      <c r="H12281" t="inlineStr">
        <is>
          <t>4kW 1S Federzugkl.</t>
        </is>
      </c>
      <c r="I12281">
        <v>916</v>
      </c>
      <c r="J12281">
        <f>GS92/789.5</f>
        <v>0</v>
      </c>
      <c r="M12281" t="inlineStr">
        <is>
          <t>-789Q1078.5</t>
        </is>
      </c>
    </row>
    <row r="12282">
      <c r="A12282">
        <v>12281</v>
      </c>
      <c r="B12282">
        <f>GS05</f>
        <v>0</v>
      </c>
      <c r="C12282" t="inlineStr">
        <is>
          <t>+LS13</t>
        </is>
      </c>
      <c r="D12282" t="inlineStr">
        <is>
          <t>-790Q1</t>
        </is>
      </c>
      <c r="E12282" t="inlineStr">
        <is>
          <t>DILA-XHI22</t>
        </is>
      </c>
      <c r="F12282" t="inlineStr">
        <is>
          <t>DILA-XHI22</t>
        </is>
      </c>
      <c r="G12282" t="inlineStr">
        <is>
          <t>HILFSKONTAKTBLOCK</t>
        </is>
      </c>
      <c r="H12282" t="inlineStr">
        <is>
          <t>2S 2OE Last+Hilfssch. Cage</t>
        </is>
      </c>
      <c r="I12282">
        <v>2811</v>
      </c>
      <c r="J12282">
        <f>GS05/790.6</f>
        <v>0</v>
      </c>
      <c r="K12282" t="inlineStr">
        <is>
          <t>DIL MC25</t>
        </is>
      </c>
      <c r="M12282" t="inlineStr">
        <is>
          <t>-790Q1</t>
        </is>
      </c>
    </row>
    <row r="12283">
      <c r="A12283">
        <v>12282</v>
      </c>
      <c r="B12283">
        <f>GS05</f>
        <v>0</v>
      </c>
      <c r="C12283" t="inlineStr">
        <is>
          <t>+LS13</t>
        </is>
      </c>
      <c r="D12283" t="inlineStr">
        <is>
          <t>-790Q1</t>
        </is>
      </c>
      <c r="E12283" t="inlineStr">
        <is>
          <t>DILMC25-10(RDC24)</t>
        </is>
      </c>
      <c r="F12283" t="inlineStr">
        <is>
          <t>DILA-XHI22</t>
        </is>
      </c>
      <c r="G12283" t="inlineStr">
        <is>
          <t>LASTSCHUETZ</t>
        </is>
      </c>
      <c r="H12283" t="inlineStr">
        <is>
          <t>11kW 1S Federzugkl.</t>
        </is>
      </c>
      <c r="I12283">
        <v>2811</v>
      </c>
      <c r="J12283">
        <f>GS05/790.6</f>
        <v>0</v>
      </c>
      <c r="K12283" t="inlineStr">
        <is>
          <t>DIL MC25</t>
        </is>
      </c>
      <c r="M12283" t="inlineStr">
        <is>
          <t>-790Q1</t>
        </is>
      </c>
    </row>
    <row r="12284">
      <c r="A12284">
        <v>12283</v>
      </c>
      <c r="B12284">
        <f>GS92</f>
        <v>0</v>
      </c>
      <c r="C12284" t="inlineStr">
        <is>
          <t>+LS14</t>
        </is>
      </c>
      <c r="D12284" t="inlineStr">
        <is>
          <t>-790Q1078.6</t>
        </is>
      </c>
      <c r="E12284" t="inlineStr">
        <is>
          <t>DILM-9-10</t>
        </is>
      </c>
      <c r="F12284" t="inlineStr">
        <is>
          <t>#KALK!</t>
        </is>
      </c>
      <c r="G12284" t="inlineStr">
        <is>
          <t>LASTSCHUETZ</t>
        </is>
      </c>
      <c r="H12284" t="inlineStr">
        <is>
          <t>4kW 1S Federzugkl.</t>
        </is>
      </c>
      <c r="I12284">
        <v>917</v>
      </c>
      <c r="J12284">
        <f>GS92/790.5</f>
        <v>0</v>
      </c>
      <c r="M12284" t="inlineStr">
        <is>
          <t>-790Q1078.6</t>
        </is>
      </c>
    </row>
    <row r="12285">
      <c r="A12285">
        <v>12284</v>
      </c>
      <c r="B12285">
        <f>GC22</f>
        <v>0</v>
      </c>
      <c r="C12285" t="inlineStr">
        <is>
          <t>+LS8</t>
        </is>
      </c>
      <c r="D12285" t="inlineStr">
        <is>
          <t>-792K1</t>
        </is>
      </c>
      <c r="E12285" t="inlineStr">
        <is>
          <t>DILA-XHI22</t>
        </is>
      </c>
      <c r="F12285" t="inlineStr">
        <is>
          <t>DILA-XHI22</t>
        </is>
      </c>
      <c r="G12285" t="inlineStr">
        <is>
          <t>HILFSKONTAKTBLOCK</t>
        </is>
      </c>
      <c r="H12285" t="inlineStr">
        <is>
          <t>2S 2OE Last+Hilfssch. Cage</t>
        </is>
      </c>
      <c r="I12285">
        <v>3500</v>
      </c>
      <c r="J12285">
        <f>GC22/792.2</f>
        <v>0</v>
      </c>
      <c r="K12285" t="inlineStr">
        <is>
          <t>DIL MC 25</t>
        </is>
      </c>
      <c r="M12285" t="inlineStr">
        <is>
          <t>-792K1</t>
        </is>
      </c>
    </row>
    <row r="12286">
      <c r="A12286">
        <v>12285</v>
      </c>
      <c r="B12286">
        <f>GC22</f>
        <v>0</v>
      </c>
      <c r="C12286" t="inlineStr">
        <is>
          <t>+LS8</t>
        </is>
      </c>
      <c r="D12286" t="inlineStr">
        <is>
          <t>-792K1</t>
        </is>
      </c>
      <c r="E12286" t="inlineStr">
        <is>
          <t>DILMC25-10230V50HZ</t>
        </is>
      </c>
      <c r="F12286" t="inlineStr">
        <is>
          <t>DILA-XHI22</t>
        </is>
      </c>
      <c r="G12286" t="inlineStr">
        <is>
          <t>LASTSCHUETZ</t>
        </is>
      </c>
      <c r="H12286" t="inlineStr">
        <is>
          <t>11kW 1S Federzugkl.</t>
        </is>
      </c>
      <c r="I12286">
        <v>3500</v>
      </c>
      <c r="J12286">
        <f>GC22/792.2</f>
        <v>0</v>
      </c>
      <c r="K12286" t="inlineStr">
        <is>
          <t>DIL MC 25</t>
        </is>
      </c>
      <c r="M12286" t="inlineStr">
        <is>
          <t>-792K1</t>
        </is>
      </c>
    </row>
    <row r="12287">
      <c r="A12287">
        <v>12286</v>
      </c>
      <c r="B12287">
        <f>GS12</f>
        <v>0</v>
      </c>
      <c r="C12287" t="inlineStr">
        <is>
          <t>+LS8</t>
        </is>
      </c>
      <c r="D12287" t="inlineStr">
        <is>
          <t>-792K1</t>
        </is>
      </c>
      <c r="E12287" t="inlineStr">
        <is>
          <t>DILMC25-10230V50HZ</t>
        </is>
      </c>
      <c r="F12287" t="inlineStr">
        <is>
          <t>DILA-XHI22</t>
        </is>
      </c>
      <c r="G12287" t="inlineStr">
        <is>
          <t>LASTSCHUETZ</t>
        </is>
      </c>
      <c r="H12287" t="inlineStr">
        <is>
          <t>11kW 1S Federzugkl.</t>
        </is>
      </c>
      <c r="I12287">
        <v>1134</v>
      </c>
      <c r="J12287">
        <f>GS12/792.2</f>
        <v>0</v>
      </c>
      <c r="K12287" t="inlineStr">
        <is>
          <t>DIL MC 25</t>
        </is>
      </c>
      <c r="M12287" t="inlineStr">
        <is>
          <t>-792K1</t>
        </is>
      </c>
    </row>
    <row r="12288">
      <c r="A12288">
        <v>12287</v>
      </c>
      <c r="B12288">
        <f>GS12</f>
        <v>0</v>
      </c>
      <c r="C12288" t="inlineStr">
        <is>
          <t>+LS8</t>
        </is>
      </c>
      <c r="D12288" t="inlineStr">
        <is>
          <t>-792K1</t>
        </is>
      </c>
      <c r="E12288" t="inlineStr">
        <is>
          <t>DILA-XHI22</t>
        </is>
      </c>
      <c r="F12288" t="inlineStr">
        <is>
          <t>DILA-XHI22</t>
        </is>
      </c>
      <c r="G12288" t="inlineStr">
        <is>
          <t>HILFSKONTAKTBLOCK</t>
        </is>
      </c>
      <c r="H12288" t="inlineStr">
        <is>
          <t>2S 2OE Last+Hilfssch. Cage</t>
        </is>
      </c>
      <c r="I12288">
        <v>1134</v>
      </c>
      <c r="J12288">
        <f>GS12/792.2</f>
        <v>0</v>
      </c>
      <c r="K12288" t="inlineStr">
        <is>
          <t>DIL MC 25</t>
        </is>
      </c>
      <c r="M12288" t="inlineStr">
        <is>
          <t>-792K1</t>
        </is>
      </c>
    </row>
    <row r="12289">
      <c r="A12289">
        <v>12288</v>
      </c>
      <c r="B12289">
        <f>GS92</f>
        <v>0</v>
      </c>
      <c r="C12289" t="inlineStr">
        <is>
          <t>+LS14</t>
        </is>
      </c>
      <c r="D12289" t="inlineStr">
        <is>
          <t>-792K1077.5</t>
        </is>
      </c>
      <c r="E12289" t="inlineStr">
        <is>
          <t>DILA-22</t>
        </is>
      </c>
      <c r="F12289" t="inlineStr">
        <is>
          <t>#KALK!</t>
        </is>
      </c>
      <c r="G12289" t="inlineStr">
        <is>
          <t>HILFSSCHUETZ</t>
        </is>
      </c>
      <c r="H12289" t="inlineStr">
        <is>
          <t>2S 2Oe Federzugkl.</t>
        </is>
      </c>
      <c r="I12289">
        <v>919</v>
      </c>
      <c r="J12289">
        <f>GS92/792.6</f>
        <v>0</v>
      </c>
      <c r="M12289" t="inlineStr">
        <is>
          <t>-792K1077.5</t>
        </is>
      </c>
    </row>
    <row r="12290">
      <c r="A12290">
        <v>12289</v>
      </c>
      <c r="B12290">
        <f>GS92</f>
        <v>0</v>
      </c>
      <c r="C12290" t="inlineStr">
        <is>
          <t>+LS14</t>
        </is>
      </c>
      <c r="D12290" t="inlineStr">
        <is>
          <t>-792Q1</t>
        </is>
      </c>
      <c r="E12290" t="inlineStr">
        <is>
          <t>DILA-XHIC31</t>
        </is>
      </c>
      <c r="F12290" t="inlineStr">
        <is>
          <t>DILA-XHIC31</t>
        </is>
      </c>
      <c r="G12290" t="inlineStr">
        <is>
          <t>HILFSKONTAKTBLOCK</t>
        </is>
      </c>
      <c r="H12290" t="inlineStr">
        <is>
          <t>3S 1OE Last+Hilfssch. Cage</t>
        </is>
      </c>
      <c r="I12290">
        <v>919</v>
      </c>
      <c r="J12290">
        <f>GS92/792.2</f>
        <v>0</v>
      </c>
      <c r="M12290" t="inlineStr">
        <is>
          <t>-792Q1</t>
        </is>
      </c>
    </row>
    <row r="12291">
      <c r="A12291">
        <v>12290</v>
      </c>
      <c r="B12291">
        <f>GS92</f>
        <v>0</v>
      </c>
      <c r="C12291" t="inlineStr">
        <is>
          <t>+LS14</t>
        </is>
      </c>
      <c r="D12291" t="inlineStr">
        <is>
          <t>-792Q1</t>
        </is>
      </c>
      <c r="E12291" t="inlineStr">
        <is>
          <t>DILMC25-10(RDC24)</t>
        </is>
      </c>
      <c r="F12291" t="inlineStr">
        <is>
          <t>DILA-XHIC31</t>
        </is>
      </c>
      <c r="G12291" t="inlineStr">
        <is>
          <t>LASTSCHUETZ</t>
        </is>
      </c>
      <c r="H12291" t="inlineStr">
        <is>
          <t>11kW 1S Federzugkl.</t>
        </is>
      </c>
      <c r="I12291">
        <v>919</v>
      </c>
      <c r="J12291">
        <f>GS92/792.2</f>
        <v>0</v>
      </c>
      <c r="M12291" t="inlineStr">
        <is>
          <t>-792Q1</t>
        </is>
      </c>
    </row>
    <row r="12292">
      <c r="A12292">
        <v>12291</v>
      </c>
      <c r="B12292">
        <f>GC22</f>
        <v>0</v>
      </c>
      <c r="C12292" t="inlineStr">
        <is>
          <t>+LS8</t>
        </is>
      </c>
      <c r="D12292" t="inlineStr">
        <is>
          <t>-794K3518.3</t>
        </is>
      </c>
      <c r="E12292" t="inlineStr">
        <is>
          <t>DILM-9-10</t>
        </is>
      </c>
      <c r="F12292" t="inlineStr">
        <is>
          <t>#KALK!</t>
        </is>
      </c>
      <c r="G12292" t="inlineStr">
        <is>
          <t>LASTSCHUETZ</t>
        </is>
      </c>
      <c r="H12292" t="inlineStr">
        <is>
          <t>4kW 1S Federzugkl.</t>
        </is>
      </c>
      <c r="I12292">
        <v>3130</v>
      </c>
      <c r="J12292">
        <f>GC22/794.8</f>
        <v>0</v>
      </c>
      <c r="M12292" t="inlineStr">
        <is>
          <t>-794K3518.3</t>
        </is>
      </c>
    </row>
    <row r="12293">
      <c r="A12293">
        <v>12292</v>
      </c>
      <c r="B12293">
        <f>GS12</f>
        <v>0</v>
      </c>
      <c r="C12293" t="inlineStr">
        <is>
          <t>+LS8</t>
        </is>
      </c>
      <c r="D12293" t="inlineStr">
        <is>
          <t>-794K3518.3</t>
        </is>
      </c>
      <c r="E12293" t="inlineStr">
        <is>
          <t>DILM-9-10</t>
        </is>
      </c>
      <c r="F12293" t="inlineStr">
        <is>
          <t>#KALK!</t>
        </is>
      </c>
      <c r="G12293" t="inlineStr">
        <is>
          <t>LASTSCHUETZ</t>
        </is>
      </c>
      <c r="H12293" t="inlineStr">
        <is>
          <t>4kW 1S Federzugkl.</t>
        </is>
      </c>
      <c r="I12293">
        <v>1216</v>
      </c>
      <c r="J12293">
        <f>GS12/794.8</f>
        <v>0</v>
      </c>
      <c r="M12293" t="inlineStr">
        <is>
          <t>-794K3518.3</t>
        </is>
      </c>
    </row>
    <row r="12294">
      <c r="A12294">
        <v>12293</v>
      </c>
      <c r="B12294">
        <f>GS93</f>
        <v>0</v>
      </c>
      <c r="C12294" t="inlineStr">
        <is>
          <t>+LS16</t>
        </is>
      </c>
      <c r="D12294" t="inlineStr">
        <is>
          <t>-795K1059.4</t>
        </is>
      </c>
      <c r="E12294" t="inlineStr">
        <is>
          <t>DILA-40</t>
        </is>
      </c>
      <c r="F12294" t="inlineStr">
        <is>
          <t>#KALK!</t>
        </is>
      </c>
      <c r="G12294" t="inlineStr">
        <is>
          <t>HILFSSCHUETZ</t>
        </is>
      </c>
      <c r="H12294" t="inlineStr">
        <is>
          <t>4S Federzugkl.</t>
        </is>
      </c>
      <c r="I12294">
        <v>1325</v>
      </c>
      <c r="J12294">
        <f>GS93/795.7</f>
        <v>0</v>
      </c>
      <c r="M12294" t="inlineStr">
        <is>
          <t>-795K1059.4</t>
        </is>
      </c>
    </row>
    <row r="12295">
      <c r="A12295">
        <v>12294</v>
      </c>
      <c r="B12295">
        <f>GC22</f>
        <v>0</v>
      </c>
      <c r="C12295" t="inlineStr">
        <is>
          <t>+LS8</t>
        </is>
      </c>
      <c r="D12295" t="inlineStr">
        <is>
          <t>-795K3518.4</t>
        </is>
      </c>
      <c r="E12295" t="inlineStr">
        <is>
          <t>DILM-9-01</t>
        </is>
      </c>
      <c r="F12295" t="inlineStr">
        <is>
          <t>#KALK!</t>
        </is>
      </c>
      <c r="G12295" t="inlineStr">
        <is>
          <t>LASTSCHUETZ</t>
        </is>
      </c>
      <c r="H12295" t="inlineStr">
        <is>
          <t>4kW 1Oe Federzugkl.</t>
        </is>
      </c>
      <c r="I12295">
        <v>2685</v>
      </c>
      <c r="J12295">
        <f>GC22/795.6</f>
        <v>0</v>
      </c>
      <c r="M12295" t="inlineStr">
        <is>
          <t>-795K3518.4</t>
        </is>
      </c>
    </row>
    <row r="12296">
      <c r="A12296">
        <v>12295</v>
      </c>
      <c r="B12296">
        <f>GS12</f>
        <v>0</v>
      </c>
      <c r="C12296" t="inlineStr">
        <is>
          <t>+LS8</t>
        </is>
      </c>
      <c r="D12296" t="inlineStr">
        <is>
          <t>-795K3518.4</t>
        </is>
      </c>
      <c r="E12296" t="inlineStr">
        <is>
          <t>DILM-9-01</t>
        </is>
      </c>
      <c r="F12296" t="inlineStr">
        <is>
          <t>#KALK!</t>
        </is>
      </c>
      <c r="G12296" t="inlineStr">
        <is>
          <t>LASTSCHUETZ</t>
        </is>
      </c>
      <c r="H12296" t="inlineStr">
        <is>
          <t>4kW 1Oe Federzugkl.</t>
        </is>
      </c>
      <c r="I12296">
        <v>1217</v>
      </c>
      <c r="J12296">
        <f>GS12/795.6</f>
        <v>0</v>
      </c>
      <c r="M12296" t="inlineStr">
        <is>
          <t>-795K3518.4</t>
        </is>
      </c>
    </row>
    <row r="12297">
      <c r="A12297">
        <v>12296</v>
      </c>
      <c r="B12297">
        <f>GC22</f>
        <v>0</v>
      </c>
      <c r="C12297" t="inlineStr">
        <is>
          <t>+LS8</t>
        </is>
      </c>
      <c r="D12297" t="inlineStr">
        <is>
          <t>-795K3518.5</t>
        </is>
      </c>
      <c r="E12297" t="inlineStr">
        <is>
          <t>DILM-9-10</t>
        </is>
      </c>
      <c r="F12297" t="inlineStr">
        <is>
          <t>#KALK!</t>
        </is>
      </c>
      <c r="G12297" t="inlineStr">
        <is>
          <t>LASTSCHUETZ</t>
        </is>
      </c>
      <c r="H12297" t="inlineStr">
        <is>
          <t>4kW 1S Federzugkl.</t>
        </is>
      </c>
      <c r="I12297">
        <v>2685</v>
      </c>
      <c r="J12297">
        <f>GC22/795.7</f>
        <v>0</v>
      </c>
      <c r="M12297" t="inlineStr">
        <is>
          <t>-795K3518.5</t>
        </is>
      </c>
    </row>
    <row r="12298">
      <c r="A12298">
        <v>12297</v>
      </c>
      <c r="B12298">
        <f>GS12</f>
        <v>0</v>
      </c>
      <c r="C12298" t="inlineStr">
        <is>
          <t>+LS8</t>
        </is>
      </c>
      <c r="D12298" t="inlineStr">
        <is>
          <t>-795K3518.5</t>
        </is>
      </c>
      <c r="E12298" t="inlineStr">
        <is>
          <t>DILM-9-10</t>
        </is>
      </c>
      <c r="F12298" t="inlineStr">
        <is>
          <t>#KALK!</t>
        </is>
      </c>
      <c r="G12298" t="inlineStr">
        <is>
          <t>LASTSCHUETZ</t>
        </is>
      </c>
      <c r="H12298" t="inlineStr">
        <is>
          <t>4kW 1S Federzugkl.</t>
        </is>
      </c>
      <c r="I12298">
        <v>1217</v>
      </c>
      <c r="J12298">
        <f>GS12/795.7</f>
        <v>0</v>
      </c>
      <c r="M12298" t="inlineStr">
        <is>
          <t>-795K3518.5</t>
        </is>
      </c>
    </row>
    <row r="12299">
      <c r="A12299">
        <v>12298</v>
      </c>
      <c r="B12299">
        <f>GC22</f>
        <v>0</v>
      </c>
      <c r="C12299" t="inlineStr">
        <is>
          <t>+LS8</t>
        </is>
      </c>
      <c r="D12299" t="inlineStr">
        <is>
          <t>-795K3520.6</t>
        </is>
      </c>
      <c r="E12299" t="inlineStr">
        <is>
          <t>DILM-9-01</t>
        </is>
      </c>
      <c r="F12299" t="inlineStr">
        <is>
          <t>#KALK!</t>
        </is>
      </c>
      <c r="G12299" t="inlineStr">
        <is>
          <t>LASTSCHUETZ</t>
        </is>
      </c>
      <c r="H12299" t="inlineStr">
        <is>
          <t>4kW 1Oe Federzugkl.</t>
        </is>
      </c>
      <c r="I12299">
        <v>2685</v>
      </c>
      <c r="J12299">
        <f>GC22/795.6</f>
        <v>0</v>
      </c>
      <c r="M12299" t="inlineStr">
        <is>
          <t>-795K3520.6</t>
        </is>
      </c>
    </row>
    <row r="12300">
      <c r="A12300">
        <v>12299</v>
      </c>
      <c r="B12300">
        <f>GS12</f>
        <v>0</v>
      </c>
      <c r="C12300" t="inlineStr">
        <is>
          <t>+LS8</t>
        </is>
      </c>
      <c r="D12300" t="inlineStr">
        <is>
          <t>-795K3520.6</t>
        </is>
      </c>
      <c r="E12300" t="inlineStr">
        <is>
          <t>DILM-9-01</t>
        </is>
      </c>
      <c r="F12300" t="inlineStr">
        <is>
          <t>#KALK!</t>
        </is>
      </c>
      <c r="G12300" t="inlineStr">
        <is>
          <t>LASTSCHUETZ</t>
        </is>
      </c>
      <c r="H12300" t="inlineStr">
        <is>
          <t>4kW 1Oe Federzugkl.</t>
        </is>
      </c>
      <c r="I12300">
        <v>1217</v>
      </c>
      <c r="J12300">
        <f>GS12/795.6</f>
        <v>0</v>
      </c>
      <c r="M12300" t="inlineStr">
        <is>
          <t>-795K3520.6</t>
        </is>
      </c>
    </row>
    <row r="12301">
      <c r="A12301">
        <v>12300</v>
      </c>
      <c r="B12301">
        <f>GS08</f>
        <v>0</v>
      </c>
      <c r="C12301" t="inlineStr">
        <is>
          <t>+LS13</t>
        </is>
      </c>
      <c r="D12301" t="inlineStr">
        <is>
          <t>-795Q1</t>
        </is>
      </c>
      <c r="E12301" t="inlineStr">
        <is>
          <t>DILA-XHI22</t>
        </is>
      </c>
      <c r="F12301" t="inlineStr">
        <is>
          <t>DILA-XHI22</t>
        </is>
      </c>
      <c r="G12301" t="inlineStr">
        <is>
          <t>HILFSKONTAKTBLOCK</t>
        </is>
      </c>
      <c r="H12301" t="inlineStr">
        <is>
          <t>2S 2OE Last+Hilfssch. Cage</t>
        </is>
      </c>
      <c r="I12301">
        <v>1337</v>
      </c>
      <c r="J12301">
        <f>GS08/795.6</f>
        <v>0</v>
      </c>
      <c r="K12301" t="inlineStr">
        <is>
          <t>DIL MC25</t>
        </is>
      </c>
      <c r="M12301" t="inlineStr">
        <is>
          <t>-795Q1</t>
        </is>
      </c>
    </row>
    <row r="12302">
      <c r="A12302">
        <v>12301</v>
      </c>
      <c r="B12302">
        <f>GS08</f>
        <v>0</v>
      </c>
      <c r="C12302" t="inlineStr">
        <is>
          <t>+LS13</t>
        </is>
      </c>
      <c r="D12302" t="inlineStr">
        <is>
          <t>-795Q1</t>
        </is>
      </c>
      <c r="E12302" t="inlineStr">
        <is>
          <t>DILMC25-10(RDC24)</t>
        </is>
      </c>
      <c r="F12302" t="inlineStr">
        <is>
          <t>DILA-XHI22</t>
        </is>
      </c>
      <c r="G12302" t="inlineStr">
        <is>
          <t>LASTSCHUETZ</t>
        </is>
      </c>
      <c r="H12302" t="inlineStr">
        <is>
          <t>11kW 1S Federzugkl.</t>
        </is>
      </c>
      <c r="I12302">
        <v>1337</v>
      </c>
      <c r="J12302">
        <f>GS08/795.6</f>
        <v>0</v>
      </c>
      <c r="K12302" t="inlineStr">
        <is>
          <t>DIL MC25</t>
        </is>
      </c>
      <c r="M12302" t="inlineStr">
        <is>
          <t>-795Q1</t>
        </is>
      </c>
    </row>
    <row r="12303">
      <c r="A12303">
        <v>12302</v>
      </c>
      <c r="B12303">
        <f>GS55</f>
        <v>0</v>
      </c>
      <c r="C12303" t="inlineStr">
        <is>
          <t>+LS13</t>
        </is>
      </c>
      <c r="D12303" t="inlineStr">
        <is>
          <t>-795Q1</t>
        </is>
      </c>
      <c r="E12303" t="inlineStr">
        <is>
          <t>DILA-XHI22</t>
        </is>
      </c>
      <c r="F12303" t="inlineStr">
        <is>
          <t>DILA-XHI22</t>
        </is>
      </c>
      <c r="G12303" t="inlineStr">
        <is>
          <t>HILFSKONTAKTBLOCK</t>
        </is>
      </c>
      <c r="H12303" t="inlineStr">
        <is>
          <t>2S 2OE Last+Hilfssch. Cage</t>
        </is>
      </c>
      <c r="I12303">
        <v>1046</v>
      </c>
      <c r="J12303">
        <f>GS55/795.6</f>
        <v>0</v>
      </c>
      <c r="K12303" t="inlineStr">
        <is>
          <t>DIL MC25</t>
        </is>
      </c>
      <c r="M12303" t="inlineStr">
        <is>
          <t>-795Q1</t>
        </is>
      </c>
    </row>
    <row r="12304">
      <c r="A12304">
        <v>12303</v>
      </c>
      <c r="B12304">
        <f>GS55</f>
        <v>0</v>
      </c>
      <c r="C12304" t="inlineStr">
        <is>
          <t>+LS13</t>
        </is>
      </c>
      <c r="D12304" t="inlineStr">
        <is>
          <t>-795Q1</t>
        </is>
      </c>
      <c r="E12304" t="inlineStr">
        <is>
          <t>DILMC25-10(RDC24)</t>
        </is>
      </c>
      <c r="F12304" t="inlineStr">
        <is>
          <t>DILA-XHI22</t>
        </is>
      </c>
      <c r="G12304" t="inlineStr">
        <is>
          <t>LASTSCHUETZ</t>
        </is>
      </c>
      <c r="H12304" t="inlineStr">
        <is>
          <t>11kW 1S Federzugkl.</t>
        </is>
      </c>
      <c r="I12304">
        <v>1046</v>
      </c>
      <c r="J12304">
        <f>GS55/795.6</f>
        <v>0</v>
      </c>
      <c r="K12304" t="inlineStr">
        <is>
          <t>DIL MC25</t>
        </is>
      </c>
      <c r="M12304" t="inlineStr">
        <is>
          <t>-795Q1</t>
        </is>
      </c>
    </row>
    <row r="12305">
      <c r="A12305">
        <v>12304</v>
      </c>
      <c r="B12305">
        <f>GS93</f>
        <v>0</v>
      </c>
      <c r="C12305" t="inlineStr">
        <is>
          <t>+LS16</t>
        </is>
      </c>
      <c r="D12305" t="inlineStr">
        <is>
          <t>-795Q1</t>
        </is>
      </c>
      <c r="E12305" t="inlineStr">
        <is>
          <t>DILMC25-10(RDC24)</t>
        </is>
      </c>
      <c r="F12305" t="inlineStr">
        <is>
          <t>DILA-XHIC31</t>
        </is>
      </c>
      <c r="G12305" t="inlineStr">
        <is>
          <t>LASTSCHUETZ</t>
        </is>
      </c>
      <c r="H12305" t="inlineStr">
        <is>
          <t>11kW 1S Federzugkl.</t>
        </is>
      </c>
      <c r="I12305">
        <v>1325</v>
      </c>
      <c r="J12305">
        <f>GS93/795.4</f>
        <v>0</v>
      </c>
      <c r="K12305" t="inlineStr">
        <is>
          <t>DIL MC25</t>
        </is>
      </c>
      <c r="M12305" t="inlineStr">
        <is>
          <t>-795Q1</t>
        </is>
      </c>
    </row>
    <row r="12306">
      <c r="A12306">
        <v>12305</v>
      </c>
      <c r="B12306">
        <f>GS93</f>
        <v>0</v>
      </c>
      <c r="C12306" t="inlineStr">
        <is>
          <t>+LS16</t>
        </is>
      </c>
      <c r="D12306" t="inlineStr">
        <is>
          <t>-795Q1</t>
        </is>
      </c>
      <c r="E12306" t="inlineStr">
        <is>
          <t>DILA-XHIC31</t>
        </is>
      </c>
      <c r="F12306" t="inlineStr">
        <is>
          <t>DILA-XHIC31</t>
        </is>
      </c>
      <c r="G12306" t="inlineStr">
        <is>
          <t>HILFSKONTAKTBLOCK</t>
        </is>
      </c>
      <c r="H12306" t="inlineStr">
        <is>
          <t>3S 1OE Last+Hilfssch. Cage</t>
        </is>
      </c>
      <c r="I12306">
        <v>1325</v>
      </c>
      <c r="J12306">
        <f>GS93/795.4</f>
        <v>0</v>
      </c>
      <c r="K12306" t="inlineStr">
        <is>
          <t>DIL MC25</t>
        </is>
      </c>
      <c r="M12306" t="inlineStr">
        <is>
          <t>-795Q1</t>
        </is>
      </c>
    </row>
    <row r="12307">
      <c r="A12307">
        <v>12306</v>
      </c>
      <c r="B12307">
        <f>GC22</f>
        <v>0</v>
      </c>
      <c r="C12307" t="inlineStr">
        <is>
          <t>+LS8</t>
        </is>
      </c>
      <c r="D12307" t="inlineStr">
        <is>
          <t>-796K3519.3</t>
        </is>
      </c>
      <c r="E12307" t="inlineStr">
        <is>
          <t>DILM-9-10</t>
        </is>
      </c>
      <c r="F12307" t="inlineStr">
        <is>
          <t>#KALK!</t>
        </is>
      </c>
      <c r="G12307" t="inlineStr">
        <is>
          <t>LASTSCHUETZ</t>
        </is>
      </c>
      <c r="H12307" t="inlineStr">
        <is>
          <t>4kW 1S Federzugkl.</t>
        </is>
      </c>
      <c r="I12307">
        <v>2684</v>
      </c>
      <c r="J12307">
        <f>GC22/796.8</f>
        <v>0</v>
      </c>
      <c r="M12307" t="inlineStr">
        <is>
          <t>-796K3519.3</t>
        </is>
      </c>
    </row>
    <row r="12308">
      <c r="A12308">
        <v>12307</v>
      </c>
      <c r="B12308">
        <f>GS12</f>
        <v>0</v>
      </c>
      <c r="C12308" t="inlineStr">
        <is>
          <t>+LS8</t>
        </is>
      </c>
      <c r="D12308" t="inlineStr">
        <is>
          <t>-796K3519.3</t>
        </is>
      </c>
      <c r="E12308" t="inlineStr">
        <is>
          <t>DILM-9-10</t>
        </is>
      </c>
      <c r="F12308" t="inlineStr">
        <is>
          <t>#KALK!</t>
        </is>
      </c>
      <c r="G12308" t="inlineStr">
        <is>
          <t>LASTSCHUETZ</t>
        </is>
      </c>
      <c r="H12308" t="inlineStr">
        <is>
          <t>4kW 1S Federzugkl.</t>
        </is>
      </c>
      <c r="I12308">
        <v>1218</v>
      </c>
      <c r="J12308">
        <f>GS12/796.8</f>
        <v>0</v>
      </c>
      <c r="M12308" t="inlineStr">
        <is>
          <t>-796K3519.3</t>
        </is>
      </c>
    </row>
    <row r="12309">
      <c r="A12309">
        <v>12308</v>
      </c>
      <c r="B12309">
        <f>GC22</f>
        <v>0</v>
      </c>
      <c r="C12309" t="inlineStr">
        <is>
          <t>+LS8</t>
        </is>
      </c>
      <c r="D12309" t="inlineStr">
        <is>
          <t>-797K3519.4</t>
        </is>
      </c>
      <c r="E12309" t="inlineStr">
        <is>
          <t>DILM-9-01</t>
        </is>
      </c>
      <c r="F12309" t="inlineStr">
        <is>
          <t>#KALK!</t>
        </is>
      </c>
      <c r="G12309" t="inlineStr">
        <is>
          <t>LASTSCHUETZ</t>
        </is>
      </c>
      <c r="H12309" t="inlineStr">
        <is>
          <t>4kW 1Oe Federzugkl.</t>
        </is>
      </c>
      <c r="I12309">
        <v>584</v>
      </c>
      <c r="J12309">
        <f>GC22/797.6</f>
        <v>0</v>
      </c>
      <c r="M12309" t="inlineStr">
        <is>
          <t>-797K3519.4</t>
        </is>
      </c>
    </row>
    <row r="12310">
      <c r="A12310">
        <v>12309</v>
      </c>
      <c r="B12310">
        <f>GS12</f>
        <v>0</v>
      </c>
      <c r="C12310" t="inlineStr">
        <is>
          <t>+LS8</t>
        </is>
      </c>
      <c r="D12310" t="inlineStr">
        <is>
          <t>-797K3519.4</t>
        </is>
      </c>
      <c r="E12310" t="inlineStr">
        <is>
          <t>DILM-9-01</t>
        </is>
      </c>
      <c r="F12310" t="inlineStr">
        <is>
          <t>#KALK!</t>
        </is>
      </c>
      <c r="G12310" t="inlineStr">
        <is>
          <t>LASTSCHUETZ</t>
        </is>
      </c>
      <c r="H12310" t="inlineStr">
        <is>
          <t>4kW 1Oe Federzugkl.</t>
        </is>
      </c>
      <c r="I12310">
        <v>1219</v>
      </c>
      <c r="J12310">
        <f>GS12/797.6</f>
        <v>0</v>
      </c>
      <c r="M12310" t="inlineStr">
        <is>
          <t>-797K3519.4</t>
        </is>
      </c>
    </row>
    <row r="12311">
      <c r="A12311">
        <v>12310</v>
      </c>
      <c r="B12311">
        <f>GC22</f>
        <v>0</v>
      </c>
      <c r="C12311" t="inlineStr">
        <is>
          <t>+LS8</t>
        </is>
      </c>
      <c r="D12311" t="inlineStr">
        <is>
          <t>-797K3519.5</t>
        </is>
      </c>
      <c r="E12311" t="inlineStr">
        <is>
          <t>DILM-9-10</t>
        </is>
      </c>
      <c r="F12311" t="inlineStr">
        <is>
          <t>#KALK!</t>
        </is>
      </c>
      <c r="G12311" t="inlineStr">
        <is>
          <t>LASTSCHUETZ</t>
        </is>
      </c>
      <c r="H12311" t="inlineStr">
        <is>
          <t>4kW 1S Federzugkl.</t>
        </is>
      </c>
      <c r="I12311">
        <v>584</v>
      </c>
      <c r="J12311">
        <f>GC22/797.7</f>
        <v>0</v>
      </c>
      <c r="M12311" t="inlineStr">
        <is>
          <t>-797K3519.5</t>
        </is>
      </c>
    </row>
    <row r="12312">
      <c r="A12312">
        <v>12311</v>
      </c>
      <c r="B12312">
        <f>GS12</f>
        <v>0</v>
      </c>
      <c r="C12312" t="inlineStr">
        <is>
          <t>+LS8</t>
        </is>
      </c>
      <c r="D12312" t="inlineStr">
        <is>
          <t>-797K3519.5</t>
        </is>
      </c>
      <c r="E12312" t="inlineStr">
        <is>
          <t>DILM-9-10</t>
        </is>
      </c>
      <c r="F12312" t="inlineStr">
        <is>
          <t>#KALK!</t>
        </is>
      </c>
      <c r="G12312" t="inlineStr">
        <is>
          <t>LASTSCHUETZ</t>
        </is>
      </c>
      <c r="H12312" t="inlineStr">
        <is>
          <t>4kW 1S Federzugkl.</t>
        </is>
      </c>
      <c r="I12312">
        <v>1219</v>
      </c>
      <c r="J12312">
        <f>GS12/797.7</f>
        <v>0</v>
      </c>
      <c r="M12312" t="inlineStr">
        <is>
          <t>-797K3519.5</t>
        </is>
      </c>
    </row>
    <row r="12313">
      <c r="A12313">
        <v>12312</v>
      </c>
      <c r="B12313">
        <f>GC22</f>
        <v>0</v>
      </c>
      <c r="C12313" t="inlineStr">
        <is>
          <t>+LS8</t>
        </is>
      </c>
      <c r="D12313" t="inlineStr">
        <is>
          <t>-797K3520.7</t>
        </is>
      </c>
      <c r="E12313" t="inlineStr">
        <is>
          <t>DILM-9-01</t>
        </is>
      </c>
      <c r="F12313" t="inlineStr">
        <is>
          <t>#KALK!</t>
        </is>
      </c>
      <c r="G12313" t="inlineStr">
        <is>
          <t>LASTSCHUETZ</t>
        </is>
      </c>
      <c r="H12313" t="inlineStr">
        <is>
          <t>4kW 1Oe Federzugkl.</t>
        </is>
      </c>
      <c r="I12313">
        <v>584</v>
      </c>
      <c r="J12313">
        <f>GC22/797.6</f>
        <v>0</v>
      </c>
      <c r="M12313" t="inlineStr">
        <is>
          <t>-797K3520.7</t>
        </is>
      </c>
    </row>
    <row r="12314">
      <c r="A12314">
        <v>12313</v>
      </c>
      <c r="B12314">
        <f>GS12</f>
        <v>0</v>
      </c>
      <c r="C12314" t="inlineStr">
        <is>
          <t>+LS8</t>
        </is>
      </c>
      <c r="D12314" t="inlineStr">
        <is>
          <t>-797K3520.7</t>
        </is>
      </c>
      <c r="E12314" t="inlineStr">
        <is>
          <t>DILM-9-01</t>
        </is>
      </c>
      <c r="F12314" t="inlineStr">
        <is>
          <t>#KALK!</t>
        </is>
      </c>
      <c r="G12314" t="inlineStr">
        <is>
          <t>LASTSCHUETZ</t>
        </is>
      </c>
      <c r="H12314" t="inlineStr">
        <is>
          <t>4kW 1Oe Federzugkl.</t>
        </is>
      </c>
      <c r="I12314">
        <v>1219</v>
      </c>
      <c r="J12314">
        <f>GS12/797.6</f>
        <v>0</v>
      </c>
      <c r="M12314" t="inlineStr">
        <is>
          <t>-797K3520.7</t>
        </is>
      </c>
    </row>
    <row r="12315">
      <c r="A12315">
        <v>12314</v>
      </c>
      <c r="B12315">
        <f>GS55</f>
        <v>0</v>
      </c>
      <c r="C12315" t="inlineStr">
        <is>
          <t>+LS13</t>
        </is>
      </c>
      <c r="D12315" t="inlineStr">
        <is>
          <t>-797Q406.1</t>
        </is>
      </c>
      <c r="E12315" t="inlineStr">
        <is>
          <t>DILM-9-10</t>
        </is>
      </c>
      <c r="F12315" t="inlineStr">
        <is>
          <t>#KALK!</t>
        </is>
      </c>
      <c r="G12315" t="inlineStr">
        <is>
          <t>LASTSCHUETZ</t>
        </is>
      </c>
      <c r="H12315" t="inlineStr">
        <is>
          <t>4kW 1S Federzugkl.</t>
        </is>
      </c>
      <c r="I12315">
        <v>1048</v>
      </c>
      <c r="J12315">
        <f>GS55/797.6</f>
        <v>0</v>
      </c>
      <c r="K12315" t="inlineStr">
        <is>
          <t>DIL MC9</t>
        </is>
      </c>
      <c r="M12315" t="inlineStr">
        <is>
          <t>-797Q406.1</t>
        </is>
      </c>
    </row>
    <row r="12316">
      <c r="A12316">
        <v>12315</v>
      </c>
      <c r="B12316">
        <f>GC22</f>
        <v>0</v>
      </c>
      <c r="C12316" t="inlineStr">
        <is>
          <t>+LS8</t>
        </is>
      </c>
      <c r="D12316" t="inlineStr">
        <is>
          <t>-798K3520.1</t>
        </is>
      </c>
      <c r="E12316" t="inlineStr">
        <is>
          <t>DILM-9-10</t>
        </is>
      </c>
      <c r="F12316" t="inlineStr">
        <is>
          <t>#KALK!</t>
        </is>
      </c>
      <c r="G12316" t="inlineStr">
        <is>
          <t>LASTSCHUETZ</t>
        </is>
      </c>
      <c r="H12316" t="inlineStr">
        <is>
          <t>4kW 1S Federzugkl.</t>
        </is>
      </c>
      <c r="I12316">
        <v>585</v>
      </c>
      <c r="J12316">
        <f>GC22/798.8</f>
        <v>0</v>
      </c>
      <c r="M12316" t="inlineStr">
        <is>
          <t>-798K3520.1</t>
        </is>
      </c>
    </row>
    <row r="12317">
      <c r="A12317">
        <v>12316</v>
      </c>
      <c r="B12317">
        <f>GS12</f>
        <v>0</v>
      </c>
      <c r="C12317" t="inlineStr">
        <is>
          <t>+LS8</t>
        </is>
      </c>
      <c r="D12317" t="inlineStr">
        <is>
          <t>-798K3520.1</t>
        </is>
      </c>
      <c r="E12317" t="inlineStr">
        <is>
          <t>DILM-9-10</t>
        </is>
      </c>
      <c r="F12317" t="inlineStr">
        <is>
          <t>#KALK!</t>
        </is>
      </c>
      <c r="G12317" t="inlineStr">
        <is>
          <t>LASTSCHUETZ</t>
        </is>
      </c>
      <c r="H12317" t="inlineStr">
        <is>
          <t>4kW 1S Federzugkl.</t>
        </is>
      </c>
      <c r="I12317">
        <v>1220</v>
      </c>
      <c r="J12317">
        <f>GS12/798.8</f>
        <v>0</v>
      </c>
      <c r="M12317" t="inlineStr">
        <is>
          <t>-798K3520.1</t>
        </is>
      </c>
    </row>
    <row r="12318">
      <c r="A12318">
        <v>12317</v>
      </c>
      <c r="B12318">
        <f>GS55</f>
        <v>0</v>
      </c>
      <c r="C12318" t="inlineStr">
        <is>
          <t>+LS13</t>
        </is>
      </c>
      <c r="D12318" t="inlineStr">
        <is>
          <t>-798Q406.2</t>
        </is>
      </c>
      <c r="E12318" t="inlineStr">
        <is>
          <t>DILM-9-10</t>
        </is>
      </c>
      <c r="F12318" t="inlineStr">
        <is>
          <t>#KALK!</t>
        </is>
      </c>
      <c r="G12318" t="inlineStr">
        <is>
          <t>LASTSCHUETZ</t>
        </is>
      </c>
      <c r="H12318" t="inlineStr">
        <is>
          <t>4kW 1S Federzugkl.</t>
        </is>
      </c>
      <c r="I12318">
        <v>1049</v>
      </c>
      <c r="J12318">
        <f>GS55/798.6</f>
        <v>0</v>
      </c>
      <c r="K12318" t="inlineStr">
        <is>
          <t>DIL MC9</t>
        </is>
      </c>
      <c r="M12318" t="inlineStr">
        <is>
          <t>-798Q406.2</t>
        </is>
      </c>
    </row>
    <row r="12319">
      <c r="A12319">
        <v>12318</v>
      </c>
      <c r="B12319">
        <f>GS55</f>
        <v>0</v>
      </c>
      <c r="C12319" t="inlineStr">
        <is>
          <t>+LS13</t>
        </is>
      </c>
      <c r="D12319" t="inlineStr">
        <is>
          <t>-799Q406.3</t>
        </is>
      </c>
      <c r="E12319" t="inlineStr">
        <is>
          <t>DILM-9-10</t>
        </is>
      </c>
      <c r="F12319" t="inlineStr">
        <is>
          <t>#KALK!</t>
        </is>
      </c>
      <c r="G12319" t="inlineStr">
        <is>
          <t>LASTSCHUETZ</t>
        </is>
      </c>
      <c r="H12319" t="inlineStr">
        <is>
          <t>4kW 1S Federzugkl.</t>
        </is>
      </c>
      <c r="I12319">
        <v>1050</v>
      </c>
      <c r="J12319">
        <f>GS55/799.6</f>
        <v>0</v>
      </c>
      <c r="K12319" t="inlineStr">
        <is>
          <t>DIL MC9</t>
        </is>
      </c>
      <c r="M12319" t="inlineStr">
        <is>
          <t>-799Q406.3</t>
        </is>
      </c>
    </row>
    <row r="12320">
      <c r="A12320">
        <v>12319</v>
      </c>
      <c r="B12320">
        <f>GS53</f>
        <v>0</v>
      </c>
      <c r="C12320" t="inlineStr">
        <is>
          <t>+LS[p1]</t>
        </is>
      </c>
      <c r="D12320" t="inlineStr">
        <is>
          <t>-7K[a+0].2</t>
        </is>
      </c>
      <c r="E12320" t="inlineStr">
        <is>
          <t>DILA-40</t>
        </is>
      </c>
      <c r="F12320" t="inlineStr">
        <is>
          <t>#KALK!</t>
        </is>
      </c>
      <c r="G12320" t="inlineStr">
        <is>
          <t>HILFSSCHUETZ</t>
        </is>
      </c>
      <c r="H12320" t="inlineStr">
        <is>
          <t>4S Federzugkl.</t>
        </is>
      </c>
      <c r="I12320">
        <v>146</v>
      </c>
      <c r="J12320">
        <f>GS53/7.4</f>
        <v>0</v>
      </c>
      <c r="M12320" t="inlineStr">
        <is>
          <t>-7K[a+0].2</t>
        </is>
      </c>
    </row>
    <row r="12321">
      <c r="A12321">
        <v>12320</v>
      </c>
      <c r="B12321">
        <f>GS05</f>
        <v>0</v>
      </c>
      <c r="C12321" t="inlineStr">
        <is>
          <t>+LS[p1]</t>
        </is>
      </c>
      <c r="D12321" t="inlineStr">
        <is>
          <t>-7K2</t>
        </is>
      </c>
      <c r="E12321" t="inlineStr">
        <is>
          <t>DILA-40</t>
        </is>
      </c>
      <c r="F12321" t="inlineStr">
        <is>
          <t>#KALK!</t>
        </is>
      </c>
      <c r="G12321" t="inlineStr">
        <is>
          <t>HILFSSCHUETZ</t>
        </is>
      </c>
      <c r="H12321" t="inlineStr">
        <is>
          <t>4S Federzugkl.</t>
        </is>
      </c>
      <c r="I12321">
        <v>152</v>
      </c>
      <c r="J12321">
        <f>GS05/7.5</f>
        <v>0</v>
      </c>
      <c r="M12321" t="inlineStr">
        <is>
          <t>-7K2</t>
        </is>
      </c>
    </row>
    <row r="12322">
      <c r="A12322">
        <v>12321</v>
      </c>
      <c r="B12322">
        <f>GS06</f>
        <v>0</v>
      </c>
      <c r="C12322" t="inlineStr">
        <is>
          <t>+LS[p1]</t>
        </is>
      </c>
      <c r="D12322" t="inlineStr">
        <is>
          <t>-7K2</t>
        </is>
      </c>
      <c r="E12322" t="inlineStr">
        <is>
          <t>DILA-40</t>
        </is>
      </c>
      <c r="F12322" t="inlineStr">
        <is>
          <t>#KALK!</t>
        </is>
      </c>
      <c r="G12322" t="inlineStr">
        <is>
          <t>HILFSSCHUETZ</t>
        </is>
      </c>
      <c r="H12322" t="inlineStr">
        <is>
          <t>4S Federzugkl.</t>
        </is>
      </c>
      <c r="I12322">
        <v>152</v>
      </c>
      <c r="J12322">
        <f>GS06/7.5</f>
        <v>0</v>
      </c>
      <c r="M12322" t="inlineStr">
        <is>
          <t>-7K2</t>
        </is>
      </c>
    </row>
    <row r="12323">
      <c r="A12323">
        <v>12322</v>
      </c>
      <c r="B12323">
        <f>GS07</f>
        <v>0</v>
      </c>
      <c r="C12323" t="inlineStr">
        <is>
          <t>+LS[p1]</t>
        </is>
      </c>
      <c r="D12323" t="inlineStr">
        <is>
          <t>-7K2</t>
        </is>
      </c>
      <c r="E12323" t="inlineStr">
        <is>
          <t>DILA-40</t>
        </is>
      </c>
      <c r="F12323" t="inlineStr">
        <is>
          <t>#KALK!</t>
        </is>
      </c>
      <c r="G12323" t="inlineStr">
        <is>
          <t>HILFSSCHUETZ</t>
        </is>
      </c>
      <c r="H12323" t="inlineStr">
        <is>
          <t>4S Federzugkl.</t>
        </is>
      </c>
      <c r="I12323">
        <v>156</v>
      </c>
      <c r="J12323">
        <f>GS07/7.4</f>
        <v>0</v>
      </c>
      <c r="M12323" t="inlineStr">
        <is>
          <t>-7K2</t>
        </is>
      </c>
    </row>
    <row r="12324">
      <c r="A12324">
        <v>12323</v>
      </c>
      <c r="B12324">
        <f>GS08</f>
        <v>0</v>
      </c>
      <c r="C12324" t="inlineStr">
        <is>
          <t>+LS31</t>
        </is>
      </c>
      <c r="D12324" t="inlineStr">
        <is>
          <t>-7K2</t>
        </is>
      </c>
      <c r="E12324" t="inlineStr">
        <is>
          <t>DILA-40</t>
        </is>
      </c>
      <c r="F12324" t="inlineStr">
        <is>
          <t>#KALK!</t>
        </is>
      </c>
      <c r="G12324" t="inlineStr">
        <is>
          <t>HILFSSCHUETZ</t>
        </is>
      </c>
      <c r="H12324" t="inlineStr">
        <is>
          <t>4S Federzugkl.</t>
        </is>
      </c>
      <c r="I12324">
        <v>152</v>
      </c>
      <c r="J12324">
        <f>GS08/7.3</f>
        <v>0</v>
      </c>
      <c r="M12324" t="inlineStr">
        <is>
          <t>-7K2</t>
        </is>
      </c>
    </row>
    <row r="12325">
      <c r="A12325">
        <v>12324</v>
      </c>
      <c r="B12325">
        <f>GS20</f>
        <v>0</v>
      </c>
      <c r="C12325" t="inlineStr">
        <is>
          <t>+LS[p1]</t>
        </is>
      </c>
      <c r="D12325" t="inlineStr">
        <is>
          <t>-7K2</t>
        </is>
      </c>
      <c r="E12325" t="inlineStr">
        <is>
          <t>DILA-40</t>
        </is>
      </c>
      <c r="F12325" t="inlineStr">
        <is>
          <t>#KALK!</t>
        </is>
      </c>
      <c r="G12325" t="inlineStr">
        <is>
          <t>HILFSSCHUETZ</t>
        </is>
      </c>
      <c r="H12325" t="inlineStr">
        <is>
          <t>4S Federzugkl.</t>
        </is>
      </c>
      <c r="I12325">
        <v>156</v>
      </c>
      <c r="J12325">
        <f>GS20/7.4</f>
        <v>0</v>
      </c>
      <c r="M12325" t="inlineStr">
        <is>
          <t>-7K2</t>
        </is>
      </c>
    </row>
    <row r="12326">
      <c r="A12326">
        <v>12325</v>
      </c>
      <c r="B12326">
        <f>GS36</f>
        <v>0</v>
      </c>
      <c r="C12326" t="inlineStr">
        <is>
          <t>+LS12</t>
        </is>
      </c>
      <c r="D12326" t="inlineStr">
        <is>
          <t>-1001K1</t>
        </is>
      </c>
      <c r="E12326" t="inlineStr">
        <is>
          <t>DILM-9-01</t>
        </is>
      </c>
      <c r="F12326" t="inlineStr">
        <is>
          <t>#KALK!</t>
        </is>
      </c>
      <c r="G12326" t="inlineStr">
        <is>
          <t>LASTSCHUETZ</t>
        </is>
      </c>
      <c r="H12326" t="inlineStr">
        <is>
          <t>4kW 1Oe Federzugkl.</t>
        </is>
      </c>
      <c r="I12326">
        <v>1558</v>
      </c>
      <c r="J12326">
        <f>GS36/1001.6</f>
        <v>0</v>
      </c>
      <c r="L12326" t="inlineStr">
        <is>
          <t>Lichtvorhang KF</t>
        </is>
      </c>
      <c r="M12326" t="inlineStr">
        <is>
          <t>Lichtvorhang KF
-1001K1</t>
        </is>
      </c>
    </row>
    <row r="12327">
      <c r="A12327">
        <v>12326</v>
      </c>
      <c r="B12327">
        <f>GS38/39</f>
        <v>0</v>
      </c>
      <c r="C12327" t="inlineStr">
        <is>
          <t>+LS</t>
        </is>
      </c>
      <c r="D12327" t="inlineStr">
        <is>
          <t>-7K2</t>
        </is>
      </c>
      <c r="E12327" t="inlineStr">
        <is>
          <t>DILA-40</t>
        </is>
      </c>
      <c r="F12327" t="inlineStr">
        <is>
          <t>#KALK!</t>
        </is>
      </c>
      <c r="G12327" t="inlineStr">
        <is>
          <t>HILFSSCHUETZ</t>
        </is>
      </c>
      <c r="H12327" t="inlineStr">
        <is>
          <t>4S Federzugkl.</t>
        </is>
      </c>
      <c r="I12327">
        <v>146</v>
      </c>
      <c r="J12327">
        <f>GS38/39/7.3</f>
        <v>0</v>
      </c>
      <c r="M12327" t="inlineStr">
        <is>
          <t>-7K2</t>
        </is>
      </c>
    </row>
    <row r="12328">
      <c r="A12328">
        <v>12327</v>
      </c>
      <c r="B12328">
        <f>GS38/39</f>
        <v>0</v>
      </c>
      <c r="C12328" t="inlineStr">
        <is>
          <t>+LS</t>
        </is>
      </c>
      <c r="D12328" t="inlineStr">
        <is>
          <t>-7K2</t>
        </is>
      </c>
      <c r="E12328" t="inlineStr">
        <is>
          <t>DILA-40</t>
        </is>
      </c>
      <c r="F12328" t="inlineStr">
        <is>
          <t>#KALK!</t>
        </is>
      </c>
      <c r="G12328" t="inlineStr">
        <is>
          <t>HILFSSCHUETZ</t>
        </is>
      </c>
      <c r="H12328" t="inlineStr">
        <is>
          <t>4S Federzugkl.</t>
        </is>
      </c>
      <c r="I12328">
        <v>145</v>
      </c>
      <c r="J12328">
        <f>GS38/39/7.3</f>
        <v>0</v>
      </c>
      <c r="M12328" t="inlineStr">
        <is>
          <t>-7K2</t>
        </is>
      </c>
    </row>
    <row r="12329">
      <c r="A12329">
        <v>12328</v>
      </c>
      <c r="B12329">
        <f>GS[xx]</f>
        <v>0</v>
      </c>
      <c r="C12329" t="inlineStr">
        <is>
          <t>+LS[p1]</t>
        </is>
      </c>
      <c r="D12329" t="inlineStr">
        <is>
          <t>-7K2</t>
        </is>
      </c>
      <c r="E12329" t="inlineStr">
        <is>
          <t>DILA-40</t>
        </is>
      </c>
      <c r="F12329" t="inlineStr">
        <is>
          <t>#KALK!</t>
        </is>
      </c>
      <c r="G12329" t="inlineStr">
        <is>
          <t>HILFSSCHUETZ</t>
        </is>
      </c>
      <c r="H12329" t="inlineStr">
        <is>
          <t>4S Federzugkl.</t>
        </is>
      </c>
      <c r="I12329">
        <v>156</v>
      </c>
      <c r="J12329">
        <f>GS[xx]/7.4</f>
        <v>0</v>
      </c>
      <c r="M12329" t="inlineStr">
        <is>
          <t>-7K2</t>
        </is>
      </c>
    </row>
    <row r="12330">
      <c r="A12330">
        <v>12329</v>
      </c>
      <c r="B12330">
        <f>GS05</f>
        <v>0</v>
      </c>
      <c r="C12330" t="inlineStr">
        <is>
          <t>+LS[p1]</t>
        </is>
      </c>
      <c r="D12330" t="inlineStr">
        <is>
          <t>-7K3</t>
        </is>
      </c>
      <c r="E12330" t="inlineStr">
        <is>
          <t>DILA-40</t>
        </is>
      </c>
      <c r="F12330" t="inlineStr">
        <is>
          <t>#KALK!</t>
        </is>
      </c>
      <c r="G12330" t="inlineStr">
        <is>
          <t>HILFSSCHUETZ</t>
        </is>
      </c>
      <c r="H12330" t="inlineStr">
        <is>
          <t>4S Federzugkl.</t>
        </is>
      </c>
      <c r="I12330">
        <v>152</v>
      </c>
      <c r="J12330">
        <f>GS05/7.6</f>
        <v>0</v>
      </c>
      <c r="M12330" t="inlineStr">
        <is>
          <t>-7K3</t>
        </is>
      </c>
    </row>
    <row r="12331">
      <c r="A12331">
        <v>12330</v>
      </c>
      <c r="B12331">
        <f>GS06</f>
        <v>0</v>
      </c>
      <c r="C12331" t="inlineStr">
        <is>
          <t>+LS[p1]</t>
        </is>
      </c>
      <c r="D12331" t="inlineStr">
        <is>
          <t>-7K3</t>
        </is>
      </c>
      <c r="E12331" t="inlineStr">
        <is>
          <t>DILA-40</t>
        </is>
      </c>
      <c r="F12331" t="inlineStr">
        <is>
          <t>#KALK!</t>
        </is>
      </c>
      <c r="G12331" t="inlineStr">
        <is>
          <t>HILFSSCHUETZ</t>
        </is>
      </c>
      <c r="H12331" t="inlineStr">
        <is>
          <t>4S Federzugkl.</t>
        </is>
      </c>
      <c r="I12331">
        <v>152</v>
      </c>
      <c r="J12331">
        <f>GS06/7.6</f>
        <v>0</v>
      </c>
      <c r="M12331" t="inlineStr">
        <is>
          <t>-7K3</t>
        </is>
      </c>
    </row>
    <row r="12332">
      <c r="A12332">
        <v>12331</v>
      </c>
      <c r="B12332">
        <f>GS07</f>
        <v>0</v>
      </c>
      <c r="C12332" t="inlineStr">
        <is>
          <t>+LS[p1]</t>
        </is>
      </c>
      <c r="D12332" t="inlineStr">
        <is>
          <t>-7K3</t>
        </is>
      </c>
      <c r="E12332" t="inlineStr">
        <is>
          <t>DILA-40</t>
        </is>
      </c>
      <c r="F12332" t="inlineStr">
        <is>
          <t>#KALK!</t>
        </is>
      </c>
      <c r="G12332" t="inlineStr">
        <is>
          <t>HILFSSCHUETZ</t>
        </is>
      </c>
      <c r="H12332" t="inlineStr">
        <is>
          <t>4S Federzugkl.</t>
        </is>
      </c>
      <c r="I12332">
        <v>156</v>
      </c>
      <c r="J12332">
        <f>GS07/7.5</f>
        <v>0</v>
      </c>
      <c r="M12332" t="inlineStr">
        <is>
          <t>-7K3</t>
        </is>
      </c>
    </row>
    <row r="12333">
      <c r="A12333">
        <v>12332</v>
      </c>
      <c r="B12333">
        <f>GS08</f>
        <v>0</v>
      </c>
      <c r="C12333" t="inlineStr">
        <is>
          <t>+LS31</t>
        </is>
      </c>
      <c r="D12333" t="inlineStr">
        <is>
          <t>-7K3</t>
        </is>
      </c>
      <c r="E12333" t="inlineStr">
        <is>
          <t>DILA-40</t>
        </is>
      </c>
      <c r="F12333" t="inlineStr">
        <is>
          <t>#KALK!</t>
        </is>
      </c>
      <c r="G12333" t="inlineStr">
        <is>
          <t>HILFSSCHUETZ</t>
        </is>
      </c>
      <c r="H12333" t="inlineStr">
        <is>
          <t>4S Federzugkl.</t>
        </is>
      </c>
      <c r="I12333">
        <v>152</v>
      </c>
      <c r="J12333">
        <f>GS08/7.4</f>
        <v>0</v>
      </c>
      <c r="M12333" t="inlineStr">
        <is>
          <t>-7K3</t>
        </is>
      </c>
    </row>
    <row r="12334">
      <c r="A12334">
        <v>12333</v>
      </c>
      <c r="B12334">
        <f>GS20</f>
        <v>0</v>
      </c>
      <c r="C12334" t="inlineStr">
        <is>
          <t>+LS[p1]</t>
        </is>
      </c>
      <c r="D12334" t="inlineStr">
        <is>
          <t>-7K3</t>
        </is>
      </c>
      <c r="E12334" t="inlineStr">
        <is>
          <t>DILA-40</t>
        </is>
      </c>
      <c r="F12334" t="inlineStr">
        <is>
          <t>#KALK!</t>
        </is>
      </c>
      <c r="G12334" t="inlineStr">
        <is>
          <t>HILFSSCHUETZ</t>
        </is>
      </c>
      <c r="H12334" t="inlineStr">
        <is>
          <t>4S Federzugkl.</t>
        </is>
      </c>
      <c r="I12334">
        <v>156</v>
      </c>
      <c r="J12334">
        <f>GS20/7.5</f>
        <v>0</v>
      </c>
      <c r="M12334" t="inlineStr">
        <is>
          <t>-7K3</t>
        </is>
      </c>
    </row>
    <row r="12335">
      <c r="A12335">
        <v>12334</v>
      </c>
      <c r="B12335">
        <f>GS[xx]</f>
        <v>0</v>
      </c>
      <c r="C12335" t="inlineStr">
        <is>
          <t>+LS[p1]</t>
        </is>
      </c>
      <c r="D12335" t="inlineStr">
        <is>
          <t>-7K3</t>
        </is>
      </c>
      <c r="E12335" t="inlineStr">
        <is>
          <t>DILA-40</t>
        </is>
      </c>
      <c r="F12335" t="inlineStr">
        <is>
          <t>#KALK!</t>
        </is>
      </c>
      <c r="G12335" t="inlineStr">
        <is>
          <t>HILFSSCHUETZ</t>
        </is>
      </c>
      <c r="H12335" t="inlineStr">
        <is>
          <t>4S Federzugkl.</t>
        </is>
      </c>
      <c r="I12335">
        <v>156</v>
      </c>
      <c r="J12335">
        <f>GS[xx]/7.5</f>
        <v>0</v>
      </c>
      <c r="M12335" t="inlineStr">
        <is>
          <t>-7K3</t>
        </is>
      </c>
    </row>
    <row r="12336">
      <c r="A12336">
        <v>12335</v>
      </c>
      <c r="B12336">
        <f>GS36</f>
        <v>0</v>
      </c>
      <c r="C12336" t="inlineStr">
        <is>
          <t>+LS12</t>
        </is>
      </c>
      <c r="D12336" t="inlineStr">
        <is>
          <t>-1001K2</t>
        </is>
      </c>
      <c r="E12336" t="inlineStr">
        <is>
          <t>DILM-9-01</t>
        </is>
      </c>
      <c r="F12336" t="inlineStr">
        <is>
          <t>#KALK!</t>
        </is>
      </c>
      <c r="G12336" t="inlineStr">
        <is>
          <t>LASTSCHUETZ</t>
        </is>
      </c>
      <c r="H12336" t="inlineStr">
        <is>
          <t>4kW 1Oe Federzugkl.</t>
        </is>
      </c>
      <c r="I12336">
        <v>1558</v>
      </c>
      <c r="J12336">
        <f>GS36/1001.7</f>
        <v>0</v>
      </c>
      <c r="L12336" t="inlineStr">
        <is>
          <t>Lichtvorhang KF</t>
        </is>
      </c>
      <c r="M12336" t="inlineStr">
        <is>
          <t>Lichtvorhang KF
-1001K2</t>
        </is>
      </c>
    </row>
    <row r="12337">
      <c r="A12337">
        <v>12336</v>
      </c>
      <c r="B12337">
        <f>GS38/39</f>
        <v>0</v>
      </c>
      <c r="C12337" t="inlineStr">
        <is>
          <t>+LS</t>
        </is>
      </c>
      <c r="D12337" t="inlineStr">
        <is>
          <t>-7K4</t>
        </is>
      </c>
      <c r="E12337" t="inlineStr">
        <is>
          <t>DILA-40</t>
        </is>
      </c>
      <c r="F12337" t="inlineStr">
        <is>
          <t>#KALK!</t>
        </is>
      </c>
      <c r="G12337" t="inlineStr">
        <is>
          <t>HILFSSCHUETZ</t>
        </is>
      </c>
      <c r="H12337" t="inlineStr">
        <is>
          <t>4S Federzugkl.</t>
        </is>
      </c>
      <c r="I12337">
        <v>146</v>
      </c>
      <c r="J12337">
        <f>GS38/39/7.4</f>
        <v>0</v>
      </c>
      <c r="M12337" t="inlineStr">
        <is>
          <t>-7K4</t>
        </is>
      </c>
    </row>
    <row r="12338">
      <c r="A12338">
        <v>12337</v>
      </c>
      <c r="B12338">
        <f>GS38/39</f>
        <v>0</v>
      </c>
      <c r="C12338" t="inlineStr">
        <is>
          <t>+LS</t>
        </is>
      </c>
      <c r="D12338" t="inlineStr">
        <is>
          <t>-7K4</t>
        </is>
      </c>
      <c r="E12338" t="inlineStr">
        <is>
          <t>DILA-40</t>
        </is>
      </c>
      <c r="F12338" t="inlineStr">
        <is>
          <t>#KALK!</t>
        </is>
      </c>
      <c r="G12338" t="inlineStr">
        <is>
          <t>HILFSSCHUETZ</t>
        </is>
      </c>
      <c r="H12338" t="inlineStr">
        <is>
          <t>4S Federzugkl.</t>
        </is>
      </c>
      <c r="I12338">
        <v>145</v>
      </c>
      <c r="J12338">
        <f>GS38/39/7.4</f>
        <v>0</v>
      </c>
      <c r="M12338" t="inlineStr">
        <is>
          <t>-7K4</t>
        </is>
      </c>
    </row>
    <row r="12339">
      <c r="A12339">
        <v>12338</v>
      </c>
      <c r="B12339">
        <f>GS05</f>
        <v>0</v>
      </c>
      <c r="C12339" t="inlineStr">
        <is>
          <t>+LS[p1]</t>
        </is>
      </c>
      <c r="D12339" t="inlineStr">
        <is>
          <t>-7Q1</t>
        </is>
      </c>
      <c r="E12339" t="inlineStr">
        <is>
          <t>DILM150-XHIC40</t>
        </is>
      </c>
      <c r="F12339" t="inlineStr">
        <is>
          <t>DILM150-XHIC40</t>
        </is>
      </c>
      <c r="G12339" t="inlineStr">
        <is>
          <t>HILFSKONTAKTBLOCK</t>
        </is>
      </c>
      <c r="H12339" t="inlineStr">
        <is>
          <t>4S ab DILMC40</t>
        </is>
      </c>
      <c r="I12339">
        <v>152</v>
      </c>
      <c r="J12339">
        <f>GS05/7.2</f>
        <v>0</v>
      </c>
      <c r="K12339" t="inlineStr">
        <is>
          <t>DIL MC50</t>
        </is>
      </c>
      <c r="M12339" t="inlineStr">
        <is>
          <t>-7Q1</t>
        </is>
      </c>
    </row>
    <row r="12340">
      <c r="A12340">
        <v>12339</v>
      </c>
      <c r="B12340">
        <f>GS05</f>
        <v>0</v>
      </c>
      <c r="C12340" t="inlineStr">
        <is>
          <t>+LS[p1]</t>
        </is>
      </c>
      <c r="D12340" t="inlineStr">
        <is>
          <t>-7Q1</t>
        </is>
      </c>
      <c r="E12340" t="inlineStr">
        <is>
          <t>DILMC50(RDC24)</t>
        </is>
      </c>
      <c r="F12340" t="inlineStr">
        <is>
          <t>DILM150-XHIC40</t>
        </is>
      </c>
      <c r="G12340" t="inlineStr">
        <is>
          <t>LASTSCHUETZ</t>
        </is>
      </c>
      <c r="H12340" t="inlineStr">
        <is>
          <t>22kW Federzugkl.</t>
        </is>
      </c>
      <c r="I12340">
        <v>152</v>
      </c>
      <c r="J12340">
        <f>GS05/7.2</f>
        <v>0</v>
      </c>
      <c r="K12340" t="inlineStr">
        <is>
          <t>DIL MC50</t>
        </is>
      </c>
      <c r="M12340" t="inlineStr">
        <is>
          <t>-7Q1</t>
        </is>
      </c>
    </row>
    <row r="12341">
      <c r="A12341">
        <v>12340</v>
      </c>
      <c r="B12341">
        <f>GS06</f>
        <v>0</v>
      </c>
      <c r="C12341" t="inlineStr">
        <is>
          <t>+LS[p1]</t>
        </is>
      </c>
      <c r="D12341" t="inlineStr">
        <is>
          <t>-7Q1</t>
        </is>
      </c>
      <c r="E12341" t="inlineStr">
        <is>
          <t>DILMC50(RDC24)</t>
        </is>
      </c>
      <c r="F12341" t="inlineStr">
        <is>
          <t>DILM150-XHIC40</t>
        </is>
      </c>
      <c r="G12341" t="inlineStr">
        <is>
          <t>LASTSCHUETZ</t>
        </is>
      </c>
      <c r="H12341" t="inlineStr">
        <is>
          <t>22kW Federzugkl.</t>
        </is>
      </c>
      <c r="I12341">
        <v>152</v>
      </c>
      <c r="J12341">
        <f>GS06/7.2</f>
        <v>0</v>
      </c>
      <c r="K12341" t="inlineStr">
        <is>
          <t>DIL MC50</t>
        </is>
      </c>
      <c r="M12341" t="inlineStr">
        <is>
          <t>-7Q1</t>
        </is>
      </c>
    </row>
    <row r="12342">
      <c r="A12342">
        <v>12341</v>
      </c>
      <c r="B12342">
        <f>GS06</f>
        <v>0</v>
      </c>
      <c r="C12342" t="inlineStr">
        <is>
          <t>+LS[p1]</t>
        </is>
      </c>
      <c r="D12342" t="inlineStr">
        <is>
          <t>-7Q1</t>
        </is>
      </c>
      <c r="E12342" t="inlineStr">
        <is>
          <t>DILM150-XHIC40</t>
        </is>
      </c>
      <c r="F12342" t="inlineStr">
        <is>
          <t>DILM150-XHIC40</t>
        </is>
      </c>
      <c r="G12342" t="inlineStr">
        <is>
          <t>HILFSKONTAKTBLOCK</t>
        </is>
      </c>
      <c r="H12342" t="inlineStr">
        <is>
          <t>4S ab DILMC40</t>
        </is>
      </c>
      <c r="I12342">
        <v>152</v>
      </c>
      <c r="J12342">
        <f>GS06/7.2</f>
        <v>0</v>
      </c>
      <c r="K12342" t="inlineStr">
        <is>
          <t>DIL MC50</t>
        </is>
      </c>
      <c r="M12342" t="inlineStr">
        <is>
          <t>-7Q1</t>
        </is>
      </c>
    </row>
    <row r="12343">
      <c r="A12343">
        <v>12342</v>
      </c>
      <c r="B12343">
        <f>GS07</f>
        <v>0</v>
      </c>
      <c r="C12343" t="inlineStr">
        <is>
          <t>+LS[p1]</t>
        </is>
      </c>
      <c r="D12343" t="inlineStr">
        <is>
          <t>-7Q1</t>
        </is>
      </c>
      <c r="E12343" t="inlineStr">
        <is>
          <t>DILMC40(RDC24)</t>
        </is>
      </c>
      <c r="F12343" t="inlineStr">
        <is>
          <t>DILM150-XHIC40</t>
        </is>
      </c>
      <c r="G12343" t="inlineStr">
        <is>
          <t>LASTSCHUETZ</t>
        </is>
      </c>
      <c r="H12343" t="inlineStr">
        <is>
          <t>18,5kW Federzugkl.</t>
        </is>
      </c>
      <c r="I12343">
        <v>156</v>
      </c>
      <c r="J12343">
        <f>GS07/7.3</f>
        <v>0</v>
      </c>
      <c r="K12343" t="inlineStr">
        <is>
          <t>DIL MC40</t>
        </is>
      </c>
      <c r="M12343" t="inlineStr">
        <is>
          <t>-7Q1</t>
        </is>
      </c>
    </row>
    <row r="12344">
      <c r="A12344">
        <v>12343</v>
      </c>
      <c r="B12344">
        <f>GS07</f>
        <v>0</v>
      </c>
      <c r="C12344" t="inlineStr">
        <is>
          <t>+LS[p1]</t>
        </is>
      </c>
      <c r="D12344" t="inlineStr">
        <is>
          <t>-7Q1</t>
        </is>
      </c>
      <c r="E12344" t="inlineStr">
        <is>
          <t>DILM150-XHIC40</t>
        </is>
      </c>
      <c r="F12344" t="inlineStr">
        <is>
          <t>DILM150-XHIC40</t>
        </is>
      </c>
      <c r="G12344" t="inlineStr">
        <is>
          <t>HILFSKONTAKTBLOCK</t>
        </is>
      </c>
      <c r="H12344" t="inlineStr">
        <is>
          <t>4S ab DILMC40</t>
        </is>
      </c>
      <c r="I12344">
        <v>156</v>
      </c>
      <c r="J12344">
        <f>GS07/7.3</f>
        <v>0</v>
      </c>
      <c r="K12344" t="inlineStr">
        <is>
          <t>DIL MC40</t>
        </is>
      </c>
      <c r="M12344" t="inlineStr">
        <is>
          <t>-7Q1</t>
        </is>
      </c>
    </row>
    <row r="12345">
      <c r="A12345">
        <v>12344</v>
      </c>
      <c r="B12345">
        <f>GS08</f>
        <v>0</v>
      </c>
      <c r="C12345" t="inlineStr">
        <is>
          <t>+LS[p1]</t>
        </is>
      </c>
      <c r="D12345" t="inlineStr">
        <is>
          <t>-7Q1</t>
        </is>
      </c>
      <c r="E12345" t="inlineStr">
        <is>
          <t>DILMC40(RDC24)</t>
        </is>
      </c>
      <c r="F12345" t="inlineStr">
        <is>
          <t>DILM150-XHIC22</t>
        </is>
      </c>
      <c r="G12345" t="inlineStr">
        <is>
          <t>LASTSCHUETZ</t>
        </is>
      </c>
      <c r="H12345" t="inlineStr">
        <is>
          <t>18,5kW Federzugkl.</t>
        </is>
      </c>
      <c r="I12345">
        <v>176</v>
      </c>
      <c r="J12345">
        <f>GS08/7.3</f>
        <v>0</v>
      </c>
      <c r="K12345" t="inlineStr">
        <is>
          <t>DIL MC 40</t>
        </is>
      </c>
      <c r="M12345" t="inlineStr">
        <is>
          <t>-7Q1</t>
        </is>
      </c>
    </row>
    <row r="12346">
      <c r="A12346">
        <v>12345</v>
      </c>
      <c r="B12346">
        <f>GS08</f>
        <v>0</v>
      </c>
      <c r="C12346" t="inlineStr">
        <is>
          <t>+LS31</t>
        </is>
      </c>
      <c r="D12346" t="inlineStr">
        <is>
          <t>-7Q1</t>
        </is>
      </c>
      <c r="E12346" t="inlineStr">
        <is>
          <t>DILMC40(RDC24)</t>
        </is>
      </c>
      <c r="F12346" t="inlineStr">
        <is>
          <t>DILM150-XHIC40</t>
        </is>
      </c>
      <c r="G12346" t="inlineStr">
        <is>
          <t>LASTSCHUETZ</t>
        </is>
      </c>
      <c r="H12346" t="inlineStr">
        <is>
          <t>18,5kW Federzugkl.</t>
        </is>
      </c>
      <c r="I12346">
        <v>152</v>
      </c>
      <c r="J12346">
        <f>GS08/7.2</f>
        <v>0</v>
      </c>
      <c r="K12346" t="inlineStr">
        <is>
          <t>DIL MC40</t>
        </is>
      </c>
      <c r="M12346" t="inlineStr">
        <is>
          <t>-7Q1</t>
        </is>
      </c>
    </row>
    <row r="12347">
      <c r="A12347">
        <v>12346</v>
      </c>
      <c r="B12347">
        <f>GS08</f>
        <v>0</v>
      </c>
      <c r="C12347" t="inlineStr">
        <is>
          <t>+LS31</t>
        </is>
      </c>
      <c r="D12347" t="inlineStr">
        <is>
          <t>-7Q1</t>
        </is>
      </c>
      <c r="E12347" t="inlineStr">
        <is>
          <t>DILM150-XHIC40</t>
        </is>
      </c>
      <c r="F12347" t="inlineStr">
        <is>
          <t>DILM150-XHIC40</t>
        </is>
      </c>
      <c r="G12347" t="inlineStr">
        <is>
          <t>HILFSKONTAKTBLOCK</t>
        </is>
      </c>
      <c r="H12347" t="inlineStr">
        <is>
          <t>4S ab DILMC40</t>
        </is>
      </c>
      <c r="I12347">
        <v>152</v>
      </c>
      <c r="J12347">
        <f>GS08/7.2</f>
        <v>0</v>
      </c>
      <c r="K12347" t="inlineStr">
        <is>
          <t>DIL MC40</t>
        </is>
      </c>
      <c r="M12347" t="inlineStr">
        <is>
          <t>-7Q1</t>
        </is>
      </c>
    </row>
    <row r="12348">
      <c r="A12348">
        <v>12347</v>
      </c>
      <c r="B12348">
        <f>GS08</f>
        <v>0</v>
      </c>
      <c r="C12348" t="inlineStr">
        <is>
          <t>+LS[p1]</t>
        </is>
      </c>
      <c r="D12348" t="inlineStr">
        <is>
          <t>-7Q1</t>
        </is>
      </c>
      <c r="E12348" t="inlineStr">
        <is>
          <t>DILM150-XHIC22</t>
        </is>
      </c>
      <c r="F12348" t="inlineStr">
        <is>
          <t>DILM150-XHIC22</t>
        </is>
      </c>
      <c r="G12348" t="inlineStr">
        <is>
          <t>HILFSKONTAKTBLOCK</t>
        </is>
      </c>
      <c r="H12348" t="inlineStr">
        <is>
          <t>2S 2OE ab DILMC40</t>
        </is>
      </c>
      <c r="I12348">
        <v>176</v>
      </c>
      <c r="J12348">
        <f>GS08/7.3</f>
        <v>0</v>
      </c>
      <c r="K12348" t="inlineStr">
        <is>
          <t>DIL MC 40</t>
        </is>
      </c>
      <c r="M12348" t="inlineStr">
        <is>
          <t>-7Q1</t>
        </is>
      </c>
    </row>
    <row r="12349">
      <c r="A12349">
        <v>12348</v>
      </c>
      <c r="B12349">
        <f>GS20</f>
        <v>0</v>
      </c>
      <c r="C12349" t="inlineStr">
        <is>
          <t>+LS[p1]</t>
        </is>
      </c>
      <c r="D12349" t="inlineStr">
        <is>
          <t>-7Q1</t>
        </is>
      </c>
      <c r="E12349" t="inlineStr">
        <is>
          <t>DILMC40(RDC24)</t>
        </is>
      </c>
      <c r="F12349" t="inlineStr">
        <is>
          <t>DILM150-XHIC40</t>
        </is>
      </c>
      <c r="G12349" t="inlineStr">
        <is>
          <t>LASTSCHUETZ</t>
        </is>
      </c>
      <c r="H12349" t="inlineStr">
        <is>
          <t>18,5kW Federzugkl.</t>
        </is>
      </c>
      <c r="I12349">
        <v>156</v>
      </c>
      <c r="J12349">
        <f>GS20/7.3</f>
        <v>0</v>
      </c>
      <c r="K12349" t="inlineStr">
        <is>
          <t>DIL MC40</t>
        </is>
      </c>
      <c r="M12349" t="inlineStr">
        <is>
          <t>-7Q1</t>
        </is>
      </c>
    </row>
    <row r="12350">
      <c r="A12350">
        <v>12349</v>
      </c>
      <c r="B12350">
        <f>GS20</f>
        <v>0</v>
      </c>
      <c r="C12350" t="inlineStr">
        <is>
          <t>+LS[p1]</t>
        </is>
      </c>
      <c r="D12350" t="inlineStr">
        <is>
          <t>-7Q1</t>
        </is>
      </c>
      <c r="E12350" t="inlineStr">
        <is>
          <t>DILM150-XHIC40</t>
        </is>
      </c>
      <c r="F12350" t="inlineStr">
        <is>
          <t>DILM150-XHIC40</t>
        </is>
      </c>
      <c r="G12350" t="inlineStr">
        <is>
          <t>HILFSKONTAKTBLOCK</t>
        </is>
      </c>
      <c r="H12350" t="inlineStr">
        <is>
          <t>4S ab DILMC40</t>
        </is>
      </c>
      <c r="I12350">
        <v>156</v>
      </c>
      <c r="J12350">
        <f>GS20/7.3</f>
        <v>0</v>
      </c>
      <c r="K12350" t="inlineStr">
        <is>
          <t>DIL MC40</t>
        </is>
      </c>
      <c r="M12350" t="inlineStr">
        <is>
          <t>-7Q1</t>
        </is>
      </c>
    </row>
    <row r="12351">
      <c r="A12351">
        <v>12350</v>
      </c>
      <c r="B12351">
        <f>GS36</f>
        <v>0</v>
      </c>
      <c r="C12351" t="inlineStr">
        <is>
          <t>+LS</t>
        </is>
      </c>
      <c r="D12351" t="inlineStr">
        <is>
          <t>-7Q1</t>
        </is>
      </c>
      <c r="E12351" t="inlineStr">
        <is>
          <t>DILM150-XHIC22</t>
        </is>
      </c>
      <c r="F12351" t="inlineStr">
        <is>
          <t>DILM150-XHIC22</t>
        </is>
      </c>
      <c r="G12351" t="inlineStr">
        <is>
          <t>HILFSKONTAKTBLOCK</t>
        </is>
      </c>
      <c r="H12351" t="inlineStr">
        <is>
          <t>2S 2OE ab DILMC40</t>
        </is>
      </c>
      <c r="I12351">
        <v>146</v>
      </c>
      <c r="J12351">
        <f>GS36/7.2</f>
        <v>0</v>
      </c>
      <c r="K12351" t="inlineStr">
        <is>
          <t>DIL MC65</t>
        </is>
      </c>
      <c r="M12351" t="inlineStr">
        <is>
          <t>-7Q1</t>
        </is>
      </c>
    </row>
    <row r="12352">
      <c r="A12352">
        <v>12351</v>
      </c>
      <c r="B12352">
        <f>GS36</f>
        <v>0</v>
      </c>
      <c r="C12352" t="inlineStr">
        <is>
          <t>+LS</t>
        </is>
      </c>
      <c r="D12352" t="inlineStr">
        <is>
          <t>-7Q1</t>
        </is>
      </c>
      <c r="E12352" t="inlineStr">
        <is>
          <t>DILMC65(RDC24)</t>
        </is>
      </c>
      <c r="F12352" t="inlineStr">
        <is>
          <t>DILM150-XHIC22</t>
        </is>
      </c>
      <c r="G12352" t="inlineStr">
        <is>
          <t>LASTSCHUETZ</t>
        </is>
      </c>
      <c r="H12352" t="inlineStr">
        <is>
          <t>30kW Federzugkl.</t>
        </is>
      </c>
      <c r="I12352">
        <v>146</v>
      </c>
      <c r="J12352">
        <f>GS36/7.2</f>
        <v>0</v>
      </c>
      <c r="K12352" t="inlineStr">
        <is>
          <t>DIL MC65</t>
        </is>
      </c>
      <c r="M12352" t="inlineStr">
        <is>
          <t>-7Q1</t>
        </is>
      </c>
    </row>
    <row r="12353">
      <c r="A12353">
        <v>12352</v>
      </c>
      <c r="B12353">
        <f>GS38/39</f>
        <v>0</v>
      </c>
      <c r="C12353" t="inlineStr">
        <is>
          <t>+LS</t>
        </is>
      </c>
      <c r="D12353" t="inlineStr">
        <is>
          <t>-7Q1</t>
        </is>
      </c>
      <c r="E12353" t="inlineStr">
        <is>
          <t>DILMC65(RDC24)</t>
        </is>
      </c>
      <c r="F12353" t="inlineStr">
        <is>
          <t>#ÜBERLAUF!</t>
        </is>
      </c>
      <c r="G12353" t="inlineStr">
        <is>
          <t>LASTSCHUETZ</t>
        </is>
      </c>
      <c r="H12353" t="inlineStr">
        <is>
          <t>30kW Federzugkl.</t>
        </is>
      </c>
      <c r="I12353">
        <v>145</v>
      </c>
      <c r="J12353">
        <f>GS38/39/7.2</f>
        <v>0</v>
      </c>
      <c r="K12353" t="inlineStr">
        <is>
          <t>DIL MC65</t>
        </is>
      </c>
      <c r="M12353" t="inlineStr">
        <is>
          <t>-7Q1</t>
        </is>
      </c>
    </row>
    <row r="12354">
      <c r="A12354">
        <v>12353</v>
      </c>
      <c r="B12354">
        <f>GS38/39</f>
        <v>0</v>
      </c>
      <c r="C12354" t="inlineStr">
        <is>
          <t>+LS</t>
        </is>
      </c>
      <c r="D12354" t="inlineStr">
        <is>
          <t>-7Q1</t>
        </is>
      </c>
      <c r="E12354" t="inlineStr">
        <is>
          <t>DILM150-XHIC22</t>
        </is>
      </c>
      <c r="F12354" t="inlineStr">
        <is>
          <t>#ÜBERLAUF!</t>
        </is>
      </c>
      <c r="G12354" t="inlineStr">
        <is>
          <t>HILFSKONTAKTBLOCK</t>
        </is>
      </c>
      <c r="H12354" t="inlineStr">
        <is>
          <t>2S 2OE ab DILMC40</t>
        </is>
      </c>
      <c r="I12354">
        <v>146</v>
      </c>
      <c r="J12354">
        <f>GS38/39/7.2</f>
        <v>0</v>
      </c>
      <c r="K12354" t="inlineStr">
        <is>
          <t>DIL MC65</t>
        </is>
      </c>
      <c r="M12354" t="inlineStr">
        <is>
          <t>-7Q1</t>
        </is>
      </c>
    </row>
    <row r="12355">
      <c r="A12355">
        <v>12354</v>
      </c>
      <c r="B12355">
        <f>GS38/39</f>
        <v>0</v>
      </c>
      <c r="C12355" t="inlineStr">
        <is>
          <t>+LS</t>
        </is>
      </c>
      <c r="D12355" t="inlineStr">
        <is>
          <t>-7Q1</t>
        </is>
      </c>
      <c r="E12355" t="inlineStr">
        <is>
          <t>DILM150-XHIC22</t>
        </is>
      </c>
      <c r="F12355" t="inlineStr">
        <is>
          <t>#ÜBERLAUF!</t>
        </is>
      </c>
      <c r="G12355" t="inlineStr">
        <is>
          <t>HILFSKONTAKTBLOCK</t>
        </is>
      </c>
      <c r="H12355" t="inlineStr">
        <is>
          <t>2S 2OE ab DILMC40</t>
        </is>
      </c>
      <c r="I12355">
        <v>145</v>
      </c>
      <c r="J12355">
        <f>GS38/39/7.2</f>
        <v>0</v>
      </c>
      <c r="K12355" t="inlineStr">
        <is>
          <t>DIL MC65</t>
        </is>
      </c>
      <c r="M12355" t="inlineStr">
        <is>
          <t>-7Q1</t>
        </is>
      </c>
    </row>
    <row r="12356">
      <c r="A12356">
        <v>12355</v>
      </c>
      <c r="B12356">
        <f>GS38/39</f>
        <v>0</v>
      </c>
      <c r="C12356" t="inlineStr">
        <is>
          <t>+LS</t>
        </is>
      </c>
      <c r="D12356" t="inlineStr">
        <is>
          <t>-7Q1</t>
        </is>
      </c>
      <c r="E12356" t="inlineStr">
        <is>
          <t>DILMC65(RDC24)</t>
        </is>
      </c>
      <c r="F12356" t="inlineStr">
        <is>
          <t>#ÜBERLAUF!</t>
        </is>
      </c>
      <c r="G12356" t="inlineStr">
        <is>
          <t>LASTSCHUETZ</t>
        </is>
      </c>
      <c r="H12356" t="inlineStr">
        <is>
          <t>30kW Federzugkl.</t>
        </is>
      </c>
      <c r="I12356">
        <v>146</v>
      </c>
      <c r="J12356">
        <f>GS38/39/7.2</f>
        <v>0</v>
      </c>
      <c r="K12356" t="inlineStr">
        <is>
          <t>DIL MC65</t>
        </is>
      </c>
      <c r="M12356" t="inlineStr">
        <is>
          <t>-7Q1</t>
        </is>
      </c>
    </row>
    <row r="12357">
      <c r="A12357">
        <v>12356</v>
      </c>
      <c r="B12357">
        <f>GS53</f>
        <v>0</v>
      </c>
      <c r="C12357" t="inlineStr">
        <is>
          <t>+LS[p1]</t>
        </is>
      </c>
      <c r="D12357" t="inlineStr">
        <is>
          <t>-7Q1</t>
        </is>
      </c>
      <c r="E12357" t="inlineStr">
        <is>
          <t>DILMC50(RDC24)</t>
        </is>
      </c>
      <c r="F12357" t="inlineStr">
        <is>
          <t>DILM150-XHIC40</t>
        </is>
      </c>
      <c r="G12357" t="inlineStr">
        <is>
          <t>LASTSCHUETZ</t>
        </is>
      </c>
      <c r="H12357" t="inlineStr">
        <is>
          <t>22kW Federzugkl.</t>
        </is>
      </c>
      <c r="I12357">
        <v>146</v>
      </c>
      <c r="J12357">
        <f>GS53/7.5</f>
        <v>0</v>
      </c>
      <c r="K12357" t="inlineStr">
        <is>
          <t>DIL MC50</t>
        </is>
      </c>
      <c r="M12357" t="inlineStr">
        <is>
          <t>-7Q1</t>
        </is>
      </c>
    </row>
    <row r="12358">
      <c r="A12358">
        <v>12357</v>
      </c>
      <c r="B12358">
        <f>GS53</f>
        <v>0</v>
      </c>
      <c r="C12358" t="inlineStr">
        <is>
          <t>+LS[p1]</t>
        </is>
      </c>
      <c r="D12358" t="inlineStr">
        <is>
          <t>-7Q1</t>
        </is>
      </c>
      <c r="E12358" t="inlineStr">
        <is>
          <t>DILM150-XHIC40</t>
        </is>
      </c>
      <c r="F12358" t="inlineStr">
        <is>
          <t>DILM150-XHIC40</t>
        </is>
      </c>
      <c r="G12358" t="inlineStr">
        <is>
          <t>HILFSKONTAKTBLOCK</t>
        </is>
      </c>
      <c r="H12358" t="inlineStr">
        <is>
          <t>4S ab DILMC40</t>
        </is>
      </c>
      <c r="I12358">
        <v>146</v>
      </c>
      <c r="J12358">
        <f>GS53/7.5</f>
        <v>0</v>
      </c>
      <c r="K12358" t="inlineStr">
        <is>
          <t>DIL MC50</t>
        </is>
      </c>
      <c r="M12358" t="inlineStr">
        <is>
          <t>-7Q1</t>
        </is>
      </c>
    </row>
    <row r="12359">
      <c r="A12359">
        <v>12358</v>
      </c>
      <c r="B12359">
        <f>GS[xx]</f>
        <v>0</v>
      </c>
      <c r="C12359" t="inlineStr">
        <is>
          <t>+LS[p1]</t>
        </is>
      </c>
      <c r="D12359" t="inlineStr">
        <is>
          <t>-7Q1</t>
        </is>
      </c>
      <c r="E12359" t="inlineStr">
        <is>
          <t>DILM150-XHIC40</t>
        </is>
      </c>
      <c r="F12359" t="inlineStr">
        <is>
          <t>DILM150-XHIC40</t>
        </is>
      </c>
      <c r="G12359" t="inlineStr">
        <is>
          <t>HILFSKONTAKTBLOCK</t>
        </is>
      </c>
      <c r="H12359" t="inlineStr">
        <is>
          <t>4S ab DILMC40</t>
        </is>
      </c>
      <c r="I12359">
        <v>156</v>
      </c>
      <c r="J12359">
        <f>GS[xx]/7.3</f>
        <v>0</v>
      </c>
      <c r="K12359" t="inlineStr">
        <is>
          <t>DIL MC40</t>
        </is>
      </c>
      <c r="M12359" t="inlineStr">
        <is>
          <t>-7Q1</t>
        </is>
      </c>
    </row>
    <row r="12360">
      <c r="A12360">
        <v>12359</v>
      </c>
      <c r="B12360">
        <f>GS[xx]</f>
        <v>0</v>
      </c>
      <c r="C12360" t="inlineStr">
        <is>
          <t>+LS[p1]</t>
        </is>
      </c>
      <c r="D12360" t="inlineStr">
        <is>
          <t>-7Q1</t>
        </is>
      </c>
      <c r="E12360" t="inlineStr">
        <is>
          <t>DILMC40(RDC24)</t>
        </is>
      </c>
      <c r="F12360" t="inlineStr">
        <is>
          <t>DILM150-XHIC40</t>
        </is>
      </c>
      <c r="G12360" t="inlineStr">
        <is>
          <t>LASTSCHUETZ</t>
        </is>
      </c>
      <c r="H12360" t="inlineStr">
        <is>
          <t>18,5kW Federzugkl.</t>
        </is>
      </c>
      <c r="I12360">
        <v>156</v>
      </c>
      <c r="J12360">
        <f>GS[xx]/7.3</f>
        <v>0</v>
      </c>
      <c r="K12360" t="inlineStr">
        <is>
          <t>DIL MC40</t>
        </is>
      </c>
      <c r="M12360" t="inlineStr">
        <is>
          <t>-7Q1</t>
        </is>
      </c>
    </row>
    <row r="12361">
      <c r="A12361">
        <v>12360</v>
      </c>
      <c r="B12361">
        <f>GS05</f>
        <v>0</v>
      </c>
      <c r="C12361" t="inlineStr">
        <is>
          <t>+LS[p1]</t>
        </is>
      </c>
      <c r="D12361" t="inlineStr">
        <is>
          <t>-7Q1.1</t>
        </is>
      </c>
      <c r="E12361" t="inlineStr">
        <is>
          <t>DILA-40</t>
        </is>
      </c>
      <c r="F12361" t="inlineStr">
        <is>
          <t>DILA-XHIC40</t>
        </is>
      </c>
      <c r="G12361" t="inlineStr">
        <is>
          <t>HILFSSCHUETZ</t>
        </is>
      </c>
      <c r="H12361" t="inlineStr">
        <is>
          <t>4S Federzugkl.</t>
        </is>
      </c>
      <c r="I12361">
        <v>152</v>
      </c>
      <c r="J12361">
        <f>GS05/7.3</f>
        <v>0</v>
      </c>
      <c r="M12361" t="inlineStr">
        <is>
          <t>-7Q1.1</t>
        </is>
      </c>
    </row>
    <row r="12362">
      <c r="A12362">
        <v>12361</v>
      </c>
      <c r="B12362">
        <f>GS05</f>
        <v>0</v>
      </c>
      <c r="C12362" t="inlineStr">
        <is>
          <t>+LS[p1]</t>
        </is>
      </c>
      <c r="D12362" t="inlineStr">
        <is>
          <t>-7Q1.1</t>
        </is>
      </c>
      <c r="E12362" t="inlineStr">
        <is>
          <t>DILA-XHIC40</t>
        </is>
      </c>
      <c r="F12362" t="inlineStr">
        <is>
          <t>DILA-XHIC40</t>
        </is>
      </c>
      <c r="G12362" t="inlineStr">
        <is>
          <t>HILFSKONTAKTBLOCK</t>
        </is>
      </c>
      <c r="H12362" t="inlineStr">
        <is>
          <t>4S Last+Hilfssch. Cage</t>
        </is>
      </c>
      <c r="I12362">
        <v>152</v>
      </c>
      <c r="J12362">
        <f>GS05/7.3</f>
        <v>0</v>
      </c>
      <c r="M12362" t="inlineStr">
        <is>
          <t>-7Q1.1</t>
        </is>
      </c>
    </row>
    <row r="12363">
      <c r="A12363">
        <v>12362</v>
      </c>
      <c r="B12363">
        <f>GS06</f>
        <v>0</v>
      </c>
      <c r="C12363" t="inlineStr">
        <is>
          <t>+LS[p1]</t>
        </is>
      </c>
      <c r="D12363" t="inlineStr">
        <is>
          <t>-7Q1.1</t>
        </is>
      </c>
      <c r="E12363" t="inlineStr">
        <is>
          <t>DILA-40</t>
        </is>
      </c>
      <c r="F12363" t="inlineStr">
        <is>
          <t>DILA-XHIC40</t>
        </is>
      </c>
      <c r="G12363" t="inlineStr">
        <is>
          <t>HILFSSCHUETZ</t>
        </is>
      </c>
      <c r="H12363" t="inlineStr">
        <is>
          <t>4S Federzugkl.</t>
        </is>
      </c>
      <c r="I12363">
        <v>152</v>
      </c>
      <c r="J12363">
        <f>GS06/7.3</f>
        <v>0</v>
      </c>
      <c r="M12363" t="inlineStr">
        <is>
          <t>-7Q1.1</t>
        </is>
      </c>
    </row>
    <row r="12364">
      <c r="A12364">
        <v>12363</v>
      </c>
      <c r="B12364">
        <f>GS06</f>
        <v>0</v>
      </c>
      <c r="C12364" t="inlineStr">
        <is>
          <t>+LS[p1]</t>
        </is>
      </c>
      <c r="D12364" t="inlineStr">
        <is>
          <t>-7Q1.1</t>
        </is>
      </c>
      <c r="E12364" t="inlineStr">
        <is>
          <t>DILA-XHIC40</t>
        </is>
      </c>
      <c r="F12364" t="inlineStr">
        <is>
          <t>DILA-XHIC40</t>
        </is>
      </c>
      <c r="G12364" t="inlineStr">
        <is>
          <t>HILFSKONTAKTBLOCK</t>
        </is>
      </c>
      <c r="H12364" t="inlineStr">
        <is>
          <t>4S Last+Hilfssch. Cage</t>
        </is>
      </c>
      <c r="I12364">
        <v>152</v>
      </c>
      <c r="J12364">
        <f>GS06/7.3</f>
        <v>0</v>
      </c>
      <c r="M12364" t="inlineStr">
        <is>
          <t>-7Q1.1</t>
        </is>
      </c>
    </row>
    <row r="12365">
      <c r="A12365">
        <v>12364</v>
      </c>
      <c r="B12365">
        <f>GS38/39</f>
        <v>0</v>
      </c>
      <c r="C12365" t="inlineStr">
        <is>
          <t>+LS</t>
        </is>
      </c>
      <c r="D12365" t="inlineStr">
        <is>
          <t>-7Q3</t>
        </is>
      </c>
      <c r="E12365" t="inlineStr">
        <is>
          <t>DILM-9-10</t>
        </is>
      </c>
      <c r="F12365" t="inlineStr">
        <is>
          <t>#KALK!</t>
        </is>
      </c>
      <c r="G12365" t="inlineStr">
        <is>
          <t>LASTSCHUETZ</t>
        </is>
      </c>
      <c r="H12365" t="inlineStr">
        <is>
          <t>4kW 1S Federzugkl.</t>
        </is>
      </c>
      <c r="I12365">
        <v>145</v>
      </c>
      <c r="J12365">
        <f>GS38/39/7.4</f>
        <v>0</v>
      </c>
      <c r="M12365" t="inlineStr">
        <is>
          <t>-7Q3</t>
        </is>
      </c>
    </row>
    <row r="12366">
      <c r="A12366">
        <v>12365</v>
      </c>
      <c r="B12366">
        <f>GS05</f>
        <v>0</v>
      </c>
      <c r="C12366" t="inlineStr">
        <is>
          <t>+LS13</t>
        </is>
      </c>
      <c r="D12366" t="inlineStr">
        <is>
          <t>-800Q1</t>
        </is>
      </c>
      <c r="E12366" t="inlineStr">
        <is>
          <t>DILA-XHI22</t>
        </is>
      </c>
      <c r="F12366" t="inlineStr">
        <is>
          <t>DILA-XHI22</t>
        </is>
      </c>
      <c r="G12366" t="inlineStr">
        <is>
          <t>HILFSKONTAKTBLOCK</t>
        </is>
      </c>
      <c r="H12366" t="inlineStr">
        <is>
          <t>2S 2OE Last+Hilfssch. Cage</t>
        </is>
      </c>
      <c r="I12366">
        <v>2694</v>
      </c>
      <c r="J12366">
        <f>GS05/800.6</f>
        <v>0</v>
      </c>
      <c r="K12366" t="inlineStr">
        <is>
          <t>DIL MC25</t>
        </is>
      </c>
      <c r="M12366" t="inlineStr">
        <is>
          <t>-800Q1</t>
        </is>
      </c>
    </row>
    <row r="12367">
      <c r="A12367">
        <v>12366</v>
      </c>
      <c r="B12367">
        <f>GS05</f>
        <v>0</v>
      </c>
      <c r="C12367" t="inlineStr">
        <is>
          <t>+LS13</t>
        </is>
      </c>
      <c r="D12367" t="inlineStr">
        <is>
          <t>-800Q1</t>
        </is>
      </c>
      <c r="E12367" t="inlineStr">
        <is>
          <t>DILMC25-10(RDC24)</t>
        </is>
      </c>
      <c r="F12367" t="inlineStr">
        <is>
          <t>DILA-XHI22</t>
        </is>
      </c>
      <c r="G12367" t="inlineStr">
        <is>
          <t>LASTSCHUETZ</t>
        </is>
      </c>
      <c r="H12367" t="inlineStr">
        <is>
          <t>11kW 1S Federzugkl.</t>
        </is>
      </c>
      <c r="I12367">
        <v>2694</v>
      </c>
      <c r="J12367">
        <f>GS05/800.6</f>
        <v>0</v>
      </c>
      <c r="K12367" t="inlineStr">
        <is>
          <t>DIL MC25</t>
        </is>
      </c>
      <c r="M12367" t="inlineStr">
        <is>
          <t>-800Q1</t>
        </is>
      </c>
    </row>
    <row r="12368">
      <c r="A12368">
        <v>12367</v>
      </c>
      <c r="B12368">
        <f>GS06</f>
        <v>0</v>
      </c>
      <c r="C12368" t="inlineStr">
        <is>
          <t>+LS12</t>
        </is>
      </c>
      <c r="D12368" t="inlineStr">
        <is>
          <t>-801K700.2</t>
        </is>
      </c>
      <c r="E12368" t="inlineStr">
        <is>
          <t>DILA-31</t>
        </is>
      </c>
      <c r="F12368" t="inlineStr">
        <is>
          <t>#KALK!</t>
        </is>
      </c>
      <c r="G12368" t="inlineStr">
        <is>
          <t>HILFSSCHUETZ</t>
        </is>
      </c>
      <c r="H12368" t="inlineStr">
        <is>
          <t>3S 1Oe Federzugkl.</t>
        </is>
      </c>
      <c r="I12368">
        <v>2308</v>
      </c>
      <c r="J12368">
        <f>GS06/801.2</f>
        <v>0</v>
      </c>
      <c r="M12368" t="inlineStr">
        <is>
          <t>-801K700.2</t>
        </is>
      </c>
    </row>
    <row r="12369">
      <c r="A12369">
        <v>12368</v>
      </c>
      <c r="B12369">
        <f>GS06</f>
        <v>0</v>
      </c>
      <c r="C12369" t="inlineStr">
        <is>
          <t>+LS12</t>
        </is>
      </c>
      <c r="D12369" t="inlineStr">
        <is>
          <t>-801K700.3</t>
        </is>
      </c>
      <c r="E12369" t="inlineStr">
        <is>
          <t>DILM-9-10</t>
        </is>
      </c>
      <c r="F12369" t="inlineStr">
        <is>
          <t>#KALK!</t>
        </is>
      </c>
      <c r="G12369" t="inlineStr">
        <is>
          <t>LASTSCHUETZ</t>
        </is>
      </c>
      <c r="H12369" t="inlineStr">
        <is>
          <t>4kW 1S Federzugkl.</t>
        </is>
      </c>
      <c r="I12369">
        <v>2308</v>
      </c>
      <c r="J12369">
        <f>GS06/801.3</f>
        <v>0</v>
      </c>
      <c r="M12369" t="inlineStr">
        <is>
          <t>-801K700.3</t>
        </is>
      </c>
    </row>
    <row r="12370">
      <c r="A12370">
        <v>12369</v>
      </c>
      <c r="B12370">
        <f>GS55</f>
        <v>0</v>
      </c>
      <c r="C12370" t="inlineStr">
        <is>
          <t>+LS13</t>
        </is>
      </c>
      <c r="D12370" t="inlineStr">
        <is>
          <t>-802Q406.4</t>
        </is>
      </c>
      <c r="E12370" t="inlineStr">
        <is>
          <t>DILM-9-10</t>
        </is>
      </c>
      <c r="F12370" t="inlineStr">
        <is>
          <t>#KALK!</t>
        </is>
      </c>
      <c r="G12370" t="inlineStr">
        <is>
          <t>LASTSCHUETZ</t>
        </is>
      </c>
      <c r="H12370" t="inlineStr">
        <is>
          <t>4kW 1S Federzugkl.</t>
        </is>
      </c>
      <c r="I12370">
        <v>1056</v>
      </c>
      <c r="J12370">
        <f>GS55/802.6</f>
        <v>0</v>
      </c>
      <c r="K12370" t="inlineStr">
        <is>
          <t>DIL MC9</t>
        </is>
      </c>
      <c r="M12370" t="inlineStr">
        <is>
          <t>-802Q406.4</t>
        </is>
      </c>
    </row>
    <row r="12371">
      <c r="A12371">
        <v>12370</v>
      </c>
      <c r="B12371">
        <f>GS93</f>
        <v>0</v>
      </c>
      <c r="C12371" t="inlineStr">
        <is>
          <t>+LS16</t>
        </is>
      </c>
      <c r="D12371" t="inlineStr">
        <is>
          <t>-803K1060.2</t>
        </is>
      </c>
      <c r="E12371" t="inlineStr">
        <is>
          <t>DILA-22</t>
        </is>
      </c>
      <c r="F12371" t="inlineStr">
        <is>
          <t>#KALK!</t>
        </is>
      </c>
      <c r="G12371" t="inlineStr">
        <is>
          <t>HILFSSCHUETZ</t>
        </is>
      </c>
      <c r="H12371" t="inlineStr">
        <is>
          <t>2S 2Oe Federzugkl.</t>
        </is>
      </c>
      <c r="I12371">
        <v>1333</v>
      </c>
      <c r="J12371">
        <f>GS93/803.6</f>
        <v>0</v>
      </c>
      <c r="M12371" t="inlineStr">
        <is>
          <t>-803K1060.2</t>
        </is>
      </c>
    </row>
    <row r="12372">
      <c r="A12372">
        <v>12371</v>
      </c>
      <c r="B12372">
        <f>GS93</f>
        <v>0</v>
      </c>
      <c r="C12372" t="inlineStr">
        <is>
          <t>+LS16</t>
        </is>
      </c>
      <c r="D12372" t="inlineStr">
        <is>
          <t>-803Q1</t>
        </is>
      </c>
      <c r="E12372" t="inlineStr">
        <is>
          <t>DILMC25-10(RDC24)</t>
        </is>
      </c>
      <c r="F12372" t="inlineStr">
        <is>
          <t>DILA-XHIC31</t>
        </is>
      </c>
      <c r="G12372" t="inlineStr">
        <is>
          <t>LASTSCHUETZ</t>
        </is>
      </c>
      <c r="H12372" t="inlineStr">
        <is>
          <t>11kW 1S Federzugkl.</t>
        </is>
      </c>
      <c r="I12372">
        <v>1333</v>
      </c>
      <c r="J12372">
        <f>GS93/803.2</f>
        <v>0</v>
      </c>
      <c r="M12372" t="inlineStr">
        <is>
          <t>-803Q1</t>
        </is>
      </c>
    </row>
    <row r="12373">
      <c r="A12373">
        <v>12372</v>
      </c>
      <c r="B12373">
        <f>GS93</f>
        <v>0</v>
      </c>
      <c r="C12373" t="inlineStr">
        <is>
          <t>+LS16</t>
        </is>
      </c>
      <c r="D12373" t="inlineStr">
        <is>
          <t>-803Q1</t>
        </is>
      </c>
      <c r="E12373" t="inlineStr">
        <is>
          <t>DILA-XHIC31</t>
        </is>
      </c>
      <c r="F12373" t="inlineStr">
        <is>
          <t>DILA-XHIC31</t>
        </is>
      </c>
      <c r="G12373" t="inlineStr">
        <is>
          <t>HILFSKONTAKTBLOCK</t>
        </is>
      </c>
      <c r="H12373" t="inlineStr">
        <is>
          <t>3S 1OE Last+Hilfssch. Cage</t>
        </is>
      </c>
      <c r="I12373">
        <v>1333</v>
      </c>
      <c r="J12373">
        <f>GS93/803.2</f>
        <v>0</v>
      </c>
      <c r="M12373" t="inlineStr">
        <is>
          <t>-803Q1</t>
        </is>
      </c>
    </row>
    <row r="12374">
      <c r="A12374">
        <v>12373</v>
      </c>
      <c r="B12374">
        <f>GS93</f>
        <v>0</v>
      </c>
      <c r="C12374" t="inlineStr">
        <is>
          <t>+LS16</t>
        </is>
      </c>
      <c r="D12374" t="inlineStr">
        <is>
          <t>-803Q2</t>
        </is>
      </c>
      <c r="E12374" t="inlineStr">
        <is>
          <t>DILM-9-01</t>
        </is>
      </c>
      <c r="F12374" t="inlineStr">
        <is>
          <t>#KALK!</t>
        </is>
      </c>
      <c r="G12374" t="inlineStr">
        <is>
          <t>LASTSCHUETZ</t>
        </is>
      </c>
      <c r="H12374" t="inlineStr">
        <is>
          <t>4kW 1Oe Federzugkl.</t>
        </is>
      </c>
      <c r="I12374">
        <v>1333</v>
      </c>
      <c r="J12374">
        <f>GS93/803.3</f>
        <v>0</v>
      </c>
      <c r="M12374" t="inlineStr">
        <is>
          <t>-803Q2</t>
        </is>
      </c>
    </row>
    <row r="12375">
      <c r="A12375">
        <v>12374</v>
      </c>
      <c r="B12375">
        <f>GS55</f>
        <v>0</v>
      </c>
      <c r="C12375" t="inlineStr">
        <is>
          <t>+LS13</t>
        </is>
      </c>
      <c r="D12375" t="inlineStr">
        <is>
          <t>-803Q406.5</t>
        </is>
      </c>
      <c r="E12375" t="inlineStr">
        <is>
          <t>DILM-9-10</t>
        </is>
      </c>
      <c r="F12375" t="inlineStr">
        <is>
          <t>#KALK!</t>
        </is>
      </c>
      <c r="G12375" t="inlineStr">
        <is>
          <t>LASTSCHUETZ</t>
        </is>
      </c>
      <c r="H12375" t="inlineStr">
        <is>
          <t>4kW 1S Federzugkl.</t>
        </is>
      </c>
      <c r="I12375">
        <v>1058</v>
      </c>
      <c r="J12375">
        <f>GS55/803.6</f>
        <v>0</v>
      </c>
      <c r="K12375" t="inlineStr">
        <is>
          <t>DIL MC9</t>
        </is>
      </c>
      <c r="M12375" t="inlineStr">
        <is>
          <t>-803Q406.5</t>
        </is>
      </c>
    </row>
    <row r="12376">
      <c r="A12376">
        <v>12375</v>
      </c>
      <c r="B12376">
        <f>GC22</f>
        <v>0</v>
      </c>
      <c r="C12376" t="inlineStr">
        <is>
          <t>+LS8</t>
        </is>
      </c>
      <c r="D12376" t="inlineStr">
        <is>
          <t>-804K1</t>
        </is>
      </c>
      <c r="E12376" t="inlineStr">
        <is>
          <t>DILA-XHI22</t>
        </is>
      </c>
      <c r="F12376" t="inlineStr">
        <is>
          <t>DILA-XHI22</t>
        </is>
      </c>
      <c r="G12376" t="inlineStr">
        <is>
          <t>HILFSKONTAKTBLOCK</t>
        </is>
      </c>
      <c r="H12376" t="inlineStr">
        <is>
          <t>2S 2OE Last+Hilfssch. Cage</t>
        </is>
      </c>
      <c r="I12376">
        <v>3585</v>
      </c>
      <c r="J12376">
        <f>GC22/804.2</f>
        <v>0</v>
      </c>
      <c r="K12376" t="inlineStr">
        <is>
          <t>DIL MC 25</t>
        </is>
      </c>
      <c r="M12376" t="inlineStr">
        <is>
          <t>-804K1</t>
        </is>
      </c>
    </row>
    <row r="12377">
      <c r="A12377">
        <v>12376</v>
      </c>
      <c r="B12377">
        <f>GC22</f>
        <v>0</v>
      </c>
      <c r="C12377" t="inlineStr">
        <is>
          <t>+LS8</t>
        </is>
      </c>
      <c r="D12377" t="inlineStr">
        <is>
          <t>-804K1</t>
        </is>
      </c>
      <c r="E12377" t="inlineStr">
        <is>
          <t>DILMC25-10230V50HZ</t>
        </is>
      </c>
      <c r="F12377" t="inlineStr">
        <is>
          <t>DILA-XHI22</t>
        </is>
      </c>
      <c r="G12377" t="inlineStr">
        <is>
          <t>LASTSCHUETZ</t>
        </is>
      </c>
      <c r="H12377" t="inlineStr">
        <is>
          <t>11kW 1S Federzugkl.</t>
        </is>
      </c>
      <c r="I12377">
        <v>3585</v>
      </c>
      <c r="J12377">
        <f>GC22/804.2</f>
        <v>0</v>
      </c>
      <c r="K12377" t="inlineStr">
        <is>
          <t>DIL MC 25</t>
        </is>
      </c>
      <c r="M12377" t="inlineStr">
        <is>
          <t>-804K1</t>
        </is>
      </c>
    </row>
    <row r="12378">
      <c r="A12378">
        <v>12377</v>
      </c>
      <c r="B12378">
        <f>GS12</f>
        <v>0</v>
      </c>
      <c r="C12378" t="inlineStr">
        <is>
          <t>+LS8</t>
        </is>
      </c>
      <c r="D12378" t="inlineStr">
        <is>
          <t>-804K1</t>
        </is>
      </c>
      <c r="E12378" t="inlineStr">
        <is>
          <t>DILMC25-10230V50HZ</t>
        </is>
      </c>
      <c r="F12378" t="inlineStr">
        <is>
          <t>DILA-XHI22</t>
        </is>
      </c>
      <c r="G12378" t="inlineStr">
        <is>
          <t>LASTSCHUETZ</t>
        </is>
      </c>
      <c r="H12378" t="inlineStr">
        <is>
          <t>11kW 1S Federzugkl.</t>
        </is>
      </c>
      <c r="I12378">
        <v>1226</v>
      </c>
      <c r="J12378">
        <f>GS12/804.2</f>
        <v>0</v>
      </c>
      <c r="K12378" t="inlineStr">
        <is>
          <t>DIL MC 25</t>
        </is>
      </c>
      <c r="M12378" t="inlineStr">
        <is>
          <t>-804K1</t>
        </is>
      </c>
    </row>
    <row r="12379">
      <c r="A12379">
        <v>12378</v>
      </c>
      <c r="B12379">
        <f>GS12</f>
        <v>0</v>
      </c>
      <c r="C12379" t="inlineStr">
        <is>
          <t>+LS8</t>
        </is>
      </c>
      <c r="D12379" t="inlineStr">
        <is>
          <t>-804K1</t>
        </is>
      </c>
      <c r="E12379" t="inlineStr">
        <is>
          <t>DILA-XHI22</t>
        </is>
      </c>
      <c r="F12379" t="inlineStr">
        <is>
          <t>DILA-XHI22</t>
        </is>
      </c>
      <c r="G12379" t="inlineStr">
        <is>
          <t>HILFSKONTAKTBLOCK</t>
        </is>
      </c>
      <c r="H12379" t="inlineStr">
        <is>
          <t>2S 2OE Last+Hilfssch. Cage</t>
        </is>
      </c>
      <c r="I12379">
        <v>1226</v>
      </c>
      <c r="J12379">
        <f>GS12/804.2</f>
        <v>0</v>
      </c>
      <c r="K12379" t="inlineStr">
        <is>
          <t>DIL MC 25</t>
        </is>
      </c>
      <c r="M12379" t="inlineStr">
        <is>
          <t>-804K1</t>
        </is>
      </c>
    </row>
    <row r="12380">
      <c r="A12380">
        <v>12379</v>
      </c>
      <c r="B12380">
        <f>GS55</f>
        <v>0</v>
      </c>
      <c r="C12380" t="inlineStr">
        <is>
          <t>+LS13</t>
        </is>
      </c>
      <c r="D12380" t="inlineStr">
        <is>
          <t>-804Q406.6</t>
        </is>
      </c>
      <c r="E12380" t="inlineStr">
        <is>
          <t>DILM-9-10</t>
        </is>
      </c>
      <c r="F12380" t="inlineStr">
        <is>
          <t>#KALK!</t>
        </is>
      </c>
      <c r="G12380" t="inlineStr">
        <is>
          <t>LASTSCHUETZ</t>
        </is>
      </c>
      <c r="H12380" t="inlineStr">
        <is>
          <t>4kW 1S Federzugkl.</t>
        </is>
      </c>
      <c r="I12380">
        <v>1059</v>
      </c>
      <c r="J12380">
        <f>GS55/804.6</f>
        <v>0</v>
      </c>
      <c r="K12380" t="inlineStr">
        <is>
          <t>DIL MC9</t>
        </is>
      </c>
      <c r="M12380" t="inlineStr">
        <is>
          <t>-804Q406.6</t>
        </is>
      </c>
    </row>
    <row r="12381">
      <c r="A12381">
        <v>12380</v>
      </c>
      <c r="B12381">
        <f>GS92</f>
        <v>0</v>
      </c>
      <c r="C12381" t="inlineStr">
        <is>
          <t>+LS15</t>
        </is>
      </c>
      <c r="D12381" t="inlineStr">
        <is>
          <t>-805K1084.0</t>
        </is>
      </c>
      <c r="E12381" t="inlineStr">
        <is>
          <t>DILA-40</t>
        </is>
      </c>
      <c r="F12381" t="inlineStr">
        <is>
          <t>#KALK!</t>
        </is>
      </c>
      <c r="G12381" t="inlineStr">
        <is>
          <t>HILFSSCHUETZ</t>
        </is>
      </c>
      <c r="H12381" t="inlineStr">
        <is>
          <t>4S Federzugkl.</t>
        </is>
      </c>
      <c r="I12381">
        <v>932</v>
      </c>
      <c r="J12381">
        <f>GS92/805.7</f>
        <v>0</v>
      </c>
      <c r="M12381" t="inlineStr">
        <is>
          <t>-805K1084.0</t>
        </is>
      </c>
    </row>
    <row r="12382">
      <c r="A12382">
        <v>12381</v>
      </c>
      <c r="B12382">
        <f>GS92</f>
        <v>0</v>
      </c>
      <c r="C12382" t="inlineStr">
        <is>
          <t>+LS15</t>
        </is>
      </c>
      <c r="D12382" t="inlineStr">
        <is>
          <t>-805Q1</t>
        </is>
      </c>
      <c r="E12382" t="inlineStr">
        <is>
          <t>DILMC25-10(RDC24)</t>
        </is>
      </c>
      <c r="F12382" t="inlineStr">
        <is>
          <t>DILA-XHI22</t>
        </is>
      </c>
      <c r="G12382" t="inlineStr">
        <is>
          <t>LASTSCHUETZ</t>
        </is>
      </c>
      <c r="H12382" t="inlineStr">
        <is>
          <t>11kW 1S Federzugkl.</t>
        </is>
      </c>
      <c r="I12382">
        <v>932</v>
      </c>
      <c r="J12382">
        <f>GS92/805.4</f>
        <v>0</v>
      </c>
      <c r="K12382" t="inlineStr">
        <is>
          <t>DIL MC25</t>
        </is>
      </c>
      <c r="M12382" t="inlineStr">
        <is>
          <t>-805Q1</t>
        </is>
      </c>
    </row>
    <row r="12383">
      <c r="A12383">
        <v>12382</v>
      </c>
      <c r="B12383">
        <f>GS92</f>
        <v>0</v>
      </c>
      <c r="C12383" t="inlineStr">
        <is>
          <t>+LS15</t>
        </is>
      </c>
      <c r="D12383" t="inlineStr">
        <is>
          <t>-805Q1</t>
        </is>
      </c>
      <c r="E12383" t="inlineStr">
        <is>
          <t>DILA-XHI22</t>
        </is>
      </c>
      <c r="F12383" t="inlineStr">
        <is>
          <t>DILA-XHI22</t>
        </is>
      </c>
      <c r="G12383" t="inlineStr">
        <is>
          <t>HILFSKONTAKTBLOCK</t>
        </is>
      </c>
      <c r="H12383" t="inlineStr">
        <is>
          <t>2S 2OE Last+Hilfssch. Cage</t>
        </is>
      </c>
      <c r="I12383">
        <v>932</v>
      </c>
      <c r="J12383">
        <f>GS92/805.4</f>
        <v>0</v>
      </c>
      <c r="K12383" t="inlineStr">
        <is>
          <t>DIL MC25</t>
        </is>
      </c>
      <c r="M12383" t="inlineStr">
        <is>
          <t>-805Q1</t>
        </is>
      </c>
    </row>
    <row r="12384">
      <c r="A12384">
        <v>12383</v>
      </c>
      <c r="B12384">
        <f>GC22</f>
        <v>0</v>
      </c>
      <c r="C12384" t="inlineStr">
        <is>
          <t>+LS8</t>
        </is>
      </c>
      <c r="D12384" t="inlineStr">
        <is>
          <t>-806K3522.3</t>
        </is>
      </c>
      <c r="E12384" t="inlineStr">
        <is>
          <t>DILM-9-10</t>
        </is>
      </c>
      <c r="F12384" t="inlineStr">
        <is>
          <t>#KALK!</t>
        </is>
      </c>
      <c r="G12384" t="inlineStr">
        <is>
          <t>LASTSCHUETZ</t>
        </is>
      </c>
      <c r="H12384" t="inlineStr">
        <is>
          <t>4kW 1S Federzugkl.</t>
        </is>
      </c>
      <c r="I12384">
        <v>3587</v>
      </c>
      <c r="J12384">
        <f>GC22/806.8</f>
        <v>0</v>
      </c>
      <c r="M12384" t="inlineStr">
        <is>
          <t>-806K3522.3</t>
        </is>
      </c>
    </row>
    <row r="12385">
      <c r="A12385">
        <v>12384</v>
      </c>
      <c r="B12385">
        <f>GS12</f>
        <v>0</v>
      </c>
      <c r="C12385" t="inlineStr">
        <is>
          <t>+LS8</t>
        </is>
      </c>
      <c r="D12385" t="inlineStr">
        <is>
          <t>-806K3522.3</t>
        </is>
      </c>
      <c r="E12385" t="inlineStr">
        <is>
          <t>DILM-9-10</t>
        </is>
      </c>
      <c r="F12385" t="inlineStr">
        <is>
          <t>#KALK!</t>
        </is>
      </c>
      <c r="G12385" t="inlineStr">
        <is>
          <t>LASTSCHUETZ</t>
        </is>
      </c>
      <c r="H12385" t="inlineStr">
        <is>
          <t>4kW 1S Federzugkl.</t>
        </is>
      </c>
      <c r="I12385">
        <v>1228</v>
      </c>
      <c r="J12385">
        <f>GS12/806.8</f>
        <v>0</v>
      </c>
      <c r="M12385" t="inlineStr">
        <is>
          <t>-806K3522.3</t>
        </is>
      </c>
    </row>
    <row r="12386">
      <c r="A12386">
        <v>12385</v>
      </c>
      <c r="B12386">
        <f>GC22</f>
        <v>0</v>
      </c>
      <c r="C12386" t="inlineStr">
        <is>
          <t>+LS8</t>
        </is>
      </c>
      <c r="D12386" t="inlineStr">
        <is>
          <t>-807K3522.4</t>
        </is>
      </c>
      <c r="E12386" t="inlineStr">
        <is>
          <t>DILM-9-01</t>
        </is>
      </c>
      <c r="F12386" t="inlineStr">
        <is>
          <t>#KALK!</t>
        </is>
      </c>
      <c r="G12386" t="inlineStr">
        <is>
          <t>LASTSCHUETZ</t>
        </is>
      </c>
      <c r="H12386" t="inlineStr">
        <is>
          <t>4kW 1Oe Federzugkl.</t>
        </is>
      </c>
      <c r="I12386">
        <v>729</v>
      </c>
      <c r="J12386">
        <f>GC22/807.6</f>
        <v>0</v>
      </c>
      <c r="M12386" t="inlineStr">
        <is>
          <t>-807K3522.4</t>
        </is>
      </c>
    </row>
    <row r="12387">
      <c r="A12387">
        <v>12386</v>
      </c>
      <c r="B12387">
        <f>GS12</f>
        <v>0</v>
      </c>
      <c r="C12387" t="inlineStr">
        <is>
          <t>+LS8</t>
        </is>
      </c>
      <c r="D12387" t="inlineStr">
        <is>
          <t>-807K3522.4</t>
        </is>
      </c>
      <c r="E12387" t="inlineStr">
        <is>
          <t>DILM-9-01</t>
        </is>
      </c>
      <c r="F12387" t="inlineStr">
        <is>
          <t>#KALK!</t>
        </is>
      </c>
      <c r="G12387" t="inlineStr">
        <is>
          <t>LASTSCHUETZ</t>
        </is>
      </c>
      <c r="H12387" t="inlineStr">
        <is>
          <t>4kW 1Oe Federzugkl.</t>
        </is>
      </c>
      <c r="I12387">
        <v>1229</v>
      </c>
      <c r="J12387">
        <f>GS12/807.6</f>
        <v>0</v>
      </c>
      <c r="M12387" t="inlineStr">
        <is>
          <t>-807K3522.4</t>
        </is>
      </c>
    </row>
    <row r="12388">
      <c r="A12388">
        <v>12387</v>
      </c>
      <c r="B12388">
        <f>GC22</f>
        <v>0</v>
      </c>
      <c r="C12388" t="inlineStr">
        <is>
          <t>+LS8</t>
        </is>
      </c>
      <c r="D12388" t="inlineStr">
        <is>
          <t>-807K3522.5</t>
        </is>
      </c>
      <c r="E12388" t="inlineStr">
        <is>
          <t>DILM-9-10</t>
        </is>
      </c>
      <c r="F12388" t="inlineStr">
        <is>
          <t>#KALK!</t>
        </is>
      </c>
      <c r="G12388" t="inlineStr">
        <is>
          <t>LASTSCHUETZ</t>
        </is>
      </c>
      <c r="H12388" t="inlineStr">
        <is>
          <t>4kW 1S Federzugkl.</t>
        </is>
      </c>
      <c r="I12388">
        <v>729</v>
      </c>
      <c r="J12388">
        <f>GC22/807.7</f>
        <v>0</v>
      </c>
      <c r="M12388" t="inlineStr">
        <is>
          <t>-807K3522.5</t>
        </is>
      </c>
    </row>
    <row r="12389">
      <c r="A12389">
        <v>12388</v>
      </c>
      <c r="B12389">
        <f>GS12</f>
        <v>0</v>
      </c>
      <c r="C12389" t="inlineStr">
        <is>
          <t>+LS8</t>
        </is>
      </c>
      <c r="D12389" t="inlineStr">
        <is>
          <t>-807K3522.5</t>
        </is>
      </c>
      <c r="E12389" t="inlineStr">
        <is>
          <t>DILM-9-10</t>
        </is>
      </c>
      <c r="F12389" t="inlineStr">
        <is>
          <t>#KALK!</t>
        </is>
      </c>
      <c r="G12389" t="inlineStr">
        <is>
          <t>LASTSCHUETZ</t>
        </is>
      </c>
      <c r="H12389" t="inlineStr">
        <is>
          <t>4kW 1S Federzugkl.</t>
        </is>
      </c>
      <c r="I12389">
        <v>1229</v>
      </c>
      <c r="J12389">
        <f>GS12/807.7</f>
        <v>0</v>
      </c>
      <c r="M12389" t="inlineStr">
        <is>
          <t>-807K3522.5</t>
        </is>
      </c>
    </row>
    <row r="12390">
      <c r="A12390">
        <v>12389</v>
      </c>
      <c r="B12390">
        <f>GC22</f>
        <v>0</v>
      </c>
      <c r="C12390" t="inlineStr">
        <is>
          <t>+LS8</t>
        </is>
      </c>
      <c r="D12390" t="inlineStr">
        <is>
          <t>-807K3524.6</t>
        </is>
      </c>
      <c r="E12390" t="inlineStr">
        <is>
          <t>DILM-9-01</t>
        </is>
      </c>
      <c r="F12390" t="inlineStr">
        <is>
          <t>#KALK!</t>
        </is>
      </c>
      <c r="G12390" t="inlineStr">
        <is>
          <t>LASTSCHUETZ</t>
        </is>
      </c>
      <c r="H12390" t="inlineStr">
        <is>
          <t>4kW 1Oe Federzugkl.</t>
        </is>
      </c>
      <c r="I12390">
        <v>729</v>
      </c>
      <c r="J12390">
        <f>GC22/807.6</f>
        <v>0</v>
      </c>
      <c r="M12390" t="inlineStr">
        <is>
          <t>-807K3524.6</t>
        </is>
      </c>
    </row>
    <row r="12391">
      <c r="A12391">
        <v>12390</v>
      </c>
      <c r="B12391">
        <f>GS12</f>
        <v>0</v>
      </c>
      <c r="C12391" t="inlineStr">
        <is>
          <t>+LS8</t>
        </is>
      </c>
      <c r="D12391" t="inlineStr">
        <is>
          <t>-807K3524.6</t>
        </is>
      </c>
      <c r="E12391" t="inlineStr">
        <is>
          <t>DILM-9-01</t>
        </is>
      </c>
      <c r="F12391" t="inlineStr">
        <is>
          <t>#KALK!</t>
        </is>
      </c>
      <c r="G12391" t="inlineStr">
        <is>
          <t>LASTSCHUETZ</t>
        </is>
      </c>
      <c r="H12391" t="inlineStr">
        <is>
          <t>4kW 1Oe Federzugkl.</t>
        </is>
      </c>
      <c r="I12391">
        <v>1229</v>
      </c>
      <c r="J12391">
        <f>GS12/807.6</f>
        <v>0</v>
      </c>
      <c r="M12391" t="inlineStr">
        <is>
          <t>-807K3524.6</t>
        </is>
      </c>
    </row>
    <row r="12392">
      <c r="A12392">
        <v>12391</v>
      </c>
      <c r="B12392">
        <f>GS55</f>
        <v>0</v>
      </c>
      <c r="C12392" t="inlineStr">
        <is>
          <t>+LS13</t>
        </is>
      </c>
      <c r="D12392" t="inlineStr">
        <is>
          <t>-807Q406.7</t>
        </is>
      </c>
      <c r="E12392" t="inlineStr">
        <is>
          <t>DILM-9-10</t>
        </is>
      </c>
      <c r="F12392" t="inlineStr">
        <is>
          <t>#KALK!</t>
        </is>
      </c>
      <c r="G12392" t="inlineStr">
        <is>
          <t>LASTSCHUETZ</t>
        </is>
      </c>
      <c r="H12392" t="inlineStr">
        <is>
          <t>4kW 1S Federzugkl.</t>
        </is>
      </c>
      <c r="I12392">
        <v>1062</v>
      </c>
      <c r="J12392">
        <f>GS55/807.6</f>
        <v>0</v>
      </c>
      <c r="K12392" t="inlineStr">
        <is>
          <t>DIL MC9</t>
        </is>
      </c>
      <c r="M12392" t="inlineStr">
        <is>
          <t>-807Q406.7</t>
        </is>
      </c>
    </row>
    <row r="12393">
      <c r="A12393">
        <v>12392</v>
      </c>
      <c r="B12393">
        <f>GC22</f>
        <v>0</v>
      </c>
      <c r="C12393" t="inlineStr">
        <is>
          <t>+LS8</t>
        </is>
      </c>
      <c r="D12393" t="inlineStr">
        <is>
          <t>-808K3523.3</t>
        </is>
      </c>
      <c r="E12393" t="inlineStr">
        <is>
          <t>DILM-9-10</t>
        </is>
      </c>
      <c r="F12393" t="inlineStr">
        <is>
          <t>#KALK!</t>
        </is>
      </c>
      <c r="G12393" t="inlineStr">
        <is>
          <t>LASTSCHUETZ</t>
        </is>
      </c>
      <c r="H12393" t="inlineStr">
        <is>
          <t>4kW 1S Federzugkl.</t>
        </is>
      </c>
      <c r="I12393">
        <v>731</v>
      </c>
      <c r="J12393">
        <f>GC22/808.8</f>
        <v>0</v>
      </c>
      <c r="M12393" t="inlineStr">
        <is>
          <t>-808K3523.3</t>
        </is>
      </c>
    </row>
    <row r="12394">
      <c r="A12394">
        <v>12393</v>
      </c>
      <c r="B12394">
        <f>GS12</f>
        <v>0</v>
      </c>
      <c r="C12394" t="inlineStr">
        <is>
          <t>+LS8</t>
        </is>
      </c>
      <c r="D12394" t="inlineStr">
        <is>
          <t>-808K3523.3</t>
        </is>
      </c>
      <c r="E12394" t="inlineStr">
        <is>
          <t>DILM-9-10</t>
        </is>
      </c>
      <c r="F12394" t="inlineStr">
        <is>
          <t>#KALK!</t>
        </is>
      </c>
      <c r="G12394" t="inlineStr">
        <is>
          <t>LASTSCHUETZ</t>
        </is>
      </c>
      <c r="H12394" t="inlineStr">
        <is>
          <t>4kW 1S Federzugkl.</t>
        </is>
      </c>
      <c r="I12394">
        <v>1230</v>
      </c>
      <c r="J12394">
        <f>GS12/808.8</f>
        <v>0</v>
      </c>
      <c r="M12394" t="inlineStr">
        <is>
          <t>-808K3523.3</t>
        </is>
      </c>
    </row>
    <row r="12395">
      <c r="A12395">
        <v>12394</v>
      </c>
      <c r="B12395">
        <f>GS92</f>
        <v>0</v>
      </c>
      <c r="C12395" t="inlineStr">
        <is>
          <t>+LS15</t>
        </is>
      </c>
      <c r="D12395" t="inlineStr">
        <is>
          <t>-808Q1084.2</t>
        </is>
      </c>
      <c r="E12395" t="inlineStr">
        <is>
          <t>DILA-XHI22</t>
        </is>
      </c>
      <c r="F12395" t="inlineStr">
        <is>
          <t>DILA-XHI22</t>
        </is>
      </c>
      <c r="G12395" t="inlineStr">
        <is>
          <t>HILFSKONTAKTBLOCK</t>
        </is>
      </c>
      <c r="H12395" t="inlineStr">
        <is>
          <t>2S 2OE Last+Hilfssch. Cage</t>
        </is>
      </c>
      <c r="I12395">
        <v>935</v>
      </c>
      <c r="J12395">
        <f>GS92/808.5</f>
        <v>0</v>
      </c>
      <c r="M12395" t="inlineStr">
        <is>
          <t>-808Q1084.2</t>
        </is>
      </c>
    </row>
    <row r="12396">
      <c r="A12396">
        <v>12395</v>
      </c>
      <c r="B12396">
        <f>GS92</f>
        <v>0</v>
      </c>
      <c r="C12396" t="inlineStr">
        <is>
          <t>+LS15</t>
        </is>
      </c>
      <c r="D12396" t="inlineStr">
        <is>
          <t>-808Q1084.2</t>
        </is>
      </c>
      <c r="E12396" t="inlineStr">
        <is>
          <t>DILM-9-10</t>
        </is>
      </c>
      <c r="F12396" t="inlineStr">
        <is>
          <t>DILA-XHI22</t>
        </is>
      </c>
      <c r="G12396" t="inlineStr">
        <is>
          <t>LASTSCHUETZ</t>
        </is>
      </c>
      <c r="H12396" t="inlineStr">
        <is>
          <t>4kW 1S Federzugkl.</t>
        </is>
      </c>
      <c r="I12396">
        <v>935</v>
      </c>
      <c r="J12396">
        <f>GS92/808.5</f>
        <v>0</v>
      </c>
      <c r="M12396" t="inlineStr">
        <is>
          <t>-808Q1084.2</t>
        </is>
      </c>
    </row>
    <row r="12397">
      <c r="A12397">
        <v>12396</v>
      </c>
      <c r="B12397">
        <f>GS92</f>
        <v>0</v>
      </c>
      <c r="C12397" t="inlineStr">
        <is>
          <t>+LS15</t>
        </is>
      </c>
      <c r="D12397" t="inlineStr">
        <is>
          <t>-808Q1084.3</t>
        </is>
      </c>
      <c r="E12397" t="inlineStr">
        <is>
          <t>DILA-XHI22</t>
        </is>
      </c>
      <c r="F12397" t="inlineStr">
        <is>
          <t>DILA-XHI22</t>
        </is>
      </c>
      <c r="G12397" t="inlineStr">
        <is>
          <t>HILFSKONTAKTBLOCK</t>
        </is>
      </c>
      <c r="H12397" t="inlineStr">
        <is>
          <t>2S 2OE Last+Hilfssch. Cage</t>
        </is>
      </c>
      <c r="I12397">
        <v>935</v>
      </c>
      <c r="J12397">
        <f>GS92/808.6</f>
        <v>0</v>
      </c>
      <c r="M12397" t="inlineStr">
        <is>
          <t>-808Q1084.3</t>
        </is>
      </c>
    </row>
    <row r="12398">
      <c r="A12398">
        <v>12397</v>
      </c>
      <c r="B12398">
        <f>GS92</f>
        <v>0</v>
      </c>
      <c r="C12398" t="inlineStr">
        <is>
          <t>+LS15</t>
        </is>
      </c>
      <c r="D12398" t="inlineStr">
        <is>
          <t>-808Q1084.3</t>
        </is>
      </c>
      <c r="E12398" t="inlineStr">
        <is>
          <t>DILM-9-10</t>
        </is>
      </c>
      <c r="F12398" t="inlineStr">
        <is>
          <t>DILA-XHI22</t>
        </is>
      </c>
      <c r="G12398" t="inlineStr">
        <is>
          <t>LASTSCHUETZ</t>
        </is>
      </c>
      <c r="H12398" t="inlineStr">
        <is>
          <t>4kW 1S Federzugkl.</t>
        </is>
      </c>
      <c r="I12398">
        <v>935</v>
      </c>
      <c r="J12398">
        <f>GS92/808.6</f>
        <v>0</v>
      </c>
      <c r="M12398" t="inlineStr">
        <is>
          <t>-808Q1084.3</t>
        </is>
      </c>
    </row>
    <row r="12399">
      <c r="A12399">
        <v>12398</v>
      </c>
      <c r="B12399">
        <f>GC22</f>
        <v>0</v>
      </c>
      <c r="C12399" t="inlineStr">
        <is>
          <t>+LS8</t>
        </is>
      </c>
      <c r="D12399" t="inlineStr">
        <is>
          <t>-809K3523.4</t>
        </is>
      </c>
      <c r="E12399" t="inlineStr">
        <is>
          <t>DILM-9-01</t>
        </is>
      </c>
      <c r="F12399" t="inlineStr">
        <is>
          <t>#KALK!</t>
        </is>
      </c>
      <c r="G12399" t="inlineStr">
        <is>
          <t>LASTSCHUETZ</t>
        </is>
      </c>
      <c r="H12399" t="inlineStr">
        <is>
          <t>4kW 1Oe Federzugkl.</t>
        </is>
      </c>
      <c r="I12399">
        <v>732</v>
      </c>
      <c r="J12399">
        <f>GC22/809.6</f>
        <v>0</v>
      </c>
      <c r="M12399" t="inlineStr">
        <is>
          <t>-809K3523.4</t>
        </is>
      </c>
    </row>
    <row r="12400">
      <c r="A12400">
        <v>12399</v>
      </c>
      <c r="B12400">
        <f>GS12</f>
        <v>0</v>
      </c>
      <c r="C12400" t="inlineStr">
        <is>
          <t>+LS8</t>
        </is>
      </c>
      <c r="D12400" t="inlineStr">
        <is>
          <t>-809K3523.4</t>
        </is>
      </c>
      <c r="E12400" t="inlineStr">
        <is>
          <t>DILM-9-01</t>
        </is>
      </c>
      <c r="F12400" t="inlineStr">
        <is>
          <t>#KALK!</t>
        </is>
      </c>
      <c r="G12400" t="inlineStr">
        <is>
          <t>LASTSCHUETZ</t>
        </is>
      </c>
      <c r="H12400" t="inlineStr">
        <is>
          <t>4kW 1Oe Federzugkl.</t>
        </is>
      </c>
      <c r="I12400">
        <v>1231</v>
      </c>
      <c r="J12400">
        <f>GS12/809.6</f>
        <v>0</v>
      </c>
      <c r="M12400" t="inlineStr">
        <is>
          <t>-809K3523.4</t>
        </is>
      </c>
    </row>
    <row r="12401">
      <c r="A12401">
        <v>12400</v>
      </c>
      <c r="B12401">
        <f>GC22</f>
        <v>0</v>
      </c>
      <c r="C12401" t="inlineStr">
        <is>
          <t>+LS8</t>
        </is>
      </c>
      <c r="D12401" t="inlineStr">
        <is>
          <t>-809K3523.5</t>
        </is>
      </c>
      <c r="E12401" t="inlineStr">
        <is>
          <t>DILM-9-10</t>
        </is>
      </c>
      <c r="F12401" t="inlineStr">
        <is>
          <t>#KALK!</t>
        </is>
      </c>
      <c r="G12401" t="inlineStr">
        <is>
          <t>LASTSCHUETZ</t>
        </is>
      </c>
      <c r="H12401" t="inlineStr">
        <is>
          <t>4kW 1S Federzugkl.</t>
        </is>
      </c>
      <c r="I12401">
        <v>732</v>
      </c>
      <c r="J12401">
        <f>GC22/809.7</f>
        <v>0</v>
      </c>
      <c r="M12401" t="inlineStr">
        <is>
          <t>-809K3523.5</t>
        </is>
      </c>
    </row>
    <row r="12402">
      <c r="A12402">
        <v>12401</v>
      </c>
      <c r="B12402">
        <f>GS12</f>
        <v>0</v>
      </c>
      <c r="C12402" t="inlineStr">
        <is>
          <t>+LS8</t>
        </is>
      </c>
      <c r="D12402" t="inlineStr">
        <is>
          <t>-809K3523.5</t>
        </is>
      </c>
      <c r="E12402" t="inlineStr">
        <is>
          <t>DILM-9-10</t>
        </is>
      </c>
      <c r="F12402" t="inlineStr">
        <is>
          <t>#KALK!</t>
        </is>
      </c>
      <c r="G12402" t="inlineStr">
        <is>
          <t>LASTSCHUETZ</t>
        </is>
      </c>
      <c r="H12402" t="inlineStr">
        <is>
          <t>4kW 1S Federzugkl.</t>
        </is>
      </c>
      <c r="I12402">
        <v>1231</v>
      </c>
      <c r="J12402">
        <f>GS12/809.7</f>
        <v>0</v>
      </c>
      <c r="M12402" t="inlineStr">
        <is>
          <t>-809K3523.5</t>
        </is>
      </c>
    </row>
    <row r="12403">
      <c r="A12403">
        <v>12402</v>
      </c>
      <c r="B12403">
        <f>GC22</f>
        <v>0</v>
      </c>
      <c r="C12403" t="inlineStr">
        <is>
          <t>+LS8</t>
        </is>
      </c>
      <c r="D12403" t="inlineStr">
        <is>
          <t>-809K3524.7</t>
        </is>
      </c>
      <c r="E12403" t="inlineStr">
        <is>
          <t>DILM-9-01</t>
        </is>
      </c>
      <c r="F12403" t="inlineStr">
        <is>
          <t>#KALK!</t>
        </is>
      </c>
      <c r="G12403" t="inlineStr">
        <is>
          <t>LASTSCHUETZ</t>
        </is>
      </c>
      <c r="H12403" t="inlineStr">
        <is>
          <t>4kW 1Oe Federzugkl.</t>
        </is>
      </c>
      <c r="I12403">
        <v>732</v>
      </c>
      <c r="J12403">
        <f>GC22/809.6</f>
        <v>0</v>
      </c>
      <c r="M12403" t="inlineStr">
        <is>
          <t>-809K3524.7</t>
        </is>
      </c>
    </row>
    <row r="12404">
      <c r="A12404">
        <v>12403</v>
      </c>
      <c r="B12404">
        <f>GS12</f>
        <v>0</v>
      </c>
      <c r="C12404" t="inlineStr">
        <is>
          <t>+LS8</t>
        </is>
      </c>
      <c r="D12404" t="inlineStr">
        <is>
          <t>-809K3524.7</t>
        </is>
      </c>
      <c r="E12404" t="inlineStr">
        <is>
          <t>DILM-9-01</t>
        </is>
      </c>
      <c r="F12404" t="inlineStr">
        <is>
          <t>#KALK!</t>
        </is>
      </c>
      <c r="G12404" t="inlineStr">
        <is>
          <t>LASTSCHUETZ</t>
        </is>
      </c>
      <c r="H12404" t="inlineStr">
        <is>
          <t>4kW 1Oe Federzugkl.</t>
        </is>
      </c>
      <c r="I12404">
        <v>1231</v>
      </c>
      <c r="J12404">
        <f>GS12/809.6</f>
        <v>0</v>
      </c>
      <c r="M12404" t="inlineStr">
        <is>
          <t>-809K3524.7</t>
        </is>
      </c>
    </row>
    <row r="12405">
      <c r="A12405">
        <v>12404</v>
      </c>
      <c r="B12405">
        <f>GS92</f>
        <v>0</v>
      </c>
      <c r="C12405" t="inlineStr">
        <is>
          <t>+LS15</t>
        </is>
      </c>
      <c r="D12405" t="inlineStr">
        <is>
          <t>-809Q1084.4</t>
        </is>
      </c>
      <c r="E12405" t="inlineStr">
        <is>
          <t>DILM-9-10</t>
        </is>
      </c>
      <c r="F12405" t="inlineStr">
        <is>
          <t>#KALK!</t>
        </is>
      </c>
      <c r="G12405" t="inlineStr">
        <is>
          <t>LASTSCHUETZ</t>
        </is>
      </c>
      <c r="H12405" t="inlineStr">
        <is>
          <t>4kW 1S Federzugkl.</t>
        </is>
      </c>
      <c r="I12405">
        <v>936</v>
      </c>
      <c r="J12405">
        <f>GS92/809.5</f>
        <v>0</v>
      </c>
      <c r="M12405" t="inlineStr">
        <is>
          <t>-809Q1084.4</t>
        </is>
      </c>
    </row>
    <row r="12406">
      <c r="A12406">
        <v>12405</v>
      </c>
      <c r="B12406">
        <f>GS93</f>
        <v>0</v>
      </c>
      <c r="C12406" t="inlineStr">
        <is>
          <t>+LS16</t>
        </is>
      </c>
      <c r="D12406" t="inlineStr">
        <is>
          <t>-810K1062.0</t>
        </is>
      </c>
      <c r="E12406" t="inlineStr">
        <is>
          <t>DILA-40</t>
        </is>
      </c>
      <c r="F12406" t="inlineStr">
        <is>
          <t>#KALK!</t>
        </is>
      </c>
      <c r="G12406" t="inlineStr">
        <is>
          <t>HILFSSCHUETZ</t>
        </is>
      </c>
      <c r="H12406" t="inlineStr">
        <is>
          <t>4S Federzugkl.</t>
        </is>
      </c>
      <c r="I12406">
        <v>1340</v>
      </c>
      <c r="J12406">
        <f>GS93/810.7</f>
        <v>0</v>
      </c>
      <c r="M12406" t="inlineStr">
        <is>
          <t>-810K1062.0</t>
        </is>
      </c>
    </row>
    <row r="12407">
      <c r="A12407">
        <v>12406</v>
      </c>
      <c r="B12407">
        <f>GC22</f>
        <v>0</v>
      </c>
      <c r="C12407" t="inlineStr">
        <is>
          <t>+LS8</t>
        </is>
      </c>
      <c r="D12407" t="inlineStr">
        <is>
          <t>-810K3524.1</t>
        </is>
      </c>
      <c r="E12407" t="inlineStr">
        <is>
          <t>DILM-9-10</t>
        </is>
      </c>
      <c r="F12407" t="inlineStr">
        <is>
          <t>#KALK!</t>
        </is>
      </c>
      <c r="G12407" t="inlineStr">
        <is>
          <t>LASTSCHUETZ</t>
        </is>
      </c>
      <c r="H12407" t="inlineStr">
        <is>
          <t>4kW 1S Federzugkl.</t>
        </is>
      </c>
      <c r="I12407">
        <v>720</v>
      </c>
      <c r="J12407">
        <f>GC22/810.8</f>
        <v>0</v>
      </c>
      <c r="M12407" t="inlineStr">
        <is>
          <t>-810K3524.1</t>
        </is>
      </c>
    </row>
    <row r="12408">
      <c r="A12408">
        <v>12407</v>
      </c>
      <c r="B12408">
        <f>GS12</f>
        <v>0</v>
      </c>
      <c r="C12408" t="inlineStr">
        <is>
          <t>+LS8</t>
        </is>
      </c>
      <c r="D12408" t="inlineStr">
        <is>
          <t>-810K3524.1</t>
        </is>
      </c>
      <c r="E12408" t="inlineStr">
        <is>
          <t>DILM-9-10</t>
        </is>
      </c>
      <c r="F12408" t="inlineStr">
        <is>
          <t>#KALK!</t>
        </is>
      </c>
      <c r="G12408" t="inlineStr">
        <is>
          <t>LASTSCHUETZ</t>
        </is>
      </c>
      <c r="H12408" t="inlineStr">
        <is>
          <t>4kW 1S Federzugkl.</t>
        </is>
      </c>
      <c r="I12408">
        <v>1232</v>
      </c>
      <c r="J12408">
        <f>GS12/810.8</f>
        <v>0</v>
      </c>
      <c r="M12408" t="inlineStr">
        <is>
          <t>-810K3524.1</t>
        </is>
      </c>
    </row>
    <row r="12409">
      <c r="A12409">
        <v>12408</v>
      </c>
      <c r="B12409">
        <f>GS93</f>
        <v>0</v>
      </c>
      <c r="C12409" t="inlineStr">
        <is>
          <t>+LS16</t>
        </is>
      </c>
      <c r="D12409" t="inlineStr">
        <is>
          <t>-810Q1</t>
        </is>
      </c>
      <c r="E12409" t="inlineStr">
        <is>
          <t>DILA-XHI22</t>
        </is>
      </c>
      <c r="F12409" t="inlineStr">
        <is>
          <t>DILA-XHI22</t>
        </is>
      </c>
      <c r="G12409" t="inlineStr">
        <is>
          <t>HILFSKONTAKTBLOCK</t>
        </is>
      </c>
      <c r="H12409" t="inlineStr">
        <is>
          <t>2S 2OE Last+Hilfssch. Cage</t>
        </is>
      </c>
      <c r="I12409">
        <v>1340</v>
      </c>
      <c r="J12409">
        <f>GS93/810.4</f>
        <v>0</v>
      </c>
      <c r="K12409" t="inlineStr">
        <is>
          <t>DIL MC25</t>
        </is>
      </c>
      <c r="M12409" t="inlineStr">
        <is>
          <t>-810Q1</t>
        </is>
      </c>
    </row>
    <row r="12410">
      <c r="A12410">
        <v>12409</v>
      </c>
      <c r="B12410">
        <f>GS93</f>
        <v>0</v>
      </c>
      <c r="C12410" t="inlineStr">
        <is>
          <t>+LS16</t>
        </is>
      </c>
      <c r="D12410" t="inlineStr">
        <is>
          <t>-810Q1</t>
        </is>
      </c>
      <c r="E12410" t="inlineStr">
        <is>
          <t>DILMC25-10(RDC24)</t>
        </is>
      </c>
      <c r="F12410" t="inlineStr">
        <is>
          <t>DILA-XHI22</t>
        </is>
      </c>
      <c r="G12410" t="inlineStr">
        <is>
          <t>LASTSCHUETZ</t>
        </is>
      </c>
      <c r="H12410" t="inlineStr">
        <is>
          <t>11kW 1S Federzugkl.</t>
        </is>
      </c>
      <c r="I12410">
        <v>1340</v>
      </c>
      <c r="J12410">
        <f>GS93/810.4</f>
        <v>0</v>
      </c>
      <c r="K12410" t="inlineStr">
        <is>
          <t>DIL MC25</t>
        </is>
      </c>
      <c r="M12410" t="inlineStr">
        <is>
          <t>-810Q1</t>
        </is>
      </c>
    </row>
    <row r="12411">
      <c r="A12411">
        <v>12410</v>
      </c>
      <c r="B12411">
        <f>GS92</f>
        <v>0</v>
      </c>
      <c r="C12411" t="inlineStr">
        <is>
          <t>+LS15</t>
        </is>
      </c>
      <c r="D12411" t="inlineStr">
        <is>
          <t>-810Q1084.5</t>
        </is>
      </c>
      <c r="E12411" t="inlineStr">
        <is>
          <t>DILM-9-10</t>
        </is>
      </c>
      <c r="F12411" t="inlineStr">
        <is>
          <t>#KALK!</t>
        </is>
      </c>
      <c r="G12411" t="inlineStr">
        <is>
          <t>LASTSCHUETZ</t>
        </is>
      </c>
      <c r="H12411" t="inlineStr">
        <is>
          <t>4kW 1S Federzugkl.</t>
        </is>
      </c>
      <c r="I12411">
        <v>937</v>
      </c>
      <c r="J12411">
        <f>GS92/810.5</f>
        <v>0</v>
      </c>
      <c r="M12411" t="inlineStr">
        <is>
          <t>-810Q1084.5</t>
        </is>
      </c>
    </row>
    <row r="12412">
      <c r="A12412">
        <v>12411</v>
      </c>
      <c r="B12412">
        <f>GS93</f>
        <v>0</v>
      </c>
      <c r="C12412" t="inlineStr">
        <is>
          <t>+LS16</t>
        </is>
      </c>
      <c r="D12412" t="inlineStr">
        <is>
          <t>-811Q1062.1</t>
        </is>
      </c>
      <c r="E12412" t="inlineStr">
        <is>
          <t>DILM-9-10</t>
        </is>
      </c>
      <c r="F12412" t="inlineStr">
        <is>
          <t>#KALK!</t>
        </is>
      </c>
      <c r="G12412" t="inlineStr">
        <is>
          <t>LASTSCHUETZ</t>
        </is>
      </c>
      <c r="H12412" t="inlineStr">
        <is>
          <t>4kW 1S Federzugkl.</t>
        </is>
      </c>
      <c r="I12412">
        <v>1341</v>
      </c>
      <c r="J12412">
        <f>GS93/811.5</f>
        <v>0</v>
      </c>
      <c r="M12412" t="inlineStr">
        <is>
          <t>-811Q1062.1</t>
        </is>
      </c>
    </row>
    <row r="12413">
      <c r="A12413">
        <v>12412</v>
      </c>
      <c r="B12413">
        <f>GS92</f>
        <v>0</v>
      </c>
      <c r="C12413" t="inlineStr">
        <is>
          <t>+LS15</t>
        </is>
      </c>
      <c r="D12413" t="inlineStr">
        <is>
          <t>-813Q1084.6</t>
        </is>
      </c>
      <c r="E12413" t="inlineStr">
        <is>
          <t>DILM-9-10</t>
        </is>
      </c>
      <c r="F12413" t="inlineStr">
        <is>
          <t>#KALK!</t>
        </is>
      </c>
      <c r="G12413" t="inlineStr">
        <is>
          <t>LASTSCHUETZ</t>
        </is>
      </c>
      <c r="H12413" t="inlineStr">
        <is>
          <t>4kW 1S Federzugkl.</t>
        </is>
      </c>
      <c r="I12413">
        <v>940</v>
      </c>
      <c r="J12413">
        <f>GS92/813.5</f>
        <v>0</v>
      </c>
      <c r="M12413" t="inlineStr">
        <is>
          <t>-813Q1084.6</t>
        </is>
      </c>
    </row>
    <row r="12414">
      <c r="A12414">
        <v>12413</v>
      </c>
      <c r="B12414">
        <f>GS93</f>
        <v>0</v>
      </c>
      <c r="C12414" t="inlineStr">
        <is>
          <t>+LS16</t>
        </is>
      </c>
      <c r="D12414" t="inlineStr">
        <is>
          <t>-815K1062.4</t>
        </is>
      </c>
      <c r="E12414" t="inlineStr">
        <is>
          <t>DILA-40</t>
        </is>
      </c>
      <c r="F12414" t="inlineStr">
        <is>
          <t>#KALK!</t>
        </is>
      </c>
      <c r="G12414" t="inlineStr">
        <is>
          <t>HILFSSCHUETZ</t>
        </is>
      </c>
      <c r="H12414" t="inlineStr">
        <is>
          <t>4S Federzugkl.</t>
        </is>
      </c>
      <c r="I12414">
        <v>1345</v>
      </c>
      <c r="J12414">
        <f>GS93/815.7</f>
        <v>0</v>
      </c>
      <c r="M12414" t="inlineStr">
        <is>
          <t>-815K1062.4</t>
        </is>
      </c>
    </row>
    <row r="12415">
      <c r="A12415">
        <v>12414</v>
      </c>
      <c r="B12415">
        <f>GS93</f>
        <v>0</v>
      </c>
      <c r="C12415" t="inlineStr">
        <is>
          <t>+LS16</t>
        </is>
      </c>
      <c r="D12415" t="inlineStr">
        <is>
          <t>-815Q1</t>
        </is>
      </c>
      <c r="E12415" t="inlineStr">
        <is>
          <t>DILA-XHI22</t>
        </is>
      </c>
      <c r="F12415" t="inlineStr">
        <is>
          <t>DILA-XHI22</t>
        </is>
      </c>
      <c r="G12415" t="inlineStr">
        <is>
          <t>HILFSKONTAKTBLOCK</t>
        </is>
      </c>
      <c r="H12415" t="inlineStr">
        <is>
          <t>2S 2OE Last+Hilfssch. Cage</t>
        </is>
      </c>
      <c r="I12415">
        <v>1345</v>
      </c>
      <c r="J12415">
        <f>GS93/815.4</f>
        <v>0</v>
      </c>
      <c r="K12415" t="inlineStr">
        <is>
          <t>DIL MC25</t>
        </is>
      </c>
      <c r="M12415" t="inlineStr">
        <is>
          <t>-815Q1</t>
        </is>
      </c>
    </row>
    <row r="12416">
      <c r="A12416">
        <v>12415</v>
      </c>
      <c r="B12416">
        <f>GS93</f>
        <v>0</v>
      </c>
      <c r="C12416" t="inlineStr">
        <is>
          <t>+LS16</t>
        </is>
      </c>
      <c r="D12416" t="inlineStr">
        <is>
          <t>-815Q1</t>
        </is>
      </c>
      <c r="E12416" t="inlineStr">
        <is>
          <t>DILMC25-10(RDC24)</t>
        </is>
      </c>
      <c r="F12416" t="inlineStr">
        <is>
          <t>DILA-XHI22</t>
        </is>
      </c>
      <c r="G12416" t="inlineStr">
        <is>
          <t>LASTSCHUETZ</t>
        </is>
      </c>
      <c r="H12416" t="inlineStr">
        <is>
          <t>11kW 1S Federzugkl.</t>
        </is>
      </c>
      <c r="I12416">
        <v>1345</v>
      </c>
      <c r="J12416">
        <f>GS93/815.4</f>
        <v>0</v>
      </c>
      <c r="K12416" t="inlineStr">
        <is>
          <t>DIL MC25</t>
        </is>
      </c>
      <c r="M12416" t="inlineStr">
        <is>
          <t>-815Q1</t>
        </is>
      </c>
    </row>
    <row r="12417">
      <c r="A12417">
        <v>12416</v>
      </c>
      <c r="B12417">
        <f>GC22</f>
        <v>0</v>
      </c>
      <c r="C12417" t="inlineStr">
        <is>
          <t>+LS8</t>
        </is>
      </c>
      <c r="D12417" t="inlineStr">
        <is>
          <t>-816K1</t>
        </is>
      </c>
      <c r="E12417" t="inlineStr">
        <is>
          <t>DILA-XHI22</t>
        </is>
      </c>
      <c r="F12417" t="inlineStr">
        <is>
          <t>DILA-XHI22</t>
        </is>
      </c>
      <c r="G12417" t="inlineStr">
        <is>
          <t>HILFSKONTAKTBLOCK</t>
        </is>
      </c>
      <c r="H12417" t="inlineStr">
        <is>
          <t>2S 2OE Last+Hilfssch. Cage</t>
        </is>
      </c>
      <c r="I12417">
        <v>2711</v>
      </c>
      <c r="J12417">
        <f>GC22/816.2</f>
        <v>0</v>
      </c>
      <c r="K12417" t="inlineStr">
        <is>
          <t>DIL MC 25</t>
        </is>
      </c>
      <c r="M12417" t="inlineStr">
        <is>
          <t>-816K1</t>
        </is>
      </c>
    </row>
    <row r="12418">
      <c r="A12418">
        <v>12417</v>
      </c>
      <c r="B12418">
        <f>GC22</f>
        <v>0</v>
      </c>
      <c r="C12418" t="inlineStr">
        <is>
          <t>+LS8</t>
        </is>
      </c>
      <c r="D12418" t="inlineStr">
        <is>
          <t>-816K1</t>
        </is>
      </c>
      <c r="E12418" t="inlineStr">
        <is>
          <t>DILMC25-10230V50HZ</t>
        </is>
      </c>
      <c r="F12418" t="inlineStr">
        <is>
          <t>DILA-XHI22</t>
        </is>
      </c>
      <c r="G12418" t="inlineStr">
        <is>
          <t>LASTSCHUETZ</t>
        </is>
      </c>
      <c r="H12418" t="inlineStr">
        <is>
          <t>11kW 1S Federzugkl.</t>
        </is>
      </c>
      <c r="I12418">
        <v>2711</v>
      </c>
      <c r="J12418">
        <f>GC22/816.2</f>
        <v>0</v>
      </c>
      <c r="K12418" t="inlineStr">
        <is>
          <t>DIL MC 25</t>
        </is>
      </c>
      <c r="M12418" t="inlineStr">
        <is>
          <t>-816K1</t>
        </is>
      </c>
    </row>
    <row r="12419">
      <c r="A12419">
        <v>12418</v>
      </c>
      <c r="B12419">
        <f>GS12</f>
        <v>0</v>
      </c>
      <c r="C12419" t="inlineStr">
        <is>
          <t>+LS8</t>
        </is>
      </c>
      <c r="D12419" t="inlineStr">
        <is>
          <t>-816K1</t>
        </is>
      </c>
      <c r="E12419" t="inlineStr">
        <is>
          <t>DILMC25-10230V50HZ</t>
        </is>
      </c>
      <c r="F12419" t="inlineStr">
        <is>
          <t>DILA-XHI22</t>
        </is>
      </c>
      <c r="G12419" t="inlineStr">
        <is>
          <t>LASTSCHUETZ</t>
        </is>
      </c>
      <c r="H12419" t="inlineStr">
        <is>
          <t>11kW 1S Federzugkl.</t>
        </is>
      </c>
      <c r="I12419">
        <v>1238</v>
      </c>
      <c r="J12419">
        <f>GS12/816.2</f>
        <v>0</v>
      </c>
      <c r="K12419" t="inlineStr">
        <is>
          <t>DIL MC 25</t>
        </is>
      </c>
      <c r="M12419" t="inlineStr">
        <is>
          <t>-816K1</t>
        </is>
      </c>
    </row>
    <row r="12420">
      <c r="A12420">
        <v>12419</v>
      </c>
      <c r="B12420">
        <f>GS12</f>
        <v>0</v>
      </c>
      <c r="C12420" t="inlineStr">
        <is>
          <t>+LS8</t>
        </is>
      </c>
      <c r="D12420" t="inlineStr">
        <is>
          <t>-816K1</t>
        </is>
      </c>
      <c r="E12420" t="inlineStr">
        <is>
          <t>DILA-XHI22</t>
        </is>
      </c>
      <c r="F12420" t="inlineStr">
        <is>
          <t>DILA-XHI22</t>
        </is>
      </c>
      <c r="G12420" t="inlineStr">
        <is>
          <t>HILFSKONTAKTBLOCK</t>
        </is>
      </c>
      <c r="H12420" t="inlineStr">
        <is>
          <t>2S 2OE Last+Hilfssch. Cage</t>
        </is>
      </c>
      <c r="I12420">
        <v>1238</v>
      </c>
      <c r="J12420">
        <f>GS12/816.2</f>
        <v>0</v>
      </c>
      <c r="K12420" t="inlineStr">
        <is>
          <t>DIL MC 25</t>
        </is>
      </c>
      <c r="M12420" t="inlineStr">
        <is>
          <t>-816K1</t>
        </is>
      </c>
    </row>
    <row r="12421">
      <c r="A12421">
        <v>12420</v>
      </c>
      <c r="B12421">
        <f>GS93</f>
        <v>0</v>
      </c>
      <c r="C12421" t="inlineStr">
        <is>
          <t>+LS16</t>
        </is>
      </c>
      <c r="D12421" t="inlineStr">
        <is>
          <t>-816Q1062.5</t>
        </is>
      </c>
      <c r="E12421" t="inlineStr">
        <is>
          <t>DILM-9-10</t>
        </is>
      </c>
      <c r="F12421" t="inlineStr">
        <is>
          <t>#KALK!</t>
        </is>
      </c>
      <c r="G12421" t="inlineStr">
        <is>
          <t>LASTSCHUETZ</t>
        </is>
      </c>
      <c r="H12421" t="inlineStr">
        <is>
          <t>4kW 1S Federzugkl.</t>
        </is>
      </c>
      <c r="I12421">
        <v>1346</v>
      </c>
      <c r="J12421">
        <f>GS93/816.5</f>
        <v>0</v>
      </c>
      <c r="M12421" t="inlineStr">
        <is>
          <t>-816Q1062.5</t>
        </is>
      </c>
    </row>
    <row r="12422">
      <c r="A12422">
        <v>12421</v>
      </c>
      <c r="B12422">
        <f>GC22</f>
        <v>0</v>
      </c>
      <c r="C12422" t="inlineStr">
        <is>
          <t>+LS8</t>
        </is>
      </c>
      <c r="D12422" t="inlineStr">
        <is>
          <t>-818K3525.3</t>
        </is>
      </c>
      <c r="E12422" t="inlineStr">
        <is>
          <t>DILM-9-10</t>
        </is>
      </c>
      <c r="F12422" t="inlineStr">
        <is>
          <t>#KALK!</t>
        </is>
      </c>
      <c r="G12422" t="inlineStr">
        <is>
          <t>LASTSCHUETZ</t>
        </is>
      </c>
      <c r="H12422" t="inlineStr">
        <is>
          <t>4kW 1S Federzugkl.</t>
        </is>
      </c>
      <c r="I12422">
        <v>2709</v>
      </c>
      <c r="J12422">
        <f>GC22/818.8</f>
        <v>0</v>
      </c>
      <c r="M12422" t="inlineStr">
        <is>
          <t>-818K3525.3</t>
        </is>
      </c>
    </row>
    <row r="12423">
      <c r="A12423">
        <v>12422</v>
      </c>
      <c r="B12423">
        <f>GS12</f>
        <v>0</v>
      </c>
      <c r="C12423" t="inlineStr">
        <is>
          <t>+LS8</t>
        </is>
      </c>
      <c r="D12423" t="inlineStr">
        <is>
          <t>-818K3525.3</t>
        </is>
      </c>
      <c r="E12423" t="inlineStr">
        <is>
          <t>DILM-9-10</t>
        </is>
      </c>
      <c r="F12423" t="inlineStr">
        <is>
          <t>#KALK!</t>
        </is>
      </c>
      <c r="G12423" t="inlineStr">
        <is>
          <t>LASTSCHUETZ</t>
        </is>
      </c>
      <c r="H12423" t="inlineStr">
        <is>
          <t>4kW 1S Federzugkl.</t>
        </is>
      </c>
      <c r="I12423">
        <v>1240</v>
      </c>
      <c r="J12423">
        <f>GS12/818.8</f>
        <v>0</v>
      </c>
      <c r="M12423" t="inlineStr">
        <is>
          <t>-818K3525.3</t>
        </is>
      </c>
    </row>
    <row r="12424">
      <c r="A12424">
        <v>12423</v>
      </c>
      <c r="B12424">
        <f>GC22</f>
        <v>0</v>
      </c>
      <c r="C12424" t="inlineStr">
        <is>
          <t>+LS8</t>
        </is>
      </c>
      <c r="D12424" t="inlineStr">
        <is>
          <t>-819K3525.4</t>
        </is>
      </c>
      <c r="E12424" t="inlineStr">
        <is>
          <t>DILM-9-10</t>
        </is>
      </c>
      <c r="F12424" t="inlineStr">
        <is>
          <t>#KALK!</t>
        </is>
      </c>
      <c r="G12424" t="inlineStr">
        <is>
          <t>LASTSCHUETZ</t>
        </is>
      </c>
      <c r="H12424" t="inlineStr">
        <is>
          <t>4kW 1S Federzugkl.</t>
        </is>
      </c>
      <c r="I12424">
        <v>2708</v>
      </c>
      <c r="J12424">
        <f>GC22/819.6</f>
        <v>0</v>
      </c>
      <c r="M12424" t="inlineStr">
        <is>
          <t>-819K3525.4</t>
        </is>
      </c>
    </row>
    <row r="12425">
      <c r="A12425">
        <v>12424</v>
      </c>
      <c r="B12425">
        <f>GS12</f>
        <v>0</v>
      </c>
      <c r="C12425" t="inlineStr">
        <is>
          <t>+LS8</t>
        </is>
      </c>
      <c r="D12425" t="inlineStr">
        <is>
          <t>-819K3525.4</t>
        </is>
      </c>
      <c r="E12425" t="inlineStr">
        <is>
          <t>DILM-9-10</t>
        </is>
      </c>
      <c r="F12425" t="inlineStr">
        <is>
          <t>#KALK!</t>
        </is>
      </c>
      <c r="G12425" t="inlineStr">
        <is>
          <t>LASTSCHUETZ</t>
        </is>
      </c>
      <c r="H12425" t="inlineStr">
        <is>
          <t>4kW 1S Federzugkl.</t>
        </is>
      </c>
      <c r="I12425">
        <v>1241</v>
      </c>
      <c r="J12425">
        <f>GS12/819.6</f>
        <v>0</v>
      </c>
      <c r="M12425" t="inlineStr">
        <is>
          <t>-819K3525.4</t>
        </is>
      </c>
    </row>
    <row r="12426">
      <c r="A12426">
        <v>12425</v>
      </c>
      <c r="B12426">
        <f>GS93</f>
        <v>0</v>
      </c>
      <c r="C12426" t="inlineStr">
        <is>
          <t>+LS16</t>
        </is>
      </c>
      <c r="D12426" t="inlineStr">
        <is>
          <t>-820K1063.0</t>
        </is>
      </c>
      <c r="E12426" t="inlineStr">
        <is>
          <t>DILA-40</t>
        </is>
      </c>
      <c r="F12426" t="inlineStr">
        <is>
          <t>#KALK!</t>
        </is>
      </c>
      <c r="G12426" t="inlineStr">
        <is>
          <t>HILFSSCHUETZ</t>
        </is>
      </c>
      <c r="H12426" t="inlineStr">
        <is>
          <t>4S Federzugkl.</t>
        </is>
      </c>
      <c r="I12426">
        <v>1350</v>
      </c>
      <c r="J12426">
        <f>GS93/820.7</f>
        <v>0</v>
      </c>
      <c r="M12426" t="inlineStr">
        <is>
          <t>-820K1063.0</t>
        </is>
      </c>
    </row>
    <row r="12427">
      <c r="A12427">
        <v>12426</v>
      </c>
      <c r="B12427">
        <f>GS92</f>
        <v>0</v>
      </c>
      <c r="C12427" t="inlineStr">
        <is>
          <t>+LS15</t>
        </is>
      </c>
      <c r="D12427" t="inlineStr">
        <is>
          <t>-820K1087.0</t>
        </is>
      </c>
      <c r="E12427" t="inlineStr">
        <is>
          <t>DILA-40</t>
        </is>
      </c>
      <c r="F12427" t="inlineStr">
        <is>
          <t>#KALK!</t>
        </is>
      </c>
      <c r="G12427" t="inlineStr">
        <is>
          <t>HILFSSCHUETZ</t>
        </is>
      </c>
      <c r="H12427" t="inlineStr">
        <is>
          <t>4S Federzugkl.</t>
        </is>
      </c>
      <c r="I12427">
        <v>947</v>
      </c>
      <c r="J12427">
        <f>GS92/820.7</f>
        <v>0</v>
      </c>
      <c r="M12427" t="inlineStr">
        <is>
          <t>-820K1087.0</t>
        </is>
      </c>
    </row>
    <row r="12428">
      <c r="A12428">
        <v>12427</v>
      </c>
      <c r="B12428">
        <f>GC22</f>
        <v>0</v>
      </c>
      <c r="C12428" t="inlineStr">
        <is>
          <t>+LS8</t>
        </is>
      </c>
      <c r="D12428" t="inlineStr">
        <is>
          <t>-820K3526.1</t>
        </is>
      </c>
      <c r="E12428" t="inlineStr">
        <is>
          <t>DILM-9-10</t>
        </is>
      </c>
      <c r="F12428" t="inlineStr">
        <is>
          <t>#KALK!</t>
        </is>
      </c>
      <c r="G12428" t="inlineStr">
        <is>
          <t>LASTSCHUETZ</t>
        </is>
      </c>
      <c r="H12428" t="inlineStr">
        <is>
          <t>4kW 1S Federzugkl.</t>
        </is>
      </c>
      <c r="I12428">
        <v>717</v>
      </c>
      <c r="J12428">
        <f>GC22/820.8</f>
        <v>0</v>
      </c>
      <c r="M12428" t="inlineStr">
        <is>
          <t>-820K3526.1</t>
        </is>
      </c>
    </row>
    <row r="12429">
      <c r="A12429">
        <v>12428</v>
      </c>
      <c r="B12429">
        <f>GS12</f>
        <v>0</v>
      </c>
      <c r="C12429" t="inlineStr">
        <is>
          <t>+LS8</t>
        </is>
      </c>
      <c r="D12429" t="inlineStr">
        <is>
          <t>-820K3526.1</t>
        </is>
      </c>
      <c r="E12429" t="inlineStr">
        <is>
          <t>DILM-9-10</t>
        </is>
      </c>
      <c r="F12429" t="inlineStr">
        <is>
          <t>#KALK!</t>
        </is>
      </c>
      <c r="G12429" t="inlineStr">
        <is>
          <t>LASTSCHUETZ</t>
        </is>
      </c>
      <c r="H12429" t="inlineStr">
        <is>
          <t>4kW 1S Federzugkl.</t>
        </is>
      </c>
      <c r="I12429">
        <v>1242</v>
      </c>
      <c r="J12429">
        <f>GS12/820.8</f>
        <v>0</v>
      </c>
      <c r="M12429" t="inlineStr">
        <is>
          <t>-820K3526.1</t>
        </is>
      </c>
    </row>
    <row r="12430">
      <c r="A12430">
        <v>12429</v>
      </c>
      <c r="B12430">
        <f>GS92</f>
        <v>0</v>
      </c>
      <c r="C12430" t="inlineStr">
        <is>
          <t>+LS15</t>
        </is>
      </c>
      <c r="D12430" t="inlineStr">
        <is>
          <t>-820Q1</t>
        </is>
      </c>
      <c r="E12430" t="inlineStr">
        <is>
          <t>DILMC25-10(RDC24)</t>
        </is>
      </c>
      <c r="F12430" t="inlineStr">
        <is>
          <t>DILA-XHI22</t>
        </is>
      </c>
      <c r="G12430" t="inlineStr">
        <is>
          <t>LASTSCHUETZ</t>
        </is>
      </c>
      <c r="H12430" t="inlineStr">
        <is>
          <t>11kW 1S Federzugkl.</t>
        </is>
      </c>
      <c r="I12430">
        <v>947</v>
      </c>
      <c r="J12430">
        <f>GS92/820.4</f>
        <v>0</v>
      </c>
      <c r="K12430" t="inlineStr">
        <is>
          <t>DIL MC25</t>
        </is>
      </c>
      <c r="M12430" t="inlineStr">
        <is>
          <t>-820Q1</t>
        </is>
      </c>
    </row>
    <row r="12431">
      <c r="A12431">
        <v>12430</v>
      </c>
      <c r="B12431">
        <f>GS92</f>
        <v>0</v>
      </c>
      <c r="C12431" t="inlineStr">
        <is>
          <t>+LS15</t>
        </is>
      </c>
      <c r="D12431" t="inlineStr">
        <is>
          <t>-820Q1</t>
        </is>
      </c>
      <c r="E12431" t="inlineStr">
        <is>
          <t>DILA-XHI22</t>
        </is>
      </c>
      <c r="F12431" t="inlineStr">
        <is>
          <t>DILA-XHI22</t>
        </is>
      </c>
      <c r="G12431" t="inlineStr">
        <is>
          <t>HILFSKONTAKTBLOCK</t>
        </is>
      </c>
      <c r="H12431" t="inlineStr">
        <is>
          <t>2S 2OE Last+Hilfssch. Cage</t>
        </is>
      </c>
      <c r="I12431">
        <v>947</v>
      </c>
      <c r="J12431">
        <f>GS92/820.4</f>
        <v>0</v>
      </c>
      <c r="K12431" t="inlineStr">
        <is>
          <t>DIL MC25</t>
        </is>
      </c>
      <c r="M12431" t="inlineStr">
        <is>
          <t>-820Q1</t>
        </is>
      </c>
    </row>
    <row r="12432">
      <c r="A12432">
        <v>12431</v>
      </c>
      <c r="B12432">
        <f>GS93</f>
        <v>0</v>
      </c>
      <c r="C12432" t="inlineStr">
        <is>
          <t>+LS16</t>
        </is>
      </c>
      <c r="D12432" t="inlineStr">
        <is>
          <t>-820Q1</t>
        </is>
      </c>
      <c r="E12432" t="inlineStr">
        <is>
          <t>DILA-XHI22</t>
        </is>
      </c>
      <c r="F12432" t="inlineStr">
        <is>
          <t>DILA-XHI22</t>
        </is>
      </c>
      <c r="G12432" t="inlineStr">
        <is>
          <t>HILFSKONTAKTBLOCK</t>
        </is>
      </c>
      <c r="H12432" t="inlineStr">
        <is>
          <t>2S 2OE Last+Hilfssch. Cage</t>
        </is>
      </c>
      <c r="I12432">
        <v>1350</v>
      </c>
      <c r="J12432">
        <f>GS93/820.4</f>
        <v>0</v>
      </c>
      <c r="K12432" t="inlineStr">
        <is>
          <t>DIL MC25</t>
        </is>
      </c>
      <c r="M12432" t="inlineStr">
        <is>
          <t>-820Q1</t>
        </is>
      </c>
    </row>
    <row r="12433">
      <c r="A12433">
        <v>12432</v>
      </c>
      <c r="B12433">
        <f>GS93</f>
        <v>0</v>
      </c>
      <c r="C12433" t="inlineStr">
        <is>
          <t>+LS16</t>
        </is>
      </c>
      <c r="D12433" t="inlineStr">
        <is>
          <t>-820Q1</t>
        </is>
      </c>
      <c r="E12433" t="inlineStr">
        <is>
          <t>DILMC25-10(RDC24)</t>
        </is>
      </c>
      <c r="F12433" t="inlineStr">
        <is>
          <t>DILA-XHI22</t>
        </is>
      </c>
      <c r="G12433" t="inlineStr">
        <is>
          <t>LASTSCHUETZ</t>
        </is>
      </c>
      <c r="H12433" t="inlineStr">
        <is>
          <t>11kW 1S Federzugkl.</t>
        </is>
      </c>
      <c r="I12433">
        <v>1350</v>
      </c>
      <c r="J12433">
        <f>GS93/820.4</f>
        <v>0</v>
      </c>
      <c r="K12433" t="inlineStr">
        <is>
          <t>DIL MC25</t>
        </is>
      </c>
      <c r="M12433" t="inlineStr">
        <is>
          <t>-820Q1</t>
        </is>
      </c>
    </row>
    <row r="12434">
      <c r="A12434">
        <v>12433</v>
      </c>
      <c r="B12434">
        <f>GC22</f>
        <v>0</v>
      </c>
      <c r="C12434" t="inlineStr">
        <is>
          <t>+LS8</t>
        </is>
      </c>
      <c r="D12434" t="inlineStr">
        <is>
          <t>-821K3526.5</t>
        </is>
      </c>
      <c r="E12434" t="inlineStr">
        <is>
          <t>DILM-9-10</t>
        </is>
      </c>
      <c r="F12434" t="inlineStr">
        <is>
          <t>#KALK!</t>
        </is>
      </c>
      <c r="G12434" t="inlineStr">
        <is>
          <t>LASTSCHUETZ</t>
        </is>
      </c>
      <c r="H12434" t="inlineStr">
        <is>
          <t>4kW 1S Federzugkl.</t>
        </is>
      </c>
      <c r="I12434">
        <v>2707</v>
      </c>
      <c r="J12434">
        <f>GC22/821.8</f>
        <v>0</v>
      </c>
      <c r="M12434" t="inlineStr">
        <is>
          <t>-821K3526.5</t>
        </is>
      </c>
    </row>
    <row r="12435">
      <c r="A12435">
        <v>12434</v>
      </c>
      <c r="B12435">
        <f>GS12</f>
        <v>0</v>
      </c>
      <c r="C12435" t="inlineStr">
        <is>
          <t>+LS8</t>
        </is>
      </c>
      <c r="D12435" t="inlineStr">
        <is>
          <t>-821K3526.5</t>
        </is>
      </c>
      <c r="E12435" t="inlineStr">
        <is>
          <t>DILM-9-10</t>
        </is>
      </c>
      <c r="F12435" t="inlineStr">
        <is>
          <t>#KALK!</t>
        </is>
      </c>
      <c r="G12435" t="inlineStr">
        <is>
          <t>LASTSCHUETZ</t>
        </is>
      </c>
      <c r="H12435" t="inlineStr">
        <is>
          <t>4kW 1S Federzugkl.</t>
        </is>
      </c>
      <c r="I12435">
        <v>1243</v>
      </c>
      <c r="J12435">
        <f>GS12/821.8</f>
        <v>0</v>
      </c>
      <c r="M12435" t="inlineStr">
        <is>
          <t>-821K3526.5</t>
        </is>
      </c>
    </row>
    <row r="12436">
      <c r="A12436">
        <v>12435</v>
      </c>
      <c r="B12436">
        <f>GS93</f>
        <v>0</v>
      </c>
      <c r="C12436" t="inlineStr">
        <is>
          <t>+LS16</t>
        </is>
      </c>
      <c r="D12436" t="inlineStr">
        <is>
          <t>-821Q1063.1</t>
        </is>
      </c>
      <c r="E12436" t="inlineStr">
        <is>
          <t>DILM-9-10</t>
        </is>
      </c>
      <c r="F12436" t="inlineStr">
        <is>
          <t>#KALK!</t>
        </is>
      </c>
      <c r="G12436" t="inlineStr">
        <is>
          <t>LASTSCHUETZ</t>
        </is>
      </c>
      <c r="H12436" t="inlineStr">
        <is>
          <t>4kW 1S Federzugkl.</t>
        </is>
      </c>
      <c r="I12436">
        <v>1351</v>
      </c>
      <c r="J12436">
        <f>GS93/821.5</f>
        <v>0</v>
      </c>
      <c r="M12436" t="inlineStr">
        <is>
          <t>-821Q1063.1</t>
        </is>
      </c>
    </row>
    <row r="12437">
      <c r="A12437">
        <v>12436</v>
      </c>
      <c r="B12437">
        <f>GC22</f>
        <v>0</v>
      </c>
      <c r="C12437" t="inlineStr">
        <is>
          <t>+LS8</t>
        </is>
      </c>
      <c r="D12437" t="inlineStr">
        <is>
          <t>-822K3527.5</t>
        </is>
      </c>
      <c r="E12437" t="inlineStr">
        <is>
          <t>DILM-9-10</t>
        </is>
      </c>
      <c r="F12437" t="inlineStr">
        <is>
          <t>#KALK!</t>
        </is>
      </c>
      <c r="G12437" t="inlineStr">
        <is>
          <t>LASTSCHUETZ</t>
        </is>
      </c>
      <c r="H12437" t="inlineStr">
        <is>
          <t>4kW 1S Federzugkl.</t>
        </is>
      </c>
      <c r="I12437">
        <v>2706</v>
      </c>
      <c r="J12437">
        <f>GC22/822.8</f>
        <v>0</v>
      </c>
      <c r="M12437" t="inlineStr">
        <is>
          <t>-822K3527.5</t>
        </is>
      </c>
    </row>
    <row r="12438">
      <c r="A12438">
        <v>12437</v>
      </c>
      <c r="B12438">
        <f>GS12</f>
        <v>0</v>
      </c>
      <c r="C12438" t="inlineStr">
        <is>
          <t>+LS8</t>
        </is>
      </c>
      <c r="D12438" t="inlineStr">
        <is>
          <t>-822K3527.5</t>
        </is>
      </c>
      <c r="E12438" t="inlineStr">
        <is>
          <t>DILM-9-10</t>
        </is>
      </c>
      <c r="F12438" t="inlineStr">
        <is>
          <t>#KALK!</t>
        </is>
      </c>
      <c r="G12438" t="inlineStr">
        <is>
          <t>LASTSCHUETZ</t>
        </is>
      </c>
      <c r="H12438" t="inlineStr">
        <is>
          <t>4kW 1S Federzugkl.</t>
        </is>
      </c>
      <c r="I12438">
        <v>1244</v>
      </c>
      <c r="J12438">
        <f>GS12/822.8</f>
        <v>0</v>
      </c>
      <c r="M12438" t="inlineStr">
        <is>
          <t>-822K3527.5</t>
        </is>
      </c>
    </row>
    <row r="12439">
      <c r="A12439">
        <v>12438</v>
      </c>
      <c r="B12439">
        <f>GS06</f>
        <v>0</v>
      </c>
      <c r="C12439" t="inlineStr">
        <is>
          <t>+LS12</t>
        </is>
      </c>
      <c r="D12439" t="inlineStr">
        <is>
          <t>-824K1</t>
        </is>
      </c>
      <c r="E12439" t="inlineStr">
        <is>
          <t>DILM-9-01</t>
        </is>
      </c>
      <c r="F12439" t="inlineStr">
        <is>
          <t>#KALK!</t>
        </is>
      </c>
      <c r="G12439" t="inlineStr">
        <is>
          <t>LASTSCHUETZ</t>
        </is>
      </c>
      <c r="H12439" t="inlineStr">
        <is>
          <t>4kW 1Oe Federzugkl.</t>
        </is>
      </c>
      <c r="I12439">
        <v>180</v>
      </c>
      <c r="J12439">
        <f>GS06/824.6</f>
        <v>0</v>
      </c>
      <c r="M12439" t="inlineStr">
        <is>
          <t>-824K1</t>
        </is>
      </c>
    </row>
    <row r="12440">
      <c r="A12440">
        <v>12439</v>
      </c>
      <c r="B12440">
        <f>GS06</f>
        <v>0</v>
      </c>
      <c r="C12440" t="inlineStr">
        <is>
          <t>+LS12</t>
        </is>
      </c>
      <c r="D12440" t="inlineStr">
        <is>
          <t>-824K2</t>
        </is>
      </c>
      <c r="E12440" t="inlineStr">
        <is>
          <t>DILM-9-01</t>
        </is>
      </c>
      <c r="F12440" t="inlineStr">
        <is>
          <t>#KALK!</t>
        </is>
      </c>
      <c r="G12440" t="inlineStr">
        <is>
          <t>LASTSCHUETZ</t>
        </is>
      </c>
      <c r="H12440" t="inlineStr">
        <is>
          <t>4kW 1Oe Federzugkl.</t>
        </is>
      </c>
      <c r="I12440">
        <v>180</v>
      </c>
      <c r="J12440">
        <f>GS06/824.7</f>
        <v>0</v>
      </c>
      <c r="M12440" t="inlineStr">
        <is>
          <t>-824K2</t>
        </is>
      </c>
    </row>
    <row r="12441">
      <c r="A12441">
        <v>12440</v>
      </c>
      <c r="B12441">
        <f>GS05</f>
        <v>0</v>
      </c>
      <c r="C12441" t="inlineStr">
        <is>
          <t>+LS13</t>
        </is>
      </c>
      <c r="D12441" t="inlineStr">
        <is>
          <t>-825K1</t>
        </is>
      </c>
      <c r="E12441" t="inlineStr">
        <is>
          <t>DILM-9-01</t>
        </is>
      </c>
      <c r="F12441" t="inlineStr">
        <is>
          <t>#KALK!</t>
        </is>
      </c>
      <c r="G12441" t="inlineStr">
        <is>
          <t>LASTSCHUETZ</t>
        </is>
      </c>
      <c r="H12441" t="inlineStr">
        <is>
          <t>4kW 1Oe Federzugkl.</t>
        </is>
      </c>
      <c r="I12441">
        <v>2763</v>
      </c>
      <c r="J12441">
        <f>GS05/825.6</f>
        <v>0</v>
      </c>
      <c r="M12441" t="inlineStr">
        <is>
          <t>-825K1</t>
        </is>
      </c>
    </row>
    <row r="12442">
      <c r="A12442">
        <v>12441</v>
      </c>
      <c r="B12442">
        <f>GS06</f>
        <v>0</v>
      </c>
      <c r="C12442" t="inlineStr">
        <is>
          <t>+LS12</t>
        </is>
      </c>
      <c r="D12442" t="inlineStr">
        <is>
          <t>-825K1</t>
        </is>
      </c>
      <c r="E12442" t="inlineStr">
        <is>
          <t>DILM-9-01</t>
        </is>
      </c>
      <c r="F12442" t="inlineStr">
        <is>
          <t>#KALK!</t>
        </is>
      </c>
      <c r="G12442" t="inlineStr">
        <is>
          <t>LASTSCHUETZ</t>
        </is>
      </c>
      <c r="H12442" t="inlineStr">
        <is>
          <t>4kW 1Oe Federzugkl.</t>
        </is>
      </c>
      <c r="I12442">
        <v>402</v>
      </c>
      <c r="J12442">
        <f>GS06/825.6</f>
        <v>0</v>
      </c>
      <c r="M12442" t="inlineStr">
        <is>
          <t>-825K1</t>
        </is>
      </c>
    </row>
    <row r="12443">
      <c r="A12443">
        <v>12442</v>
      </c>
      <c r="B12443">
        <f>GS51</f>
        <v>0</v>
      </c>
      <c r="C12443" t="inlineStr">
        <is>
          <t>+LS12</t>
        </is>
      </c>
      <c r="D12443" t="inlineStr">
        <is>
          <t>-825K1</t>
        </is>
      </c>
      <c r="E12443" t="inlineStr">
        <is>
          <t>DILA-22</t>
        </is>
      </c>
      <c r="F12443" t="inlineStr">
        <is>
          <t>#KALK!</t>
        </is>
      </c>
      <c r="G12443" t="inlineStr">
        <is>
          <t>HILFSSCHUETZ</t>
        </is>
      </c>
      <c r="H12443" t="inlineStr">
        <is>
          <t>2S 2Oe Federzugkl.</t>
        </is>
      </c>
      <c r="I12443">
        <v>983</v>
      </c>
      <c r="J12443">
        <f>GS51/825.7</f>
        <v>0</v>
      </c>
      <c r="M12443" t="inlineStr">
        <is>
          <t>-825K1</t>
        </is>
      </c>
    </row>
    <row r="12444">
      <c r="A12444">
        <v>12443</v>
      </c>
      <c r="B12444">
        <f>GS05</f>
        <v>0</v>
      </c>
      <c r="C12444" t="inlineStr">
        <is>
          <t>+LS13</t>
        </is>
      </c>
      <c r="D12444" t="inlineStr">
        <is>
          <t>-825K2</t>
        </is>
      </c>
      <c r="E12444" t="inlineStr">
        <is>
          <t>DILM-9-01</t>
        </is>
      </c>
      <c r="F12444" t="inlineStr">
        <is>
          <t>#KALK!</t>
        </is>
      </c>
      <c r="G12444" t="inlineStr">
        <is>
          <t>LASTSCHUETZ</t>
        </is>
      </c>
      <c r="H12444" t="inlineStr">
        <is>
          <t>4kW 1Oe Federzugkl.</t>
        </is>
      </c>
      <c r="I12444">
        <v>2763</v>
      </c>
      <c r="J12444">
        <f>GS05/825.7</f>
        <v>0</v>
      </c>
      <c r="M12444" t="inlineStr">
        <is>
          <t>-825K2</t>
        </is>
      </c>
    </row>
    <row r="12445">
      <c r="A12445">
        <v>12444</v>
      </c>
      <c r="B12445">
        <f>GS06</f>
        <v>0</v>
      </c>
      <c r="C12445" t="inlineStr">
        <is>
          <t>+LS12</t>
        </is>
      </c>
      <c r="D12445" t="inlineStr">
        <is>
          <t>-825K2</t>
        </is>
      </c>
      <c r="E12445" t="inlineStr">
        <is>
          <t>DILM-9-01</t>
        </is>
      </c>
      <c r="F12445" t="inlineStr">
        <is>
          <t>#KALK!</t>
        </is>
      </c>
      <c r="G12445" t="inlineStr">
        <is>
          <t>LASTSCHUETZ</t>
        </is>
      </c>
      <c r="H12445" t="inlineStr">
        <is>
          <t>4kW 1Oe Federzugkl.</t>
        </is>
      </c>
      <c r="I12445">
        <v>402</v>
      </c>
      <c r="J12445">
        <f>GS06/825.7</f>
        <v>0</v>
      </c>
      <c r="M12445" t="inlineStr">
        <is>
          <t>-825K2</t>
        </is>
      </c>
    </row>
    <row r="12446">
      <c r="A12446">
        <v>12445</v>
      </c>
      <c r="B12446">
        <f>GS51</f>
        <v>0</v>
      </c>
      <c r="C12446" t="inlineStr">
        <is>
          <t>+LS12</t>
        </is>
      </c>
      <c r="D12446" t="inlineStr">
        <is>
          <t>-825Q1</t>
        </is>
      </c>
      <c r="E12446" t="inlineStr">
        <is>
          <t>DILM150-XHIC22</t>
        </is>
      </c>
      <c r="F12446" t="inlineStr">
        <is>
          <t>DILM150-XHIC22</t>
        </is>
      </c>
      <c r="G12446" t="inlineStr">
        <is>
          <t>HILFSKONTAKTBLOCK</t>
        </is>
      </c>
      <c r="H12446" t="inlineStr">
        <is>
          <t>2S 2OE ab DILMC40</t>
        </is>
      </c>
      <c r="I12446">
        <v>983</v>
      </c>
      <c r="J12446">
        <f>GS51/825.6</f>
        <v>0</v>
      </c>
      <c r="K12446" t="inlineStr">
        <is>
          <t>DIL MC40</t>
        </is>
      </c>
      <c r="M12446" t="inlineStr">
        <is>
          <t>-825Q1</t>
        </is>
      </c>
    </row>
    <row r="12447">
      <c r="A12447">
        <v>12446</v>
      </c>
      <c r="B12447">
        <f>GS51</f>
        <v>0</v>
      </c>
      <c r="C12447" t="inlineStr">
        <is>
          <t>+LS12</t>
        </is>
      </c>
      <c r="D12447" t="inlineStr">
        <is>
          <t>-825Q1</t>
        </is>
      </c>
      <c r="E12447" t="inlineStr">
        <is>
          <t>DILMC40(RDC24)</t>
        </is>
      </c>
      <c r="F12447" t="inlineStr">
        <is>
          <t>DILM150-XHIC22</t>
        </is>
      </c>
      <c r="G12447" t="inlineStr">
        <is>
          <t>LASTSCHUETZ</t>
        </is>
      </c>
      <c r="H12447" t="inlineStr">
        <is>
          <t>18,5kW Federzugkl.</t>
        </is>
      </c>
      <c r="I12447">
        <v>983</v>
      </c>
      <c r="J12447">
        <f>GS51/825.6</f>
        <v>0</v>
      </c>
      <c r="K12447" t="inlineStr">
        <is>
          <t>DIL MC40</t>
        </is>
      </c>
      <c r="M12447" t="inlineStr">
        <is>
          <t>-825Q1</t>
        </is>
      </c>
    </row>
    <row r="12448">
      <c r="A12448">
        <v>12447</v>
      </c>
      <c r="B12448">
        <f>GS51</f>
        <v>0</v>
      </c>
      <c r="C12448" t="inlineStr">
        <is>
          <t>+LS12</t>
        </is>
      </c>
      <c r="D12448" t="inlineStr">
        <is>
          <t>-827Q1</t>
        </is>
      </c>
      <c r="E12448" t="inlineStr">
        <is>
          <t>DILM-9-10</t>
        </is>
      </c>
      <c r="F12448" t="inlineStr">
        <is>
          <t>#KALK!</t>
        </is>
      </c>
      <c r="G12448" t="inlineStr">
        <is>
          <t>LASTSCHUETZ</t>
        </is>
      </c>
      <c r="H12448" t="inlineStr">
        <is>
          <t>4kW 1S Federzugkl.</t>
        </is>
      </c>
      <c r="I12448">
        <v>985</v>
      </c>
      <c r="J12448">
        <f>GS51/827.8</f>
        <v>0</v>
      </c>
      <c r="M12448" t="inlineStr">
        <is>
          <t>-827Q1</t>
        </is>
      </c>
    </row>
    <row r="12449">
      <c r="A12449">
        <v>12448</v>
      </c>
      <c r="B12449">
        <f>GC22</f>
        <v>0</v>
      </c>
      <c r="C12449" t="inlineStr">
        <is>
          <t>+LS8</t>
        </is>
      </c>
      <c r="D12449" t="inlineStr">
        <is>
          <t>-829K1</t>
        </is>
      </c>
      <c r="E12449" t="inlineStr">
        <is>
          <t>DILM150-XHIC22</t>
        </is>
      </c>
      <c r="F12449" t="inlineStr">
        <is>
          <t>DILM150-XHIC22</t>
        </is>
      </c>
      <c r="G12449" t="inlineStr">
        <is>
          <t>HILFSKONTAKTBLOCK</t>
        </is>
      </c>
      <c r="H12449" t="inlineStr">
        <is>
          <t>2S 2OE ab DILMC40</t>
        </is>
      </c>
      <c r="I12449">
        <v>2675</v>
      </c>
      <c r="J12449">
        <f>GC22/829.5</f>
        <v>0</v>
      </c>
      <c r="K12449" t="inlineStr">
        <is>
          <t>DIL MC 65</t>
        </is>
      </c>
      <c r="M12449" t="inlineStr">
        <is>
          <t>-829K1</t>
        </is>
      </c>
    </row>
    <row r="12450">
      <c r="A12450">
        <v>12449</v>
      </c>
      <c r="B12450">
        <f>GC22</f>
        <v>0</v>
      </c>
      <c r="C12450" t="inlineStr">
        <is>
          <t>+LS8</t>
        </is>
      </c>
      <c r="D12450" t="inlineStr">
        <is>
          <t>-829K1</t>
        </is>
      </c>
      <c r="E12450" t="inlineStr">
        <is>
          <t>DILMC65(RDC24)</t>
        </is>
      </c>
      <c r="F12450" t="inlineStr">
        <is>
          <t>DILM150-XHIC22</t>
        </is>
      </c>
      <c r="G12450" t="inlineStr">
        <is>
          <t>LASTSCHUETZ</t>
        </is>
      </c>
      <c r="H12450" t="inlineStr">
        <is>
          <t>30kW Federzugkl.</t>
        </is>
      </c>
      <c r="I12450">
        <v>2675</v>
      </c>
      <c r="J12450">
        <f>GC22/829.5</f>
        <v>0</v>
      </c>
      <c r="K12450" t="inlineStr">
        <is>
          <t>DIL MC 65</t>
        </is>
      </c>
      <c r="M12450" t="inlineStr">
        <is>
          <t>-829K1</t>
        </is>
      </c>
    </row>
    <row r="12451">
      <c r="A12451">
        <v>12450</v>
      </c>
      <c r="B12451">
        <f>GS12</f>
        <v>0</v>
      </c>
      <c r="C12451" t="inlineStr">
        <is>
          <t>+LS8</t>
        </is>
      </c>
      <c r="D12451" t="inlineStr">
        <is>
          <t>-829K1</t>
        </is>
      </c>
      <c r="E12451" t="inlineStr">
        <is>
          <t>DILMC65(RDC24)</t>
        </is>
      </c>
      <c r="F12451" t="inlineStr">
        <is>
          <t>DILM150-XHIC22</t>
        </is>
      </c>
      <c r="G12451" t="inlineStr">
        <is>
          <t>LASTSCHUETZ</t>
        </is>
      </c>
      <c r="H12451" t="inlineStr">
        <is>
          <t>30kW Federzugkl.</t>
        </is>
      </c>
      <c r="I12451">
        <v>1251</v>
      </c>
      <c r="J12451">
        <f>GS12/829.5</f>
        <v>0</v>
      </c>
      <c r="K12451" t="inlineStr">
        <is>
          <t>DIL MC 65</t>
        </is>
      </c>
      <c r="M12451" t="inlineStr">
        <is>
          <t>-829K1</t>
        </is>
      </c>
    </row>
    <row r="12452">
      <c r="A12452">
        <v>12451</v>
      </c>
      <c r="B12452">
        <f>GS12</f>
        <v>0</v>
      </c>
      <c r="C12452" t="inlineStr">
        <is>
          <t>+LS8</t>
        </is>
      </c>
      <c r="D12452" t="inlineStr">
        <is>
          <t>-829K1</t>
        </is>
      </c>
      <c r="E12452" t="inlineStr">
        <is>
          <t>DILM150-XHIC22</t>
        </is>
      </c>
      <c r="F12452" t="inlineStr">
        <is>
          <t>DILM150-XHIC22</t>
        </is>
      </c>
      <c r="G12452" t="inlineStr">
        <is>
          <t>HILFSKONTAKTBLOCK</t>
        </is>
      </c>
      <c r="H12452" t="inlineStr">
        <is>
          <t>2S 2OE ab DILMC40</t>
        </is>
      </c>
      <c r="I12452">
        <v>1251</v>
      </c>
      <c r="J12452">
        <f>GS12/829.5</f>
        <v>0</v>
      </c>
      <c r="K12452" t="inlineStr">
        <is>
          <t>DIL MC 65</t>
        </is>
      </c>
      <c r="M12452" t="inlineStr">
        <is>
          <t>-829K1</t>
        </is>
      </c>
    </row>
    <row r="12453">
      <c r="A12453">
        <v>12452</v>
      </c>
      <c r="B12453">
        <f>GS93</f>
        <v>0</v>
      </c>
      <c r="C12453" t="inlineStr">
        <is>
          <t>+LS16</t>
        </is>
      </c>
      <c r="D12453" t="inlineStr">
        <is>
          <t>-830K1065.4</t>
        </is>
      </c>
      <c r="E12453" t="inlineStr">
        <is>
          <t>DILA-40</t>
        </is>
      </c>
      <c r="F12453" t="inlineStr">
        <is>
          <t>#KALK!</t>
        </is>
      </c>
      <c r="G12453" t="inlineStr">
        <is>
          <t>HILFSSCHUETZ</t>
        </is>
      </c>
      <c r="H12453" t="inlineStr">
        <is>
          <t>4S Federzugkl.</t>
        </is>
      </c>
      <c r="I12453">
        <v>1360</v>
      </c>
      <c r="J12453">
        <f>GS93/830.7</f>
        <v>0</v>
      </c>
      <c r="M12453" t="inlineStr">
        <is>
          <t>-830K1065.4</t>
        </is>
      </c>
    </row>
    <row r="12454">
      <c r="A12454">
        <v>12453</v>
      </c>
      <c r="B12454">
        <f>GS93</f>
        <v>0</v>
      </c>
      <c r="C12454" t="inlineStr">
        <is>
          <t>+LS16</t>
        </is>
      </c>
      <c r="D12454" t="inlineStr">
        <is>
          <t>-830Q1</t>
        </is>
      </c>
      <c r="E12454" t="inlineStr">
        <is>
          <t>DILA-XHI22</t>
        </is>
      </c>
      <c r="F12454" t="inlineStr">
        <is>
          <t>DILA-XHI22</t>
        </is>
      </c>
      <c r="G12454" t="inlineStr">
        <is>
          <t>HILFSKONTAKTBLOCK</t>
        </is>
      </c>
      <c r="H12454" t="inlineStr">
        <is>
          <t>2S 2OE Last+Hilfssch. Cage</t>
        </is>
      </c>
      <c r="I12454">
        <v>1360</v>
      </c>
      <c r="J12454">
        <f>GS93/830.4</f>
        <v>0</v>
      </c>
      <c r="K12454" t="inlineStr">
        <is>
          <t>DIL MC25</t>
        </is>
      </c>
      <c r="M12454" t="inlineStr">
        <is>
          <t>-830Q1</t>
        </is>
      </c>
    </row>
    <row r="12455">
      <c r="A12455">
        <v>12454</v>
      </c>
      <c r="B12455">
        <f>GS93</f>
        <v>0</v>
      </c>
      <c r="C12455" t="inlineStr">
        <is>
          <t>+LS16</t>
        </is>
      </c>
      <c r="D12455" t="inlineStr">
        <is>
          <t>-830Q1</t>
        </is>
      </c>
      <c r="E12455" t="inlineStr">
        <is>
          <t>DILMC25-10(RDC24)</t>
        </is>
      </c>
      <c r="F12455" t="inlineStr">
        <is>
          <t>DILA-XHI22</t>
        </is>
      </c>
      <c r="G12455" t="inlineStr">
        <is>
          <t>LASTSCHUETZ</t>
        </is>
      </c>
      <c r="H12455" t="inlineStr">
        <is>
          <t>11kW 1S Federzugkl.</t>
        </is>
      </c>
      <c r="I12455">
        <v>1360</v>
      </c>
      <c r="J12455">
        <f>GS93/830.4</f>
        <v>0</v>
      </c>
      <c r="K12455" t="inlineStr">
        <is>
          <t>DIL MC25</t>
        </is>
      </c>
      <c r="M12455" t="inlineStr">
        <is>
          <t>-830Q1</t>
        </is>
      </c>
    </row>
    <row r="12456">
      <c r="A12456">
        <v>12455</v>
      </c>
      <c r="B12456">
        <f>GS93</f>
        <v>0</v>
      </c>
      <c r="C12456" t="inlineStr">
        <is>
          <t>+LS16</t>
        </is>
      </c>
      <c r="D12456" t="inlineStr">
        <is>
          <t>-831Q1065.5</t>
        </is>
      </c>
      <c r="E12456" t="inlineStr">
        <is>
          <t>DILM-9-10</t>
        </is>
      </c>
      <c r="F12456" t="inlineStr">
        <is>
          <t>#KALK!</t>
        </is>
      </c>
      <c r="G12456" t="inlineStr">
        <is>
          <t>LASTSCHUETZ</t>
        </is>
      </c>
      <c r="H12456" t="inlineStr">
        <is>
          <t>4kW 1S Federzugkl.</t>
        </is>
      </c>
      <c r="I12456">
        <v>1361</v>
      </c>
      <c r="J12456">
        <f>GS93/831.5</f>
        <v>0</v>
      </c>
      <c r="M12456" t="inlineStr">
        <is>
          <t>-831Q1065.5</t>
        </is>
      </c>
    </row>
    <row r="12457">
      <c r="A12457">
        <v>12456</v>
      </c>
      <c r="B12457">
        <f>GS93</f>
        <v>0</v>
      </c>
      <c r="C12457" t="inlineStr">
        <is>
          <t>+LS16</t>
        </is>
      </c>
      <c r="D12457" t="inlineStr">
        <is>
          <t>-833Q1065.7</t>
        </is>
      </c>
      <c r="E12457" t="inlineStr">
        <is>
          <t>DILM-9-10</t>
        </is>
      </c>
      <c r="F12457" t="inlineStr">
        <is>
          <t>#KALK!</t>
        </is>
      </c>
      <c r="G12457" t="inlineStr">
        <is>
          <t>LASTSCHUETZ</t>
        </is>
      </c>
      <c r="H12457" t="inlineStr">
        <is>
          <t>4kW 1S Federzugkl.</t>
        </is>
      </c>
      <c r="I12457">
        <v>1363</v>
      </c>
      <c r="J12457">
        <f>GS93/833.5</f>
        <v>0</v>
      </c>
      <c r="M12457" t="inlineStr">
        <is>
          <t>-833Q1065.7</t>
        </is>
      </c>
    </row>
    <row r="12458">
      <c r="A12458">
        <v>12457</v>
      </c>
      <c r="B12458">
        <f>GS51</f>
        <v>0</v>
      </c>
      <c r="C12458" t="inlineStr">
        <is>
          <t>+LS12</t>
        </is>
      </c>
      <c r="D12458" t="inlineStr">
        <is>
          <t>-835K423.3</t>
        </is>
      </c>
      <c r="E12458" t="inlineStr">
        <is>
          <t>DILA-22</t>
        </is>
      </c>
      <c r="F12458" t="inlineStr">
        <is>
          <t>#KALK!</t>
        </is>
      </c>
      <c r="G12458" t="inlineStr">
        <is>
          <t>HILFSSCHUETZ</t>
        </is>
      </c>
      <c r="H12458" t="inlineStr">
        <is>
          <t>2S 2Oe Federzugkl.</t>
        </is>
      </c>
      <c r="I12458">
        <v>993</v>
      </c>
      <c r="J12458">
        <f>GS51/835.2</f>
        <v>0</v>
      </c>
      <c r="M12458" t="inlineStr">
        <is>
          <t>-835K423.3</t>
        </is>
      </c>
    </row>
    <row r="12459">
      <c r="A12459">
        <v>12458</v>
      </c>
      <c r="B12459">
        <f>GS93</f>
        <v>0</v>
      </c>
      <c r="C12459" t="inlineStr">
        <is>
          <t>+LS16</t>
        </is>
      </c>
      <c r="D12459" t="inlineStr">
        <is>
          <t>-835Q1066.1</t>
        </is>
      </c>
      <c r="E12459" t="inlineStr">
        <is>
          <t>DILM-9-10</t>
        </is>
      </c>
      <c r="F12459" t="inlineStr">
        <is>
          <t>#KALK!</t>
        </is>
      </c>
      <c r="G12459" t="inlineStr">
        <is>
          <t>LASTSCHUETZ</t>
        </is>
      </c>
      <c r="H12459" t="inlineStr">
        <is>
          <t>4kW 1S Federzugkl.</t>
        </is>
      </c>
      <c r="I12459">
        <v>1365</v>
      </c>
      <c r="J12459">
        <f>GS93/835.5</f>
        <v>0</v>
      </c>
      <c r="M12459" t="inlineStr">
        <is>
          <t>-835Q1066.1</t>
        </is>
      </c>
    </row>
    <row r="12460">
      <c r="A12460">
        <v>12459</v>
      </c>
      <c r="B12460">
        <f>GS51</f>
        <v>0</v>
      </c>
      <c r="C12460" t="inlineStr">
        <is>
          <t>+LS12</t>
        </is>
      </c>
      <c r="D12460" t="inlineStr">
        <is>
          <t>-835Q423.4</t>
        </is>
      </c>
      <c r="E12460" t="inlineStr">
        <is>
          <t>DILM-9-10</t>
        </is>
      </c>
      <c r="F12460" t="inlineStr">
        <is>
          <t>#KALK!</t>
        </is>
      </c>
      <c r="G12460" t="inlineStr">
        <is>
          <t>LASTSCHUETZ</t>
        </is>
      </c>
      <c r="H12460" t="inlineStr">
        <is>
          <t>4kW 1S Federzugkl.</t>
        </is>
      </c>
      <c r="I12460">
        <v>993</v>
      </c>
      <c r="J12460">
        <f>GS51/835.3</f>
        <v>0</v>
      </c>
      <c r="K12460" t="inlineStr">
        <is>
          <t>DIL MC9</t>
        </is>
      </c>
      <c r="M12460" t="inlineStr">
        <is>
          <t>-835Q423.4</t>
        </is>
      </c>
    </row>
    <row r="12461">
      <c r="A12461">
        <v>12460</v>
      </c>
      <c r="B12461">
        <f>GS93</f>
        <v>0</v>
      </c>
      <c r="C12461" t="inlineStr">
        <is>
          <t>+LS16</t>
        </is>
      </c>
      <c r="D12461" t="inlineStr">
        <is>
          <t>-836Q1066.2</t>
        </is>
      </c>
      <c r="E12461" t="inlineStr">
        <is>
          <t>DILM-9-10</t>
        </is>
      </c>
      <c r="F12461" t="inlineStr">
        <is>
          <t>#KALK!</t>
        </is>
      </c>
      <c r="G12461" t="inlineStr">
        <is>
          <t>LASTSCHUETZ</t>
        </is>
      </c>
      <c r="H12461" t="inlineStr">
        <is>
          <t>4kW 1S Federzugkl.</t>
        </is>
      </c>
      <c r="I12461">
        <v>1366</v>
      </c>
      <c r="J12461">
        <f>GS93/836.5</f>
        <v>0</v>
      </c>
      <c r="M12461" t="inlineStr">
        <is>
          <t>-836Q1066.2</t>
        </is>
      </c>
    </row>
    <row r="12462">
      <c r="A12462">
        <v>12461</v>
      </c>
      <c r="B12462">
        <f>GS93</f>
        <v>0</v>
      </c>
      <c r="C12462" t="inlineStr">
        <is>
          <t>+LS16</t>
        </is>
      </c>
      <c r="D12462" t="inlineStr">
        <is>
          <t>-838Q1066.4</t>
        </is>
      </c>
      <c r="E12462" t="inlineStr">
        <is>
          <t>DILM-9-10</t>
        </is>
      </c>
      <c r="F12462" t="inlineStr">
        <is>
          <t>#KALK!</t>
        </is>
      </c>
      <c r="G12462" t="inlineStr">
        <is>
          <t>LASTSCHUETZ</t>
        </is>
      </c>
      <c r="H12462" t="inlineStr">
        <is>
          <t>4kW 1S Federzugkl.</t>
        </is>
      </c>
      <c r="I12462">
        <v>1368</v>
      </c>
      <c r="J12462">
        <f>GS93/838.5</f>
        <v>0</v>
      </c>
      <c r="M12462" t="inlineStr">
        <is>
          <t>-838Q1066.4</t>
        </is>
      </c>
    </row>
    <row r="12463">
      <c r="A12463">
        <v>12462</v>
      </c>
      <c r="B12463">
        <f>GS05</f>
        <v>0</v>
      </c>
      <c r="C12463" t="inlineStr">
        <is>
          <t>+LS14</t>
        </is>
      </c>
      <c r="D12463" t="inlineStr">
        <is>
          <t>-845Q1</t>
        </is>
      </c>
      <c r="E12463" t="inlineStr">
        <is>
          <t>DILA-XHI22</t>
        </is>
      </c>
      <c r="F12463" t="inlineStr">
        <is>
          <t>DILA-XHI22</t>
        </is>
      </c>
      <c r="G12463" t="inlineStr">
        <is>
          <t>HILFSKONTAKTBLOCK</t>
        </is>
      </c>
      <c r="H12463" t="inlineStr">
        <is>
          <t>2S 2OE Last+Hilfssch. Cage</t>
        </is>
      </c>
      <c r="I12463">
        <v>2772</v>
      </c>
      <c r="J12463">
        <f>GS05/845.6</f>
        <v>0</v>
      </c>
      <c r="K12463" t="inlineStr">
        <is>
          <t>DIL MC25</t>
        </is>
      </c>
      <c r="M12463" t="inlineStr">
        <is>
          <t>-845Q1</t>
        </is>
      </c>
    </row>
    <row r="12464">
      <c r="A12464">
        <v>12463</v>
      </c>
      <c r="B12464">
        <f>GS05</f>
        <v>0</v>
      </c>
      <c r="C12464" t="inlineStr">
        <is>
          <t>+LS14</t>
        </is>
      </c>
      <c r="D12464" t="inlineStr">
        <is>
          <t>-845Q1</t>
        </is>
      </c>
      <c r="E12464" t="inlineStr">
        <is>
          <t>DILMC25-10(RDC24)</t>
        </is>
      </c>
      <c r="F12464" t="inlineStr">
        <is>
          <t>DILA-XHI22</t>
        </is>
      </c>
      <c r="G12464" t="inlineStr">
        <is>
          <t>LASTSCHUETZ</t>
        </is>
      </c>
      <c r="H12464" t="inlineStr">
        <is>
          <t>11kW 1S Federzugkl.</t>
        </is>
      </c>
      <c r="I12464">
        <v>2772</v>
      </c>
      <c r="J12464">
        <f>GS05/845.6</f>
        <v>0</v>
      </c>
      <c r="K12464" t="inlineStr">
        <is>
          <t>DIL MC25</t>
        </is>
      </c>
      <c r="M12464" t="inlineStr">
        <is>
          <t>-845Q1</t>
        </is>
      </c>
    </row>
    <row r="12465">
      <c r="A12465">
        <v>12464</v>
      </c>
      <c r="B12465">
        <f>GS06</f>
        <v>0</v>
      </c>
      <c r="C12465" t="inlineStr">
        <is>
          <t>+LS13</t>
        </is>
      </c>
      <c r="D12465" t="inlineStr">
        <is>
          <t>-845Q1</t>
        </is>
      </c>
      <c r="E12465" t="inlineStr">
        <is>
          <t>DILA-XHI22</t>
        </is>
      </c>
      <c r="F12465" t="inlineStr">
        <is>
          <t>DILA-XHI22</t>
        </is>
      </c>
      <c r="G12465" t="inlineStr">
        <is>
          <t>HILFSKONTAKTBLOCK</t>
        </is>
      </c>
      <c r="H12465" t="inlineStr">
        <is>
          <t>2S 2OE Last+Hilfssch. Cage</t>
        </is>
      </c>
      <c r="I12465">
        <v>2609</v>
      </c>
      <c r="J12465">
        <f>GS06/845.6</f>
        <v>0</v>
      </c>
      <c r="K12465" t="inlineStr">
        <is>
          <t>DIL MC25</t>
        </is>
      </c>
      <c r="M12465" t="inlineStr">
        <is>
          <t>-845Q1</t>
        </is>
      </c>
    </row>
    <row r="12466">
      <c r="A12466">
        <v>12465</v>
      </c>
      <c r="B12466">
        <f>GS06</f>
        <v>0</v>
      </c>
      <c r="C12466" t="inlineStr">
        <is>
          <t>+LS13</t>
        </is>
      </c>
      <c r="D12466" t="inlineStr">
        <is>
          <t>-845Q1</t>
        </is>
      </c>
      <c r="E12466" t="inlineStr">
        <is>
          <t>DILMC25-10(RDC24)</t>
        </is>
      </c>
      <c r="F12466" t="inlineStr">
        <is>
          <t>DILA-XHI22</t>
        </is>
      </c>
      <c r="G12466" t="inlineStr">
        <is>
          <t>LASTSCHUETZ</t>
        </is>
      </c>
      <c r="H12466" t="inlineStr">
        <is>
          <t>11kW 1S Federzugkl.</t>
        </is>
      </c>
      <c r="I12466">
        <v>2609</v>
      </c>
      <c r="J12466">
        <f>GS06/845.6</f>
        <v>0</v>
      </c>
      <c r="K12466" t="inlineStr">
        <is>
          <t>DIL MC25</t>
        </is>
      </c>
      <c r="M12466" t="inlineStr">
        <is>
          <t>-845Q1</t>
        </is>
      </c>
    </row>
    <row r="12467">
      <c r="A12467">
        <v>12466</v>
      </c>
      <c r="B12467">
        <f>GS08</f>
        <v>0</v>
      </c>
      <c r="C12467" t="inlineStr">
        <is>
          <t>+LS14</t>
        </is>
      </c>
      <c r="D12467" t="inlineStr">
        <is>
          <t>-845Q1</t>
        </is>
      </c>
      <c r="E12467" t="inlineStr">
        <is>
          <t>DILA-XHI22</t>
        </is>
      </c>
      <c r="F12467" t="inlineStr">
        <is>
          <t>DILA-XHI22</t>
        </is>
      </c>
      <c r="G12467" t="inlineStr">
        <is>
          <t>HILFSKONTAKTBLOCK</t>
        </is>
      </c>
      <c r="H12467" t="inlineStr">
        <is>
          <t>2S 2OE Last+Hilfssch. Cage</t>
        </is>
      </c>
      <c r="I12467">
        <v>1039</v>
      </c>
      <c r="J12467">
        <f>GS08/845.6</f>
        <v>0</v>
      </c>
      <c r="K12467" t="inlineStr">
        <is>
          <t>DIL MC25</t>
        </is>
      </c>
      <c r="M12467" t="inlineStr">
        <is>
          <t>-845Q1</t>
        </is>
      </c>
    </row>
    <row r="12468">
      <c r="A12468">
        <v>12467</v>
      </c>
      <c r="B12468">
        <f>GS08</f>
        <v>0</v>
      </c>
      <c r="C12468" t="inlineStr">
        <is>
          <t>+LS14</t>
        </is>
      </c>
      <c r="D12468" t="inlineStr">
        <is>
          <t>-845Q1</t>
        </is>
      </c>
      <c r="E12468" t="inlineStr">
        <is>
          <t>DILMC25-10(RDC24)</t>
        </is>
      </c>
      <c r="F12468" t="inlineStr">
        <is>
          <t>DILA-XHI22</t>
        </is>
      </c>
      <c r="G12468" t="inlineStr">
        <is>
          <t>LASTSCHUETZ</t>
        </is>
      </c>
      <c r="H12468" t="inlineStr">
        <is>
          <t>11kW 1S Federzugkl.</t>
        </is>
      </c>
      <c r="I12468">
        <v>1039</v>
      </c>
      <c r="J12468">
        <f>GS08/845.6</f>
        <v>0</v>
      </c>
      <c r="K12468" t="inlineStr">
        <is>
          <t>DIL MC25</t>
        </is>
      </c>
      <c r="M12468" t="inlineStr">
        <is>
          <t>-845Q1</t>
        </is>
      </c>
    </row>
    <row r="12469">
      <c r="A12469">
        <v>12468</v>
      </c>
      <c r="B12469">
        <f>GS05</f>
        <v>0</v>
      </c>
      <c r="C12469" t="inlineStr">
        <is>
          <t>+LS14</t>
        </is>
      </c>
      <c r="D12469" t="inlineStr">
        <is>
          <t>-845Q3</t>
        </is>
      </c>
      <c r="E12469" t="inlineStr">
        <is>
          <t>DILA-XHI22</t>
        </is>
      </c>
      <c r="F12469" t="inlineStr">
        <is>
          <t>DILA-XHI22</t>
        </is>
      </c>
      <c r="G12469" t="inlineStr">
        <is>
          <t>HILFSKONTAKTBLOCK</t>
        </is>
      </c>
      <c r="H12469" t="inlineStr">
        <is>
          <t>2S 2OE Last+Hilfssch. Cage</t>
        </is>
      </c>
      <c r="I12469">
        <v>2772</v>
      </c>
      <c r="J12469">
        <f>GS05/845.7</f>
        <v>0</v>
      </c>
      <c r="K12469" t="inlineStr">
        <is>
          <t>DIL MC25</t>
        </is>
      </c>
      <c r="M12469" t="inlineStr">
        <is>
          <t>-845Q3</t>
        </is>
      </c>
    </row>
    <row r="12470">
      <c r="A12470">
        <v>12469</v>
      </c>
      <c r="B12470">
        <f>GS05</f>
        <v>0</v>
      </c>
      <c r="C12470" t="inlineStr">
        <is>
          <t>+LS14</t>
        </is>
      </c>
      <c r="D12470" t="inlineStr">
        <is>
          <t>-845Q3</t>
        </is>
      </c>
      <c r="E12470" t="inlineStr">
        <is>
          <t>DILMC25-10(RDC24)</t>
        </is>
      </c>
      <c r="F12470" t="inlineStr">
        <is>
          <t>DILA-XHI22</t>
        </is>
      </c>
      <c r="G12470" t="inlineStr">
        <is>
          <t>LASTSCHUETZ</t>
        </is>
      </c>
      <c r="H12470" t="inlineStr">
        <is>
          <t>11kW 1S Federzugkl.</t>
        </is>
      </c>
      <c r="I12470">
        <v>2772</v>
      </c>
      <c r="J12470">
        <f>GS05/845.7</f>
        <v>0</v>
      </c>
      <c r="K12470" t="inlineStr">
        <is>
          <t>DIL MC25</t>
        </is>
      </c>
      <c r="M12470" t="inlineStr">
        <is>
          <t>-845Q3</t>
        </is>
      </c>
    </row>
    <row r="12471">
      <c r="A12471">
        <v>12470</v>
      </c>
      <c r="B12471">
        <f>GC22</f>
        <v>0</v>
      </c>
      <c r="C12471" t="inlineStr">
        <is>
          <t>+QVW2401</t>
        </is>
      </c>
      <c r="D12471" t="inlineStr">
        <is>
          <t>-846K1</t>
        </is>
      </c>
      <c r="E12471" t="inlineStr">
        <is>
          <t>DILM150-XHIC22</t>
        </is>
      </c>
      <c r="F12471" t="inlineStr">
        <is>
          <t>DILM150-XHIC22</t>
        </is>
      </c>
      <c r="G12471" t="inlineStr">
        <is>
          <t>HILFSKONTAKTBLOCK</t>
        </is>
      </c>
      <c r="H12471" t="inlineStr">
        <is>
          <t>2S 2OE ab DILMC40</t>
        </is>
      </c>
      <c r="I12471">
        <v>2177</v>
      </c>
      <c r="J12471">
        <f>GC22/846.2</f>
        <v>0</v>
      </c>
      <c r="K12471" t="inlineStr">
        <is>
          <t>DIL MC 40</t>
        </is>
      </c>
      <c r="M12471" t="inlineStr">
        <is>
          <t>-846K1</t>
        </is>
      </c>
    </row>
    <row r="12472">
      <c r="A12472">
        <v>12471</v>
      </c>
      <c r="B12472">
        <f>GC22</f>
        <v>0</v>
      </c>
      <c r="C12472" t="inlineStr">
        <is>
          <t>+QVW2401</t>
        </is>
      </c>
      <c r="D12472" t="inlineStr">
        <is>
          <t>-846K1</t>
        </is>
      </c>
      <c r="E12472" t="inlineStr">
        <is>
          <t>DILMC40(RDC24)</t>
        </is>
      </c>
      <c r="F12472" t="inlineStr">
        <is>
          <t>DILM150-XHIC22</t>
        </is>
      </c>
      <c r="G12472" t="inlineStr">
        <is>
          <t>LASTSCHUETZ</t>
        </is>
      </c>
      <c r="H12472" t="inlineStr">
        <is>
          <t>18,5kW Federzugkl.</t>
        </is>
      </c>
      <c r="I12472">
        <v>2177</v>
      </c>
      <c r="J12472">
        <f>GC22/846.2</f>
        <v>0</v>
      </c>
      <c r="K12472" t="inlineStr">
        <is>
          <t>DIL MC 40</t>
        </is>
      </c>
      <c r="M12472" t="inlineStr">
        <is>
          <t>-846K1</t>
        </is>
      </c>
    </row>
    <row r="12473">
      <c r="A12473">
        <v>12472</v>
      </c>
      <c r="B12473">
        <f>GS12</f>
        <v>0</v>
      </c>
      <c r="C12473" t="inlineStr">
        <is>
          <t>+QVW2401</t>
        </is>
      </c>
      <c r="D12473" t="inlineStr">
        <is>
          <t>-846K1</t>
        </is>
      </c>
      <c r="E12473" t="inlineStr">
        <is>
          <t>DILMC40(RDC24)</t>
        </is>
      </c>
      <c r="F12473" t="inlineStr">
        <is>
          <t>DILM150-XHIC22</t>
        </is>
      </c>
      <c r="G12473" t="inlineStr">
        <is>
          <t>LASTSCHUETZ</t>
        </is>
      </c>
      <c r="H12473" t="inlineStr">
        <is>
          <t>18,5kW Federzugkl.</t>
        </is>
      </c>
      <c r="I12473">
        <v>1268</v>
      </c>
      <c r="J12473">
        <f>GS12/846.2</f>
        <v>0</v>
      </c>
      <c r="K12473" t="inlineStr">
        <is>
          <t>DIL MC 40</t>
        </is>
      </c>
      <c r="M12473" t="inlineStr">
        <is>
          <t>-846K1</t>
        </is>
      </c>
    </row>
    <row r="12474">
      <c r="A12474">
        <v>12473</v>
      </c>
      <c r="B12474">
        <f>GS12</f>
        <v>0</v>
      </c>
      <c r="C12474" t="inlineStr">
        <is>
          <t>+QVW2401</t>
        </is>
      </c>
      <c r="D12474" t="inlineStr">
        <is>
          <t>-846K1</t>
        </is>
      </c>
      <c r="E12474" t="inlineStr">
        <is>
          <t>DILM150-XHIC22</t>
        </is>
      </c>
      <c r="F12474" t="inlineStr">
        <is>
          <t>DILM150-XHIC22</t>
        </is>
      </c>
      <c r="G12474" t="inlineStr">
        <is>
          <t>HILFSKONTAKTBLOCK</t>
        </is>
      </c>
      <c r="H12474" t="inlineStr">
        <is>
          <t>2S 2OE ab DILMC40</t>
        </is>
      </c>
      <c r="I12474">
        <v>1268</v>
      </c>
      <c r="J12474">
        <f>GS12/846.2</f>
        <v>0</v>
      </c>
      <c r="K12474" t="inlineStr">
        <is>
          <t>DIL MC 40</t>
        </is>
      </c>
      <c r="M12474" t="inlineStr">
        <is>
          <t>-846K1</t>
        </is>
      </c>
    </row>
    <row r="12475">
      <c r="A12475">
        <v>12474</v>
      </c>
      <c r="B12475">
        <f>GS05</f>
        <v>0</v>
      </c>
      <c r="C12475" t="inlineStr">
        <is>
          <t>+LS14</t>
        </is>
      </c>
      <c r="D12475" t="inlineStr">
        <is>
          <t>-847Q707.5</t>
        </is>
      </c>
      <c r="E12475" t="inlineStr">
        <is>
          <t>DILA-XHI22</t>
        </is>
      </c>
      <c r="F12475" t="inlineStr">
        <is>
          <t>DILA-XHI22</t>
        </is>
      </c>
      <c r="G12475" t="inlineStr">
        <is>
          <t>HILFSKONTAKTBLOCK</t>
        </is>
      </c>
      <c r="H12475" t="inlineStr">
        <is>
          <t>2S 2OE Last+Hilfssch. Cage</t>
        </is>
      </c>
      <c r="I12475">
        <v>2774</v>
      </c>
      <c r="J12475">
        <f>GS05/847.6</f>
        <v>0</v>
      </c>
      <c r="M12475" t="inlineStr">
        <is>
          <t>-847Q707.5</t>
        </is>
      </c>
    </row>
    <row r="12476">
      <c r="A12476">
        <v>12475</v>
      </c>
      <c r="B12476">
        <f>GS05</f>
        <v>0</v>
      </c>
      <c r="C12476" t="inlineStr">
        <is>
          <t>+LS14</t>
        </is>
      </c>
      <c r="D12476" t="inlineStr">
        <is>
          <t>-847Q707.5</t>
        </is>
      </c>
      <c r="E12476" t="inlineStr">
        <is>
          <t>DILM-9-01</t>
        </is>
      </c>
      <c r="F12476" t="inlineStr">
        <is>
          <t>DILA-XHI22</t>
        </is>
      </c>
      <c r="G12476" t="inlineStr">
        <is>
          <t>LASTSCHUETZ</t>
        </is>
      </c>
      <c r="H12476" t="inlineStr">
        <is>
          <t>4kW 1Oe Federzugkl.</t>
        </is>
      </c>
      <c r="I12476">
        <v>2774</v>
      </c>
      <c r="J12476">
        <f>GS05/847.6</f>
        <v>0</v>
      </c>
      <c r="M12476" t="inlineStr">
        <is>
          <t>-847Q707.5</t>
        </is>
      </c>
    </row>
    <row r="12477">
      <c r="A12477">
        <v>12476</v>
      </c>
      <c r="B12477">
        <f>GS05</f>
        <v>0</v>
      </c>
      <c r="C12477" t="inlineStr">
        <is>
          <t>+LS14</t>
        </is>
      </c>
      <c r="D12477" t="inlineStr">
        <is>
          <t>-847Q707.6</t>
        </is>
      </c>
      <c r="E12477" t="inlineStr">
        <is>
          <t>DILA-XHI22</t>
        </is>
      </c>
      <c r="F12477" t="inlineStr">
        <is>
          <t>DILA-XHI22</t>
        </is>
      </c>
      <c r="G12477" t="inlineStr">
        <is>
          <t>HILFSKONTAKTBLOCK</t>
        </is>
      </c>
      <c r="H12477" t="inlineStr">
        <is>
          <t>2S 2OE Last+Hilfssch. Cage</t>
        </is>
      </c>
      <c r="I12477">
        <v>2774</v>
      </c>
      <c r="J12477">
        <f>GS05/847.7</f>
        <v>0</v>
      </c>
      <c r="M12477" t="inlineStr">
        <is>
          <t>-847Q707.6</t>
        </is>
      </c>
    </row>
    <row r="12478">
      <c r="A12478">
        <v>12477</v>
      </c>
      <c r="B12478">
        <f>GS05</f>
        <v>0</v>
      </c>
      <c r="C12478" t="inlineStr">
        <is>
          <t>+LS14</t>
        </is>
      </c>
      <c r="D12478" t="inlineStr">
        <is>
          <t>-847Q707.6</t>
        </is>
      </c>
      <c r="E12478" t="inlineStr">
        <is>
          <t>DILM-9-01</t>
        </is>
      </c>
      <c r="F12478" t="inlineStr">
        <is>
          <t>DILA-XHI22</t>
        </is>
      </c>
      <c r="G12478" t="inlineStr">
        <is>
          <t>LASTSCHUETZ</t>
        </is>
      </c>
      <c r="H12478" t="inlineStr">
        <is>
          <t>4kW 1Oe Federzugkl.</t>
        </is>
      </c>
      <c r="I12478">
        <v>2774</v>
      </c>
      <c r="J12478">
        <f>GS05/847.7</f>
        <v>0</v>
      </c>
      <c r="M12478" t="inlineStr">
        <is>
          <t>-847Q707.6</t>
        </is>
      </c>
    </row>
    <row r="12479">
      <c r="A12479">
        <v>12478</v>
      </c>
      <c r="B12479">
        <f>GC22</f>
        <v>0</v>
      </c>
      <c r="C12479" t="inlineStr">
        <is>
          <t>+QVW2401</t>
        </is>
      </c>
      <c r="D12479" t="inlineStr">
        <is>
          <t>-848K3560.2</t>
        </is>
      </c>
      <c r="E12479" t="inlineStr">
        <is>
          <t>DILA-22</t>
        </is>
      </c>
      <c r="F12479" t="inlineStr">
        <is>
          <t>#KALK!</t>
        </is>
      </c>
      <c r="G12479" t="inlineStr">
        <is>
          <t>HILFSSCHUETZ</t>
        </is>
      </c>
      <c r="H12479" t="inlineStr">
        <is>
          <t>2S 2Oe Federzugkl.</t>
        </is>
      </c>
      <c r="I12479">
        <v>2179</v>
      </c>
      <c r="J12479">
        <f>GC22/848.2</f>
        <v>0</v>
      </c>
      <c r="M12479" t="inlineStr">
        <is>
          <t>-848K3560.2</t>
        </is>
      </c>
    </row>
    <row r="12480">
      <c r="A12480">
        <v>12479</v>
      </c>
      <c r="B12480">
        <f>GS12</f>
        <v>0</v>
      </c>
      <c r="C12480" t="inlineStr">
        <is>
          <t>+QVW2401</t>
        </is>
      </c>
      <c r="D12480" t="inlineStr">
        <is>
          <t>-848K3560.2</t>
        </is>
      </c>
      <c r="E12480" t="inlineStr">
        <is>
          <t>DILA-22</t>
        </is>
      </c>
      <c r="F12480" t="inlineStr">
        <is>
          <t>#KALK!</t>
        </is>
      </c>
      <c r="G12480" t="inlineStr">
        <is>
          <t>HILFSSCHUETZ</t>
        </is>
      </c>
      <c r="H12480" t="inlineStr">
        <is>
          <t>2S 2Oe Federzugkl.</t>
        </is>
      </c>
      <c r="I12480">
        <v>1270</v>
      </c>
      <c r="J12480">
        <f>GS12/848.2</f>
        <v>0</v>
      </c>
      <c r="M12480" t="inlineStr">
        <is>
          <t>-848K3560.2</t>
        </is>
      </c>
    </row>
    <row r="12481">
      <c r="A12481">
        <v>12480</v>
      </c>
      <c r="B12481">
        <f>GC22</f>
        <v>0</v>
      </c>
      <c r="C12481" t="inlineStr">
        <is>
          <t>+QVW2401</t>
        </is>
      </c>
      <c r="D12481" t="inlineStr">
        <is>
          <t>-848K3560.5</t>
        </is>
      </c>
      <c r="E12481" t="inlineStr">
        <is>
          <t>DILM-9-10</t>
        </is>
      </c>
      <c r="F12481" t="inlineStr">
        <is>
          <t>#KALK!</t>
        </is>
      </c>
      <c r="G12481" t="inlineStr">
        <is>
          <t>LASTSCHUETZ</t>
        </is>
      </c>
      <c r="H12481" t="inlineStr">
        <is>
          <t>4kW 1S Federzugkl.</t>
        </is>
      </c>
      <c r="I12481">
        <v>2179</v>
      </c>
      <c r="J12481">
        <f>GC22/848.5</f>
        <v>0</v>
      </c>
      <c r="M12481" t="inlineStr">
        <is>
          <t>-848K3560.5</t>
        </is>
      </c>
    </row>
    <row r="12482">
      <c r="A12482">
        <v>12481</v>
      </c>
      <c r="B12482">
        <f>GS12</f>
        <v>0</v>
      </c>
      <c r="C12482" t="inlineStr">
        <is>
          <t>+QVW2401</t>
        </is>
      </c>
      <c r="D12482" t="inlineStr">
        <is>
          <t>-848K3560.5</t>
        </is>
      </c>
      <c r="E12482" t="inlineStr">
        <is>
          <t>DILM-9-10</t>
        </is>
      </c>
      <c r="F12482" t="inlineStr">
        <is>
          <t>#KALK!</t>
        </is>
      </c>
      <c r="G12482" t="inlineStr">
        <is>
          <t>LASTSCHUETZ</t>
        </is>
      </c>
      <c r="H12482" t="inlineStr">
        <is>
          <t>4kW 1S Federzugkl.</t>
        </is>
      </c>
      <c r="I12482">
        <v>1270</v>
      </c>
      <c r="J12482">
        <f>GS12/848.5</f>
        <v>0</v>
      </c>
      <c r="M12482" t="inlineStr">
        <is>
          <t>-848K3560.5</t>
        </is>
      </c>
    </row>
    <row r="12483">
      <c r="A12483">
        <v>12482</v>
      </c>
      <c r="B12483">
        <f>GC22</f>
        <v>0</v>
      </c>
      <c r="C12483" t="inlineStr">
        <is>
          <t>+QVW2401</t>
        </is>
      </c>
      <c r="D12483" t="inlineStr">
        <is>
          <t>-848K3564.4</t>
        </is>
      </c>
      <c r="E12483" t="inlineStr">
        <is>
          <t>DILA-22</t>
        </is>
      </c>
      <c r="F12483" t="inlineStr">
        <is>
          <t>#KALK!</t>
        </is>
      </c>
      <c r="G12483" t="inlineStr">
        <is>
          <t>HILFSSCHUETZ</t>
        </is>
      </c>
      <c r="H12483" t="inlineStr">
        <is>
          <t>2S 2Oe Federzugkl.</t>
        </is>
      </c>
      <c r="I12483">
        <v>2179</v>
      </c>
      <c r="J12483">
        <f>GC22/848.3</f>
        <v>0</v>
      </c>
      <c r="M12483" t="inlineStr">
        <is>
          <t>-848K3564.4</t>
        </is>
      </c>
    </row>
    <row r="12484">
      <c r="A12484">
        <v>12483</v>
      </c>
      <c r="B12484">
        <f>GS12</f>
        <v>0</v>
      </c>
      <c r="C12484" t="inlineStr">
        <is>
          <t>+QVW2401</t>
        </is>
      </c>
      <c r="D12484" t="inlineStr">
        <is>
          <t>-848K3564.4</t>
        </is>
      </c>
      <c r="E12484" t="inlineStr">
        <is>
          <t>DILA-22</t>
        </is>
      </c>
      <c r="F12484" t="inlineStr">
        <is>
          <t>#KALK!</t>
        </is>
      </c>
      <c r="G12484" t="inlineStr">
        <is>
          <t>HILFSSCHUETZ</t>
        </is>
      </c>
      <c r="H12484" t="inlineStr">
        <is>
          <t>2S 2Oe Federzugkl.</t>
        </is>
      </c>
      <c r="I12484">
        <v>1270</v>
      </c>
      <c r="J12484">
        <f>GS12/848.3</f>
        <v>0</v>
      </c>
      <c r="M12484" t="inlineStr">
        <is>
          <t>-848K3564.4</t>
        </is>
      </c>
    </row>
    <row r="12485">
      <c r="A12485">
        <v>12484</v>
      </c>
      <c r="B12485">
        <f>GC22</f>
        <v>0</v>
      </c>
      <c r="C12485" t="inlineStr">
        <is>
          <t>+QVW2401</t>
        </is>
      </c>
      <c r="D12485" t="inlineStr">
        <is>
          <t>-848K3564.5</t>
        </is>
      </c>
      <c r="E12485" t="inlineStr">
        <is>
          <t>DILA-22</t>
        </is>
      </c>
      <c r="F12485" t="inlineStr">
        <is>
          <t>#KALK!</t>
        </is>
      </c>
      <c r="G12485" t="inlineStr">
        <is>
          <t>HILFSSCHUETZ</t>
        </is>
      </c>
      <c r="H12485" t="inlineStr">
        <is>
          <t>2S 2Oe Federzugkl.</t>
        </is>
      </c>
      <c r="I12485">
        <v>2179</v>
      </c>
      <c r="J12485">
        <f>GC22/848.4</f>
        <v>0</v>
      </c>
      <c r="M12485" t="inlineStr">
        <is>
          <t>-848K3564.5</t>
        </is>
      </c>
    </row>
    <row r="12486">
      <c r="A12486">
        <v>12485</v>
      </c>
      <c r="B12486">
        <f>GS12</f>
        <v>0</v>
      </c>
      <c r="C12486" t="inlineStr">
        <is>
          <t>+QVW2401</t>
        </is>
      </c>
      <c r="D12486" t="inlineStr">
        <is>
          <t>-848K3564.5</t>
        </is>
      </c>
      <c r="E12486" t="inlineStr">
        <is>
          <t>DILA-22</t>
        </is>
      </c>
      <c r="F12486" t="inlineStr">
        <is>
          <t>#KALK!</t>
        </is>
      </c>
      <c r="G12486" t="inlineStr">
        <is>
          <t>HILFSSCHUETZ</t>
        </is>
      </c>
      <c r="H12486" t="inlineStr">
        <is>
          <t>2S 2Oe Federzugkl.</t>
        </is>
      </c>
      <c r="I12486">
        <v>1270</v>
      </c>
      <c r="J12486">
        <f>GS12/848.4</f>
        <v>0</v>
      </c>
      <c r="M12486" t="inlineStr">
        <is>
          <t>-848K3564.5</t>
        </is>
      </c>
    </row>
    <row r="12487">
      <c r="A12487">
        <v>12486</v>
      </c>
      <c r="B12487">
        <f>GS05</f>
        <v>0</v>
      </c>
      <c r="C12487" t="inlineStr">
        <is>
          <t>+LS14</t>
        </is>
      </c>
      <c r="D12487" t="inlineStr">
        <is>
          <t>-848Q707.7</t>
        </is>
      </c>
      <c r="E12487" t="inlineStr">
        <is>
          <t>DILA-XHI22</t>
        </is>
      </c>
      <c r="F12487" t="inlineStr">
        <is>
          <t>DILA-XHI22</t>
        </is>
      </c>
      <c r="G12487" t="inlineStr">
        <is>
          <t>HILFSKONTAKTBLOCK</t>
        </is>
      </c>
      <c r="H12487" t="inlineStr">
        <is>
          <t>2S 2OE Last+Hilfssch. Cage</t>
        </is>
      </c>
      <c r="I12487">
        <v>2775</v>
      </c>
      <c r="J12487">
        <f>GS05/848.6</f>
        <v>0</v>
      </c>
      <c r="M12487" t="inlineStr">
        <is>
          <t>-848Q707.7</t>
        </is>
      </c>
    </row>
    <row r="12488">
      <c r="A12488">
        <v>12487</v>
      </c>
      <c r="B12488">
        <f>GS05</f>
        <v>0</v>
      </c>
      <c r="C12488" t="inlineStr">
        <is>
          <t>+LS14</t>
        </is>
      </c>
      <c r="D12488" t="inlineStr">
        <is>
          <t>-848Q707.7</t>
        </is>
      </c>
      <c r="E12488" t="inlineStr">
        <is>
          <t>DILM-9-01</t>
        </is>
      </c>
      <c r="F12488" t="inlineStr">
        <is>
          <t>DILA-XHI22</t>
        </is>
      </c>
      <c r="G12488" t="inlineStr">
        <is>
          <t>LASTSCHUETZ</t>
        </is>
      </c>
      <c r="H12488" t="inlineStr">
        <is>
          <t>4kW 1Oe Federzugkl.</t>
        </is>
      </c>
      <c r="I12488">
        <v>2775</v>
      </c>
      <c r="J12488">
        <f>GS05/848.6</f>
        <v>0</v>
      </c>
      <c r="M12488" t="inlineStr">
        <is>
          <t>-848Q707.7</t>
        </is>
      </c>
    </row>
    <row r="12489">
      <c r="A12489">
        <v>12488</v>
      </c>
      <c r="B12489">
        <f>GS05</f>
        <v>0</v>
      </c>
      <c r="C12489" t="inlineStr">
        <is>
          <t>+LS14</t>
        </is>
      </c>
      <c r="D12489" t="inlineStr">
        <is>
          <t>-848Q708.0</t>
        </is>
      </c>
      <c r="E12489" t="inlineStr">
        <is>
          <t>DILA-XHI22</t>
        </is>
      </c>
      <c r="F12489" t="inlineStr">
        <is>
          <t>DILA-XHI22</t>
        </is>
      </c>
      <c r="G12489" t="inlineStr">
        <is>
          <t>HILFSKONTAKTBLOCK</t>
        </is>
      </c>
      <c r="H12489" t="inlineStr">
        <is>
          <t>2S 2OE Last+Hilfssch. Cage</t>
        </is>
      </c>
      <c r="I12489">
        <v>2775</v>
      </c>
      <c r="J12489">
        <f>GS05/848.7</f>
        <v>0</v>
      </c>
      <c r="M12489" t="inlineStr">
        <is>
          <t>-848Q708.0</t>
        </is>
      </c>
    </row>
    <row r="12490">
      <c r="A12490">
        <v>12489</v>
      </c>
      <c r="B12490">
        <f>GS05</f>
        <v>0</v>
      </c>
      <c r="C12490" t="inlineStr">
        <is>
          <t>+LS14</t>
        </is>
      </c>
      <c r="D12490" t="inlineStr">
        <is>
          <t>-848Q708.0</t>
        </is>
      </c>
      <c r="E12490" t="inlineStr">
        <is>
          <t>DILM-9-01</t>
        </is>
      </c>
      <c r="F12490" t="inlineStr">
        <is>
          <t>DILA-XHI22</t>
        </is>
      </c>
      <c r="G12490" t="inlineStr">
        <is>
          <t>LASTSCHUETZ</t>
        </is>
      </c>
      <c r="H12490" t="inlineStr">
        <is>
          <t>4kW 1Oe Federzugkl.</t>
        </is>
      </c>
      <c r="I12490">
        <v>2775</v>
      </c>
      <c r="J12490">
        <f>GS05/848.7</f>
        <v>0</v>
      </c>
      <c r="M12490" t="inlineStr">
        <is>
          <t>-848Q708.0</t>
        </is>
      </c>
    </row>
    <row r="12491">
      <c r="A12491">
        <v>12490</v>
      </c>
      <c r="B12491">
        <f>GC22</f>
        <v>0</v>
      </c>
      <c r="C12491" t="inlineStr">
        <is>
          <t>+QVW2401</t>
        </is>
      </c>
      <c r="D12491" t="inlineStr">
        <is>
          <t>-849K3560.1</t>
        </is>
      </c>
      <c r="E12491" t="inlineStr">
        <is>
          <t>DILM-9-10</t>
        </is>
      </c>
      <c r="F12491" t="inlineStr">
        <is>
          <t>#KALK!</t>
        </is>
      </c>
      <c r="G12491" t="inlineStr">
        <is>
          <t>LASTSCHUETZ</t>
        </is>
      </c>
      <c r="H12491" t="inlineStr">
        <is>
          <t>4kW 1S Federzugkl.</t>
        </is>
      </c>
      <c r="I12491">
        <v>2180</v>
      </c>
      <c r="J12491">
        <f>GC22/849.7</f>
        <v>0</v>
      </c>
      <c r="M12491" t="inlineStr">
        <is>
          <t>-849K3560.1</t>
        </is>
      </c>
    </row>
    <row r="12492">
      <c r="A12492">
        <v>12491</v>
      </c>
      <c r="B12492">
        <f>GS12</f>
        <v>0</v>
      </c>
      <c r="C12492" t="inlineStr">
        <is>
          <t>+QVW2401</t>
        </is>
      </c>
      <c r="D12492" t="inlineStr">
        <is>
          <t>-849K3560.1</t>
        </is>
      </c>
      <c r="E12492" t="inlineStr">
        <is>
          <t>DILM-9-10</t>
        </is>
      </c>
      <c r="F12492" t="inlineStr">
        <is>
          <t>#KALK!</t>
        </is>
      </c>
      <c r="G12492" t="inlineStr">
        <is>
          <t>LASTSCHUETZ</t>
        </is>
      </c>
      <c r="H12492" t="inlineStr">
        <is>
          <t>4kW 1S Federzugkl.</t>
        </is>
      </c>
      <c r="I12492">
        <v>1271</v>
      </c>
      <c r="J12492">
        <f>GS12/849.7</f>
        <v>0</v>
      </c>
      <c r="M12492" t="inlineStr">
        <is>
          <t>-849K3560.1</t>
        </is>
      </c>
    </row>
    <row r="12493">
      <c r="A12493">
        <v>12492</v>
      </c>
      <c r="B12493">
        <f>GS61</f>
        <v>0</v>
      </c>
      <c r="C12493" t="inlineStr">
        <is>
          <t>+ES1</t>
        </is>
      </c>
      <c r="D12493" t="inlineStr">
        <is>
          <t>-84K53.0</t>
        </is>
      </c>
      <c r="E12493" t="inlineStr">
        <is>
          <t>DIL_EM-10-G</t>
        </is>
      </c>
      <c r="F12493" t="inlineStr">
        <is>
          <t>#KALK!</t>
        </is>
      </c>
      <c r="G12493" t="inlineStr">
        <is>
          <t>LASTSCHUETZ</t>
        </is>
      </c>
      <c r="H12493" t="inlineStr">
        <is>
          <t>4kW 1S</t>
        </is>
      </c>
      <c r="I12493">
        <v>288</v>
      </c>
      <c r="J12493">
        <f>GS61/84.6</f>
        <v>0</v>
      </c>
      <c r="M12493" t="inlineStr">
        <is>
          <t>-84K53.0</t>
        </is>
      </c>
    </row>
    <row r="12494">
      <c r="A12494">
        <v>12493</v>
      </c>
      <c r="B12494">
        <f>GS62</f>
        <v>0</v>
      </c>
      <c r="C12494" t="inlineStr">
        <is>
          <t>+ES1</t>
        </is>
      </c>
      <c r="D12494" t="inlineStr">
        <is>
          <t>-84K53.0</t>
        </is>
      </c>
      <c r="E12494" t="inlineStr">
        <is>
          <t>DIL_EM-10-G</t>
        </is>
      </c>
      <c r="F12494" t="inlineStr">
        <is>
          <t>#KALK!</t>
        </is>
      </c>
      <c r="G12494" t="inlineStr">
        <is>
          <t>LASTSCHUETZ</t>
        </is>
      </c>
      <c r="H12494" t="inlineStr">
        <is>
          <t>4kW 1S</t>
        </is>
      </c>
      <c r="I12494">
        <v>281</v>
      </c>
      <c r="J12494">
        <f>GS62/84.6</f>
        <v>0</v>
      </c>
      <c r="M12494" t="inlineStr">
        <is>
          <t>-84K53.0</t>
        </is>
      </c>
    </row>
    <row r="12495">
      <c r="A12495">
        <v>12494</v>
      </c>
      <c r="B12495">
        <f>GS61</f>
        <v>0</v>
      </c>
      <c r="C12495" t="inlineStr">
        <is>
          <t>+ES1</t>
        </is>
      </c>
      <c r="D12495" t="inlineStr">
        <is>
          <t>-84K53.1</t>
        </is>
      </c>
      <c r="E12495" t="inlineStr">
        <is>
          <t>DIL_EM-10-G</t>
        </is>
      </c>
      <c r="F12495" t="inlineStr">
        <is>
          <t>#KALK!</t>
        </is>
      </c>
      <c r="G12495" t="inlineStr">
        <is>
          <t>LASTSCHUETZ</t>
        </is>
      </c>
      <c r="H12495" t="inlineStr">
        <is>
          <t>4kW 1S</t>
        </is>
      </c>
      <c r="I12495">
        <v>288</v>
      </c>
      <c r="J12495">
        <f>GS61/84.7</f>
        <v>0</v>
      </c>
      <c r="M12495" t="inlineStr">
        <is>
          <t>-84K53.1</t>
        </is>
      </c>
    </row>
    <row r="12496">
      <c r="A12496">
        <v>12495</v>
      </c>
      <c r="B12496">
        <f>GS62</f>
        <v>0</v>
      </c>
      <c r="C12496" t="inlineStr">
        <is>
          <t>+ES1</t>
        </is>
      </c>
      <c r="D12496" t="inlineStr">
        <is>
          <t>-84K53.1</t>
        </is>
      </c>
      <c r="E12496" t="inlineStr">
        <is>
          <t>DIL_EM-10-G</t>
        </is>
      </c>
      <c r="F12496" t="inlineStr">
        <is>
          <t>#KALK!</t>
        </is>
      </c>
      <c r="G12496" t="inlineStr">
        <is>
          <t>LASTSCHUETZ</t>
        </is>
      </c>
      <c r="H12496" t="inlineStr">
        <is>
          <t>4kW 1S</t>
        </is>
      </c>
      <c r="I12496">
        <v>281</v>
      </c>
      <c r="J12496">
        <f>GS62/84.7</f>
        <v>0</v>
      </c>
      <c r="M12496" t="inlineStr">
        <is>
          <t>-84K53.1</t>
        </is>
      </c>
    </row>
    <row r="12497">
      <c r="A12497">
        <v>12496</v>
      </c>
      <c r="B12497">
        <f>GS05</f>
        <v>0</v>
      </c>
      <c r="C12497" t="inlineStr">
        <is>
          <t>+LS14</t>
        </is>
      </c>
      <c r="D12497" t="inlineStr">
        <is>
          <t>-850Q708.1</t>
        </is>
      </c>
      <c r="E12497" t="inlineStr">
        <is>
          <t>DILMC12-10(24VDC)</t>
        </is>
      </c>
      <c r="F12497" t="inlineStr">
        <is>
          <t>#KALK!</t>
        </is>
      </c>
      <c r="G12497" t="inlineStr">
        <is>
          <t>LASTSCHUETZ</t>
        </is>
      </c>
      <c r="H12497" t="inlineStr">
        <is>
          <t>5,5kW 1S Federzugkl.</t>
        </is>
      </c>
      <c r="I12497">
        <v>2777</v>
      </c>
      <c r="J12497">
        <f>GS05/850.4</f>
        <v>0</v>
      </c>
      <c r="K12497" t="inlineStr">
        <is>
          <t>DIL MC12</t>
        </is>
      </c>
      <c r="M12497" t="inlineStr">
        <is>
          <t>-850Q708.1</t>
        </is>
      </c>
    </row>
    <row r="12498">
      <c r="A12498">
        <v>12497</v>
      </c>
      <c r="B12498">
        <f>GC22</f>
        <v>0</v>
      </c>
      <c r="C12498" t="inlineStr">
        <is>
          <t>+QVW2401</t>
        </is>
      </c>
      <c r="D12498" t="inlineStr">
        <is>
          <t>-851K3561.1</t>
        </is>
      </c>
      <c r="E12498" t="inlineStr">
        <is>
          <t>DILM-9-10</t>
        </is>
      </c>
      <c r="F12498" t="inlineStr">
        <is>
          <t>#KALK!</t>
        </is>
      </c>
      <c r="G12498" t="inlineStr">
        <is>
          <t>LASTSCHUETZ</t>
        </is>
      </c>
      <c r="H12498" t="inlineStr">
        <is>
          <t>4kW 1S Federzugkl.</t>
        </is>
      </c>
      <c r="I12498">
        <v>2181</v>
      </c>
      <c r="J12498">
        <f>GC22/851.2</f>
        <v>0</v>
      </c>
      <c r="M12498" t="inlineStr">
        <is>
          <t>-851K3561.1</t>
        </is>
      </c>
    </row>
    <row r="12499">
      <c r="A12499">
        <v>12498</v>
      </c>
      <c r="B12499">
        <f>GS12</f>
        <v>0</v>
      </c>
      <c r="C12499" t="inlineStr">
        <is>
          <t>+QVW2401</t>
        </is>
      </c>
      <c r="D12499" t="inlineStr">
        <is>
          <t>-851K3561.1</t>
        </is>
      </c>
      <c r="E12499" t="inlineStr">
        <is>
          <t>DILM-9-10</t>
        </is>
      </c>
      <c r="F12499" t="inlineStr">
        <is>
          <t>#KALK!</t>
        </is>
      </c>
      <c r="G12499" t="inlineStr">
        <is>
          <t>LASTSCHUETZ</t>
        </is>
      </c>
      <c r="H12499" t="inlineStr">
        <is>
          <t>4kW 1S Federzugkl.</t>
        </is>
      </c>
      <c r="I12499">
        <v>1273</v>
      </c>
      <c r="J12499">
        <f>GS12/851.2</f>
        <v>0</v>
      </c>
      <c r="M12499" t="inlineStr">
        <is>
          <t>-851K3561.1</t>
        </is>
      </c>
    </row>
    <row r="12500">
      <c r="A12500">
        <v>12499</v>
      </c>
      <c r="B12500">
        <f>GC22</f>
        <v>0</v>
      </c>
      <c r="C12500" t="inlineStr">
        <is>
          <t>+QVW2401</t>
        </is>
      </c>
      <c r="D12500" t="inlineStr">
        <is>
          <t>-851K3561.7</t>
        </is>
      </c>
      <c r="E12500" t="inlineStr">
        <is>
          <t>DILM-9-10</t>
        </is>
      </c>
      <c r="F12500" t="inlineStr">
        <is>
          <t>#KALK!</t>
        </is>
      </c>
      <c r="G12500" t="inlineStr">
        <is>
          <t>LASTSCHUETZ</t>
        </is>
      </c>
      <c r="H12500" t="inlineStr">
        <is>
          <t>4kW 1S Federzugkl.</t>
        </is>
      </c>
      <c r="I12500">
        <v>2181</v>
      </c>
      <c r="J12500">
        <f>GC22/851.3</f>
        <v>0</v>
      </c>
      <c r="M12500" t="inlineStr">
        <is>
          <t>-851K3561.7</t>
        </is>
      </c>
    </row>
    <row r="12501">
      <c r="A12501">
        <v>12500</v>
      </c>
      <c r="B12501">
        <f>GS12</f>
        <v>0</v>
      </c>
      <c r="C12501" t="inlineStr">
        <is>
          <t>+QVW2401</t>
        </is>
      </c>
      <c r="D12501" t="inlineStr">
        <is>
          <t>-851K3561.7</t>
        </is>
      </c>
      <c r="E12501" t="inlineStr">
        <is>
          <t>DILM-9-10</t>
        </is>
      </c>
      <c r="F12501" t="inlineStr">
        <is>
          <t>#KALK!</t>
        </is>
      </c>
      <c r="G12501" t="inlineStr">
        <is>
          <t>LASTSCHUETZ</t>
        </is>
      </c>
      <c r="H12501" t="inlineStr">
        <is>
          <t>4kW 1S Federzugkl.</t>
        </is>
      </c>
      <c r="I12501">
        <v>1273</v>
      </c>
      <c r="J12501">
        <f>GS12/851.3</f>
        <v>0</v>
      </c>
      <c r="M12501" t="inlineStr">
        <is>
          <t>-851K3561.7</t>
        </is>
      </c>
    </row>
    <row r="12502">
      <c r="A12502">
        <v>12501</v>
      </c>
      <c r="B12502">
        <f>GS06</f>
        <v>0</v>
      </c>
      <c r="C12502" t="inlineStr">
        <is>
          <t>+LS13</t>
        </is>
      </c>
      <c r="D12502" t="inlineStr">
        <is>
          <t>-852Q714.5</t>
        </is>
      </c>
      <c r="E12502" t="inlineStr">
        <is>
          <t>DILM-9-10</t>
        </is>
      </c>
      <c r="F12502" t="inlineStr">
        <is>
          <t>#KALK!</t>
        </is>
      </c>
      <c r="G12502" t="inlineStr">
        <is>
          <t>LASTSCHUETZ</t>
        </is>
      </c>
      <c r="H12502" t="inlineStr">
        <is>
          <t>4kW 1S Federzugkl.</t>
        </is>
      </c>
      <c r="I12502">
        <v>2616</v>
      </c>
      <c r="J12502">
        <f>GS06/852.6</f>
        <v>0</v>
      </c>
      <c r="K12502" t="inlineStr">
        <is>
          <t>DIL MC9</t>
        </is>
      </c>
      <c r="M12502" t="inlineStr">
        <is>
          <t>-852Q714.5</t>
        </is>
      </c>
    </row>
    <row r="12503">
      <c r="A12503">
        <v>12502</v>
      </c>
      <c r="B12503">
        <f>GC22</f>
        <v>0</v>
      </c>
      <c r="C12503" t="inlineStr">
        <is>
          <t>+QVW2401</t>
        </is>
      </c>
      <c r="D12503" t="inlineStr">
        <is>
          <t>-853K3562.1</t>
        </is>
      </c>
      <c r="E12503" t="inlineStr">
        <is>
          <t>DILM-9-10</t>
        </is>
      </c>
      <c r="F12503" t="inlineStr">
        <is>
          <t>#KALK!</t>
        </is>
      </c>
      <c r="G12503" t="inlineStr">
        <is>
          <t>LASTSCHUETZ</t>
        </is>
      </c>
      <c r="H12503" t="inlineStr">
        <is>
          <t>4kW 1S Federzugkl.</t>
        </is>
      </c>
      <c r="I12503">
        <v>2183</v>
      </c>
      <c r="J12503">
        <f>GC22/853.2</f>
        <v>0</v>
      </c>
      <c r="M12503" t="inlineStr">
        <is>
          <t>-853K3562.1</t>
        </is>
      </c>
    </row>
    <row r="12504">
      <c r="A12504">
        <v>12503</v>
      </c>
      <c r="B12504">
        <f>GS12</f>
        <v>0</v>
      </c>
      <c r="C12504" t="inlineStr">
        <is>
          <t>+QVW2401</t>
        </is>
      </c>
      <c r="D12504" t="inlineStr">
        <is>
          <t>-853K3562.1</t>
        </is>
      </c>
      <c r="E12504" t="inlineStr">
        <is>
          <t>DILM-9-10</t>
        </is>
      </c>
      <c r="F12504" t="inlineStr">
        <is>
          <t>#KALK!</t>
        </is>
      </c>
      <c r="G12504" t="inlineStr">
        <is>
          <t>LASTSCHUETZ</t>
        </is>
      </c>
      <c r="H12504" t="inlineStr">
        <is>
          <t>4kW 1S Federzugkl.</t>
        </is>
      </c>
      <c r="I12504">
        <v>1275</v>
      </c>
      <c r="J12504">
        <f>GS12/853.2</f>
        <v>0</v>
      </c>
      <c r="M12504" t="inlineStr">
        <is>
          <t>-853K3562.1</t>
        </is>
      </c>
    </row>
    <row r="12505">
      <c r="A12505">
        <v>12504</v>
      </c>
      <c r="B12505">
        <f>GC22</f>
        <v>0</v>
      </c>
      <c r="C12505" t="inlineStr">
        <is>
          <t>+QVW2401</t>
        </is>
      </c>
      <c r="D12505" t="inlineStr">
        <is>
          <t>-853K3562.7</t>
        </is>
      </c>
      <c r="E12505" t="inlineStr">
        <is>
          <t>DILM-9-10</t>
        </is>
      </c>
      <c r="F12505" t="inlineStr">
        <is>
          <t>#KALK!</t>
        </is>
      </c>
      <c r="G12505" t="inlineStr">
        <is>
          <t>LASTSCHUETZ</t>
        </is>
      </c>
      <c r="H12505" t="inlineStr">
        <is>
          <t>4kW 1S Federzugkl.</t>
        </is>
      </c>
      <c r="I12505">
        <v>2183</v>
      </c>
      <c r="J12505">
        <f>GC22/853.3</f>
        <v>0</v>
      </c>
      <c r="M12505" t="inlineStr">
        <is>
          <t>-853K3562.7</t>
        </is>
      </c>
    </row>
    <row r="12506">
      <c r="A12506">
        <v>12505</v>
      </c>
      <c r="B12506">
        <f>GS12</f>
        <v>0</v>
      </c>
      <c r="C12506" t="inlineStr">
        <is>
          <t>+QVW2401</t>
        </is>
      </c>
      <c r="D12506" t="inlineStr">
        <is>
          <t>-853K3562.7</t>
        </is>
      </c>
      <c r="E12506" t="inlineStr">
        <is>
          <t>DILM-9-10</t>
        </is>
      </c>
      <c r="F12506" t="inlineStr">
        <is>
          <t>#KALK!</t>
        </is>
      </c>
      <c r="G12506" t="inlineStr">
        <is>
          <t>LASTSCHUETZ</t>
        </is>
      </c>
      <c r="H12506" t="inlineStr">
        <is>
          <t>4kW 1S Federzugkl.</t>
        </is>
      </c>
      <c r="I12506">
        <v>1275</v>
      </c>
      <c r="J12506">
        <f>GS12/853.3</f>
        <v>0</v>
      </c>
      <c r="M12506" t="inlineStr">
        <is>
          <t>-853K3562.7</t>
        </is>
      </c>
    </row>
    <row r="12507">
      <c r="A12507">
        <v>12506</v>
      </c>
      <c r="B12507">
        <f>GS93</f>
        <v>0</v>
      </c>
      <c r="C12507" t="inlineStr">
        <is>
          <t>+LS17</t>
        </is>
      </c>
      <c r="D12507" t="inlineStr">
        <is>
          <t>-855K1070.0</t>
        </is>
      </c>
      <c r="E12507" t="inlineStr">
        <is>
          <t>DILA-40</t>
        </is>
      </c>
      <c r="F12507" t="inlineStr">
        <is>
          <t>#KALK!</t>
        </is>
      </c>
      <c r="G12507" t="inlineStr">
        <is>
          <t>HILFSSCHUETZ</t>
        </is>
      </c>
      <c r="H12507" t="inlineStr">
        <is>
          <t>4S Federzugkl.</t>
        </is>
      </c>
      <c r="I12507">
        <v>1380</v>
      </c>
      <c r="J12507">
        <f>GS93/855.7</f>
        <v>0</v>
      </c>
      <c r="M12507" t="inlineStr">
        <is>
          <t>-855K1070.0</t>
        </is>
      </c>
    </row>
    <row r="12508">
      <c r="A12508">
        <v>12507</v>
      </c>
      <c r="B12508">
        <f>GS93</f>
        <v>0</v>
      </c>
      <c r="C12508" t="inlineStr">
        <is>
          <t>+LS17</t>
        </is>
      </c>
      <c r="D12508" t="inlineStr">
        <is>
          <t>-855Q1</t>
        </is>
      </c>
      <c r="E12508" t="inlineStr">
        <is>
          <t>DILA-XHI22</t>
        </is>
      </c>
      <c r="F12508" t="inlineStr">
        <is>
          <t>DILA-XHI22</t>
        </is>
      </c>
      <c r="G12508" t="inlineStr">
        <is>
          <t>HILFSKONTAKTBLOCK</t>
        </is>
      </c>
      <c r="H12508" t="inlineStr">
        <is>
          <t>2S 2OE Last+Hilfssch. Cage</t>
        </is>
      </c>
      <c r="I12508">
        <v>1380</v>
      </c>
      <c r="J12508">
        <f>GS93/855.4</f>
        <v>0</v>
      </c>
      <c r="K12508" t="inlineStr">
        <is>
          <t>DIL MC25</t>
        </is>
      </c>
      <c r="M12508" t="inlineStr">
        <is>
          <t>-855Q1</t>
        </is>
      </c>
    </row>
    <row r="12509">
      <c r="A12509">
        <v>12508</v>
      </c>
      <c r="B12509">
        <f>GS93</f>
        <v>0</v>
      </c>
      <c r="C12509" t="inlineStr">
        <is>
          <t>+LS17</t>
        </is>
      </c>
      <c r="D12509" t="inlineStr">
        <is>
          <t>-855Q1</t>
        </is>
      </c>
      <c r="E12509" t="inlineStr">
        <is>
          <t>DILMC25-10(RDC24)</t>
        </is>
      </c>
      <c r="F12509" t="inlineStr">
        <is>
          <t>DILA-XHI22</t>
        </is>
      </c>
      <c r="G12509" t="inlineStr">
        <is>
          <t>LASTSCHUETZ</t>
        </is>
      </c>
      <c r="H12509" t="inlineStr">
        <is>
          <t>11kW 1S Federzugkl.</t>
        </is>
      </c>
      <c r="I12509">
        <v>1380</v>
      </c>
      <c r="J12509">
        <f>GS93/855.4</f>
        <v>0</v>
      </c>
      <c r="K12509" t="inlineStr">
        <is>
          <t>DIL MC25</t>
        </is>
      </c>
      <c r="M12509" t="inlineStr">
        <is>
          <t>-855Q1</t>
        </is>
      </c>
    </row>
    <row r="12510">
      <c r="A12510">
        <v>12509</v>
      </c>
      <c r="B12510">
        <f>GS93</f>
        <v>0</v>
      </c>
      <c r="C12510" t="inlineStr">
        <is>
          <t>+LS17</t>
        </is>
      </c>
      <c r="D12510" t="inlineStr">
        <is>
          <t>-856Q1070.1</t>
        </is>
      </c>
      <c r="E12510" t="inlineStr">
        <is>
          <t>DILM-9-10</t>
        </is>
      </c>
      <c r="F12510" t="inlineStr">
        <is>
          <t>DILA-XHI22</t>
        </is>
      </c>
      <c r="G12510" t="inlineStr">
        <is>
          <t>LASTSCHUETZ</t>
        </is>
      </c>
      <c r="H12510" t="inlineStr">
        <is>
          <t>4kW 1S Federzugkl.</t>
        </is>
      </c>
      <c r="I12510">
        <v>1381</v>
      </c>
      <c r="J12510">
        <f>GS93/856.5</f>
        <v>0</v>
      </c>
      <c r="M12510" t="inlineStr">
        <is>
          <t>-856Q1070.1</t>
        </is>
      </c>
    </row>
    <row r="12511">
      <c r="A12511">
        <v>12510</v>
      </c>
      <c r="B12511">
        <f>GS93</f>
        <v>0</v>
      </c>
      <c r="C12511" t="inlineStr">
        <is>
          <t>+LS17</t>
        </is>
      </c>
      <c r="D12511" t="inlineStr">
        <is>
          <t>-856Q1070.1</t>
        </is>
      </c>
      <c r="E12511" t="inlineStr">
        <is>
          <t>DILA-XHI22</t>
        </is>
      </c>
      <c r="F12511" t="inlineStr">
        <is>
          <t>DILA-XHI22</t>
        </is>
      </c>
      <c r="G12511" t="inlineStr">
        <is>
          <t>HILFSKONTAKTBLOCK</t>
        </is>
      </c>
      <c r="H12511" t="inlineStr">
        <is>
          <t>2S 2OE Last+Hilfssch. Cage</t>
        </is>
      </c>
      <c r="I12511">
        <v>1381</v>
      </c>
      <c r="J12511">
        <f>GS93/856.5</f>
        <v>0</v>
      </c>
      <c r="M12511" t="inlineStr">
        <is>
          <t>-856Q1070.1</t>
        </is>
      </c>
    </row>
    <row r="12512">
      <c r="A12512">
        <v>12511</v>
      </c>
      <c r="B12512">
        <f>GS93</f>
        <v>0</v>
      </c>
      <c r="C12512" t="inlineStr">
        <is>
          <t>+LS17</t>
        </is>
      </c>
      <c r="D12512" t="inlineStr">
        <is>
          <t>-856Q1070.2</t>
        </is>
      </c>
      <c r="E12512" t="inlineStr">
        <is>
          <t>DILM-9-10</t>
        </is>
      </c>
      <c r="F12512" t="inlineStr">
        <is>
          <t>DILA-XHI22</t>
        </is>
      </c>
      <c r="G12512" t="inlineStr">
        <is>
          <t>LASTSCHUETZ</t>
        </is>
      </c>
      <c r="H12512" t="inlineStr">
        <is>
          <t>4kW 1S Federzugkl.</t>
        </is>
      </c>
      <c r="I12512">
        <v>1381</v>
      </c>
      <c r="J12512">
        <f>GS93/856.6</f>
        <v>0</v>
      </c>
      <c r="M12512" t="inlineStr">
        <is>
          <t>-856Q1070.2</t>
        </is>
      </c>
    </row>
    <row r="12513">
      <c r="A12513">
        <v>12512</v>
      </c>
      <c r="B12513">
        <f>GS93</f>
        <v>0</v>
      </c>
      <c r="C12513" t="inlineStr">
        <is>
          <t>+LS17</t>
        </is>
      </c>
      <c r="D12513" t="inlineStr">
        <is>
          <t>-856Q1070.2</t>
        </is>
      </c>
      <c r="E12513" t="inlineStr">
        <is>
          <t>DILA-XHI22</t>
        </is>
      </c>
      <c r="F12513" t="inlineStr">
        <is>
          <t>DILA-XHI22</t>
        </is>
      </c>
      <c r="G12513" t="inlineStr">
        <is>
          <t>HILFSKONTAKTBLOCK</t>
        </is>
      </c>
      <c r="H12513" t="inlineStr">
        <is>
          <t>2S 2OE Last+Hilfssch. Cage</t>
        </is>
      </c>
      <c r="I12513">
        <v>1381</v>
      </c>
      <c r="J12513">
        <f>GS93/856.6</f>
        <v>0</v>
      </c>
      <c r="M12513" t="inlineStr">
        <is>
          <t>-856Q1070.2</t>
        </is>
      </c>
    </row>
    <row r="12514">
      <c r="A12514">
        <v>12513</v>
      </c>
      <c r="B12514">
        <f>GS93</f>
        <v>0</v>
      </c>
      <c r="C12514" t="inlineStr">
        <is>
          <t>+LS17</t>
        </is>
      </c>
      <c r="D12514" t="inlineStr">
        <is>
          <t>-857Q1070.3</t>
        </is>
      </c>
      <c r="E12514" t="inlineStr">
        <is>
          <t>DILM-9-10</t>
        </is>
      </c>
      <c r="F12514" t="inlineStr">
        <is>
          <t>#KALK!</t>
        </is>
      </c>
      <c r="G12514" t="inlineStr">
        <is>
          <t>LASTSCHUETZ</t>
        </is>
      </c>
      <c r="H12514" t="inlineStr">
        <is>
          <t>4kW 1S Federzugkl.</t>
        </is>
      </c>
      <c r="I12514">
        <v>1382</v>
      </c>
      <c r="J12514">
        <f>GS93/857.5</f>
        <v>0</v>
      </c>
      <c r="M12514" t="inlineStr">
        <is>
          <t>-857Q1070.3</t>
        </is>
      </c>
    </row>
    <row r="12515">
      <c r="A12515">
        <v>12514</v>
      </c>
      <c r="B12515">
        <f>GS93</f>
        <v>0</v>
      </c>
      <c r="C12515" t="inlineStr">
        <is>
          <t>+LS17</t>
        </is>
      </c>
      <c r="D12515" t="inlineStr">
        <is>
          <t>-858Q1070.4</t>
        </is>
      </c>
      <c r="E12515" t="inlineStr">
        <is>
          <t>DILM-9-10</t>
        </is>
      </c>
      <c r="F12515" t="inlineStr">
        <is>
          <t>#KALK!</t>
        </is>
      </c>
      <c r="G12515" t="inlineStr">
        <is>
          <t>LASTSCHUETZ</t>
        </is>
      </c>
      <c r="H12515" t="inlineStr">
        <is>
          <t>4kW 1S Federzugkl.</t>
        </is>
      </c>
      <c r="I12515">
        <v>1383</v>
      </c>
      <c r="J12515">
        <f>GS93/858.5</f>
        <v>0</v>
      </c>
      <c r="M12515" t="inlineStr">
        <is>
          <t>-858Q1070.4</t>
        </is>
      </c>
    </row>
    <row r="12516">
      <c r="A12516">
        <v>12515</v>
      </c>
      <c r="B12516">
        <f>GS05</f>
        <v>0</v>
      </c>
      <c r="C12516" t="inlineStr">
        <is>
          <t>+LS14</t>
        </is>
      </c>
      <c r="D12516" t="inlineStr">
        <is>
          <t>-858Q708.3</t>
        </is>
      </c>
      <c r="E12516" t="inlineStr">
        <is>
          <t>DILM-9-10</t>
        </is>
      </c>
      <c r="F12516" t="inlineStr">
        <is>
          <t>#KALK!</t>
        </is>
      </c>
      <c r="G12516" t="inlineStr">
        <is>
          <t>LASTSCHUETZ</t>
        </is>
      </c>
      <c r="H12516" t="inlineStr">
        <is>
          <t>4kW 1S Federzugkl.</t>
        </is>
      </c>
      <c r="I12516">
        <v>2184</v>
      </c>
      <c r="J12516">
        <f>GS05/858.6</f>
        <v>0</v>
      </c>
      <c r="K12516" t="inlineStr">
        <is>
          <t>DIL MC9</t>
        </is>
      </c>
      <c r="M12516" t="inlineStr">
        <is>
          <t>-858Q708.3</t>
        </is>
      </c>
    </row>
    <row r="12517">
      <c r="A12517">
        <v>12516</v>
      </c>
      <c r="B12517">
        <f>GS01</f>
        <v>0</v>
      </c>
      <c r="C12517" t="inlineStr">
        <is>
          <t>+LS1</t>
        </is>
      </c>
      <c r="D12517" t="inlineStr">
        <is>
          <t>-85K1</t>
        </is>
      </c>
      <c r="E12517" t="inlineStr">
        <is>
          <t>DIL_2AM</t>
        </is>
      </c>
      <c r="F12517" t="inlineStr">
        <is>
          <t>22_DIL-M</t>
        </is>
      </c>
      <c r="G12517" t="inlineStr">
        <is>
          <t>LASTSCHUETZ</t>
        </is>
      </c>
      <c r="H12517" t="inlineStr">
        <is>
          <t>30 kW</t>
        </is>
      </c>
      <c r="I12517">
        <v>166</v>
      </c>
      <c r="J12517">
        <f>GS01/85.2</f>
        <v>0</v>
      </c>
      <c r="K12517" t="inlineStr">
        <is>
          <t>DIL2AM</t>
        </is>
      </c>
      <c r="M12517" t="inlineStr">
        <is>
          <t>-85K1</t>
        </is>
      </c>
    </row>
    <row r="12518">
      <c r="A12518">
        <v>12517</v>
      </c>
      <c r="B12518">
        <f>GS01</f>
        <v>0</v>
      </c>
      <c r="C12518" t="inlineStr">
        <is>
          <t>+LS1</t>
        </is>
      </c>
      <c r="D12518" t="inlineStr">
        <is>
          <t>-85K1</t>
        </is>
      </c>
      <c r="E12518" t="inlineStr">
        <is>
          <t>22_DIL-M</t>
        </is>
      </c>
      <c r="F12518" t="inlineStr">
        <is>
          <t>22_DIL-M</t>
        </is>
      </c>
      <c r="G12518" t="inlineStr">
        <is>
          <t>HILFSKONTAKTBLOCK</t>
        </is>
      </c>
      <c r="H12518" t="inlineStr">
        <is>
          <t>2S 2OE Lastschuetz DIL M</t>
        </is>
      </c>
      <c r="I12518">
        <v>166</v>
      </c>
      <c r="J12518">
        <f>GS01/85.2</f>
        <v>0</v>
      </c>
      <c r="K12518" t="inlineStr">
        <is>
          <t>DIL2AM</t>
        </is>
      </c>
      <c r="M12518" t="inlineStr">
        <is>
          <t>-85K1</t>
        </is>
      </c>
    </row>
    <row r="12519">
      <c r="A12519">
        <v>12518</v>
      </c>
      <c r="B12519">
        <f>GS14</f>
        <v>0</v>
      </c>
      <c r="C12519" t="inlineStr">
        <is>
          <t>+LS1</t>
        </is>
      </c>
      <c r="D12519" t="inlineStr">
        <is>
          <t>-85K1</t>
        </is>
      </c>
      <c r="E12519" t="inlineStr">
        <is>
          <t>DIL_0AM</t>
        </is>
      </c>
      <c r="F12519" t="inlineStr">
        <is>
          <t>22_DIL-M</t>
        </is>
      </c>
      <c r="G12519" t="inlineStr">
        <is>
          <t>LASTSCHUETZ</t>
        </is>
      </c>
      <c r="H12519" t="inlineStr">
        <is>
          <t>11 kW</t>
        </is>
      </c>
      <c r="I12519">
        <v>211</v>
      </c>
      <c r="J12519">
        <f>GS14/85.2</f>
        <v>0</v>
      </c>
      <c r="K12519" t="inlineStr">
        <is>
          <t>DIL0AM</t>
        </is>
      </c>
      <c r="M12519" t="inlineStr">
        <is>
          <t>-85K1</t>
        </is>
      </c>
    </row>
    <row r="12520">
      <c r="A12520">
        <v>12519</v>
      </c>
      <c r="B12520">
        <f>GS14</f>
        <v>0</v>
      </c>
      <c r="C12520" t="inlineStr">
        <is>
          <t>+LS1</t>
        </is>
      </c>
      <c r="D12520" t="inlineStr">
        <is>
          <t>-85K1</t>
        </is>
      </c>
      <c r="E12520" t="inlineStr">
        <is>
          <t>22_DIL-M</t>
        </is>
      </c>
      <c r="F12520" t="inlineStr">
        <is>
          <t>22_DIL-M</t>
        </is>
      </c>
      <c r="G12520" t="inlineStr">
        <is>
          <t>HILFSKONTAKTBLOCK</t>
        </is>
      </c>
      <c r="H12520" t="inlineStr">
        <is>
          <t>2S 2OE Lastschuetz DIL M</t>
        </is>
      </c>
      <c r="I12520">
        <v>211</v>
      </c>
      <c r="J12520">
        <f>GS14/85.2</f>
        <v>0</v>
      </c>
      <c r="K12520" t="inlineStr">
        <is>
          <t>DIL0AM</t>
        </is>
      </c>
      <c r="M12520" t="inlineStr">
        <is>
          <t>-85K1</t>
        </is>
      </c>
    </row>
    <row r="12521">
      <c r="A12521">
        <v>12520</v>
      </c>
      <c r="B12521">
        <f>GS15</f>
        <v>0</v>
      </c>
      <c r="C12521" t="inlineStr">
        <is>
          <t>+LS1</t>
        </is>
      </c>
      <c r="D12521" t="inlineStr">
        <is>
          <t>-85K1</t>
        </is>
      </c>
      <c r="E12521" t="inlineStr">
        <is>
          <t>22_DIL-M</t>
        </is>
      </c>
      <c r="F12521" t="inlineStr">
        <is>
          <t>22_DIL-M</t>
        </is>
      </c>
      <c r="G12521" t="inlineStr">
        <is>
          <t>HILFSKONTAKTBLOCK</t>
        </is>
      </c>
      <c r="H12521" t="inlineStr">
        <is>
          <t>2S 2OE Lastschuetz DIL M</t>
        </is>
      </c>
      <c r="I12521">
        <v>572</v>
      </c>
      <c r="J12521">
        <f>GS15/85.2</f>
        <v>0</v>
      </c>
      <c r="K12521" t="inlineStr">
        <is>
          <t>DIL0AM</t>
        </is>
      </c>
      <c r="M12521" t="inlineStr">
        <is>
          <t>-85K1</t>
        </is>
      </c>
    </row>
    <row r="12522">
      <c r="A12522">
        <v>12521</v>
      </c>
      <c r="B12522">
        <f>GS15</f>
        <v>0</v>
      </c>
      <c r="C12522" t="inlineStr">
        <is>
          <t>+LS1</t>
        </is>
      </c>
      <c r="D12522" t="inlineStr">
        <is>
          <t>-85K1</t>
        </is>
      </c>
      <c r="E12522" t="inlineStr">
        <is>
          <t>DIL_0AM</t>
        </is>
      </c>
      <c r="F12522" t="inlineStr">
        <is>
          <t>22_DIL-M</t>
        </is>
      </c>
      <c r="G12522" t="inlineStr">
        <is>
          <t>LASTSCHUETZ</t>
        </is>
      </c>
      <c r="H12522" t="inlineStr">
        <is>
          <t>11 kW</t>
        </is>
      </c>
      <c r="I12522">
        <v>572</v>
      </c>
      <c r="J12522">
        <f>GS15/85.2</f>
        <v>0</v>
      </c>
      <c r="K12522" t="inlineStr">
        <is>
          <t>DIL0AM</t>
        </is>
      </c>
      <c r="M12522" t="inlineStr">
        <is>
          <t>-85K1</t>
        </is>
      </c>
    </row>
    <row r="12523">
      <c r="A12523">
        <v>12522</v>
      </c>
      <c r="B12523">
        <f>GS24</f>
        <v>0</v>
      </c>
      <c r="C12523" t="inlineStr">
        <is>
          <t>+LS1</t>
        </is>
      </c>
      <c r="D12523" t="inlineStr">
        <is>
          <t>-85K1</t>
        </is>
      </c>
      <c r="E12523" t="inlineStr">
        <is>
          <t>22_DIL-M</t>
        </is>
      </c>
      <c r="F12523" t="inlineStr">
        <is>
          <t>22_DIL-M</t>
        </is>
      </c>
      <c r="G12523" t="inlineStr">
        <is>
          <t>HILFSKONTAKTBLOCK</t>
        </is>
      </c>
      <c r="H12523" t="inlineStr">
        <is>
          <t>2S 2OE Lastschuetz DIL M</t>
        </is>
      </c>
      <c r="I12523">
        <v>994</v>
      </c>
      <c r="J12523">
        <f>GS24/85.2</f>
        <v>0</v>
      </c>
      <c r="K12523" t="inlineStr">
        <is>
          <t>DIL0AM</t>
        </is>
      </c>
      <c r="M12523" t="inlineStr">
        <is>
          <t>-85K1</t>
        </is>
      </c>
    </row>
    <row r="12524">
      <c r="A12524">
        <v>12523</v>
      </c>
      <c r="B12524">
        <f>GS24</f>
        <v>0</v>
      </c>
      <c r="C12524" t="inlineStr">
        <is>
          <t>+LS1</t>
        </is>
      </c>
      <c r="D12524" t="inlineStr">
        <is>
          <t>-85K1</t>
        </is>
      </c>
      <c r="E12524" t="inlineStr">
        <is>
          <t>DIL_0AM</t>
        </is>
      </c>
      <c r="F12524" t="inlineStr">
        <is>
          <t>22_DIL-M</t>
        </is>
      </c>
      <c r="G12524" t="inlineStr">
        <is>
          <t>LASTSCHUETZ</t>
        </is>
      </c>
      <c r="H12524" t="inlineStr">
        <is>
          <t>11 kW</t>
        </is>
      </c>
      <c r="I12524">
        <v>994</v>
      </c>
      <c r="J12524">
        <f>GS24/85.2</f>
        <v>0</v>
      </c>
      <c r="K12524" t="inlineStr">
        <is>
          <t>DIL0AM</t>
        </is>
      </c>
      <c r="M12524" t="inlineStr">
        <is>
          <t>-85K1</t>
        </is>
      </c>
    </row>
    <row r="12525">
      <c r="A12525">
        <v>12524</v>
      </c>
      <c r="B12525">
        <f>GS25</f>
        <v>0</v>
      </c>
      <c r="C12525" t="inlineStr">
        <is>
          <t>+LS1</t>
        </is>
      </c>
      <c r="D12525" t="inlineStr">
        <is>
          <t>-85K1</t>
        </is>
      </c>
      <c r="E12525" t="inlineStr">
        <is>
          <t>DIL_0AM</t>
        </is>
      </c>
      <c r="F12525" t="inlineStr">
        <is>
          <t>22_DIL-M</t>
        </is>
      </c>
      <c r="G12525" t="inlineStr">
        <is>
          <t>LASTSCHUETZ</t>
        </is>
      </c>
      <c r="H12525" t="inlineStr">
        <is>
          <t>11 kW</t>
        </is>
      </c>
      <c r="I12525">
        <v>206</v>
      </c>
      <c r="J12525">
        <f>GS25/85.2</f>
        <v>0</v>
      </c>
      <c r="K12525" t="inlineStr">
        <is>
          <t>DIL0AM</t>
        </is>
      </c>
      <c r="M12525" t="inlineStr">
        <is>
          <t>-85K1</t>
        </is>
      </c>
    </row>
    <row r="12526">
      <c r="A12526">
        <v>12525</v>
      </c>
      <c r="B12526">
        <f>GS25</f>
        <v>0</v>
      </c>
      <c r="C12526" t="inlineStr">
        <is>
          <t>+LS1</t>
        </is>
      </c>
      <c r="D12526" t="inlineStr">
        <is>
          <t>-85K1</t>
        </is>
      </c>
      <c r="E12526" t="inlineStr">
        <is>
          <t>22_DIL-M</t>
        </is>
      </c>
      <c r="F12526" t="inlineStr">
        <is>
          <t>22_DIL-M</t>
        </is>
      </c>
      <c r="G12526" t="inlineStr">
        <is>
          <t>HILFSKONTAKTBLOCK</t>
        </is>
      </c>
      <c r="H12526" t="inlineStr">
        <is>
          <t>2S 2OE Lastschuetz DIL M</t>
        </is>
      </c>
      <c r="I12526">
        <v>206</v>
      </c>
      <c r="J12526">
        <f>GS25/85.2</f>
        <v>0</v>
      </c>
      <c r="K12526" t="inlineStr">
        <is>
          <t>DIL0AM</t>
        </is>
      </c>
      <c r="M12526" t="inlineStr">
        <is>
          <t>-85K1</t>
        </is>
      </c>
    </row>
    <row r="12527">
      <c r="A12527">
        <v>12526</v>
      </c>
      <c r="B12527">
        <f>GS01</f>
        <v>0</v>
      </c>
      <c r="C12527" t="inlineStr">
        <is>
          <t>+LS1</t>
        </is>
      </c>
      <c r="D12527" t="inlineStr">
        <is>
          <t>-85K2</t>
        </is>
      </c>
      <c r="E12527" t="inlineStr">
        <is>
          <t>DIL_2AM</t>
        </is>
      </c>
      <c r="F12527" t="inlineStr">
        <is>
          <t>22_DIL-M</t>
        </is>
      </c>
      <c r="G12527" t="inlineStr">
        <is>
          <t>LASTSCHUETZ</t>
        </is>
      </c>
      <c r="H12527" t="inlineStr">
        <is>
          <t>30 kW</t>
        </is>
      </c>
      <c r="I12527">
        <v>166</v>
      </c>
      <c r="J12527">
        <f>GS01/85.3</f>
        <v>0</v>
      </c>
      <c r="K12527" t="inlineStr">
        <is>
          <t>DIL2AM</t>
        </is>
      </c>
      <c r="M12527" t="inlineStr">
        <is>
          <t>-85K2</t>
        </is>
      </c>
    </row>
    <row r="12528">
      <c r="A12528">
        <v>12527</v>
      </c>
      <c r="B12528">
        <f>GS01</f>
        <v>0</v>
      </c>
      <c r="C12528" t="inlineStr">
        <is>
          <t>+LS1</t>
        </is>
      </c>
      <c r="D12528" t="inlineStr">
        <is>
          <t>-85K2</t>
        </is>
      </c>
      <c r="E12528" t="inlineStr">
        <is>
          <t>22_DIL-M</t>
        </is>
      </c>
      <c r="F12528" t="inlineStr">
        <is>
          <t>22_DIL-M</t>
        </is>
      </c>
      <c r="G12528" t="inlineStr">
        <is>
          <t>HILFSKONTAKTBLOCK</t>
        </is>
      </c>
      <c r="H12528" t="inlineStr">
        <is>
          <t>2S 2OE Lastschuetz DIL M</t>
        </is>
      </c>
      <c r="I12528">
        <v>166</v>
      </c>
      <c r="J12528">
        <f>GS01/85.3</f>
        <v>0</v>
      </c>
      <c r="K12528" t="inlineStr">
        <is>
          <t>DIL2AM</t>
        </is>
      </c>
      <c r="M12528" t="inlineStr">
        <is>
          <t>-85K2</t>
        </is>
      </c>
    </row>
    <row r="12529">
      <c r="A12529">
        <v>12528</v>
      </c>
      <c r="B12529">
        <f>GS98</f>
        <v>0</v>
      </c>
      <c r="C12529" t="inlineStr">
        <is>
          <t>+LS02</t>
        </is>
      </c>
      <c r="D12529" t="inlineStr">
        <is>
          <t>-85K20.0</t>
        </is>
      </c>
      <c r="E12529" t="inlineStr">
        <is>
          <t>DILA-40</t>
        </is>
      </c>
      <c r="F12529" t="inlineStr">
        <is>
          <t>#KALK!</t>
        </is>
      </c>
      <c r="G12529" t="inlineStr">
        <is>
          <t>HILFSSCHUETZ</t>
        </is>
      </c>
      <c r="H12529" t="inlineStr">
        <is>
          <t>4S Federzugkl.</t>
        </is>
      </c>
      <c r="I12529">
        <v>257</v>
      </c>
      <c r="J12529">
        <f>GS98/85.5</f>
        <v>0</v>
      </c>
      <c r="M12529" t="inlineStr">
        <is>
          <t>-85K20.0</t>
        </is>
      </c>
    </row>
    <row r="12530">
      <c r="A12530">
        <v>12529</v>
      </c>
      <c r="B12530">
        <f>GS61</f>
        <v>0</v>
      </c>
      <c r="C12530" t="inlineStr">
        <is>
          <t>+ES1</t>
        </is>
      </c>
      <c r="D12530" t="inlineStr">
        <is>
          <t>-85K53.2</t>
        </is>
      </c>
      <c r="E12530" t="inlineStr">
        <is>
          <t>DIL_EM-10-G</t>
        </is>
      </c>
      <c r="F12530" t="inlineStr">
        <is>
          <t>#KALK!</t>
        </is>
      </c>
      <c r="G12530" t="inlineStr">
        <is>
          <t>LASTSCHUETZ</t>
        </is>
      </c>
      <c r="H12530" t="inlineStr">
        <is>
          <t>4kW 1S</t>
        </is>
      </c>
      <c r="I12530">
        <v>286</v>
      </c>
      <c r="J12530">
        <f>GS61/85.6</f>
        <v>0</v>
      </c>
      <c r="M12530" t="inlineStr">
        <is>
          <t>-85K53.2</t>
        </is>
      </c>
    </row>
    <row r="12531">
      <c r="A12531">
        <v>12530</v>
      </c>
      <c r="B12531">
        <f>GS62</f>
        <v>0</v>
      </c>
      <c r="C12531" t="inlineStr">
        <is>
          <t>+ES1</t>
        </is>
      </c>
      <c r="D12531" t="inlineStr">
        <is>
          <t>-85K53.2</t>
        </is>
      </c>
      <c r="E12531" t="inlineStr">
        <is>
          <t>DIL_EM-10-G</t>
        </is>
      </c>
      <c r="F12531" t="inlineStr">
        <is>
          <t>#KALK!</t>
        </is>
      </c>
      <c r="G12531" t="inlineStr">
        <is>
          <t>LASTSCHUETZ</t>
        </is>
      </c>
      <c r="H12531" t="inlineStr">
        <is>
          <t>4kW 1S</t>
        </is>
      </c>
      <c r="I12531">
        <v>282</v>
      </c>
      <c r="J12531">
        <f>GS62/85.6</f>
        <v>0</v>
      </c>
      <c r="M12531" t="inlineStr">
        <is>
          <t>-85K53.2</t>
        </is>
      </c>
    </row>
    <row r="12532">
      <c r="A12532">
        <v>12531</v>
      </c>
      <c r="B12532">
        <f>GS61</f>
        <v>0</v>
      </c>
      <c r="C12532" t="inlineStr">
        <is>
          <t>+ES1</t>
        </is>
      </c>
      <c r="D12532" t="inlineStr">
        <is>
          <t>-85K53.3</t>
        </is>
      </c>
      <c r="E12532" t="inlineStr">
        <is>
          <t>DIL_EM-10-G</t>
        </is>
      </c>
      <c r="F12532" t="inlineStr">
        <is>
          <t>#KALK!</t>
        </is>
      </c>
      <c r="G12532" t="inlineStr">
        <is>
          <t>LASTSCHUETZ</t>
        </is>
      </c>
      <c r="H12532" t="inlineStr">
        <is>
          <t>4kW 1S</t>
        </is>
      </c>
      <c r="I12532">
        <v>286</v>
      </c>
      <c r="J12532">
        <f>GS61/85.7</f>
        <v>0</v>
      </c>
      <c r="M12532" t="inlineStr">
        <is>
          <t>-85K53.3</t>
        </is>
      </c>
    </row>
    <row r="12533">
      <c r="A12533">
        <v>12532</v>
      </c>
      <c r="B12533">
        <f>GS62</f>
        <v>0</v>
      </c>
      <c r="C12533" t="inlineStr">
        <is>
          <t>+ES1</t>
        </is>
      </c>
      <c r="D12533" t="inlineStr">
        <is>
          <t>-85K53.3</t>
        </is>
      </c>
      <c r="E12533" t="inlineStr">
        <is>
          <t>DIL_EM-10-G</t>
        </is>
      </c>
      <c r="F12533" t="inlineStr">
        <is>
          <t>#KALK!</t>
        </is>
      </c>
      <c r="G12533" t="inlineStr">
        <is>
          <t>LASTSCHUETZ</t>
        </is>
      </c>
      <c r="H12533" t="inlineStr">
        <is>
          <t>4kW 1S</t>
        </is>
      </c>
      <c r="I12533">
        <v>282</v>
      </c>
      <c r="J12533">
        <f>GS62/85.7</f>
        <v>0</v>
      </c>
      <c r="M12533" t="inlineStr">
        <is>
          <t>-85K53.3</t>
        </is>
      </c>
    </row>
    <row r="12534">
      <c r="A12534">
        <v>12533</v>
      </c>
      <c r="B12534">
        <f>GS05</f>
        <v>0</v>
      </c>
      <c r="C12534" t="inlineStr">
        <is>
          <t>+LS14</t>
        </is>
      </c>
      <c r="D12534" t="inlineStr">
        <is>
          <t>-861Q708.4</t>
        </is>
      </c>
      <c r="E12534" t="inlineStr">
        <is>
          <t>DILM-9-10</t>
        </is>
      </c>
      <c r="F12534" t="inlineStr">
        <is>
          <t>#KALK!</t>
        </is>
      </c>
      <c r="G12534" t="inlineStr">
        <is>
          <t>LASTSCHUETZ</t>
        </is>
      </c>
      <c r="H12534" t="inlineStr">
        <is>
          <t>4kW 1S Federzugkl.</t>
        </is>
      </c>
      <c r="I12534">
        <v>2181</v>
      </c>
      <c r="J12534">
        <f>GS05/861.6</f>
        <v>0</v>
      </c>
      <c r="K12534" t="inlineStr">
        <is>
          <t>DIL MC9</t>
        </is>
      </c>
      <c r="M12534" t="inlineStr">
        <is>
          <t>-861Q708.4</t>
        </is>
      </c>
    </row>
    <row r="12535">
      <c r="A12535">
        <v>12534</v>
      </c>
      <c r="B12535">
        <f>GS51</f>
        <v>0</v>
      </c>
      <c r="C12535" t="inlineStr">
        <is>
          <t>+LS13</t>
        </is>
      </c>
      <c r="D12535" t="inlineStr">
        <is>
          <t>-865K1</t>
        </is>
      </c>
      <c r="E12535" t="inlineStr">
        <is>
          <t>DILA-22</t>
        </is>
      </c>
      <c r="F12535" t="inlineStr">
        <is>
          <t>#KALK!</t>
        </is>
      </c>
      <c r="G12535" t="inlineStr">
        <is>
          <t>HILFSSCHUETZ</t>
        </is>
      </c>
      <c r="H12535" t="inlineStr">
        <is>
          <t>2S 2Oe Federzugkl.</t>
        </is>
      </c>
      <c r="I12535">
        <v>1019</v>
      </c>
      <c r="J12535">
        <f>GS51/865.7</f>
        <v>0</v>
      </c>
      <c r="M12535" t="inlineStr">
        <is>
          <t>-865K1</t>
        </is>
      </c>
    </row>
    <row r="12536">
      <c r="A12536">
        <v>12535</v>
      </c>
      <c r="B12536">
        <f>GS93</f>
        <v>0</v>
      </c>
      <c r="C12536" t="inlineStr">
        <is>
          <t>+LS17</t>
        </is>
      </c>
      <c r="D12536" t="inlineStr">
        <is>
          <t>-865K1073.4</t>
        </is>
      </c>
      <c r="E12536" t="inlineStr">
        <is>
          <t>DILA-40</t>
        </is>
      </c>
      <c r="F12536" t="inlineStr">
        <is>
          <t>#KALK!</t>
        </is>
      </c>
      <c r="G12536" t="inlineStr">
        <is>
          <t>HILFSSCHUETZ</t>
        </is>
      </c>
      <c r="H12536" t="inlineStr">
        <is>
          <t>4S Federzugkl.</t>
        </is>
      </c>
      <c r="I12536">
        <v>1390</v>
      </c>
      <c r="J12536">
        <f>GS93/865.7</f>
        <v>0</v>
      </c>
      <c r="M12536" t="inlineStr">
        <is>
          <t>-865K1073.4</t>
        </is>
      </c>
    </row>
    <row r="12537">
      <c r="A12537">
        <v>12536</v>
      </c>
      <c r="B12537">
        <f>GS51</f>
        <v>0</v>
      </c>
      <c r="C12537" t="inlineStr">
        <is>
          <t>+LS13</t>
        </is>
      </c>
      <c r="D12537" t="inlineStr">
        <is>
          <t>-865Q1</t>
        </is>
      </c>
      <c r="E12537" t="inlineStr">
        <is>
          <t>DILMC40(RDC24)</t>
        </is>
      </c>
      <c r="F12537" t="inlineStr">
        <is>
          <t>#KALK!</t>
        </is>
      </c>
      <c r="G12537" t="inlineStr">
        <is>
          <t>LASTSCHUETZ</t>
        </is>
      </c>
      <c r="H12537" t="inlineStr">
        <is>
          <t>18,5kW Federzugkl.</t>
        </is>
      </c>
      <c r="I12537">
        <v>1019</v>
      </c>
      <c r="J12537">
        <f>GS51/865.6</f>
        <v>0</v>
      </c>
      <c r="M12537" t="inlineStr">
        <is>
          <t>-865Q1</t>
        </is>
      </c>
    </row>
    <row r="12538">
      <c r="A12538">
        <v>12537</v>
      </c>
      <c r="B12538">
        <f>GS55</f>
        <v>0</v>
      </c>
      <c r="C12538" t="inlineStr">
        <is>
          <t>+LS14</t>
        </is>
      </c>
      <c r="D12538" t="inlineStr">
        <is>
          <t>-865Q1</t>
        </is>
      </c>
      <c r="E12538" t="inlineStr">
        <is>
          <t>DILA-XHI22</t>
        </is>
      </c>
      <c r="F12538" t="inlineStr">
        <is>
          <t>DILA-XHI22</t>
        </is>
      </c>
      <c r="G12538" t="inlineStr">
        <is>
          <t>HILFSKONTAKTBLOCK</t>
        </is>
      </c>
      <c r="H12538" t="inlineStr">
        <is>
          <t>2S 2OE Last+Hilfssch. Cage</t>
        </is>
      </c>
      <c r="I12538">
        <v>1122</v>
      </c>
      <c r="J12538">
        <f>GS55/865.6</f>
        <v>0</v>
      </c>
      <c r="K12538" t="inlineStr">
        <is>
          <t>DIL MC25</t>
        </is>
      </c>
      <c r="M12538" t="inlineStr">
        <is>
          <t>-865Q1</t>
        </is>
      </c>
    </row>
    <row r="12539">
      <c r="A12539">
        <v>12538</v>
      </c>
      <c r="B12539">
        <f>GS55</f>
        <v>0</v>
      </c>
      <c r="C12539" t="inlineStr">
        <is>
          <t>+LS14</t>
        </is>
      </c>
      <c r="D12539" t="inlineStr">
        <is>
          <t>-865Q1</t>
        </is>
      </c>
      <c r="E12539" t="inlineStr">
        <is>
          <t>DILMC25-10(RDC24)</t>
        </is>
      </c>
      <c r="F12539" t="inlineStr">
        <is>
          <t>DILA-XHI22</t>
        </is>
      </c>
      <c r="G12539" t="inlineStr">
        <is>
          <t>LASTSCHUETZ</t>
        </is>
      </c>
      <c r="H12539" t="inlineStr">
        <is>
          <t>11kW 1S Federzugkl.</t>
        </is>
      </c>
      <c r="I12539">
        <v>1122</v>
      </c>
      <c r="J12539">
        <f>GS55/865.6</f>
        <v>0</v>
      </c>
      <c r="K12539" t="inlineStr">
        <is>
          <t>DIL MC25</t>
        </is>
      </c>
      <c r="M12539" t="inlineStr">
        <is>
          <t>-865Q1</t>
        </is>
      </c>
    </row>
    <row r="12540">
      <c r="A12540">
        <v>12539</v>
      </c>
      <c r="B12540">
        <f>GS93</f>
        <v>0</v>
      </c>
      <c r="C12540" t="inlineStr">
        <is>
          <t>+LS17</t>
        </is>
      </c>
      <c r="D12540" t="inlineStr">
        <is>
          <t>-865Q1</t>
        </is>
      </c>
      <c r="E12540" t="inlineStr">
        <is>
          <t>DILMC25-10(RDC24)</t>
        </is>
      </c>
      <c r="F12540" t="inlineStr">
        <is>
          <t>DILA-XHIC31</t>
        </is>
      </c>
      <c r="G12540" t="inlineStr">
        <is>
          <t>LASTSCHUETZ</t>
        </is>
      </c>
      <c r="H12540" t="inlineStr">
        <is>
          <t>11kW 1S Federzugkl.</t>
        </is>
      </c>
      <c r="I12540">
        <v>1390</v>
      </c>
      <c r="J12540">
        <f>GS93/865.4</f>
        <v>0</v>
      </c>
      <c r="K12540" t="inlineStr">
        <is>
          <t>DIL MC25</t>
        </is>
      </c>
      <c r="M12540" t="inlineStr">
        <is>
          <t>-865Q1</t>
        </is>
      </c>
    </row>
    <row r="12541">
      <c r="A12541">
        <v>12540</v>
      </c>
      <c r="B12541">
        <f>GS93</f>
        <v>0</v>
      </c>
      <c r="C12541" t="inlineStr">
        <is>
          <t>+LS17</t>
        </is>
      </c>
      <c r="D12541" t="inlineStr">
        <is>
          <t>-865Q1</t>
        </is>
      </c>
      <c r="E12541" t="inlineStr">
        <is>
          <t>DILA-XHIC31</t>
        </is>
      </c>
      <c r="F12541" t="inlineStr">
        <is>
          <t>DILA-XHIC31</t>
        </is>
      </c>
      <c r="G12541" t="inlineStr">
        <is>
          <t>HILFSKONTAKTBLOCK</t>
        </is>
      </c>
      <c r="H12541" t="inlineStr">
        <is>
          <t>3S 1OE Last+Hilfssch. Cage</t>
        </is>
      </c>
      <c r="I12541">
        <v>1390</v>
      </c>
      <c r="J12541">
        <f>GS93/865.4</f>
        <v>0</v>
      </c>
      <c r="K12541" t="inlineStr">
        <is>
          <t>DIL MC25</t>
        </is>
      </c>
      <c r="M12541" t="inlineStr">
        <is>
          <t>-865Q1</t>
        </is>
      </c>
    </row>
    <row r="12542">
      <c r="A12542">
        <v>12541</v>
      </c>
      <c r="B12542">
        <f>GS05</f>
        <v>0</v>
      </c>
      <c r="C12542" t="inlineStr">
        <is>
          <t>+LS14</t>
        </is>
      </c>
      <c r="D12542" t="inlineStr">
        <is>
          <t>-866Q708.5</t>
        </is>
      </c>
      <c r="E12542" t="inlineStr">
        <is>
          <t>DILMC12-10(24VDC)</t>
        </is>
      </c>
      <c r="F12542" t="inlineStr">
        <is>
          <t>#KALK!</t>
        </is>
      </c>
      <c r="G12542" t="inlineStr">
        <is>
          <t>LASTSCHUETZ</t>
        </is>
      </c>
      <c r="H12542" t="inlineStr">
        <is>
          <t>5,5kW 1S Federzugkl.</t>
        </is>
      </c>
      <c r="I12542">
        <v>2175</v>
      </c>
      <c r="J12542">
        <f>GS05/866.4</f>
        <v>0</v>
      </c>
      <c r="K12542" t="inlineStr">
        <is>
          <t>DIL MC12</t>
        </is>
      </c>
      <c r="M12542" t="inlineStr">
        <is>
          <t>-866Q708.5</t>
        </is>
      </c>
    </row>
    <row r="12543">
      <c r="A12543">
        <v>12542</v>
      </c>
      <c r="B12543">
        <f>GS69</f>
        <v>0</v>
      </c>
      <c r="C12543" t="inlineStr">
        <is>
          <t>+PULT54</t>
        </is>
      </c>
      <c r="D12543" t="inlineStr">
        <is>
          <t>-867K1</t>
        </is>
      </c>
      <c r="E12543" t="inlineStr">
        <is>
          <t>DILA-22</t>
        </is>
      </c>
      <c r="F12543" t="inlineStr">
        <is>
          <t>#KALK!</t>
        </is>
      </c>
      <c r="G12543" t="inlineStr">
        <is>
          <t>HILFSSCHUETZ</t>
        </is>
      </c>
      <c r="H12543" t="inlineStr">
        <is>
          <t>2S 2Oe Federzugkl.</t>
        </is>
      </c>
      <c r="I12543">
        <v>798</v>
      </c>
      <c r="J12543">
        <f>GS69/867.2</f>
        <v>0</v>
      </c>
      <c r="M12543" t="inlineStr">
        <is>
          <t>-867K1</t>
        </is>
      </c>
    </row>
    <row r="12544">
      <c r="A12544">
        <v>12543</v>
      </c>
      <c r="B12544">
        <f>GS69</f>
        <v>0</v>
      </c>
      <c r="C12544" t="inlineStr">
        <is>
          <t>+PULT54</t>
        </is>
      </c>
      <c r="D12544" t="inlineStr">
        <is>
          <t>-867K2</t>
        </is>
      </c>
      <c r="E12544" t="inlineStr">
        <is>
          <t>DILA-22</t>
        </is>
      </c>
      <c r="F12544" t="inlineStr">
        <is>
          <t>#KALK!</t>
        </is>
      </c>
      <c r="G12544" t="inlineStr">
        <is>
          <t>HILFSSCHUETZ</t>
        </is>
      </c>
      <c r="H12544" t="inlineStr">
        <is>
          <t>2S 2Oe Federzugkl.</t>
        </is>
      </c>
      <c r="I12544">
        <v>798</v>
      </c>
      <c r="J12544">
        <f>GS69/867.3</f>
        <v>0</v>
      </c>
      <c r="M12544" t="inlineStr">
        <is>
          <t>-867K2</t>
        </is>
      </c>
    </row>
    <row r="12545">
      <c r="A12545">
        <v>12544</v>
      </c>
      <c r="B12545">
        <f>GS51</f>
        <v>0</v>
      </c>
      <c r="C12545" t="inlineStr">
        <is>
          <t>+LS13</t>
        </is>
      </c>
      <c r="D12545" t="inlineStr">
        <is>
          <t>-867Q1</t>
        </is>
      </c>
      <c r="E12545" t="inlineStr">
        <is>
          <t>DILM-9-10</t>
        </is>
      </c>
      <c r="F12545" t="inlineStr">
        <is>
          <t>#KALK!</t>
        </is>
      </c>
      <c r="G12545" t="inlineStr">
        <is>
          <t>LASTSCHUETZ</t>
        </is>
      </c>
      <c r="H12545" t="inlineStr">
        <is>
          <t>4kW 1S Federzugkl.</t>
        </is>
      </c>
      <c r="I12545">
        <v>1021</v>
      </c>
      <c r="J12545">
        <f>GS51/867.8</f>
        <v>0</v>
      </c>
      <c r="M12545" t="inlineStr">
        <is>
          <t>-867Q1</t>
        </is>
      </c>
    </row>
    <row r="12546">
      <c r="A12546">
        <v>12545</v>
      </c>
      <c r="B12546">
        <f>GS08</f>
        <v>0</v>
      </c>
      <c r="C12546" t="inlineStr">
        <is>
          <t>+LS14</t>
        </is>
      </c>
      <c r="D12546" t="inlineStr">
        <is>
          <t>-868K1</t>
        </is>
      </c>
      <c r="E12546" t="inlineStr">
        <is>
          <t>DILA-XHIC31</t>
        </is>
      </c>
      <c r="F12546" t="inlineStr">
        <is>
          <t>DILA-XHIC31</t>
        </is>
      </c>
      <c r="G12546" t="inlineStr">
        <is>
          <t>HILFSKONTAKTBLOCK</t>
        </is>
      </c>
      <c r="H12546" t="inlineStr">
        <is>
          <t>3S 1OE Last+Hilfssch. Cage</t>
        </is>
      </c>
      <c r="I12546">
        <v>983</v>
      </c>
      <c r="J12546">
        <f>GS08/868.6</f>
        <v>0</v>
      </c>
      <c r="M12546" t="inlineStr">
        <is>
          <t>-868K1</t>
        </is>
      </c>
    </row>
    <row r="12547">
      <c r="A12547">
        <v>12546</v>
      </c>
      <c r="B12547">
        <f>GS08</f>
        <v>0</v>
      </c>
      <c r="C12547" t="inlineStr">
        <is>
          <t>+LS14</t>
        </is>
      </c>
      <c r="D12547" t="inlineStr">
        <is>
          <t>-868K1</t>
        </is>
      </c>
      <c r="E12547" t="inlineStr">
        <is>
          <t>DILA-40</t>
        </is>
      </c>
      <c r="F12547" t="inlineStr">
        <is>
          <t>DILA-XHIC31</t>
        </is>
      </c>
      <c r="G12547" t="inlineStr">
        <is>
          <t>HILFSSCHUETZ</t>
        </is>
      </c>
      <c r="H12547" t="inlineStr">
        <is>
          <t>4S Federzugkl.</t>
        </is>
      </c>
      <c r="I12547">
        <v>983</v>
      </c>
      <c r="J12547">
        <f>GS08/868.6</f>
        <v>0</v>
      </c>
      <c r="M12547" t="inlineStr">
        <is>
          <t>-868K1</t>
        </is>
      </c>
    </row>
    <row r="12548">
      <c r="A12548">
        <v>12547</v>
      </c>
      <c r="B12548">
        <f>GS08</f>
        <v>0</v>
      </c>
      <c r="C12548" t="inlineStr">
        <is>
          <t>+LS14</t>
        </is>
      </c>
      <c r="D12548" t="inlineStr">
        <is>
          <t>-868K2</t>
        </is>
      </c>
      <c r="E12548" t="inlineStr">
        <is>
          <t>DILA-XHIC31</t>
        </is>
      </c>
      <c r="F12548" t="inlineStr">
        <is>
          <t>DILA-XHIC31</t>
        </is>
      </c>
      <c r="G12548" t="inlineStr">
        <is>
          <t>HILFSKONTAKTBLOCK</t>
        </is>
      </c>
      <c r="H12548" t="inlineStr">
        <is>
          <t>3S 1OE Last+Hilfssch. Cage</t>
        </is>
      </c>
      <c r="I12548">
        <v>983</v>
      </c>
      <c r="J12548">
        <f>GS08/868.7</f>
        <v>0</v>
      </c>
      <c r="M12548" t="inlineStr">
        <is>
          <t>-868K2</t>
        </is>
      </c>
    </row>
    <row r="12549">
      <c r="A12549">
        <v>12548</v>
      </c>
      <c r="B12549">
        <f>GS08</f>
        <v>0</v>
      </c>
      <c r="C12549" t="inlineStr">
        <is>
          <t>+LS14</t>
        </is>
      </c>
      <c r="D12549" t="inlineStr">
        <is>
          <t>-868K2</t>
        </is>
      </c>
      <c r="E12549" t="inlineStr">
        <is>
          <t>DILA-40</t>
        </is>
      </c>
      <c r="F12549" t="inlineStr">
        <is>
          <t>DILA-XHIC31</t>
        </is>
      </c>
      <c r="G12549" t="inlineStr">
        <is>
          <t>HILFSSCHUETZ</t>
        </is>
      </c>
      <c r="H12549" t="inlineStr">
        <is>
          <t>4S Federzugkl.</t>
        </is>
      </c>
      <c r="I12549">
        <v>983</v>
      </c>
      <c r="J12549">
        <f>GS08/868.7</f>
        <v>0</v>
      </c>
      <c r="M12549" t="inlineStr">
        <is>
          <t>-868K2</t>
        </is>
      </c>
    </row>
    <row r="12550">
      <c r="A12550">
        <v>12549</v>
      </c>
      <c r="B12550">
        <f>GS05</f>
        <v>0</v>
      </c>
      <c r="C12550" t="inlineStr">
        <is>
          <t>+LS14</t>
        </is>
      </c>
      <c r="D12550" t="inlineStr">
        <is>
          <t>-869Q710.0</t>
        </is>
      </c>
      <c r="E12550" t="inlineStr">
        <is>
          <t>DILA-XHI22</t>
        </is>
      </c>
      <c r="F12550" t="inlineStr">
        <is>
          <t>DILA-XHI22</t>
        </is>
      </c>
      <c r="G12550" t="inlineStr">
        <is>
          <t>HILFSKONTAKTBLOCK</t>
        </is>
      </c>
      <c r="H12550" t="inlineStr">
        <is>
          <t>2S 2OE Last+Hilfssch. Cage</t>
        </is>
      </c>
      <c r="I12550">
        <v>2757</v>
      </c>
      <c r="J12550">
        <f>GS05/869.6</f>
        <v>0</v>
      </c>
      <c r="M12550" t="inlineStr">
        <is>
          <t>-869Q710.0</t>
        </is>
      </c>
    </row>
    <row r="12551">
      <c r="A12551">
        <v>12550</v>
      </c>
      <c r="B12551">
        <f>GS05</f>
        <v>0</v>
      </c>
      <c r="C12551" t="inlineStr">
        <is>
          <t>+LS14</t>
        </is>
      </c>
      <c r="D12551" t="inlineStr">
        <is>
          <t>-869Q710.0</t>
        </is>
      </c>
      <c r="E12551" t="inlineStr">
        <is>
          <t>DILM-9-01</t>
        </is>
      </c>
      <c r="F12551" t="inlineStr">
        <is>
          <t>DILA-XHI22</t>
        </is>
      </c>
      <c r="G12551" t="inlineStr">
        <is>
          <t>LASTSCHUETZ</t>
        </is>
      </c>
      <c r="H12551" t="inlineStr">
        <is>
          <t>4kW 1Oe Federzugkl.</t>
        </is>
      </c>
      <c r="I12551">
        <v>2757</v>
      </c>
      <c r="J12551">
        <f>GS05/869.6</f>
        <v>0</v>
      </c>
      <c r="M12551" t="inlineStr">
        <is>
          <t>-869Q710.0</t>
        </is>
      </c>
    </row>
    <row r="12552">
      <c r="A12552">
        <v>12551</v>
      </c>
      <c r="B12552">
        <f>GS05</f>
        <v>0</v>
      </c>
      <c r="C12552" t="inlineStr">
        <is>
          <t>+LS14</t>
        </is>
      </c>
      <c r="D12552" t="inlineStr">
        <is>
          <t>-869Q710.1</t>
        </is>
      </c>
      <c r="E12552" t="inlineStr">
        <is>
          <t>DILA-XHI22</t>
        </is>
      </c>
      <c r="F12552" t="inlineStr">
        <is>
          <t>DILA-XHI22</t>
        </is>
      </c>
      <c r="G12552" t="inlineStr">
        <is>
          <t>HILFSKONTAKTBLOCK</t>
        </is>
      </c>
      <c r="H12552" t="inlineStr">
        <is>
          <t>2S 2OE Last+Hilfssch. Cage</t>
        </is>
      </c>
      <c r="I12552">
        <v>2757</v>
      </c>
      <c r="J12552">
        <f>GS05/869.7</f>
        <v>0</v>
      </c>
      <c r="M12552" t="inlineStr">
        <is>
          <t>-869Q710.1</t>
        </is>
      </c>
    </row>
    <row r="12553">
      <c r="A12553">
        <v>12552</v>
      </c>
      <c r="B12553">
        <f>GS05</f>
        <v>0</v>
      </c>
      <c r="C12553" t="inlineStr">
        <is>
          <t>+LS14</t>
        </is>
      </c>
      <c r="D12553" t="inlineStr">
        <is>
          <t>-869Q710.1</t>
        </is>
      </c>
      <c r="E12553" t="inlineStr">
        <is>
          <t>DILM-9-01</t>
        </is>
      </c>
      <c r="F12553" t="inlineStr">
        <is>
          <t>DILA-XHI22</t>
        </is>
      </c>
      <c r="G12553" t="inlineStr">
        <is>
          <t>LASTSCHUETZ</t>
        </is>
      </c>
      <c r="H12553" t="inlineStr">
        <is>
          <t>4kW 1Oe Federzugkl.</t>
        </is>
      </c>
      <c r="I12553">
        <v>2757</v>
      </c>
      <c r="J12553">
        <f>GS05/869.7</f>
        <v>0</v>
      </c>
      <c r="M12553" t="inlineStr">
        <is>
          <t>-869Q710.1</t>
        </is>
      </c>
    </row>
    <row r="12554">
      <c r="A12554">
        <v>12553</v>
      </c>
      <c r="B12554">
        <f>GS7x</f>
        <v>0</v>
      </c>
      <c r="C12554" t="inlineStr">
        <is>
          <t>+LS[l1]</t>
        </is>
      </c>
      <c r="D12554" t="inlineStr">
        <is>
          <t>-86K[a+8].7</t>
        </is>
      </c>
      <c r="E12554" t="inlineStr">
        <is>
          <t>DILA-40</t>
        </is>
      </c>
      <c r="F12554" t="inlineStr">
        <is>
          <t>#KALK!</t>
        </is>
      </c>
      <c r="G12554" t="inlineStr">
        <is>
          <t>HILFSSCHUETZ</t>
        </is>
      </c>
      <c r="H12554" t="inlineStr">
        <is>
          <t>4S Federzugkl.</t>
        </is>
      </c>
      <c r="I12554">
        <v>324</v>
      </c>
      <c r="J12554">
        <f>GS7x/86.7</f>
        <v>0</v>
      </c>
      <c r="M12554" t="inlineStr">
        <is>
          <t>-86K[a+8].7</t>
        </is>
      </c>
    </row>
    <row r="12555">
      <c r="A12555">
        <v>12554</v>
      </c>
      <c r="B12555">
        <f>GS7x</f>
        <v>0</v>
      </c>
      <c r="C12555" t="inlineStr">
        <is>
          <t>+LS[l1]</t>
        </is>
      </c>
      <c r="D12555" t="inlineStr">
        <is>
          <t>-86Q1</t>
        </is>
      </c>
      <c r="E12555" t="inlineStr">
        <is>
          <t>DILA-XHI22</t>
        </is>
      </c>
      <c r="F12555" t="inlineStr">
        <is>
          <t>DILA-XHI22</t>
        </is>
      </c>
      <c r="G12555" t="inlineStr">
        <is>
          <t>HILFSKONTAKTBLOCK</t>
        </is>
      </c>
      <c r="H12555" t="inlineStr">
        <is>
          <t>2S 2OE Last+Hilfssch. Cage</t>
        </is>
      </c>
      <c r="I12555">
        <v>324</v>
      </c>
      <c r="J12555">
        <f>GS7x/86.4</f>
        <v>0</v>
      </c>
      <c r="M12555" t="inlineStr">
        <is>
          <t>-86Q1</t>
        </is>
      </c>
    </row>
    <row r="12556">
      <c r="A12556">
        <v>12555</v>
      </c>
      <c r="B12556">
        <f>GS7x</f>
        <v>0</v>
      </c>
      <c r="C12556" t="inlineStr">
        <is>
          <t>+LS[l1]</t>
        </is>
      </c>
      <c r="D12556" t="inlineStr">
        <is>
          <t>-86Q1</t>
        </is>
      </c>
      <c r="E12556" t="inlineStr">
        <is>
          <t>DILMC25-10(RDC24)</t>
        </is>
      </c>
      <c r="F12556" t="inlineStr">
        <is>
          <t>DILA-XHI22</t>
        </is>
      </c>
      <c r="G12556" t="inlineStr">
        <is>
          <t>LASTSCHUETZ</t>
        </is>
      </c>
      <c r="H12556" t="inlineStr">
        <is>
          <t>11kW 1S Federzugkl.</t>
        </is>
      </c>
      <c r="I12556">
        <v>324</v>
      </c>
      <c r="J12556">
        <f>GS7x/86.4</f>
        <v>0</v>
      </c>
      <c r="M12556" t="inlineStr">
        <is>
          <t>-86Q1</t>
        </is>
      </c>
    </row>
    <row r="12557">
      <c r="A12557">
        <v>12556</v>
      </c>
      <c r="B12557">
        <f>GS93</f>
        <v>0</v>
      </c>
      <c r="C12557" t="inlineStr">
        <is>
          <t>+LS17</t>
        </is>
      </c>
      <c r="D12557" t="inlineStr">
        <is>
          <t>-872Q1074.2</t>
        </is>
      </c>
      <c r="E12557" t="inlineStr">
        <is>
          <t>DILM-9-10</t>
        </is>
      </c>
      <c r="F12557" t="inlineStr">
        <is>
          <t>#KALK!</t>
        </is>
      </c>
      <c r="G12557" t="inlineStr">
        <is>
          <t>LASTSCHUETZ</t>
        </is>
      </c>
      <c r="H12557" t="inlineStr">
        <is>
          <t>4kW 1S Federzugkl.</t>
        </is>
      </c>
      <c r="I12557">
        <v>1397</v>
      </c>
      <c r="J12557">
        <f>GS93/872.5</f>
        <v>0</v>
      </c>
      <c r="M12557" t="inlineStr">
        <is>
          <t>-872Q1074.2</t>
        </is>
      </c>
    </row>
    <row r="12558">
      <c r="A12558">
        <v>12557</v>
      </c>
      <c r="B12558">
        <f>GS93</f>
        <v>0</v>
      </c>
      <c r="C12558" t="inlineStr">
        <is>
          <t>+LS17</t>
        </is>
      </c>
      <c r="D12558" t="inlineStr">
        <is>
          <t>-873Q1074.3</t>
        </is>
      </c>
      <c r="E12558" t="inlineStr">
        <is>
          <t>DILM-9-10</t>
        </is>
      </c>
      <c r="F12558" t="inlineStr">
        <is>
          <t>#KALK!</t>
        </is>
      </c>
      <c r="G12558" t="inlineStr">
        <is>
          <t>LASTSCHUETZ</t>
        </is>
      </c>
      <c r="H12558" t="inlineStr">
        <is>
          <t>4kW 1S Federzugkl.</t>
        </is>
      </c>
      <c r="I12558">
        <v>1398</v>
      </c>
      <c r="J12558">
        <f>GS93/873.5</f>
        <v>0</v>
      </c>
      <c r="M12558" t="inlineStr">
        <is>
          <t>-873Q1074.3</t>
        </is>
      </c>
    </row>
    <row r="12559">
      <c r="A12559">
        <v>12558</v>
      </c>
      <c r="B12559">
        <f>GS34</f>
        <v>0</v>
      </c>
      <c r="C12559" t="inlineStr">
        <is>
          <t>+LS10</t>
        </is>
      </c>
      <c r="D12559" t="inlineStr">
        <is>
          <t>-875K1</t>
        </is>
      </c>
      <c r="E12559" t="inlineStr">
        <is>
          <t>22_DIL-M</t>
        </is>
      </c>
      <c r="F12559" t="inlineStr">
        <is>
          <t>22_DIL-M</t>
        </is>
      </c>
      <c r="G12559" t="inlineStr">
        <is>
          <t>HILFSKONTAKTBLOCK</t>
        </is>
      </c>
      <c r="H12559" t="inlineStr">
        <is>
          <t>2S 2OE Lastschuetz DIL M</t>
        </is>
      </c>
      <c r="I12559">
        <v>1379</v>
      </c>
      <c r="J12559">
        <f>GS34/875.2</f>
        <v>0</v>
      </c>
      <c r="K12559" t="inlineStr">
        <is>
          <t>DIL0AM</t>
        </is>
      </c>
      <c r="M12559" t="inlineStr">
        <is>
          <t>-875K1</t>
        </is>
      </c>
    </row>
    <row r="12560">
      <c r="A12560">
        <v>12559</v>
      </c>
      <c r="B12560">
        <f>GS34</f>
        <v>0</v>
      </c>
      <c r="C12560" t="inlineStr">
        <is>
          <t>+LS10</t>
        </is>
      </c>
      <c r="D12560" t="inlineStr">
        <is>
          <t>-875K1</t>
        </is>
      </c>
      <c r="E12560" t="inlineStr">
        <is>
          <t>DIL_0AM</t>
        </is>
      </c>
      <c r="F12560" t="inlineStr">
        <is>
          <t>22_DIL-M</t>
        </is>
      </c>
      <c r="G12560" t="inlineStr">
        <is>
          <t>LASTSCHUETZ</t>
        </is>
      </c>
      <c r="H12560" t="inlineStr">
        <is>
          <t>11 kW</t>
        </is>
      </c>
      <c r="I12560">
        <v>1379</v>
      </c>
      <c r="J12560">
        <f>GS34/875.2</f>
        <v>0</v>
      </c>
      <c r="K12560" t="inlineStr">
        <is>
          <t>DIL0AM</t>
        </is>
      </c>
      <c r="M12560" t="inlineStr">
        <is>
          <t>-875K1</t>
        </is>
      </c>
    </row>
    <row r="12561">
      <c r="A12561">
        <v>12560</v>
      </c>
      <c r="B12561">
        <f>GS93</f>
        <v>0</v>
      </c>
      <c r="C12561" t="inlineStr">
        <is>
          <t>+LS17</t>
        </is>
      </c>
      <c r="D12561" t="inlineStr">
        <is>
          <t>-875K1074.4</t>
        </is>
      </c>
      <c r="E12561" t="inlineStr">
        <is>
          <t>DILA-22</t>
        </is>
      </c>
      <c r="F12561" t="inlineStr">
        <is>
          <t>#KALK!</t>
        </is>
      </c>
      <c r="G12561" t="inlineStr">
        <is>
          <t>HILFSSCHUETZ</t>
        </is>
      </c>
      <c r="H12561" t="inlineStr">
        <is>
          <t>2S 2Oe Federzugkl.</t>
        </is>
      </c>
      <c r="I12561">
        <v>1400</v>
      </c>
      <c r="J12561">
        <f>GS93/875.6</f>
        <v>0</v>
      </c>
      <c r="M12561" t="inlineStr">
        <is>
          <t>-875K1074.4</t>
        </is>
      </c>
    </row>
    <row r="12562">
      <c r="A12562">
        <v>12561</v>
      </c>
      <c r="B12562">
        <f>GS51</f>
        <v>0</v>
      </c>
      <c r="C12562" t="inlineStr">
        <is>
          <t>+LS13</t>
        </is>
      </c>
      <c r="D12562" t="inlineStr">
        <is>
          <t>-875K427.3</t>
        </is>
      </c>
      <c r="E12562" t="inlineStr">
        <is>
          <t>DILA-22</t>
        </is>
      </c>
      <c r="F12562" t="inlineStr">
        <is>
          <t>#KALK!</t>
        </is>
      </c>
      <c r="G12562" t="inlineStr">
        <is>
          <t>HILFSSCHUETZ</t>
        </is>
      </c>
      <c r="H12562" t="inlineStr">
        <is>
          <t>2S 2Oe Federzugkl.</t>
        </is>
      </c>
      <c r="I12562">
        <v>1029</v>
      </c>
      <c r="J12562">
        <f>GS51/875.2</f>
        <v>0</v>
      </c>
      <c r="M12562" t="inlineStr">
        <is>
          <t>-875K427.3</t>
        </is>
      </c>
    </row>
    <row r="12563">
      <c r="A12563">
        <v>12562</v>
      </c>
      <c r="B12563">
        <f>GS93</f>
        <v>0</v>
      </c>
      <c r="C12563" t="inlineStr">
        <is>
          <t>+LS17</t>
        </is>
      </c>
      <c r="D12563" t="inlineStr">
        <is>
          <t>-875Q1</t>
        </is>
      </c>
      <c r="E12563" t="inlineStr">
        <is>
          <t>DILMC25-10(RDC24)</t>
        </is>
      </c>
      <c r="F12563" t="inlineStr">
        <is>
          <t>DILA-XHIC31</t>
        </is>
      </c>
      <c r="G12563" t="inlineStr">
        <is>
          <t>LASTSCHUETZ</t>
        </is>
      </c>
      <c r="H12563" t="inlineStr">
        <is>
          <t>11kW 1S Federzugkl.</t>
        </is>
      </c>
      <c r="I12563">
        <v>1400</v>
      </c>
      <c r="J12563">
        <f>GS93/875.2</f>
        <v>0</v>
      </c>
      <c r="M12563" t="inlineStr">
        <is>
          <t>-875Q1</t>
        </is>
      </c>
    </row>
    <row r="12564">
      <c r="A12564">
        <v>12563</v>
      </c>
      <c r="B12564">
        <f>GS93</f>
        <v>0</v>
      </c>
      <c r="C12564" t="inlineStr">
        <is>
          <t>+LS17</t>
        </is>
      </c>
      <c r="D12564" t="inlineStr">
        <is>
          <t>-875Q1</t>
        </is>
      </c>
      <c r="E12564" t="inlineStr">
        <is>
          <t>DILA-XHIC31</t>
        </is>
      </c>
      <c r="F12564" t="inlineStr">
        <is>
          <t>DILA-XHIC31</t>
        </is>
      </c>
      <c r="G12564" t="inlineStr">
        <is>
          <t>HILFSKONTAKTBLOCK</t>
        </is>
      </c>
      <c r="H12564" t="inlineStr">
        <is>
          <t>3S 1OE Last+Hilfssch. Cage</t>
        </is>
      </c>
      <c r="I12564">
        <v>1400</v>
      </c>
      <c r="J12564">
        <f>GS93/875.2</f>
        <v>0</v>
      </c>
      <c r="M12564" t="inlineStr">
        <is>
          <t>-875Q1</t>
        </is>
      </c>
    </row>
    <row r="12565">
      <c r="A12565">
        <v>12564</v>
      </c>
      <c r="B12565">
        <f>GS93</f>
        <v>0</v>
      </c>
      <c r="C12565" t="inlineStr">
        <is>
          <t>+LS17</t>
        </is>
      </c>
      <c r="D12565" t="inlineStr">
        <is>
          <t>-875Q2</t>
        </is>
      </c>
      <c r="E12565" t="inlineStr">
        <is>
          <t>DILM-9-01</t>
        </is>
      </c>
      <c r="F12565" t="inlineStr">
        <is>
          <t>#KALK!</t>
        </is>
      </c>
      <c r="G12565" t="inlineStr">
        <is>
          <t>LASTSCHUETZ</t>
        </is>
      </c>
      <c r="H12565" t="inlineStr">
        <is>
          <t>4kW 1Oe Federzugkl.</t>
        </is>
      </c>
      <c r="I12565">
        <v>1400</v>
      </c>
      <c r="J12565">
        <f>GS93/875.3</f>
        <v>0</v>
      </c>
      <c r="M12565" t="inlineStr">
        <is>
          <t>-875Q2</t>
        </is>
      </c>
    </row>
    <row r="12566">
      <c r="A12566">
        <v>12565</v>
      </c>
      <c r="B12566">
        <f>GS51</f>
        <v>0</v>
      </c>
      <c r="C12566" t="inlineStr">
        <is>
          <t>+LS13</t>
        </is>
      </c>
      <c r="D12566" t="inlineStr">
        <is>
          <t>-875Q427.4</t>
        </is>
      </c>
      <c r="E12566" t="inlineStr">
        <is>
          <t>DILM-9-10</t>
        </is>
      </c>
      <c r="F12566" t="inlineStr">
        <is>
          <t>#KALK!</t>
        </is>
      </c>
      <c r="G12566" t="inlineStr">
        <is>
          <t>LASTSCHUETZ</t>
        </is>
      </c>
      <c r="H12566" t="inlineStr">
        <is>
          <t>4kW 1S Federzugkl.</t>
        </is>
      </c>
      <c r="I12566">
        <v>1029</v>
      </c>
      <c r="J12566">
        <f>GS51/875.3</f>
        <v>0</v>
      </c>
      <c r="K12566" t="inlineStr">
        <is>
          <t>DIL MC9</t>
        </is>
      </c>
      <c r="M12566" t="inlineStr">
        <is>
          <t>-875Q427.4</t>
        </is>
      </c>
    </row>
    <row r="12567">
      <c r="A12567">
        <v>12566</v>
      </c>
      <c r="B12567">
        <f>GS34</f>
        <v>0</v>
      </c>
      <c r="C12567" t="inlineStr">
        <is>
          <t>+LS10</t>
        </is>
      </c>
      <c r="D12567" t="inlineStr">
        <is>
          <t>-877K52.0</t>
        </is>
      </c>
      <c r="E12567" t="inlineStr">
        <is>
          <t>DIL_EM-10-G</t>
        </is>
      </c>
      <c r="F12567" t="inlineStr">
        <is>
          <t>#KALK!</t>
        </is>
      </c>
      <c r="G12567" t="inlineStr">
        <is>
          <t>LASTSCHUETZ</t>
        </is>
      </c>
      <c r="H12567" t="inlineStr">
        <is>
          <t>4kW 1S</t>
        </is>
      </c>
      <c r="I12567">
        <v>1374</v>
      </c>
      <c r="J12567">
        <f>GS34/877.6</f>
        <v>0</v>
      </c>
      <c r="M12567" t="inlineStr">
        <is>
          <t>-877K52.0</t>
        </is>
      </c>
    </row>
    <row r="12568">
      <c r="A12568">
        <v>12567</v>
      </c>
      <c r="B12568">
        <f>GS34</f>
        <v>0</v>
      </c>
      <c r="C12568" t="inlineStr">
        <is>
          <t>+LS10</t>
        </is>
      </c>
      <c r="D12568" t="inlineStr">
        <is>
          <t>-877K52.1</t>
        </is>
      </c>
      <c r="E12568" t="inlineStr">
        <is>
          <t>DIL_EM-10-G</t>
        </is>
      </c>
      <c r="F12568" t="inlineStr">
        <is>
          <t>#KALK!</t>
        </is>
      </c>
      <c r="G12568" t="inlineStr">
        <is>
          <t>LASTSCHUETZ</t>
        </is>
      </c>
      <c r="H12568" t="inlineStr">
        <is>
          <t>4kW 1S</t>
        </is>
      </c>
      <c r="I12568">
        <v>1374</v>
      </c>
      <c r="J12568">
        <f>GS34/877.6</f>
        <v>0</v>
      </c>
      <c r="M12568" t="inlineStr">
        <is>
          <t>-877K52.1</t>
        </is>
      </c>
    </row>
    <row r="12569">
      <c r="A12569">
        <v>12568</v>
      </c>
      <c r="B12569">
        <f>GS34</f>
        <v>0</v>
      </c>
      <c r="C12569" t="inlineStr">
        <is>
          <t>+LS10</t>
        </is>
      </c>
      <c r="D12569" t="inlineStr">
        <is>
          <t>-878K53.5</t>
        </is>
      </c>
      <c r="E12569" t="inlineStr">
        <is>
          <t>DIL_EM-10-G</t>
        </is>
      </c>
      <c r="F12569" t="inlineStr">
        <is>
          <t>#KALK!</t>
        </is>
      </c>
      <c r="G12569" t="inlineStr">
        <is>
          <t>LASTSCHUETZ</t>
        </is>
      </c>
      <c r="H12569" t="inlineStr">
        <is>
          <t>4kW 1S</t>
        </is>
      </c>
      <c r="I12569">
        <v>1381</v>
      </c>
      <c r="J12569">
        <f>GS34/878.6</f>
        <v>0</v>
      </c>
      <c r="M12569" t="inlineStr">
        <is>
          <t>-878K53.5</t>
        </is>
      </c>
    </row>
    <row r="12570">
      <c r="A12570">
        <v>12569</v>
      </c>
      <c r="B12570">
        <f>GS34</f>
        <v>0</v>
      </c>
      <c r="C12570" t="inlineStr">
        <is>
          <t>+LS10</t>
        </is>
      </c>
      <c r="D12570" t="inlineStr">
        <is>
          <t>-878K53.6</t>
        </is>
      </c>
      <c r="E12570" t="inlineStr">
        <is>
          <t>DIL_EM-10-G</t>
        </is>
      </c>
      <c r="F12570" t="inlineStr">
        <is>
          <t>#KALK!</t>
        </is>
      </c>
      <c r="G12570" t="inlineStr">
        <is>
          <t>LASTSCHUETZ</t>
        </is>
      </c>
      <c r="H12570" t="inlineStr">
        <is>
          <t>4kW 1S</t>
        </is>
      </c>
      <c r="I12570">
        <v>1381</v>
      </c>
      <c r="J12570">
        <f>GS34/878.6</f>
        <v>0</v>
      </c>
      <c r="M12570" t="inlineStr">
        <is>
          <t>-878K53.6</t>
        </is>
      </c>
    </row>
    <row r="12571">
      <c r="A12571">
        <v>12570</v>
      </c>
      <c r="B12571">
        <f>GS34</f>
        <v>0</v>
      </c>
      <c r="C12571" t="inlineStr">
        <is>
          <t>+LS10</t>
        </is>
      </c>
      <c r="D12571" t="inlineStr">
        <is>
          <t>-879K52.2</t>
        </is>
      </c>
      <c r="E12571" t="inlineStr">
        <is>
          <t>DIL_EM-10-G</t>
        </is>
      </c>
      <c r="F12571" t="inlineStr">
        <is>
          <t>#KALK!</t>
        </is>
      </c>
      <c r="G12571" t="inlineStr">
        <is>
          <t>LASTSCHUETZ</t>
        </is>
      </c>
      <c r="H12571" t="inlineStr">
        <is>
          <t>4kW 1S</t>
        </is>
      </c>
      <c r="I12571">
        <v>1382</v>
      </c>
      <c r="J12571">
        <f>GS34/879.6</f>
        <v>0</v>
      </c>
      <c r="M12571" t="inlineStr">
        <is>
          <t>-879K52.2</t>
        </is>
      </c>
    </row>
    <row r="12572">
      <c r="A12572">
        <v>12571</v>
      </c>
      <c r="B12572">
        <f>GS34</f>
        <v>0</v>
      </c>
      <c r="C12572" t="inlineStr">
        <is>
          <t>+LS10</t>
        </is>
      </c>
      <c r="D12572" t="inlineStr">
        <is>
          <t>-879K52.3</t>
        </is>
      </c>
      <c r="E12572" t="inlineStr">
        <is>
          <t>DIL_EM-10-G</t>
        </is>
      </c>
      <c r="F12572" t="inlineStr">
        <is>
          <t>#KALK!</t>
        </is>
      </c>
      <c r="G12572" t="inlineStr">
        <is>
          <t>LASTSCHUETZ</t>
        </is>
      </c>
      <c r="H12572" t="inlineStr">
        <is>
          <t>4kW 1S</t>
        </is>
      </c>
      <c r="I12572">
        <v>1382</v>
      </c>
      <c r="J12572">
        <f>GS34/879.6</f>
        <v>0</v>
      </c>
      <c r="M12572" t="inlineStr">
        <is>
          <t>-879K52.3</t>
        </is>
      </c>
    </row>
    <row r="12573">
      <c r="A12573">
        <v>12572</v>
      </c>
      <c r="B12573">
        <f>GS14</f>
        <v>0</v>
      </c>
      <c r="C12573" t="inlineStr">
        <is>
          <t>+LS1</t>
        </is>
      </c>
      <c r="D12573" t="inlineStr">
        <is>
          <t>-87K54.0</t>
        </is>
      </c>
      <c r="E12573" t="inlineStr">
        <is>
          <t>DIL_EM-10-G</t>
        </is>
      </c>
      <c r="F12573" t="inlineStr">
        <is>
          <t>#KALK!</t>
        </is>
      </c>
      <c r="G12573" t="inlineStr">
        <is>
          <t>LASTSCHUETZ</t>
        </is>
      </c>
      <c r="H12573" t="inlineStr">
        <is>
          <t>4kW 1S</t>
        </is>
      </c>
      <c r="I12573">
        <v>213</v>
      </c>
      <c r="J12573">
        <f>GS14/87.6</f>
        <v>0</v>
      </c>
      <c r="M12573" t="inlineStr">
        <is>
          <t>-87K54.0</t>
        </is>
      </c>
    </row>
    <row r="12574">
      <c r="A12574">
        <v>12573</v>
      </c>
      <c r="B12574">
        <f>GS15</f>
        <v>0</v>
      </c>
      <c r="C12574" t="inlineStr">
        <is>
          <t>+LS1</t>
        </is>
      </c>
      <c r="D12574" t="inlineStr">
        <is>
          <t>-87K54.0</t>
        </is>
      </c>
      <c r="E12574" t="inlineStr">
        <is>
          <t>DIL_EM-10-G</t>
        </is>
      </c>
      <c r="F12574" t="inlineStr">
        <is>
          <t>#KALK!</t>
        </is>
      </c>
      <c r="G12574" t="inlineStr">
        <is>
          <t>LASTSCHUETZ</t>
        </is>
      </c>
      <c r="H12574" t="inlineStr">
        <is>
          <t>4kW 1S</t>
        </is>
      </c>
      <c r="I12574">
        <v>574</v>
      </c>
      <c r="J12574">
        <f>GS15/87.6</f>
        <v>0</v>
      </c>
      <c r="M12574" t="inlineStr">
        <is>
          <t>-87K54.0</t>
        </is>
      </c>
    </row>
    <row r="12575">
      <c r="A12575">
        <v>12574</v>
      </c>
      <c r="B12575">
        <f>GS24</f>
        <v>0</v>
      </c>
      <c r="C12575" t="inlineStr">
        <is>
          <t>+LS1</t>
        </is>
      </c>
      <c r="D12575" t="inlineStr">
        <is>
          <t>-87K54.0</t>
        </is>
      </c>
      <c r="E12575" t="inlineStr">
        <is>
          <t>DIL_EM-10-G</t>
        </is>
      </c>
      <c r="F12575" t="inlineStr">
        <is>
          <t>#KALK!</t>
        </is>
      </c>
      <c r="G12575" t="inlineStr">
        <is>
          <t>LASTSCHUETZ</t>
        </is>
      </c>
      <c r="H12575" t="inlineStr">
        <is>
          <t>4kW 1S</t>
        </is>
      </c>
      <c r="I12575">
        <v>992</v>
      </c>
      <c r="J12575">
        <f>GS24/87.6</f>
        <v>0</v>
      </c>
      <c r="M12575" t="inlineStr">
        <is>
          <t>-87K54.0</t>
        </is>
      </c>
    </row>
    <row r="12576">
      <c r="A12576">
        <v>12575</v>
      </c>
      <c r="B12576">
        <f>GS14</f>
        <v>0</v>
      </c>
      <c r="C12576" t="inlineStr">
        <is>
          <t>+LS1</t>
        </is>
      </c>
      <c r="D12576" t="inlineStr">
        <is>
          <t>-87K54.1</t>
        </is>
      </c>
      <c r="E12576" t="inlineStr">
        <is>
          <t>DIL_EM-10-G</t>
        </is>
      </c>
      <c r="F12576" t="inlineStr">
        <is>
          <t>#KALK!</t>
        </is>
      </c>
      <c r="G12576" t="inlineStr">
        <is>
          <t>LASTSCHUETZ</t>
        </is>
      </c>
      <c r="H12576" t="inlineStr">
        <is>
          <t>4kW 1S</t>
        </is>
      </c>
      <c r="I12576">
        <v>213</v>
      </c>
      <c r="J12576">
        <f>GS14/87.6</f>
        <v>0</v>
      </c>
      <c r="M12576" t="inlineStr">
        <is>
          <t>-87K54.1</t>
        </is>
      </c>
    </row>
    <row r="12577">
      <c r="A12577">
        <v>12576</v>
      </c>
      <c r="B12577">
        <f>GS15</f>
        <v>0</v>
      </c>
      <c r="C12577" t="inlineStr">
        <is>
          <t>+LS1</t>
        </is>
      </c>
      <c r="D12577" t="inlineStr">
        <is>
          <t>-87K54.1</t>
        </is>
      </c>
      <c r="E12577" t="inlineStr">
        <is>
          <t>DIL_EM-10-G</t>
        </is>
      </c>
      <c r="F12577" t="inlineStr">
        <is>
          <t>#KALK!</t>
        </is>
      </c>
      <c r="G12577" t="inlineStr">
        <is>
          <t>LASTSCHUETZ</t>
        </is>
      </c>
      <c r="H12577" t="inlineStr">
        <is>
          <t>4kW 1S</t>
        </is>
      </c>
      <c r="I12577">
        <v>574</v>
      </c>
      <c r="J12577">
        <f>GS15/87.6</f>
        <v>0</v>
      </c>
      <c r="M12577" t="inlineStr">
        <is>
          <t>-87K54.1</t>
        </is>
      </c>
    </row>
    <row r="12578">
      <c r="A12578">
        <v>12577</v>
      </c>
      <c r="B12578">
        <f>GS24</f>
        <v>0</v>
      </c>
      <c r="C12578" t="inlineStr">
        <is>
          <t>+LS1</t>
        </is>
      </c>
      <c r="D12578" t="inlineStr">
        <is>
          <t>-87K54.1</t>
        </is>
      </c>
      <c r="E12578" t="inlineStr">
        <is>
          <t>DIL_EM-10-G</t>
        </is>
      </c>
      <c r="F12578" t="inlineStr">
        <is>
          <t>#KALK!</t>
        </is>
      </c>
      <c r="G12578" t="inlineStr">
        <is>
          <t>LASTSCHUETZ</t>
        </is>
      </c>
      <c r="H12578" t="inlineStr">
        <is>
          <t>4kW 1S</t>
        </is>
      </c>
      <c r="I12578">
        <v>992</v>
      </c>
      <c r="J12578">
        <f>GS24/87.6</f>
        <v>0</v>
      </c>
      <c r="M12578" t="inlineStr">
        <is>
          <t>-87K54.1</t>
        </is>
      </c>
    </row>
    <row r="12579">
      <c r="A12579">
        <v>12578</v>
      </c>
      <c r="B12579">
        <f>GS93</f>
        <v>0</v>
      </c>
      <c r="C12579" t="inlineStr">
        <is>
          <t>+LS17</t>
        </is>
      </c>
      <c r="D12579" t="inlineStr">
        <is>
          <t>-880K1071.0</t>
        </is>
      </c>
      <c r="E12579" t="inlineStr">
        <is>
          <t>DILA-40</t>
        </is>
      </c>
      <c r="F12579" t="inlineStr">
        <is>
          <t>#KALK!</t>
        </is>
      </c>
      <c r="G12579" t="inlineStr">
        <is>
          <t>HILFSSCHUETZ</t>
        </is>
      </c>
      <c r="H12579" t="inlineStr">
        <is>
          <t>4S Federzugkl.</t>
        </is>
      </c>
      <c r="I12579">
        <v>1405</v>
      </c>
      <c r="J12579">
        <f>GS93/880.7</f>
        <v>0</v>
      </c>
      <c r="M12579" t="inlineStr">
        <is>
          <t>-880K1071.0</t>
        </is>
      </c>
    </row>
    <row r="12580">
      <c r="A12580">
        <v>12579</v>
      </c>
      <c r="B12580">
        <f>GS34</f>
        <v>0</v>
      </c>
      <c r="C12580" t="inlineStr">
        <is>
          <t>+LS10</t>
        </is>
      </c>
      <c r="D12580" t="inlineStr">
        <is>
          <t>-880K52.7</t>
        </is>
      </c>
      <c r="E12580" t="inlineStr">
        <is>
          <t>DIL_EM-10-G</t>
        </is>
      </c>
      <c r="F12580" t="inlineStr">
        <is>
          <t>#KALK!</t>
        </is>
      </c>
      <c r="G12580" t="inlineStr">
        <is>
          <t>LASTSCHUETZ</t>
        </is>
      </c>
      <c r="H12580" t="inlineStr">
        <is>
          <t>4kW 1S</t>
        </is>
      </c>
      <c r="I12580">
        <v>1383</v>
      </c>
      <c r="J12580">
        <f>GS34/880.7</f>
        <v>0</v>
      </c>
      <c r="M12580" t="inlineStr">
        <is>
          <t>-880K52.7</t>
        </is>
      </c>
    </row>
    <row r="12581">
      <c r="A12581">
        <v>12580</v>
      </c>
      <c r="B12581">
        <f>GS55</f>
        <v>0</v>
      </c>
      <c r="C12581" t="inlineStr">
        <is>
          <t>+LS14</t>
        </is>
      </c>
      <c r="D12581" t="inlineStr">
        <is>
          <t>-880Q1</t>
        </is>
      </c>
      <c r="E12581" t="inlineStr">
        <is>
          <t>DILA-XHI22</t>
        </is>
      </c>
      <c r="F12581" t="inlineStr">
        <is>
          <t>DILA-XHI22</t>
        </is>
      </c>
      <c r="G12581" t="inlineStr">
        <is>
          <t>HILFSKONTAKTBLOCK</t>
        </is>
      </c>
      <c r="H12581" t="inlineStr">
        <is>
          <t>2S 2OE Last+Hilfssch. Cage</t>
        </is>
      </c>
      <c r="I12581">
        <v>1129</v>
      </c>
      <c r="J12581">
        <f>GS55/880.6</f>
        <v>0</v>
      </c>
      <c r="K12581" t="inlineStr">
        <is>
          <t>DIL MC25</t>
        </is>
      </c>
      <c r="M12581" t="inlineStr">
        <is>
          <t>-880Q1</t>
        </is>
      </c>
    </row>
    <row r="12582">
      <c r="A12582">
        <v>12581</v>
      </c>
      <c r="B12582">
        <f>GS55</f>
        <v>0</v>
      </c>
      <c r="C12582" t="inlineStr">
        <is>
          <t>+LS14</t>
        </is>
      </c>
      <c r="D12582" t="inlineStr">
        <is>
          <t>-880Q1</t>
        </is>
      </c>
      <c r="E12582" t="inlineStr">
        <is>
          <t>DILMC25-10(RDC24)</t>
        </is>
      </c>
      <c r="F12582" t="inlineStr">
        <is>
          <t>DILA-XHI22</t>
        </is>
      </c>
      <c r="G12582" t="inlineStr">
        <is>
          <t>LASTSCHUETZ</t>
        </is>
      </c>
      <c r="H12582" t="inlineStr">
        <is>
          <t>11kW 1S Federzugkl.</t>
        </is>
      </c>
      <c r="I12582">
        <v>1129</v>
      </c>
      <c r="J12582">
        <f>GS55/880.6</f>
        <v>0</v>
      </c>
      <c r="K12582" t="inlineStr">
        <is>
          <t>DIL MC25</t>
        </is>
      </c>
      <c r="M12582" t="inlineStr">
        <is>
          <t>-880Q1</t>
        </is>
      </c>
    </row>
    <row r="12583">
      <c r="A12583">
        <v>12582</v>
      </c>
      <c r="B12583">
        <f>GS93</f>
        <v>0</v>
      </c>
      <c r="C12583" t="inlineStr">
        <is>
          <t>+LS17</t>
        </is>
      </c>
      <c r="D12583" t="inlineStr">
        <is>
          <t>-880Q1</t>
        </is>
      </c>
      <c r="E12583" t="inlineStr">
        <is>
          <t>DILA-XHI22</t>
        </is>
      </c>
      <c r="F12583" t="inlineStr">
        <is>
          <t>DILA-XHI22</t>
        </is>
      </c>
      <c r="G12583" t="inlineStr">
        <is>
          <t>HILFSKONTAKTBLOCK</t>
        </is>
      </c>
      <c r="H12583" t="inlineStr">
        <is>
          <t>2S 2OE Last+Hilfssch. Cage</t>
        </is>
      </c>
      <c r="I12583">
        <v>1405</v>
      </c>
      <c r="J12583">
        <f>GS93/880.4</f>
        <v>0</v>
      </c>
      <c r="K12583" t="inlineStr">
        <is>
          <t>DIL MC25</t>
        </is>
      </c>
      <c r="M12583" t="inlineStr">
        <is>
          <t>-880Q1</t>
        </is>
      </c>
    </row>
    <row r="12584">
      <c r="A12584">
        <v>12583</v>
      </c>
      <c r="B12584">
        <f>GS93</f>
        <v>0</v>
      </c>
      <c r="C12584" t="inlineStr">
        <is>
          <t>+LS17</t>
        </is>
      </c>
      <c r="D12584" t="inlineStr">
        <is>
          <t>-880Q1</t>
        </is>
      </c>
      <c r="E12584" t="inlineStr">
        <is>
          <t>DILMC25-10(RDC24)</t>
        </is>
      </c>
      <c r="F12584" t="inlineStr">
        <is>
          <t>DILA-XHI22</t>
        </is>
      </c>
      <c r="G12584" t="inlineStr">
        <is>
          <t>LASTSCHUETZ</t>
        </is>
      </c>
      <c r="H12584" t="inlineStr">
        <is>
          <t>11kW 1S Federzugkl.</t>
        </is>
      </c>
      <c r="I12584">
        <v>1405</v>
      </c>
      <c r="J12584">
        <f>GS93/880.4</f>
        <v>0</v>
      </c>
      <c r="K12584" t="inlineStr">
        <is>
          <t>DIL MC25</t>
        </is>
      </c>
      <c r="M12584" t="inlineStr">
        <is>
          <t>-880Q1</t>
        </is>
      </c>
    </row>
    <row r="12585">
      <c r="A12585">
        <v>12584</v>
      </c>
      <c r="B12585">
        <f>GS31</f>
        <v>0</v>
      </c>
      <c r="C12585" t="inlineStr">
        <is>
          <t>+QVW2101</t>
        </is>
      </c>
      <c r="D12585" t="inlineStr">
        <is>
          <t>-881K1</t>
        </is>
      </c>
      <c r="E12585" t="inlineStr">
        <is>
          <t>22_DIL-M</t>
        </is>
      </c>
      <c r="F12585" t="inlineStr">
        <is>
          <t>22_DIL-M</t>
        </is>
      </c>
      <c r="G12585" t="inlineStr">
        <is>
          <t>HILFSKONTAKTBLOCK</t>
        </is>
      </c>
      <c r="H12585" t="inlineStr">
        <is>
          <t>2S 2OE Lastschuetz DIL M</t>
        </is>
      </c>
      <c r="I12585">
        <v>1188</v>
      </c>
      <c r="J12585">
        <f>GS31/881.2</f>
        <v>0</v>
      </c>
      <c r="M12585" t="inlineStr">
        <is>
          <t>-881K1</t>
        </is>
      </c>
    </row>
    <row r="12586">
      <c r="A12586">
        <v>12585</v>
      </c>
      <c r="B12586">
        <f>GS31</f>
        <v>0</v>
      </c>
      <c r="C12586" t="inlineStr">
        <is>
          <t>+QVW2101</t>
        </is>
      </c>
      <c r="D12586" t="inlineStr">
        <is>
          <t>-881K1</t>
        </is>
      </c>
      <c r="E12586" t="inlineStr">
        <is>
          <t>DIL_1AM-G</t>
        </is>
      </c>
      <c r="F12586" t="inlineStr">
        <is>
          <t>22_DIL-M</t>
        </is>
      </c>
      <c r="G12586" t="inlineStr">
        <is>
          <t>LASTSCHUETZ</t>
        </is>
      </c>
      <c r="H12586" t="inlineStr">
        <is>
          <t>18,5kW</t>
        </is>
      </c>
      <c r="I12586">
        <v>1188</v>
      </c>
      <c r="J12586">
        <f>GS31/881.2</f>
        <v>0</v>
      </c>
      <c r="M12586" t="inlineStr">
        <is>
          <t>-881K1</t>
        </is>
      </c>
    </row>
    <row r="12587">
      <c r="A12587">
        <v>12586</v>
      </c>
      <c r="B12587">
        <f>GS34</f>
        <v>0</v>
      </c>
      <c r="C12587" t="inlineStr">
        <is>
          <t>+LS10</t>
        </is>
      </c>
      <c r="D12587" t="inlineStr">
        <is>
          <t>-881K53.2</t>
        </is>
      </c>
      <c r="E12587" t="inlineStr">
        <is>
          <t>DIL_EM-01-G</t>
        </is>
      </c>
      <c r="F12587" t="inlineStr">
        <is>
          <t>22_DIL-E</t>
        </is>
      </c>
      <c r="G12587" t="inlineStr">
        <is>
          <t>LASTSCHUETZ</t>
        </is>
      </c>
      <c r="H12587" t="inlineStr">
        <is>
          <t>4kW 1OE</t>
        </is>
      </c>
      <c r="I12587">
        <v>1385</v>
      </c>
      <c r="J12587">
        <f>GS34/881.6</f>
        <v>0</v>
      </c>
      <c r="M12587" t="inlineStr">
        <is>
          <t>-881K53.2</t>
        </is>
      </c>
    </row>
    <row r="12588">
      <c r="A12588">
        <v>12587</v>
      </c>
      <c r="B12588">
        <f>GS34</f>
        <v>0</v>
      </c>
      <c r="C12588" t="inlineStr">
        <is>
          <t>+LS10</t>
        </is>
      </c>
      <c r="D12588" t="inlineStr">
        <is>
          <t>-881K53.2</t>
        </is>
      </c>
      <c r="E12588" t="inlineStr">
        <is>
          <t>22_DIL-E</t>
        </is>
      </c>
      <c r="F12588" t="inlineStr">
        <is>
          <t>22_DIL-E</t>
        </is>
      </c>
      <c r="G12588" t="inlineStr">
        <is>
          <t>HILFSKONTAKTBLOCK</t>
        </is>
      </c>
      <c r="H12588" t="inlineStr">
        <is>
          <t>2S 2OE Last+Hilfsschuetz</t>
        </is>
      </c>
      <c r="I12588">
        <v>1385</v>
      </c>
      <c r="J12588">
        <f>GS34/881.6</f>
        <v>0</v>
      </c>
      <c r="M12588" t="inlineStr">
        <is>
          <t>-881K53.2</t>
        </is>
      </c>
    </row>
    <row r="12589">
      <c r="A12589">
        <v>12588</v>
      </c>
      <c r="B12589">
        <f>GS34</f>
        <v>0</v>
      </c>
      <c r="C12589" t="inlineStr">
        <is>
          <t>+LS10</t>
        </is>
      </c>
      <c r="D12589" t="inlineStr">
        <is>
          <t>-881K53.3</t>
        </is>
      </c>
      <c r="E12589" t="inlineStr">
        <is>
          <t>DIL_EM-01-G</t>
        </is>
      </c>
      <c r="F12589" t="inlineStr">
        <is>
          <t>#KALK!</t>
        </is>
      </c>
      <c r="G12589" t="inlineStr">
        <is>
          <t>LASTSCHUETZ</t>
        </is>
      </c>
      <c r="H12589" t="inlineStr">
        <is>
          <t>4kW 1OE</t>
        </is>
      </c>
      <c r="I12589">
        <v>1385</v>
      </c>
      <c r="J12589">
        <f>GS34/881.6</f>
        <v>0</v>
      </c>
      <c r="M12589" t="inlineStr">
        <is>
          <t>-881K53.3</t>
        </is>
      </c>
    </row>
    <row r="12590">
      <c r="A12590">
        <v>12589</v>
      </c>
      <c r="B12590">
        <f>GS93</f>
        <v>0</v>
      </c>
      <c r="C12590" t="inlineStr">
        <is>
          <t>+LS17</t>
        </is>
      </c>
      <c r="D12590" t="inlineStr">
        <is>
          <t>-881Q1071.1</t>
        </is>
      </c>
      <c r="E12590" t="inlineStr">
        <is>
          <t>DILA-XHI22</t>
        </is>
      </c>
      <c r="F12590" t="inlineStr">
        <is>
          <t>DILA-XHI22</t>
        </is>
      </c>
      <c r="G12590" t="inlineStr">
        <is>
          <t>HILFSKONTAKTBLOCK</t>
        </is>
      </c>
      <c r="H12590" t="inlineStr">
        <is>
          <t>2S 2OE Last+Hilfssch. Cage</t>
        </is>
      </c>
      <c r="I12590">
        <v>1406</v>
      </c>
      <c r="J12590">
        <f>GS93/881.5</f>
        <v>0</v>
      </c>
      <c r="M12590" t="inlineStr">
        <is>
          <t>-881Q1071.1</t>
        </is>
      </c>
    </row>
    <row r="12591">
      <c r="A12591">
        <v>12590</v>
      </c>
      <c r="B12591">
        <f>GS93</f>
        <v>0</v>
      </c>
      <c r="C12591" t="inlineStr">
        <is>
          <t>+LS17</t>
        </is>
      </c>
      <c r="D12591" t="inlineStr">
        <is>
          <t>-881Q1071.1</t>
        </is>
      </c>
      <c r="E12591" t="inlineStr">
        <is>
          <t>DILM-9-10</t>
        </is>
      </c>
      <c r="F12591" t="inlineStr">
        <is>
          <t>DILA-XHI22</t>
        </is>
      </c>
      <c r="G12591" t="inlineStr">
        <is>
          <t>LASTSCHUETZ</t>
        </is>
      </c>
      <c r="H12591" t="inlineStr">
        <is>
          <t>4kW 1S Federzugkl.</t>
        </is>
      </c>
      <c r="I12591">
        <v>1406</v>
      </c>
      <c r="J12591">
        <f>GS93/881.5</f>
        <v>0</v>
      </c>
      <c r="M12591" t="inlineStr">
        <is>
          <t>-881Q1071.1</t>
        </is>
      </c>
    </row>
    <row r="12592">
      <c r="A12592">
        <v>12591</v>
      </c>
      <c r="B12592">
        <f>GS93</f>
        <v>0</v>
      </c>
      <c r="C12592" t="inlineStr">
        <is>
          <t>+LS17</t>
        </is>
      </c>
      <c r="D12592" t="inlineStr">
        <is>
          <t>-881Q1071.2</t>
        </is>
      </c>
      <c r="E12592" t="inlineStr">
        <is>
          <t>DILA-XHI22</t>
        </is>
      </c>
      <c r="F12592" t="inlineStr">
        <is>
          <t>DILA-XHI22</t>
        </is>
      </c>
      <c r="G12592" t="inlineStr">
        <is>
          <t>HILFSKONTAKTBLOCK</t>
        </is>
      </c>
      <c r="H12592" t="inlineStr">
        <is>
          <t>2S 2OE Last+Hilfssch. Cage</t>
        </is>
      </c>
      <c r="I12592">
        <v>1406</v>
      </c>
      <c r="J12592">
        <f>GS93/881.6</f>
        <v>0</v>
      </c>
      <c r="M12592" t="inlineStr">
        <is>
          <t>-881Q1071.2</t>
        </is>
      </c>
    </row>
    <row r="12593">
      <c r="A12593">
        <v>12592</v>
      </c>
      <c r="B12593">
        <f>GS93</f>
        <v>0</v>
      </c>
      <c r="C12593" t="inlineStr">
        <is>
          <t>+LS17</t>
        </is>
      </c>
      <c r="D12593" t="inlineStr">
        <is>
          <t>-881Q1071.2</t>
        </is>
      </c>
      <c r="E12593" t="inlineStr">
        <is>
          <t>DILM-9-10</t>
        </is>
      </c>
      <c r="F12593" t="inlineStr">
        <is>
          <t>DILA-XHI22</t>
        </is>
      </c>
      <c r="G12593" t="inlineStr">
        <is>
          <t>LASTSCHUETZ</t>
        </is>
      </c>
      <c r="H12593" t="inlineStr">
        <is>
          <t>4kW 1S Federzugkl.</t>
        </is>
      </c>
      <c r="I12593">
        <v>1406</v>
      </c>
      <c r="J12593">
        <f>GS93/881.6</f>
        <v>0</v>
      </c>
      <c r="M12593" t="inlineStr">
        <is>
          <t>-881Q1071.2</t>
        </is>
      </c>
    </row>
    <row r="12594">
      <c r="A12594">
        <v>12593</v>
      </c>
      <c r="B12594">
        <f>GS34</f>
        <v>0</v>
      </c>
      <c r="C12594" t="inlineStr">
        <is>
          <t>+LS10</t>
        </is>
      </c>
      <c r="D12594" t="inlineStr">
        <is>
          <t>-882K53.4</t>
        </is>
      </c>
      <c r="E12594" t="inlineStr">
        <is>
          <t>DIL_ER-22-G</t>
        </is>
      </c>
      <c r="F12594" t="inlineStr">
        <is>
          <t>#KALK!</t>
        </is>
      </c>
      <c r="G12594" t="inlineStr">
        <is>
          <t>HILFSSCHUETZ</t>
        </is>
      </c>
      <c r="H12594" t="inlineStr">
        <is>
          <t>2S 2OE</t>
        </is>
      </c>
      <c r="I12594">
        <v>1386</v>
      </c>
      <c r="J12594">
        <f>GS34/882.6</f>
        <v>0</v>
      </c>
      <c r="M12594" t="inlineStr">
        <is>
          <t>-882K53.4</t>
        </is>
      </c>
    </row>
    <row r="12595">
      <c r="A12595">
        <v>12594</v>
      </c>
      <c r="B12595">
        <f>GS93</f>
        <v>0</v>
      </c>
      <c r="C12595" t="inlineStr">
        <is>
          <t>+LS17</t>
        </is>
      </c>
      <c r="D12595" t="inlineStr">
        <is>
          <t>-882Q1071.3</t>
        </is>
      </c>
      <c r="E12595" t="inlineStr">
        <is>
          <t>DILM-9-10</t>
        </is>
      </c>
      <c r="F12595" t="inlineStr">
        <is>
          <t>#KALK!</t>
        </is>
      </c>
      <c r="G12595" t="inlineStr">
        <is>
          <t>LASTSCHUETZ</t>
        </is>
      </c>
      <c r="H12595" t="inlineStr">
        <is>
          <t>4kW 1S Federzugkl.</t>
        </is>
      </c>
      <c r="I12595">
        <v>1407</v>
      </c>
      <c r="J12595">
        <f>GS93/882.5</f>
        <v>0</v>
      </c>
      <c r="M12595" t="inlineStr">
        <is>
          <t>-882Q1071.3</t>
        </is>
      </c>
    </row>
    <row r="12596">
      <c r="A12596">
        <v>12595</v>
      </c>
      <c r="B12596">
        <f>GS31</f>
        <v>0</v>
      </c>
      <c r="C12596" t="inlineStr">
        <is>
          <t>+QVW2101</t>
        </is>
      </c>
      <c r="D12596" t="inlineStr">
        <is>
          <t>-883K3800.2</t>
        </is>
      </c>
      <c r="E12596" t="inlineStr">
        <is>
          <t>DIL_ER-22-G</t>
        </is>
      </c>
      <c r="F12596" t="inlineStr">
        <is>
          <t>#KALK!</t>
        </is>
      </c>
      <c r="G12596" t="inlineStr">
        <is>
          <t>HILFSSCHUETZ</t>
        </is>
      </c>
      <c r="H12596" t="inlineStr">
        <is>
          <t>2S 2OE</t>
        </is>
      </c>
      <c r="I12596">
        <v>1190</v>
      </c>
      <c r="J12596">
        <f>GS31/883.2</f>
        <v>0</v>
      </c>
      <c r="M12596" t="inlineStr">
        <is>
          <t>-883K3800.2</t>
        </is>
      </c>
    </row>
    <row r="12597">
      <c r="A12597">
        <v>12596</v>
      </c>
      <c r="B12597">
        <f>GS31</f>
        <v>0</v>
      </c>
      <c r="C12597" t="inlineStr">
        <is>
          <t>+QVW2101</t>
        </is>
      </c>
      <c r="D12597" t="inlineStr">
        <is>
          <t>-883K3800.5</t>
        </is>
      </c>
      <c r="E12597" t="inlineStr">
        <is>
          <t>DIL_EM-10-G</t>
        </is>
      </c>
      <c r="F12597" t="inlineStr">
        <is>
          <t>#KALK!</t>
        </is>
      </c>
      <c r="G12597" t="inlineStr">
        <is>
          <t>LASTSCHUETZ</t>
        </is>
      </c>
      <c r="H12597" t="inlineStr">
        <is>
          <t>4kW 1S</t>
        </is>
      </c>
      <c r="I12597">
        <v>1190</v>
      </c>
      <c r="J12597">
        <f>GS31/883.5</f>
        <v>0</v>
      </c>
      <c r="M12597" t="inlineStr">
        <is>
          <t>-883K3800.5</t>
        </is>
      </c>
    </row>
    <row r="12598">
      <c r="A12598">
        <v>12597</v>
      </c>
      <c r="B12598">
        <f>GS31</f>
        <v>0</v>
      </c>
      <c r="C12598" t="inlineStr">
        <is>
          <t>+QVW2101</t>
        </is>
      </c>
      <c r="D12598" t="inlineStr">
        <is>
          <t>-883K3801.4</t>
        </is>
      </c>
      <c r="E12598" t="inlineStr">
        <is>
          <t>DIL_ER-22-G</t>
        </is>
      </c>
      <c r="F12598" t="inlineStr">
        <is>
          <t>#KALK!</t>
        </is>
      </c>
      <c r="G12598" t="inlineStr">
        <is>
          <t>HILFSSCHUETZ</t>
        </is>
      </c>
      <c r="H12598" t="inlineStr">
        <is>
          <t>2S 2OE</t>
        </is>
      </c>
      <c r="I12598">
        <v>1190</v>
      </c>
      <c r="J12598">
        <f>GS31/883.3</f>
        <v>0</v>
      </c>
      <c r="M12598" t="inlineStr">
        <is>
          <t>-883K3801.4</t>
        </is>
      </c>
    </row>
    <row r="12599">
      <c r="A12599">
        <v>12598</v>
      </c>
      <c r="B12599">
        <f>GS31</f>
        <v>0</v>
      </c>
      <c r="C12599" t="inlineStr">
        <is>
          <t>+QVW2101</t>
        </is>
      </c>
      <c r="D12599" t="inlineStr">
        <is>
          <t>-883K3801.5</t>
        </is>
      </c>
      <c r="E12599" t="inlineStr">
        <is>
          <t>DIL_ER-22-G</t>
        </is>
      </c>
      <c r="F12599" t="inlineStr">
        <is>
          <t>#KALK!</t>
        </is>
      </c>
      <c r="G12599" t="inlineStr">
        <is>
          <t>HILFSSCHUETZ</t>
        </is>
      </c>
      <c r="H12599" t="inlineStr">
        <is>
          <t>2S 2OE</t>
        </is>
      </c>
      <c r="I12599">
        <v>1190</v>
      </c>
      <c r="J12599">
        <f>GS31/883.4</f>
        <v>0</v>
      </c>
      <c r="M12599" t="inlineStr">
        <is>
          <t>-883K3801.5</t>
        </is>
      </c>
    </row>
    <row r="12600">
      <c r="A12600">
        <v>12599</v>
      </c>
      <c r="B12600">
        <f>GS34</f>
        <v>0</v>
      </c>
      <c r="C12600" t="inlineStr">
        <is>
          <t>+LS10</t>
        </is>
      </c>
      <c r="D12600" t="inlineStr">
        <is>
          <t>-883K54.3</t>
        </is>
      </c>
      <c r="E12600" t="inlineStr">
        <is>
          <t>DIL_EM-10-G</t>
        </is>
      </c>
      <c r="F12600" t="inlineStr">
        <is>
          <t>#KALK!</t>
        </is>
      </c>
      <c r="G12600" t="inlineStr">
        <is>
          <t>LASTSCHUETZ</t>
        </is>
      </c>
      <c r="H12600" t="inlineStr">
        <is>
          <t>4kW 1S</t>
        </is>
      </c>
      <c r="I12600">
        <v>1387</v>
      </c>
      <c r="J12600">
        <f>GS34/883.7</f>
        <v>0</v>
      </c>
      <c r="M12600" t="inlineStr">
        <is>
          <t>-883K54.3</t>
        </is>
      </c>
    </row>
    <row r="12601">
      <c r="A12601">
        <v>12600</v>
      </c>
      <c r="B12601">
        <f>GS31</f>
        <v>0</v>
      </c>
      <c r="C12601" t="inlineStr">
        <is>
          <t>+QVW2101</t>
        </is>
      </c>
      <c r="D12601" t="inlineStr">
        <is>
          <t>-884K3800.1</t>
        </is>
      </c>
      <c r="E12601" t="inlineStr">
        <is>
          <t>DIL_EM-10-G</t>
        </is>
      </c>
      <c r="F12601" t="inlineStr">
        <is>
          <t>#KALK!</t>
        </is>
      </c>
      <c r="G12601" t="inlineStr">
        <is>
          <t>LASTSCHUETZ</t>
        </is>
      </c>
      <c r="H12601" t="inlineStr">
        <is>
          <t>4kW 1S</t>
        </is>
      </c>
      <c r="I12601">
        <v>1191</v>
      </c>
      <c r="J12601">
        <f>GS31/884.7</f>
        <v>0</v>
      </c>
      <c r="M12601" t="inlineStr">
        <is>
          <t>-884K3800.1</t>
        </is>
      </c>
    </row>
    <row r="12602">
      <c r="A12602">
        <v>12601</v>
      </c>
      <c r="B12602">
        <f>GS34</f>
        <v>0</v>
      </c>
      <c r="C12602" t="inlineStr">
        <is>
          <t>+LS10</t>
        </is>
      </c>
      <c r="D12602" t="inlineStr">
        <is>
          <t>-884K54.6</t>
        </is>
      </c>
      <c r="E12602" t="inlineStr">
        <is>
          <t>DIL_EM-10-G</t>
        </is>
      </c>
      <c r="F12602" t="inlineStr">
        <is>
          <t>#KALK!</t>
        </is>
      </c>
      <c r="G12602" t="inlineStr">
        <is>
          <t>LASTSCHUETZ</t>
        </is>
      </c>
      <c r="H12602" t="inlineStr">
        <is>
          <t>4kW 1S</t>
        </is>
      </c>
      <c r="I12602">
        <v>1388</v>
      </c>
      <c r="J12602">
        <f>GS34/884.6</f>
        <v>0</v>
      </c>
      <c r="M12602" t="inlineStr">
        <is>
          <t>-884K54.6</t>
        </is>
      </c>
    </row>
    <row r="12603">
      <c r="A12603">
        <v>12602</v>
      </c>
      <c r="B12603">
        <f>GS34</f>
        <v>0</v>
      </c>
      <c r="C12603" t="inlineStr">
        <is>
          <t>+LS10</t>
        </is>
      </c>
      <c r="D12603" t="inlineStr">
        <is>
          <t>-885K55.0</t>
        </is>
      </c>
      <c r="E12603" t="inlineStr">
        <is>
          <t>DIL_EM-10-G</t>
        </is>
      </c>
      <c r="F12603" t="inlineStr">
        <is>
          <t>#KALK!</t>
        </is>
      </c>
      <c r="G12603" t="inlineStr">
        <is>
          <t>LASTSCHUETZ</t>
        </is>
      </c>
      <c r="H12603" t="inlineStr">
        <is>
          <t>4kW 1S</t>
        </is>
      </c>
      <c r="I12603">
        <v>1389</v>
      </c>
      <c r="J12603">
        <f>GS34/885.6</f>
        <v>0</v>
      </c>
      <c r="M12603" t="inlineStr">
        <is>
          <t>-885K55.0</t>
        </is>
      </c>
    </row>
    <row r="12604">
      <c r="A12604">
        <v>12603</v>
      </c>
      <c r="B12604">
        <f>GS34</f>
        <v>0</v>
      </c>
      <c r="C12604" t="inlineStr">
        <is>
          <t>+LS10</t>
        </is>
      </c>
      <c r="D12604" t="inlineStr">
        <is>
          <t>-885K55.1</t>
        </is>
      </c>
      <c r="E12604" t="inlineStr">
        <is>
          <t>DIL_EM-10-G</t>
        </is>
      </c>
      <c r="F12604" t="inlineStr">
        <is>
          <t>#KALK!</t>
        </is>
      </c>
      <c r="G12604" t="inlineStr">
        <is>
          <t>LASTSCHUETZ</t>
        </is>
      </c>
      <c r="H12604" t="inlineStr">
        <is>
          <t>4kW 1S</t>
        </is>
      </c>
      <c r="I12604">
        <v>1389</v>
      </c>
      <c r="J12604">
        <f>GS34/885.6</f>
        <v>0</v>
      </c>
      <c r="M12604" t="inlineStr">
        <is>
          <t>-885K55.1</t>
        </is>
      </c>
    </row>
    <row r="12605">
      <c r="A12605">
        <v>12604</v>
      </c>
      <c r="B12605">
        <f>GS31</f>
        <v>0</v>
      </c>
      <c r="C12605" t="inlineStr">
        <is>
          <t>+QVW2101</t>
        </is>
      </c>
      <c r="D12605" t="inlineStr">
        <is>
          <t>-886K3802.1</t>
        </is>
      </c>
      <c r="E12605" t="inlineStr">
        <is>
          <t>DIL_EM-10-G</t>
        </is>
      </c>
      <c r="F12605" t="inlineStr">
        <is>
          <t>#KALK!</t>
        </is>
      </c>
      <c r="G12605" t="inlineStr">
        <is>
          <t>LASTSCHUETZ</t>
        </is>
      </c>
      <c r="H12605" t="inlineStr">
        <is>
          <t>4kW 1S</t>
        </is>
      </c>
      <c r="I12605">
        <v>1193</v>
      </c>
      <c r="J12605">
        <f>GS31/886.2</f>
        <v>0</v>
      </c>
      <c r="M12605" t="inlineStr">
        <is>
          <t>-886K3802.1</t>
        </is>
      </c>
    </row>
    <row r="12606">
      <c r="A12606">
        <v>12605</v>
      </c>
      <c r="B12606">
        <f>GS31</f>
        <v>0</v>
      </c>
      <c r="C12606" t="inlineStr">
        <is>
          <t>+QVW2101</t>
        </is>
      </c>
      <c r="D12606" t="inlineStr">
        <is>
          <t>-886K3802.7</t>
        </is>
      </c>
      <c r="E12606" t="inlineStr">
        <is>
          <t>DIL_EM-10-G</t>
        </is>
      </c>
      <c r="F12606" t="inlineStr">
        <is>
          <t>#KALK!</t>
        </is>
      </c>
      <c r="G12606" t="inlineStr">
        <is>
          <t>LASTSCHUETZ</t>
        </is>
      </c>
      <c r="H12606" t="inlineStr">
        <is>
          <t>4kW 1S</t>
        </is>
      </c>
      <c r="I12606">
        <v>1193</v>
      </c>
      <c r="J12606">
        <f>GS31/886.3</f>
        <v>0</v>
      </c>
      <c r="M12606" t="inlineStr">
        <is>
          <t>-886K3802.7</t>
        </is>
      </c>
    </row>
    <row r="12607">
      <c r="A12607">
        <v>12606</v>
      </c>
      <c r="B12607">
        <f>GS34</f>
        <v>0</v>
      </c>
      <c r="C12607" t="inlineStr">
        <is>
          <t>+LS10</t>
        </is>
      </c>
      <c r="D12607" t="inlineStr">
        <is>
          <t>-886K55.2</t>
        </is>
      </c>
      <c r="E12607" t="inlineStr">
        <is>
          <t>DIL_EM-10-G</t>
        </is>
      </c>
      <c r="F12607" t="inlineStr">
        <is>
          <t>#KALK!</t>
        </is>
      </c>
      <c r="G12607" t="inlineStr">
        <is>
          <t>LASTSCHUETZ</t>
        </is>
      </c>
      <c r="H12607" t="inlineStr">
        <is>
          <t>4kW 1S</t>
        </is>
      </c>
      <c r="I12607">
        <v>1390</v>
      </c>
      <c r="J12607">
        <f>GS34/886.6</f>
        <v>0</v>
      </c>
      <c r="M12607" t="inlineStr">
        <is>
          <t>-886K55.2</t>
        </is>
      </c>
    </row>
    <row r="12608">
      <c r="A12608">
        <v>12607</v>
      </c>
      <c r="B12608">
        <f>GS34</f>
        <v>0</v>
      </c>
      <c r="C12608" t="inlineStr">
        <is>
          <t>+LS10</t>
        </is>
      </c>
      <c r="D12608" t="inlineStr">
        <is>
          <t>-886K55.3</t>
        </is>
      </c>
      <c r="E12608" t="inlineStr">
        <is>
          <t>DIL_EM-10-G</t>
        </is>
      </c>
      <c r="F12608" t="inlineStr">
        <is>
          <t>#KALK!</t>
        </is>
      </c>
      <c r="G12608" t="inlineStr">
        <is>
          <t>LASTSCHUETZ</t>
        </is>
      </c>
      <c r="H12608" t="inlineStr">
        <is>
          <t>4kW 1S</t>
        </is>
      </c>
      <c r="I12608">
        <v>1390</v>
      </c>
      <c r="J12608">
        <f>GS34/886.6</f>
        <v>0</v>
      </c>
      <c r="M12608" t="inlineStr">
        <is>
          <t>-886K55.3</t>
        </is>
      </c>
    </row>
    <row r="12609">
      <c r="A12609">
        <v>12608</v>
      </c>
      <c r="B12609">
        <f>GS31</f>
        <v>0</v>
      </c>
      <c r="C12609" t="inlineStr">
        <is>
          <t>+QVW2101</t>
        </is>
      </c>
      <c r="D12609" t="inlineStr">
        <is>
          <t>-887K3803.0</t>
        </is>
      </c>
      <c r="E12609" t="inlineStr">
        <is>
          <t>DIL_EM-10-G</t>
        </is>
      </c>
      <c r="F12609" t="inlineStr">
        <is>
          <t>22_DIL-E</t>
        </is>
      </c>
      <c r="G12609" t="inlineStr">
        <is>
          <t>LASTSCHUETZ</t>
        </is>
      </c>
      <c r="H12609" t="inlineStr">
        <is>
          <t>4kW 1S</t>
        </is>
      </c>
      <c r="I12609">
        <v>1194</v>
      </c>
      <c r="J12609">
        <f>GS31/887.6</f>
        <v>0</v>
      </c>
      <c r="M12609" t="inlineStr">
        <is>
          <t>-887K3803.0</t>
        </is>
      </c>
    </row>
    <row r="12610">
      <c r="A12610">
        <v>12609</v>
      </c>
      <c r="B12610">
        <f>GS31</f>
        <v>0</v>
      </c>
      <c r="C12610" t="inlineStr">
        <is>
          <t>+QVW2101</t>
        </is>
      </c>
      <c r="D12610" t="inlineStr">
        <is>
          <t>-887K3803.0</t>
        </is>
      </c>
      <c r="E12610" t="inlineStr">
        <is>
          <t>22_DIL-E</t>
        </is>
      </c>
      <c r="F12610" t="inlineStr">
        <is>
          <t>22_DIL-E</t>
        </is>
      </c>
      <c r="G12610" t="inlineStr">
        <is>
          <t>HILFSKONTAKTBLOCK</t>
        </is>
      </c>
      <c r="H12610" t="inlineStr">
        <is>
          <t>2S 2OE Last+Hilfsschuetz</t>
        </is>
      </c>
      <c r="I12610">
        <v>1194</v>
      </c>
      <c r="J12610">
        <f>GS31/887.6</f>
        <v>0</v>
      </c>
      <c r="M12610" t="inlineStr">
        <is>
          <t>-887K3803.0</t>
        </is>
      </c>
    </row>
    <row r="12611">
      <c r="A12611">
        <v>12610</v>
      </c>
      <c r="B12611">
        <f>GS31</f>
        <v>0</v>
      </c>
      <c r="C12611" t="inlineStr">
        <is>
          <t>+QVW2101</t>
        </is>
      </c>
      <c r="D12611" t="inlineStr">
        <is>
          <t>-887K3803.1</t>
        </is>
      </c>
      <c r="E12611" t="inlineStr">
        <is>
          <t>DIL_EM-10-G</t>
        </is>
      </c>
      <c r="F12611" t="inlineStr">
        <is>
          <t>22_DIL-E</t>
        </is>
      </c>
      <c r="G12611" t="inlineStr">
        <is>
          <t>LASTSCHUETZ</t>
        </is>
      </c>
      <c r="H12611" t="inlineStr">
        <is>
          <t>4kW 1S</t>
        </is>
      </c>
      <c r="I12611">
        <v>1194</v>
      </c>
      <c r="J12611">
        <f>GS31/887.6</f>
        <v>0</v>
      </c>
      <c r="M12611" t="inlineStr">
        <is>
          <t>-887K3803.1</t>
        </is>
      </c>
    </row>
    <row r="12612">
      <c r="A12612">
        <v>12611</v>
      </c>
      <c r="B12612">
        <f>GS31</f>
        <v>0</v>
      </c>
      <c r="C12612" t="inlineStr">
        <is>
          <t>+QVW2101</t>
        </is>
      </c>
      <c r="D12612" t="inlineStr">
        <is>
          <t>-887K3803.1</t>
        </is>
      </c>
      <c r="E12612" t="inlineStr">
        <is>
          <t>22_DIL-E</t>
        </is>
      </c>
      <c r="F12612" t="inlineStr">
        <is>
          <t>22_DIL-E</t>
        </is>
      </c>
      <c r="G12612" t="inlineStr">
        <is>
          <t>HILFSKONTAKTBLOCK</t>
        </is>
      </c>
      <c r="H12612" t="inlineStr">
        <is>
          <t>2S 2OE Last+Hilfsschuetz</t>
        </is>
      </c>
      <c r="I12612">
        <v>1194</v>
      </c>
      <c r="J12612">
        <f>GS31/887.6</f>
        <v>0</v>
      </c>
      <c r="M12612" t="inlineStr">
        <is>
          <t>-887K3803.1</t>
        </is>
      </c>
    </row>
    <row r="12613">
      <c r="A12613">
        <v>12612</v>
      </c>
      <c r="B12613">
        <f>GS34</f>
        <v>0</v>
      </c>
      <c r="C12613" t="inlineStr">
        <is>
          <t>+LS10</t>
        </is>
      </c>
      <c r="D12613" t="inlineStr">
        <is>
          <t>-887K55.7</t>
        </is>
      </c>
      <c r="E12613" t="inlineStr">
        <is>
          <t>DIL_EM-10-G</t>
        </is>
      </c>
      <c r="F12613" t="inlineStr">
        <is>
          <t>#KALK!</t>
        </is>
      </c>
      <c r="G12613" t="inlineStr">
        <is>
          <t>LASTSCHUETZ</t>
        </is>
      </c>
      <c r="H12613" t="inlineStr">
        <is>
          <t>4kW 1S</t>
        </is>
      </c>
      <c r="I12613">
        <v>1391</v>
      </c>
      <c r="J12613">
        <f>GS34/887.7</f>
        <v>0</v>
      </c>
      <c r="M12613" t="inlineStr">
        <is>
          <t>-887K55.7</t>
        </is>
      </c>
    </row>
    <row r="12614">
      <c r="A12614">
        <v>12613</v>
      </c>
      <c r="B12614">
        <f>GS34</f>
        <v>0</v>
      </c>
      <c r="C12614" t="inlineStr">
        <is>
          <t>+LS10</t>
        </is>
      </c>
      <c r="D12614" t="inlineStr">
        <is>
          <t>-888K56.2</t>
        </is>
      </c>
      <c r="E12614" t="inlineStr">
        <is>
          <t>DIL_EM-10-G</t>
        </is>
      </c>
      <c r="F12614" t="inlineStr">
        <is>
          <t>#KALK!</t>
        </is>
      </c>
      <c r="G12614" t="inlineStr">
        <is>
          <t>LASTSCHUETZ</t>
        </is>
      </c>
      <c r="H12614" t="inlineStr">
        <is>
          <t>4kW 1S</t>
        </is>
      </c>
      <c r="I12614">
        <v>1392</v>
      </c>
      <c r="J12614">
        <f>GS34/888.6</f>
        <v>0</v>
      </c>
      <c r="M12614" t="inlineStr">
        <is>
          <t>-888K56.2</t>
        </is>
      </c>
    </row>
    <row r="12615">
      <c r="A12615">
        <v>12614</v>
      </c>
      <c r="B12615">
        <f>GS34</f>
        <v>0</v>
      </c>
      <c r="C12615" t="inlineStr">
        <is>
          <t>+LS10</t>
        </is>
      </c>
      <c r="D12615" t="inlineStr">
        <is>
          <t>-889K56.6</t>
        </is>
      </c>
      <c r="E12615" t="inlineStr">
        <is>
          <t>DIL_EM-10-G</t>
        </is>
      </c>
      <c r="F12615" t="inlineStr">
        <is>
          <t>#KALK!</t>
        </is>
      </c>
      <c r="G12615" t="inlineStr">
        <is>
          <t>LASTSCHUETZ</t>
        </is>
      </c>
      <c r="H12615" t="inlineStr">
        <is>
          <t>4kW 1S</t>
        </is>
      </c>
      <c r="I12615">
        <v>1393</v>
      </c>
      <c r="J12615">
        <f>GS34/889.7</f>
        <v>0</v>
      </c>
      <c r="M12615" t="inlineStr">
        <is>
          <t>-889K56.6</t>
        </is>
      </c>
    </row>
    <row r="12616">
      <c r="A12616">
        <v>12615</v>
      </c>
      <c r="B12616">
        <f>GS14</f>
        <v>0</v>
      </c>
      <c r="C12616" t="inlineStr">
        <is>
          <t>+LS1</t>
        </is>
      </c>
      <c r="D12616" t="inlineStr">
        <is>
          <t>-88K54.2</t>
        </is>
      </c>
      <c r="E12616" t="inlineStr">
        <is>
          <t>DIL_EM-10-G</t>
        </is>
      </c>
      <c r="F12616" t="inlineStr">
        <is>
          <t>#KALK!</t>
        </is>
      </c>
      <c r="G12616" t="inlineStr">
        <is>
          <t>LASTSCHUETZ</t>
        </is>
      </c>
      <c r="H12616" t="inlineStr">
        <is>
          <t>4kW 1S</t>
        </is>
      </c>
      <c r="I12616">
        <v>214</v>
      </c>
      <c r="J12616">
        <f>GS14/88.6</f>
        <v>0</v>
      </c>
      <c r="M12616" t="inlineStr">
        <is>
          <t>-88K54.2</t>
        </is>
      </c>
    </row>
    <row r="12617">
      <c r="A12617">
        <v>12616</v>
      </c>
      <c r="B12617">
        <f>GS15</f>
        <v>0</v>
      </c>
      <c r="C12617" t="inlineStr">
        <is>
          <t>+LS1</t>
        </is>
      </c>
      <c r="D12617" t="inlineStr">
        <is>
          <t>-88K54.2</t>
        </is>
      </c>
      <c r="E12617" t="inlineStr">
        <is>
          <t>DIL_EM-10-G</t>
        </is>
      </c>
      <c r="F12617" t="inlineStr">
        <is>
          <t>#KALK!</t>
        </is>
      </c>
      <c r="G12617" t="inlineStr">
        <is>
          <t>LASTSCHUETZ</t>
        </is>
      </c>
      <c r="H12617" t="inlineStr">
        <is>
          <t>4kW 1S</t>
        </is>
      </c>
      <c r="I12617">
        <v>575</v>
      </c>
      <c r="J12617">
        <f>GS15/88.6</f>
        <v>0</v>
      </c>
      <c r="M12617" t="inlineStr">
        <is>
          <t>-88K54.2</t>
        </is>
      </c>
    </row>
    <row r="12618">
      <c r="A12618">
        <v>12617</v>
      </c>
      <c r="B12618">
        <f>GS24</f>
        <v>0</v>
      </c>
      <c r="C12618" t="inlineStr">
        <is>
          <t>+LS1</t>
        </is>
      </c>
      <c r="D12618" t="inlineStr">
        <is>
          <t>-88K54.2</t>
        </is>
      </c>
      <c r="E12618" t="inlineStr">
        <is>
          <t>DIL_EM-10-G</t>
        </is>
      </c>
      <c r="F12618" t="inlineStr">
        <is>
          <t>#KALK!</t>
        </is>
      </c>
      <c r="G12618" t="inlineStr">
        <is>
          <t>LASTSCHUETZ</t>
        </is>
      </c>
      <c r="H12618" t="inlineStr">
        <is>
          <t>4kW 1S</t>
        </is>
      </c>
      <c r="I12618">
        <v>991</v>
      </c>
      <c r="J12618">
        <f>GS24/88.6</f>
        <v>0</v>
      </c>
      <c r="M12618" t="inlineStr">
        <is>
          <t>-88K54.2</t>
        </is>
      </c>
    </row>
    <row r="12619">
      <c r="A12619">
        <v>12618</v>
      </c>
      <c r="B12619">
        <f>GS25</f>
        <v>0</v>
      </c>
      <c r="C12619" t="inlineStr">
        <is>
          <t>+LS1</t>
        </is>
      </c>
      <c r="D12619" t="inlineStr">
        <is>
          <t>-88K54.2</t>
        </is>
      </c>
      <c r="E12619" t="inlineStr">
        <is>
          <t>DIL_EM-10-G</t>
        </is>
      </c>
      <c r="F12619" t="inlineStr">
        <is>
          <t>#KALK!</t>
        </is>
      </c>
      <c r="G12619" t="inlineStr">
        <is>
          <t>LASTSCHUETZ</t>
        </is>
      </c>
      <c r="H12619" t="inlineStr">
        <is>
          <t>4kW 1S</t>
        </is>
      </c>
      <c r="I12619">
        <v>209</v>
      </c>
      <c r="J12619">
        <f>GS25/88.6</f>
        <v>0</v>
      </c>
      <c r="M12619" t="inlineStr">
        <is>
          <t>-88K54.2</t>
        </is>
      </c>
    </row>
    <row r="12620">
      <c r="A12620">
        <v>12619</v>
      </c>
      <c r="B12620">
        <f>GS14</f>
        <v>0</v>
      </c>
      <c r="C12620" t="inlineStr">
        <is>
          <t>+LS1</t>
        </is>
      </c>
      <c r="D12620" t="inlineStr">
        <is>
          <t>-88K54.3</t>
        </is>
      </c>
      <c r="E12620" t="inlineStr">
        <is>
          <t>DIL_EM-10-G</t>
        </is>
      </c>
      <c r="F12620" t="inlineStr">
        <is>
          <t>#KALK!</t>
        </is>
      </c>
      <c r="G12620" t="inlineStr">
        <is>
          <t>LASTSCHUETZ</t>
        </is>
      </c>
      <c r="H12620" t="inlineStr">
        <is>
          <t>4kW 1S</t>
        </is>
      </c>
      <c r="I12620">
        <v>214</v>
      </c>
      <c r="J12620">
        <f>GS14/88.6</f>
        <v>0</v>
      </c>
      <c r="M12620" t="inlineStr">
        <is>
          <t>-88K54.3</t>
        </is>
      </c>
    </row>
    <row r="12621">
      <c r="A12621">
        <v>12620</v>
      </c>
      <c r="B12621">
        <f>GS15</f>
        <v>0</v>
      </c>
      <c r="C12621" t="inlineStr">
        <is>
          <t>+LS1</t>
        </is>
      </c>
      <c r="D12621" t="inlineStr">
        <is>
          <t>-88K54.3</t>
        </is>
      </c>
      <c r="E12621" t="inlineStr">
        <is>
          <t>DIL_EM-10-G</t>
        </is>
      </c>
      <c r="F12621" t="inlineStr">
        <is>
          <t>#KALK!</t>
        </is>
      </c>
      <c r="G12621" t="inlineStr">
        <is>
          <t>LASTSCHUETZ</t>
        </is>
      </c>
      <c r="H12621" t="inlineStr">
        <is>
          <t>4kW 1S</t>
        </is>
      </c>
      <c r="I12621">
        <v>575</v>
      </c>
      <c r="J12621">
        <f>GS15/88.6</f>
        <v>0</v>
      </c>
      <c r="M12621" t="inlineStr">
        <is>
          <t>-88K54.3</t>
        </is>
      </c>
    </row>
    <row r="12622">
      <c r="A12622">
        <v>12621</v>
      </c>
      <c r="B12622">
        <f>GS24</f>
        <v>0</v>
      </c>
      <c r="C12622" t="inlineStr">
        <is>
          <t>+LS1</t>
        </is>
      </c>
      <c r="D12622" t="inlineStr">
        <is>
          <t>-88K54.3</t>
        </is>
      </c>
      <c r="E12622" t="inlineStr">
        <is>
          <t>DIL_EM-10-G</t>
        </is>
      </c>
      <c r="F12622" t="inlineStr">
        <is>
          <t>#KALK!</t>
        </is>
      </c>
      <c r="G12622" t="inlineStr">
        <is>
          <t>LASTSCHUETZ</t>
        </is>
      </c>
      <c r="H12622" t="inlineStr">
        <is>
          <t>4kW 1S</t>
        </is>
      </c>
      <c r="I12622">
        <v>991</v>
      </c>
      <c r="J12622">
        <f>GS24/88.6</f>
        <v>0</v>
      </c>
      <c r="M12622" t="inlineStr">
        <is>
          <t>-88K54.3</t>
        </is>
      </c>
    </row>
    <row r="12623">
      <c r="A12623">
        <v>12622</v>
      </c>
      <c r="B12623">
        <f>GS25</f>
        <v>0</v>
      </c>
      <c r="C12623" t="inlineStr">
        <is>
          <t>+LS1</t>
        </is>
      </c>
      <c r="D12623" t="inlineStr">
        <is>
          <t>-88K54.3</t>
        </is>
      </c>
      <c r="E12623" t="inlineStr">
        <is>
          <t>DIL_EM-10-G</t>
        </is>
      </c>
      <c r="F12623" t="inlineStr">
        <is>
          <t>#KALK!</t>
        </is>
      </c>
      <c r="G12623" t="inlineStr">
        <is>
          <t>LASTSCHUETZ</t>
        </is>
      </c>
      <c r="H12623" t="inlineStr">
        <is>
          <t>4kW 1S</t>
        </is>
      </c>
      <c r="I12623">
        <v>209</v>
      </c>
      <c r="J12623">
        <f>GS25/88.6</f>
        <v>0</v>
      </c>
      <c r="M12623" t="inlineStr">
        <is>
          <t>-88K54.3</t>
        </is>
      </c>
    </row>
    <row r="12624">
      <c r="A12624">
        <v>12623</v>
      </c>
      <c r="B12624">
        <f>GS7x</f>
        <v>0</v>
      </c>
      <c r="C12624" t="inlineStr">
        <is>
          <t>+LS[l1]</t>
        </is>
      </c>
      <c r="D12624" t="inlineStr">
        <is>
          <t>-88Q[a+8].1</t>
        </is>
      </c>
      <c r="E12624" t="inlineStr">
        <is>
          <t>DILM-9-10</t>
        </is>
      </c>
      <c r="F12624" t="inlineStr">
        <is>
          <t>#KALK!</t>
        </is>
      </c>
      <c r="G12624" t="inlineStr">
        <is>
          <t>LASTSCHUETZ</t>
        </is>
      </c>
      <c r="H12624" t="inlineStr">
        <is>
          <t>4kW 1S Federzugkl.</t>
        </is>
      </c>
      <c r="I12624">
        <v>326</v>
      </c>
      <c r="J12624">
        <f>GS7x/88.6</f>
        <v>0</v>
      </c>
      <c r="M12624" t="inlineStr">
        <is>
          <t>-88Q[a+8].1</t>
        </is>
      </c>
    </row>
    <row r="12625">
      <c r="A12625">
        <v>12624</v>
      </c>
      <c r="B12625">
        <f>GS93</f>
        <v>0</v>
      </c>
      <c r="C12625" t="inlineStr">
        <is>
          <t>+LS17</t>
        </is>
      </c>
      <c r="D12625" t="inlineStr">
        <is>
          <t>-890K1077.4</t>
        </is>
      </c>
      <c r="E12625" t="inlineStr">
        <is>
          <t>DILA-40</t>
        </is>
      </c>
      <c r="F12625" t="inlineStr">
        <is>
          <t>#KALK!</t>
        </is>
      </c>
      <c r="G12625" t="inlineStr">
        <is>
          <t>HILFSSCHUETZ</t>
        </is>
      </c>
      <c r="H12625" t="inlineStr">
        <is>
          <t>4S Federzugkl.</t>
        </is>
      </c>
      <c r="I12625">
        <v>1415</v>
      </c>
      <c r="J12625">
        <f>GS93/890.7</f>
        <v>0</v>
      </c>
      <c r="M12625" t="inlineStr">
        <is>
          <t>-890K1077.4</t>
        </is>
      </c>
    </row>
    <row r="12626">
      <c r="A12626">
        <v>12625</v>
      </c>
      <c r="B12626">
        <f>GS34</f>
        <v>0</v>
      </c>
      <c r="C12626" t="inlineStr">
        <is>
          <t>+LS10</t>
        </is>
      </c>
      <c r="D12626" t="inlineStr">
        <is>
          <t>-890K57.1</t>
        </is>
      </c>
      <c r="E12626" t="inlineStr">
        <is>
          <t>DIL_ER-22-G</t>
        </is>
      </c>
      <c r="F12626" t="inlineStr">
        <is>
          <t>#KALK!</t>
        </is>
      </c>
      <c r="G12626" t="inlineStr">
        <is>
          <t>HILFSSCHUETZ</t>
        </is>
      </c>
      <c r="H12626" t="inlineStr">
        <is>
          <t>2S 2OE</t>
        </is>
      </c>
      <c r="I12626">
        <v>1394</v>
      </c>
      <c r="J12626">
        <f>GS34/890.8</f>
        <v>0</v>
      </c>
      <c r="M12626" t="inlineStr">
        <is>
          <t>-890K57.1</t>
        </is>
      </c>
    </row>
    <row r="12627">
      <c r="A12627">
        <v>12626</v>
      </c>
      <c r="B12627">
        <f>GS93</f>
        <v>0</v>
      </c>
      <c r="C12627" t="inlineStr">
        <is>
          <t>+LS17</t>
        </is>
      </c>
      <c r="D12627" t="inlineStr">
        <is>
          <t>-890Q1</t>
        </is>
      </c>
      <c r="E12627" t="inlineStr">
        <is>
          <t>DILMC25-10(RDC24)</t>
        </is>
      </c>
      <c r="F12627" t="inlineStr">
        <is>
          <t>DILA-XHIC31</t>
        </is>
      </c>
      <c r="G12627" t="inlineStr">
        <is>
          <t>LASTSCHUETZ</t>
        </is>
      </c>
      <c r="H12627" t="inlineStr">
        <is>
          <t>11kW 1S Federzugkl.</t>
        </is>
      </c>
      <c r="I12627">
        <v>1415</v>
      </c>
      <c r="J12627">
        <f>GS93/890.4</f>
        <v>0</v>
      </c>
      <c r="K12627" t="inlineStr">
        <is>
          <t>DIL MC25</t>
        </is>
      </c>
      <c r="M12627" t="inlineStr">
        <is>
          <t>-890Q1</t>
        </is>
      </c>
    </row>
    <row r="12628">
      <c r="A12628">
        <v>12627</v>
      </c>
      <c r="B12628">
        <f>GS93</f>
        <v>0</v>
      </c>
      <c r="C12628" t="inlineStr">
        <is>
          <t>+LS17</t>
        </is>
      </c>
      <c r="D12628" t="inlineStr">
        <is>
          <t>-890Q1</t>
        </is>
      </c>
      <c r="E12628" t="inlineStr">
        <is>
          <t>DILA-XHIC31</t>
        </is>
      </c>
      <c r="F12628" t="inlineStr">
        <is>
          <t>DILA-XHIC31</t>
        </is>
      </c>
      <c r="G12628" t="inlineStr">
        <is>
          <t>HILFSKONTAKTBLOCK</t>
        </is>
      </c>
      <c r="H12628" t="inlineStr">
        <is>
          <t>3S 1OE Last+Hilfssch. Cage</t>
        </is>
      </c>
      <c r="I12628">
        <v>1415</v>
      </c>
      <c r="J12628">
        <f>GS93/890.4</f>
        <v>0</v>
      </c>
      <c r="K12628" t="inlineStr">
        <is>
          <t>DIL MC25</t>
        </is>
      </c>
      <c r="M12628" t="inlineStr">
        <is>
          <t>-890Q1</t>
        </is>
      </c>
    </row>
    <row r="12629">
      <c r="A12629">
        <v>12628</v>
      </c>
      <c r="B12629">
        <f>GS34</f>
        <v>0</v>
      </c>
      <c r="C12629" t="inlineStr">
        <is>
          <t>+LS10</t>
        </is>
      </c>
      <c r="D12629" t="inlineStr">
        <is>
          <t>-893K59.1</t>
        </is>
      </c>
      <c r="E12629" t="inlineStr">
        <is>
          <t>DILMC12-10(24VDC)</t>
        </is>
      </c>
      <c r="F12629" t="inlineStr">
        <is>
          <t>#KALK!</t>
        </is>
      </c>
      <c r="G12629" t="inlineStr">
        <is>
          <t>LASTSCHUETZ</t>
        </is>
      </c>
      <c r="H12629" t="inlineStr">
        <is>
          <t>5,5kW 1S Federzugkl.</t>
        </is>
      </c>
      <c r="I12629">
        <v>1397</v>
      </c>
      <c r="J12629">
        <f>GS34/893.5</f>
        <v>0</v>
      </c>
      <c r="K12629" t="inlineStr">
        <is>
          <t>DIL MC12</t>
        </is>
      </c>
      <c r="M12629" t="inlineStr">
        <is>
          <t>-893K59.1</t>
        </is>
      </c>
    </row>
    <row r="12630">
      <c r="A12630">
        <v>12629</v>
      </c>
      <c r="B12630">
        <f>GS36</f>
        <v>0</v>
      </c>
      <c r="C12630" t="inlineStr">
        <is>
          <t>+LS12</t>
        </is>
      </c>
      <c r="D12630" t="inlineStr">
        <is>
          <t>-985K1</t>
        </is>
      </c>
      <c r="E12630" t="inlineStr">
        <is>
          <t>DILA-40</t>
        </is>
      </c>
      <c r="F12630" t="inlineStr">
        <is>
          <t>#KALK!</t>
        </is>
      </c>
      <c r="G12630" t="inlineStr">
        <is>
          <t>HILFSSCHUETZ</t>
        </is>
      </c>
      <c r="H12630" t="inlineStr">
        <is>
          <t>4S Federzugkl.</t>
        </is>
      </c>
      <c r="I12630">
        <v>1542</v>
      </c>
      <c r="J12630">
        <f>GS36/985.5</f>
        <v>0</v>
      </c>
      <c r="M12630" t="inlineStr">
        <is>
          <t>-985K1</t>
        </is>
      </c>
    </row>
    <row r="12631">
      <c r="A12631">
        <v>12630</v>
      </c>
      <c r="B12631">
        <f>GS36</f>
        <v>0</v>
      </c>
      <c r="C12631" t="inlineStr">
        <is>
          <t>+LS10</t>
        </is>
      </c>
      <c r="D12631" t="inlineStr">
        <is>
          <t>-895K1</t>
        </is>
      </c>
      <c r="E12631" t="inlineStr">
        <is>
          <t>DILA-XHIC40</t>
        </is>
      </c>
      <c r="F12631" t="inlineStr">
        <is>
          <t>DILA-XHIC40</t>
        </is>
      </c>
      <c r="G12631" t="inlineStr">
        <is>
          <t>HILFSKONTAKTBLOCK</t>
        </is>
      </c>
      <c r="H12631" t="inlineStr">
        <is>
          <t>4S Last+Hilfssch. Cage</t>
        </is>
      </c>
      <c r="I12631">
        <v>1648</v>
      </c>
      <c r="J12631">
        <f>GS36/895.5</f>
        <v>0</v>
      </c>
      <c r="M12631" t="inlineStr">
        <is>
          <t>-895K1</t>
        </is>
      </c>
    </row>
    <row r="12632">
      <c r="A12632">
        <v>12631</v>
      </c>
      <c r="B12632">
        <f>GS34</f>
        <v>0</v>
      </c>
      <c r="C12632" t="inlineStr">
        <is>
          <t>+LS10</t>
        </is>
      </c>
      <c r="D12632" t="inlineStr">
        <is>
          <t>-895K59.3</t>
        </is>
      </c>
      <c r="E12632" t="inlineStr">
        <is>
          <t>DILM-9-10</t>
        </is>
      </c>
      <c r="F12632" t="inlineStr">
        <is>
          <t>DILA-XHI22</t>
        </is>
      </c>
      <c r="G12632" t="inlineStr">
        <is>
          <t>LASTSCHUETZ</t>
        </is>
      </c>
      <c r="H12632" t="inlineStr">
        <is>
          <t>4kW 1S Federzugkl.</t>
        </is>
      </c>
      <c r="I12632">
        <v>1399</v>
      </c>
      <c r="J12632">
        <f>GS34/895.5</f>
        <v>0</v>
      </c>
      <c r="M12632" t="inlineStr">
        <is>
          <t>-895K59.3</t>
        </is>
      </c>
    </row>
    <row r="12633">
      <c r="A12633">
        <v>12632</v>
      </c>
      <c r="B12633">
        <f>GS34</f>
        <v>0</v>
      </c>
      <c r="C12633" t="inlineStr">
        <is>
          <t>+LS10</t>
        </is>
      </c>
      <c r="D12633" t="inlineStr">
        <is>
          <t>-895K59.3</t>
        </is>
      </c>
      <c r="E12633" t="inlineStr">
        <is>
          <t>DILA-XHI22</t>
        </is>
      </c>
      <c r="F12633" t="inlineStr">
        <is>
          <t>DILA-XHI22</t>
        </is>
      </c>
      <c r="G12633" t="inlineStr">
        <is>
          <t>HILFSKONTAKTBLOCK</t>
        </is>
      </c>
      <c r="H12633" t="inlineStr">
        <is>
          <t>2S 2OE Last+Hilfssch. Cage</t>
        </is>
      </c>
      <c r="I12633">
        <v>1399</v>
      </c>
      <c r="J12633">
        <f>GS34/895.5</f>
        <v>0</v>
      </c>
      <c r="M12633" t="inlineStr">
        <is>
          <t>-895K59.3</t>
        </is>
      </c>
    </row>
    <row r="12634">
      <c r="A12634">
        <v>12633</v>
      </c>
      <c r="B12634">
        <f>GS34</f>
        <v>0</v>
      </c>
      <c r="C12634" t="inlineStr">
        <is>
          <t>+LS10</t>
        </is>
      </c>
      <c r="D12634" t="inlineStr">
        <is>
          <t>-895K59.4</t>
        </is>
      </c>
      <c r="E12634" t="inlineStr">
        <is>
          <t>DILM-9-10</t>
        </is>
      </c>
      <c r="F12634" t="inlineStr">
        <is>
          <t>DILA-XHI22</t>
        </is>
      </c>
      <c r="G12634" t="inlineStr">
        <is>
          <t>LASTSCHUETZ</t>
        </is>
      </c>
      <c r="H12634" t="inlineStr">
        <is>
          <t>4kW 1S Federzugkl.</t>
        </is>
      </c>
      <c r="I12634">
        <v>1399</v>
      </c>
      <c r="J12634">
        <f>GS34/895.6</f>
        <v>0</v>
      </c>
      <c r="M12634" t="inlineStr">
        <is>
          <t>-895K59.4</t>
        </is>
      </c>
    </row>
    <row r="12635">
      <c r="A12635">
        <v>12634</v>
      </c>
      <c r="B12635">
        <f>GS34</f>
        <v>0</v>
      </c>
      <c r="C12635" t="inlineStr">
        <is>
          <t>+LS10</t>
        </is>
      </c>
      <c r="D12635" t="inlineStr">
        <is>
          <t>-895K59.4</t>
        </is>
      </c>
      <c r="E12635" t="inlineStr">
        <is>
          <t>DILA-XHI22</t>
        </is>
      </c>
      <c r="F12635" t="inlineStr">
        <is>
          <t>DILA-XHI22</t>
        </is>
      </c>
      <c r="G12635" t="inlineStr">
        <is>
          <t>HILFSKONTAKTBLOCK</t>
        </is>
      </c>
      <c r="H12635" t="inlineStr">
        <is>
          <t>2S 2OE Last+Hilfssch. Cage</t>
        </is>
      </c>
      <c r="I12635">
        <v>1399</v>
      </c>
      <c r="J12635">
        <f>GS34/895.6</f>
        <v>0</v>
      </c>
      <c r="M12635" t="inlineStr">
        <is>
          <t>-895K59.4</t>
        </is>
      </c>
    </row>
    <row r="12636">
      <c r="A12636">
        <v>12635</v>
      </c>
      <c r="B12636">
        <f>GS36</f>
        <v>0</v>
      </c>
      <c r="C12636" t="inlineStr">
        <is>
          <t>+LS12</t>
        </is>
      </c>
      <c r="D12636" t="inlineStr">
        <is>
          <t>-985K722.0</t>
        </is>
      </c>
      <c r="E12636" t="inlineStr">
        <is>
          <t>DILA-40</t>
        </is>
      </c>
      <c r="F12636" t="inlineStr">
        <is>
          <t>#KALK!</t>
        </is>
      </c>
      <c r="G12636" t="inlineStr">
        <is>
          <t>HILFSSCHUETZ</t>
        </is>
      </c>
      <c r="H12636" t="inlineStr">
        <is>
          <t>4S Federzugkl.</t>
        </is>
      </c>
      <c r="I12636">
        <v>1542</v>
      </c>
      <c r="J12636">
        <f>GS36/985.7</f>
        <v>0</v>
      </c>
      <c r="M12636" t="inlineStr">
        <is>
          <t>-985K722.0</t>
        </is>
      </c>
    </row>
    <row r="12637">
      <c r="A12637">
        <v>12636</v>
      </c>
      <c r="B12637">
        <f>GS06</f>
        <v>0</v>
      </c>
      <c r="C12637" t="inlineStr">
        <is>
          <t>+LS14</t>
        </is>
      </c>
      <c r="D12637" t="inlineStr">
        <is>
          <t>-895Q1</t>
        </is>
      </c>
      <c r="E12637" t="inlineStr">
        <is>
          <t>DILA-XHI22</t>
        </is>
      </c>
      <c r="F12637" t="inlineStr">
        <is>
          <t>DILA-XHI22</t>
        </is>
      </c>
      <c r="G12637" t="inlineStr">
        <is>
          <t>HILFSKONTAKTBLOCK</t>
        </is>
      </c>
      <c r="H12637" t="inlineStr">
        <is>
          <t>2S 2OE Last+Hilfssch. Cage</t>
        </is>
      </c>
      <c r="I12637">
        <v>2724</v>
      </c>
      <c r="J12637">
        <f>GS06/895.6</f>
        <v>0</v>
      </c>
      <c r="K12637" t="inlineStr">
        <is>
          <t>DIL MC25</t>
        </is>
      </c>
      <c r="M12637" t="inlineStr">
        <is>
          <t>-895Q1</t>
        </is>
      </c>
    </row>
    <row r="12638">
      <c r="A12638">
        <v>12637</v>
      </c>
      <c r="B12638">
        <f>GS06</f>
        <v>0</v>
      </c>
      <c r="C12638" t="inlineStr">
        <is>
          <t>+LS14</t>
        </is>
      </c>
      <c r="D12638" t="inlineStr">
        <is>
          <t>-895Q1</t>
        </is>
      </c>
      <c r="E12638" t="inlineStr">
        <is>
          <t>DILMC25-10(RDC24)</t>
        </is>
      </c>
      <c r="F12638" t="inlineStr">
        <is>
          <t>DILA-XHI22</t>
        </is>
      </c>
      <c r="G12638" t="inlineStr">
        <is>
          <t>LASTSCHUETZ</t>
        </is>
      </c>
      <c r="H12638" t="inlineStr">
        <is>
          <t>11kW 1S Federzugkl.</t>
        </is>
      </c>
      <c r="I12638">
        <v>2724</v>
      </c>
      <c r="J12638">
        <f>GS06/895.6</f>
        <v>0</v>
      </c>
      <c r="K12638" t="inlineStr">
        <is>
          <t>DIL MC25</t>
        </is>
      </c>
      <c r="M12638" t="inlineStr">
        <is>
          <t>-895Q1</t>
        </is>
      </c>
    </row>
    <row r="12639">
      <c r="A12639">
        <v>12638</v>
      </c>
      <c r="B12639">
        <f>GS36</f>
        <v>0</v>
      </c>
      <c r="C12639" t="inlineStr">
        <is>
          <t>+LS10</t>
        </is>
      </c>
      <c r="D12639" t="inlineStr">
        <is>
          <t>-895Q1</t>
        </is>
      </c>
      <c r="E12639" t="inlineStr">
        <is>
          <t>DILMC25-10(RDC24)</t>
        </is>
      </c>
      <c r="F12639" t="inlineStr">
        <is>
          <t>DILA-XHI22</t>
        </is>
      </c>
      <c r="G12639" t="inlineStr">
        <is>
          <t>LASTSCHUETZ</t>
        </is>
      </c>
      <c r="H12639" t="inlineStr">
        <is>
          <t>11kW 1S Federzugkl.</t>
        </is>
      </c>
      <c r="I12639">
        <v>1648</v>
      </c>
      <c r="J12639">
        <f>GS36/895.3</f>
        <v>0</v>
      </c>
      <c r="K12639" t="inlineStr">
        <is>
          <t>DIL MC25</t>
        </is>
      </c>
      <c r="L12639" t="inlineStr">
        <is>
          <t>HVO 35</t>
        </is>
      </c>
      <c r="M12639" t="inlineStr">
        <is>
          <t>HVO 35
-895Q1</t>
        </is>
      </c>
      <c r="N12639" t="inlineStr">
        <is>
          <t>P</t>
        </is>
      </c>
    </row>
    <row r="12640">
      <c r="A12640">
        <v>12639</v>
      </c>
      <c r="B12640">
        <f>GS36</f>
        <v>0</v>
      </c>
      <c r="C12640" t="inlineStr">
        <is>
          <t>+LS10</t>
        </is>
      </c>
      <c r="D12640" t="inlineStr">
        <is>
          <t>-895Q1</t>
        </is>
      </c>
      <c r="E12640" t="inlineStr">
        <is>
          <t>DILA-XHI22</t>
        </is>
      </c>
      <c r="F12640" t="inlineStr">
        <is>
          <t>DILA-XHI22</t>
        </is>
      </c>
      <c r="G12640" t="inlineStr">
        <is>
          <t>HILFSKONTAKTBLOCK</t>
        </is>
      </c>
      <c r="H12640" t="inlineStr">
        <is>
          <t>2S 2OE Last+Hilfssch. Cage</t>
        </is>
      </c>
      <c r="I12640">
        <v>1648</v>
      </c>
      <c r="J12640">
        <f>GS36/895.3</f>
        <v>0</v>
      </c>
      <c r="K12640" t="inlineStr">
        <is>
          <t>DIL MC25</t>
        </is>
      </c>
      <c r="L12640" t="inlineStr">
        <is>
          <t>HVO 35</t>
        </is>
      </c>
      <c r="M12640" t="inlineStr">
        <is>
          <t>HVO 35
-895Q1</t>
        </is>
      </c>
      <c r="N12640" t="inlineStr">
        <is>
          <t>P</t>
        </is>
      </c>
    </row>
    <row r="12641">
      <c r="A12641">
        <v>12640</v>
      </c>
      <c r="B12641">
        <f>GS06</f>
        <v>0</v>
      </c>
      <c r="C12641" t="inlineStr">
        <is>
          <t>+LS14</t>
        </is>
      </c>
      <c r="D12641" t="inlineStr">
        <is>
          <t>-895Q3</t>
        </is>
      </c>
      <c r="E12641" t="inlineStr">
        <is>
          <t>DILA-XHI22</t>
        </is>
      </c>
      <c r="F12641" t="inlineStr">
        <is>
          <t>DILA-XHI22</t>
        </is>
      </c>
      <c r="G12641" t="inlineStr">
        <is>
          <t>HILFSKONTAKTBLOCK</t>
        </is>
      </c>
      <c r="H12641" t="inlineStr">
        <is>
          <t>2S 2OE Last+Hilfssch. Cage</t>
        </is>
      </c>
      <c r="I12641">
        <v>2724</v>
      </c>
      <c r="J12641">
        <f>GS06/895.7</f>
        <v>0</v>
      </c>
      <c r="K12641" t="inlineStr">
        <is>
          <t>DIL MC25</t>
        </is>
      </c>
      <c r="M12641" t="inlineStr">
        <is>
          <t>-895Q3</t>
        </is>
      </c>
    </row>
    <row r="12642">
      <c r="A12642">
        <v>12641</v>
      </c>
      <c r="B12642">
        <f>GS06</f>
        <v>0</v>
      </c>
      <c r="C12642" t="inlineStr">
        <is>
          <t>+LS14</t>
        </is>
      </c>
      <c r="D12642" t="inlineStr">
        <is>
          <t>-895Q3</t>
        </is>
      </c>
      <c r="E12642" t="inlineStr">
        <is>
          <t>DILMC25-10(RDC24)</t>
        </is>
      </c>
      <c r="F12642" t="inlineStr">
        <is>
          <t>DILA-XHI22</t>
        </is>
      </c>
      <c r="G12642" t="inlineStr">
        <is>
          <t>LASTSCHUETZ</t>
        </is>
      </c>
      <c r="H12642" t="inlineStr">
        <is>
          <t>11kW 1S Federzugkl.</t>
        </is>
      </c>
      <c r="I12642">
        <v>2724</v>
      </c>
      <c r="J12642">
        <f>GS06/895.7</f>
        <v>0</v>
      </c>
      <c r="K12642" t="inlineStr">
        <is>
          <t>DIL MC25</t>
        </is>
      </c>
      <c r="M12642" t="inlineStr">
        <is>
          <t>-895Q3</t>
        </is>
      </c>
    </row>
    <row r="12643">
      <c r="A12643">
        <v>12642</v>
      </c>
      <c r="B12643">
        <f>GS93</f>
        <v>0</v>
      </c>
      <c r="C12643" t="inlineStr">
        <is>
          <t>+LS17</t>
        </is>
      </c>
      <c r="D12643" t="inlineStr">
        <is>
          <t>-896Q1078.2</t>
        </is>
      </c>
      <c r="E12643" t="inlineStr">
        <is>
          <t>DILM-9-10</t>
        </is>
      </c>
      <c r="F12643" t="inlineStr">
        <is>
          <t>#KALK!</t>
        </is>
      </c>
      <c r="G12643" t="inlineStr">
        <is>
          <t>LASTSCHUETZ</t>
        </is>
      </c>
      <c r="H12643" t="inlineStr">
        <is>
          <t>4kW 1S Federzugkl.</t>
        </is>
      </c>
      <c r="I12643">
        <v>1421</v>
      </c>
      <c r="J12643">
        <f>GS93/896.5</f>
        <v>0</v>
      </c>
      <c r="M12643" t="inlineStr">
        <is>
          <t>-896Q1078.2</t>
        </is>
      </c>
    </row>
    <row r="12644">
      <c r="A12644">
        <v>12643</v>
      </c>
      <c r="B12644">
        <f>GS34</f>
        <v>0</v>
      </c>
      <c r="C12644" t="inlineStr">
        <is>
          <t>+LS10</t>
        </is>
      </c>
      <c r="D12644" t="inlineStr">
        <is>
          <t>-896Q59.6</t>
        </is>
      </c>
      <c r="E12644" t="inlineStr">
        <is>
          <t>DILA-XHI22</t>
        </is>
      </c>
      <c r="F12644" t="inlineStr">
        <is>
          <t>DILA-XHI22</t>
        </is>
      </c>
      <c r="G12644" t="inlineStr">
        <is>
          <t>HILFSKONTAKTBLOCK</t>
        </is>
      </c>
      <c r="H12644" t="inlineStr">
        <is>
          <t>2S 2OE Last+Hilfssch. Cage</t>
        </is>
      </c>
      <c r="I12644">
        <v>1400</v>
      </c>
      <c r="J12644">
        <f>GS34/896.5</f>
        <v>0</v>
      </c>
      <c r="K12644" t="inlineStr">
        <is>
          <t>DIL MC25</t>
        </is>
      </c>
      <c r="M12644" t="inlineStr">
        <is>
          <t>-896Q59.6</t>
        </is>
      </c>
    </row>
    <row r="12645">
      <c r="A12645">
        <v>12644</v>
      </c>
      <c r="B12645">
        <f>GS34</f>
        <v>0</v>
      </c>
      <c r="C12645" t="inlineStr">
        <is>
          <t>+LS10</t>
        </is>
      </c>
      <c r="D12645" t="inlineStr">
        <is>
          <t>-896Q59.6</t>
        </is>
      </c>
      <c r="E12645" t="inlineStr">
        <is>
          <t>DILMC25-10(RDC24)</t>
        </is>
      </c>
      <c r="F12645" t="inlineStr">
        <is>
          <t>DILA-XHI22</t>
        </is>
      </c>
      <c r="G12645" t="inlineStr">
        <is>
          <t>LASTSCHUETZ</t>
        </is>
      </c>
      <c r="H12645" t="inlineStr">
        <is>
          <t>11kW 1S Federzugkl.</t>
        </is>
      </c>
      <c r="I12645">
        <v>1400</v>
      </c>
      <c r="J12645">
        <f>GS34/896.5</f>
        <v>0</v>
      </c>
      <c r="K12645" t="inlineStr">
        <is>
          <t>DIL MC25</t>
        </is>
      </c>
      <c r="M12645" t="inlineStr">
        <is>
          <t>-896Q59.6</t>
        </is>
      </c>
    </row>
    <row r="12646">
      <c r="A12646">
        <v>12645</v>
      </c>
      <c r="B12646">
        <f>GS93</f>
        <v>0</v>
      </c>
      <c r="C12646" t="inlineStr">
        <is>
          <t>+LS17</t>
        </is>
      </c>
      <c r="D12646" t="inlineStr">
        <is>
          <t>-897Q1078.3</t>
        </is>
      </c>
      <c r="E12646" t="inlineStr">
        <is>
          <t>DILM-9-10</t>
        </is>
      </c>
      <c r="F12646" t="inlineStr">
        <is>
          <t>#KALK!</t>
        </is>
      </c>
      <c r="G12646" t="inlineStr">
        <is>
          <t>LASTSCHUETZ</t>
        </is>
      </c>
      <c r="H12646" t="inlineStr">
        <is>
          <t>4kW 1S Federzugkl.</t>
        </is>
      </c>
      <c r="I12646">
        <v>1422</v>
      </c>
      <c r="J12646">
        <f>GS93/897.5</f>
        <v>0</v>
      </c>
      <c r="M12646" t="inlineStr">
        <is>
          <t>-897Q1078.3</t>
        </is>
      </c>
    </row>
    <row r="12647">
      <c r="A12647">
        <v>12646</v>
      </c>
      <c r="B12647">
        <f>GS34</f>
        <v>0</v>
      </c>
      <c r="C12647" t="inlineStr">
        <is>
          <t>+LS10</t>
        </is>
      </c>
      <c r="D12647" t="inlineStr">
        <is>
          <t>-898K1</t>
        </is>
      </c>
      <c r="E12647" t="inlineStr">
        <is>
          <t>DILM-9-10</t>
        </is>
      </c>
      <c r="F12647" t="inlineStr">
        <is>
          <t>DILA-XHI22</t>
        </is>
      </c>
      <c r="G12647" t="inlineStr">
        <is>
          <t>LASTSCHUETZ</t>
        </is>
      </c>
      <c r="H12647" t="inlineStr">
        <is>
          <t>4kW 1S Federzugkl.</t>
        </is>
      </c>
      <c r="I12647">
        <v>1438</v>
      </c>
      <c r="J12647">
        <f>GS34/898.5</f>
        <v>0</v>
      </c>
      <c r="M12647" t="inlineStr">
        <is>
          <t>-898K1</t>
        </is>
      </c>
    </row>
    <row r="12648">
      <c r="A12648">
        <v>12647</v>
      </c>
      <c r="B12648">
        <f>GS34</f>
        <v>0</v>
      </c>
      <c r="C12648" t="inlineStr">
        <is>
          <t>+LS10</t>
        </is>
      </c>
      <c r="D12648" t="inlineStr">
        <is>
          <t>-898K1</t>
        </is>
      </c>
      <c r="E12648" t="inlineStr">
        <is>
          <t>DILA-XHI22</t>
        </is>
      </c>
      <c r="F12648" t="inlineStr">
        <is>
          <t>DILA-XHI22</t>
        </is>
      </c>
      <c r="G12648" t="inlineStr">
        <is>
          <t>HILFSKONTAKTBLOCK</t>
        </is>
      </c>
      <c r="H12648" t="inlineStr">
        <is>
          <t>2S 2OE Last+Hilfssch. Cage</t>
        </is>
      </c>
      <c r="I12648">
        <v>1438</v>
      </c>
      <c r="J12648">
        <f>GS34/898.5</f>
        <v>0</v>
      </c>
      <c r="M12648" t="inlineStr">
        <is>
          <t>-898K1</t>
        </is>
      </c>
    </row>
    <row r="12649">
      <c r="A12649">
        <v>12648</v>
      </c>
      <c r="B12649">
        <f>GS34</f>
        <v>0</v>
      </c>
      <c r="C12649" t="inlineStr">
        <is>
          <t>+LS10</t>
        </is>
      </c>
      <c r="D12649" t="inlineStr">
        <is>
          <t>-898K2</t>
        </is>
      </c>
      <c r="E12649" t="inlineStr">
        <is>
          <t>DILM-9-10</t>
        </is>
      </c>
      <c r="F12649" t="inlineStr">
        <is>
          <t>DILA-XHI22</t>
        </is>
      </c>
      <c r="G12649" t="inlineStr">
        <is>
          <t>LASTSCHUETZ</t>
        </is>
      </c>
      <c r="H12649" t="inlineStr">
        <is>
          <t>4kW 1S Federzugkl.</t>
        </is>
      </c>
      <c r="I12649">
        <v>1438</v>
      </c>
      <c r="J12649">
        <f>GS34/898.6</f>
        <v>0</v>
      </c>
      <c r="M12649" t="inlineStr">
        <is>
          <t>-898K2</t>
        </is>
      </c>
    </row>
    <row r="12650">
      <c r="A12650">
        <v>12649</v>
      </c>
      <c r="B12650">
        <f>GS34</f>
        <v>0</v>
      </c>
      <c r="C12650" t="inlineStr">
        <is>
          <t>+LS10</t>
        </is>
      </c>
      <c r="D12650" t="inlineStr">
        <is>
          <t>-898K2</t>
        </is>
      </c>
      <c r="E12650" t="inlineStr">
        <is>
          <t>DILA-XHI22</t>
        </is>
      </c>
      <c r="F12650" t="inlineStr">
        <is>
          <t>DILA-XHI22</t>
        </is>
      </c>
      <c r="G12650" t="inlineStr">
        <is>
          <t>HILFSKONTAKTBLOCK</t>
        </is>
      </c>
      <c r="H12650" t="inlineStr">
        <is>
          <t>2S 2OE Last+Hilfssch. Cage</t>
        </is>
      </c>
      <c r="I12650">
        <v>1438</v>
      </c>
      <c r="J12650">
        <f>GS34/898.6</f>
        <v>0</v>
      </c>
      <c r="M12650" t="inlineStr">
        <is>
          <t>-898K2</t>
        </is>
      </c>
    </row>
    <row r="12651">
      <c r="A12651">
        <v>12650</v>
      </c>
      <c r="B12651">
        <f>GS93</f>
        <v>0</v>
      </c>
      <c r="C12651" t="inlineStr">
        <is>
          <t>+LS17</t>
        </is>
      </c>
      <c r="D12651" t="inlineStr">
        <is>
          <t>-898Q1078.4</t>
        </is>
      </c>
      <c r="E12651" t="inlineStr">
        <is>
          <t>DILM-9-10</t>
        </is>
      </c>
      <c r="F12651" t="inlineStr">
        <is>
          <t>#KALK!</t>
        </is>
      </c>
      <c r="G12651" t="inlineStr">
        <is>
          <t>LASTSCHUETZ</t>
        </is>
      </c>
      <c r="H12651" t="inlineStr">
        <is>
          <t>4kW 1S Federzugkl.</t>
        </is>
      </c>
      <c r="I12651">
        <v>1423</v>
      </c>
      <c r="J12651">
        <f>GS93/898.5</f>
        <v>0</v>
      </c>
      <c r="M12651" t="inlineStr">
        <is>
          <t>-898Q1078.4</t>
        </is>
      </c>
    </row>
    <row r="12652">
      <c r="A12652">
        <v>12651</v>
      </c>
      <c r="B12652">
        <f>GS06</f>
        <v>0</v>
      </c>
      <c r="C12652" t="inlineStr">
        <is>
          <t>+LS14</t>
        </is>
      </c>
      <c r="D12652" t="inlineStr">
        <is>
          <t>-898Q721.5</t>
        </is>
      </c>
      <c r="E12652" t="inlineStr">
        <is>
          <t>DILM-9-10</t>
        </is>
      </c>
      <c r="F12652" t="inlineStr">
        <is>
          <t>#KALK!</t>
        </is>
      </c>
      <c r="G12652" t="inlineStr">
        <is>
          <t>LASTSCHUETZ</t>
        </is>
      </c>
      <c r="H12652" t="inlineStr">
        <is>
          <t>4kW 1S Federzugkl.</t>
        </is>
      </c>
      <c r="I12652">
        <v>2721</v>
      </c>
      <c r="J12652">
        <f>GS06/898.6</f>
        <v>0</v>
      </c>
      <c r="K12652" t="inlineStr">
        <is>
          <t>DIL MC9</t>
        </is>
      </c>
      <c r="M12652" t="inlineStr">
        <is>
          <t>-898Q721.5</t>
        </is>
      </c>
    </row>
    <row r="12653">
      <c r="A12653">
        <v>12652</v>
      </c>
      <c r="B12653">
        <f>GS93</f>
        <v>0</v>
      </c>
      <c r="C12653" t="inlineStr">
        <is>
          <t>+LS17</t>
        </is>
      </c>
      <c r="D12653" t="inlineStr">
        <is>
          <t>-899Q1078.5</t>
        </is>
      </c>
      <c r="E12653" t="inlineStr">
        <is>
          <t>DILM-9-10</t>
        </is>
      </c>
      <c r="F12653" t="inlineStr">
        <is>
          <t>#KALK!</t>
        </is>
      </c>
      <c r="G12653" t="inlineStr">
        <is>
          <t>LASTSCHUETZ</t>
        </is>
      </c>
      <c r="H12653" t="inlineStr">
        <is>
          <t>4kW 1S Federzugkl.</t>
        </is>
      </c>
      <c r="I12653">
        <v>1424</v>
      </c>
      <c r="J12653">
        <f>GS93/899.5</f>
        <v>0</v>
      </c>
      <c r="M12653" t="inlineStr">
        <is>
          <t>-899Q1078.5</t>
        </is>
      </c>
    </row>
    <row r="12654">
      <c r="A12654">
        <v>12653</v>
      </c>
      <c r="B12654">
        <f>GS61</f>
        <v>0</v>
      </c>
      <c r="C12654" t="inlineStr">
        <is>
          <t>+ES1</t>
        </is>
      </c>
      <c r="D12654" t="inlineStr">
        <is>
          <t>-89K53.4</t>
        </is>
      </c>
      <c r="E12654" t="inlineStr">
        <is>
          <t>DIL_EM-10-G</t>
        </is>
      </c>
      <c r="F12654" t="inlineStr">
        <is>
          <t>#KALK!</t>
        </is>
      </c>
      <c r="G12654" t="inlineStr">
        <is>
          <t>LASTSCHUETZ</t>
        </is>
      </c>
      <c r="H12654" t="inlineStr">
        <is>
          <t>4kW 1S</t>
        </is>
      </c>
      <c r="I12654">
        <v>237</v>
      </c>
      <c r="J12654">
        <f>GS61/89.6</f>
        <v>0</v>
      </c>
      <c r="M12654" t="inlineStr">
        <is>
          <t>-89K53.4</t>
        </is>
      </c>
    </row>
    <row r="12655">
      <c r="A12655">
        <v>12654</v>
      </c>
      <c r="B12655">
        <f>GS62</f>
        <v>0</v>
      </c>
      <c r="C12655" t="inlineStr">
        <is>
          <t>+ES1</t>
        </is>
      </c>
      <c r="D12655" t="inlineStr">
        <is>
          <t>-89K53.4</t>
        </is>
      </c>
      <c r="E12655" t="inlineStr">
        <is>
          <t>DIL_EM-10-G</t>
        </is>
      </c>
      <c r="F12655" t="inlineStr">
        <is>
          <t>#KALK!</t>
        </is>
      </c>
      <c r="G12655" t="inlineStr">
        <is>
          <t>LASTSCHUETZ</t>
        </is>
      </c>
      <c r="H12655" t="inlineStr">
        <is>
          <t>4kW 1S</t>
        </is>
      </c>
      <c r="I12655">
        <v>286</v>
      </c>
      <c r="J12655">
        <f>GS62/89.6</f>
        <v>0</v>
      </c>
      <c r="M12655" t="inlineStr">
        <is>
          <t>-89K53.4</t>
        </is>
      </c>
    </row>
    <row r="12656">
      <c r="A12656">
        <v>12655</v>
      </c>
      <c r="B12656">
        <f>GS61</f>
        <v>0</v>
      </c>
      <c r="C12656" t="inlineStr">
        <is>
          <t>+ES1</t>
        </is>
      </c>
      <c r="D12656" t="inlineStr">
        <is>
          <t>-89K53.5</t>
        </is>
      </c>
      <c r="E12656" t="inlineStr">
        <is>
          <t>DIL_EM-10-G</t>
        </is>
      </c>
      <c r="F12656" t="inlineStr">
        <is>
          <t>#KALK!</t>
        </is>
      </c>
      <c r="G12656" t="inlineStr">
        <is>
          <t>LASTSCHUETZ</t>
        </is>
      </c>
      <c r="H12656" t="inlineStr">
        <is>
          <t>4kW 1S</t>
        </is>
      </c>
      <c r="I12656">
        <v>237</v>
      </c>
      <c r="J12656">
        <f>GS61/89.7</f>
        <v>0</v>
      </c>
      <c r="M12656" t="inlineStr">
        <is>
          <t>-89K53.5</t>
        </is>
      </c>
    </row>
    <row r="12657">
      <c r="A12657">
        <v>12656</v>
      </c>
      <c r="B12657">
        <f>GS62</f>
        <v>0</v>
      </c>
      <c r="C12657" t="inlineStr">
        <is>
          <t>+ES1</t>
        </is>
      </c>
      <c r="D12657" t="inlineStr">
        <is>
          <t>-89K53.5</t>
        </is>
      </c>
      <c r="E12657" t="inlineStr">
        <is>
          <t>DIL_EM-10-G</t>
        </is>
      </c>
      <c r="F12657" t="inlineStr">
        <is>
          <t>#KALK!</t>
        </is>
      </c>
      <c r="G12657" t="inlineStr">
        <is>
          <t>LASTSCHUETZ</t>
        </is>
      </c>
      <c r="H12657" t="inlineStr">
        <is>
          <t>4kW 1S</t>
        </is>
      </c>
      <c r="I12657">
        <v>286</v>
      </c>
      <c r="J12657">
        <f>GS62/89.7</f>
        <v>0</v>
      </c>
      <c r="M12657" t="inlineStr">
        <is>
          <t>-89K53.5</t>
        </is>
      </c>
    </row>
    <row r="12658">
      <c r="A12658">
        <v>12657</v>
      </c>
      <c r="B12658">
        <f>GS14</f>
        <v>0</v>
      </c>
      <c r="C12658" t="inlineStr">
        <is>
          <t>+LS1</t>
        </is>
      </c>
      <c r="D12658" t="inlineStr">
        <is>
          <t>-89K55.3</t>
        </is>
      </c>
      <c r="E12658" t="inlineStr">
        <is>
          <t>DIL_EM-10-G</t>
        </is>
      </c>
      <c r="F12658" t="inlineStr">
        <is>
          <t>#KALK!</t>
        </is>
      </c>
      <c r="G12658" t="inlineStr">
        <is>
          <t>LASTSCHUETZ</t>
        </is>
      </c>
      <c r="H12658" t="inlineStr">
        <is>
          <t>4kW 1S</t>
        </is>
      </c>
      <c r="I12658">
        <v>215</v>
      </c>
      <c r="J12658">
        <f>GS14/89.7</f>
        <v>0</v>
      </c>
      <c r="M12658" t="inlineStr">
        <is>
          <t>-89K55.3</t>
        </is>
      </c>
    </row>
    <row r="12659">
      <c r="A12659">
        <v>12658</v>
      </c>
      <c r="B12659">
        <f>GS15</f>
        <v>0</v>
      </c>
      <c r="C12659" t="inlineStr">
        <is>
          <t>+LS1</t>
        </is>
      </c>
      <c r="D12659" t="inlineStr">
        <is>
          <t>-89K55.3</t>
        </is>
      </c>
      <c r="E12659" t="inlineStr">
        <is>
          <t>DIL_EM-10-G</t>
        </is>
      </c>
      <c r="F12659" t="inlineStr">
        <is>
          <t>#KALK!</t>
        </is>
      </c>
      <c r="G12659" t="inlineStr">
        <is>
          <t>LASTSCHUETZ</t>
        </is>
      </c>
      <c r="H12659" t="inlineStr">
        <is>
          <t>4kW 1S</t>
        </is>
      </c>
      <c r="I12659">
        <v>576</v>
      </c>
      <c r="J12659">
        <f>GS15/89.7</f>
        <v>0</v>
      </c>
      <c r="M12659" t="inlineStr">
        <is>
          <t>-89K55.3</t>
        </is>
      </c>
    </row>
    <row r="12660">
      <c r="A12660">
        <v>12659</v>
      </c>
      <c r="B12660">
        <f>GS24</f>
        <v>0</v>
      </c>
      <c r="C12660" t="inlineStr">
        <is>
          <t>+LS1</t>
        </is>
      </c>
      <c r="D12660" t="inlineStr">
        <is>
          <t>-89K55.3</t>
        </is>
      </c>
      <c r="E12660" t="inlineStr">
        <is>
          <t>DIL_EM-10-G</t>
        </is>
      </c>
      <c r="F12660" t="inlineStr">
        <is>
          <t>#KALK!</t>
        </is>
      </c>
      <c r="G12660" t="inlineStr">
        <is>
          <t>LASTSCHUETZ</t>
        </is>
      </c>
      <c r="H12660" t="inlineStr">
        <is>
          <t>4kW 1S</t>
        </is>
      </c>
      <c r="I12660">
        <v>990</v>
      </c>
      <c r="J12660">
        <f>GS24/89.7</f>
        <v>0</v>
      </c>
      <c r="M12660" t="inlineStr">
        <is>
          <t>-89K55.3</t>
        </is>
      </c>
    </row>
    <row r="12661">
      <c r="A12661">
        <v>12660</v>
      </c>
      <c r="B12661">
        <f>GS25</f>
        <v>0</v>
      </c>
      <c r="C12661" t="inlineStr">
        <is>
          <t>+LS1</t>
        </is>
      </c>
      <c r="D12661" t="inlineStr">
        <is>
          <t>-89K55.3</t>
        </is>
      </c>
      <c r="E12661" t="inlineStr">
        <is>
          <t>DIL_EM-10-G</t>
        </is>
      </c>
      <c r="F12661" t="inlineStr">
        <is>
          <t>#KALK!</t>
        </is>
      </c>
      <c r="G12661" t="inlineStr">
        <is>
          <t>LASTSCHUETZ</t>
        </is>
      </c>
      <c r="H12661" t="inlineStr">
        <is>
          <t>4kW 1S</t>
        </is>
      </c>
      <c r="I12661">
        <v>210</v>
      </c>
      <c r="J12661">
        <f>GS25/89.7</f>
        <v>0</v>
      </c>
      <c r="M12661" t="inlineStr">
        <is>
          <t>-89K55.3</t>
        </is>
      </c>
    </row>
    <row r="12662">
      <c r="A12662">
        <v>12661</v>
      </c>
      <c r="B12662">
        <f>GS66</f>
        <v>0</v>
      </c>
      <c r="C12662" t="inlineStr">
        <is>
          <t>+LS[ll]</t>
        </is>
      </c>
      <c r="D12662" t="inlineStr">
        <is>
          <t>-8K1</t>
        </is>
      </c>
      <c r="E12662" t="inlineStr">
        <is>
          <t>DILA-XHI22</t>
        </is>
      </c>
      <c r="F12662" t="inlineStr">
        <is>
          <t>DILA-XHI22</t>
        </is>
      </c>
      <c r="G12662" t="inlineStr">
        <is>
          <t>HILFSKONTAKTBLOCK</t>
        </is>
      </c>
      <c r="H12662" t="inlineStr">
        <is>
          <t>2S 2OE Last+Hilfssch. Cage</t>
        </is>
      </c>
      <c r="I12662">
        <v>147</v>
      </c>
      <c r="J12662">
        <f>GS66/8.4</f>
        <v>0</v>
      </c>
      <c r="M12662" t="inlineStr">
        <is>
          <t>-8K1</t>
        </is>
      </c>
    </row>
    <row r="12663">
      <c r="A12663">
        <v>12662</v>
      </c>
      <c r="B12663">
        <f>GS66</f>
        <v>0</v>
      </c>
      <c r="C12663" t="inlineStr">
        <is>
          <t>+LS[ll]</t>
        </is>
      </c>
      <c r="D12663" t="inlineStr">
        <is>
          <t>-8K1</t>
        </is>
      </c>
      <c r="E12663" t="inlineStr">
        <is>
          <t>DILM-9-10</t>
        </is>
      </c>
      <c r="F12663" t="inlineStr">
        <is>
          <t>DILA-XHI22</t>
        </is>
      </c>
      <c r="G12663" t="inlineStr">
        <is>
          <t>LASTSCHUETZ</t>
        </is>
      </c>
      <c r="H12663" t="inlineStr">
        <is>
          <t>4kW 1S Federzugkl.</t>
        </is>
      </c>
      <c r="I12663">
        <v>147</v>
      </c>
      <c r="J12663">
        <f>GS66/8.4</f>
        <v>0</v>
      </c>
      <c r="M12663" t="inlineStr">
        <is>
          <t>-8K1</t>
        </is>
      </c>
    </row>
    <row r="12664">
      <c r="A12664">
        <v>12663</v>
      </c>
      <c r="B12664">
        <f>GS66</f>
        <v>0</v>
      </c>
      <c r="C12664" t="inlineStr">
        <is>
          <t>+LS[ll]</t>
        </is>
      </c>
      <c r="D12664" t="inlineStr">
        <is>
          <t>-8K2</t>
        </is>
      </c>
      <c r="E12664" t="inlineStr">
        <is>
          <t>DILA-XHI22</t>
        </is>
      </c>
      <c r="F12664" t="inlineStr">
        <is>
          <t>DILA-XHI22</t>
        </is>
      </c>
      <c r="G12664" t="inlineStr">
        <is>
          <t>HILFSKONTAKTBLOCK</t>
        </is>
      </c>
      <c r="H12664" t="inlineStr">
        <is>
          <t>2S 2OE Last+Hilfssch. Cage</t>
        </is>
      </c>
      <c r="I12664">
        <v>147</v>
      </c>
      <c r="J12664">
        <f>GS66/8.5</f>
        <v>0</v>
      </c>
      <c r="M12664" t="inlineStr">
        <is>
          <t>-8K2</t>
        </is>
      </c>
    </row>
    <row r="12665">
      <c r="A12665">
        <v>12664</v>
      </c>
      <c r="B12665">
        <f>GS66</f>
        <v>0</v>
      </c>
      <c r="C12665" t="inlineStr">
        <is>
          <t>+LS[ll]</t>
        </is>
      </c>
      <c r="D12665" t="inlineStr">
        <is>
          <t>-8K2</t>
        </is>
      </c>
      <c r="E12665" t="inlineStr">
        <is>
          <t>DILM-9-10</t>
        </is>
      </c>
      <c r="F12665" t="inlineStr">
        <is>
          <t>DILA-XHI22</t>
        </is>
      </c>
      <c r="G12665" t="inlineStr">
        <is>
          <t>LASTSCHUETZ</t>
        </is>
      </c>
      <c r="H12665" t="inlineStr">
        <is>
          <t>4kW 1S Federzugkl.</t>
        </is>
      </c>
      <c r="I12665">
        <v>147</v>
      </c>
      <c r="J12665">
        <f>GS66/8.5</f>
        <v>0</v>
      </c>
      <c r="M12665" t="inlineStr">
        <is>
          <t>-8K2</t>
        </is>
      </c>
    </row>
    <row r="12666">
      <c r="A12666">
        <v>12665</v>
      </c>
      <c r="B12666">
        <f>GS65</f>
        <v>0</v>
      </c>
      <c r="C12666" t="inlineStr">
        <is>
          <t>+LS081</t>
        </is>
      </c>
      <c r="D12666" t="inlineStr">
        <is>
          <t>-8K3</t>
        </is>
      </c>
      <c r="E12666" t="inlineStr">
        <is>
          <t>DILA-22</t>
        </is>
      </c>
      <c r="F12666" t="inlineStr">
        <is>
          <t>#KALK!</t>
        </is>
      </c>
      <c r="G12666" t="inlineStr">
        <is>
          <t>HILFSSCHUETZ</t>
        </is>
      </c>
      <c r="H12666" t="inlineStr">
        <is>
          <t>2S 2Oe Federzugkl.</t>
        </is>
      </c>
      <c r="I12666">
        <v>146</v>
      </c>
      <c r="J12666">
        <f>GS65/8.7</f>
        <v>0</v>
      </c>
      <c r="M12666" t="inlineStr">
        <is>
          <t>-8K3</t>
        </is>
      </c>
    </row>
    <row r="12667">
      <c r="A12667">
        <v>12666</v>
      </c>
      <c r="B12667">
        <f>GS66</f>
        <v>0</v>
      </c>
      <c r="C12667" t="inlineStr">
        <is>
          <t>+LS[ll]</t>
        </is>
      </c>
      <c r="D12667" t="inlineStr">
        <is>
          <t>-8K3</t>
        </is>
      </c>
      <c r="E12667" t="inlineStr">
        <is>
          <t>DILA-40</t>
        </is>
      </c>
      <c r="F12667" t="inlineStr">
        <is>
          <t>#KALK!</t>
        </is>
      </c>
      <c r="G12667" t="inlineStr">
        <is>
          <t>HILFSSCHUETZ</t>
        </is>
      </c>
      <c r="H12667" t="inlineStr">
        <is>
          <t>4S Federzugkl.</t>
        </is>
      </c>
      <c r="I12667">
        <v>147</v>
      </c>
      <c r="J12667">
        <f>GS66/8.7</f>
        <v>0</v>
      </c>
      <c r="M12667" t="inlineStr">
        <is>
          <t>-8K3</t>
        </is>
      </c>
    </row>
    <row r="12668">
      <c r="A12668">
        <v>12667</v>
      </c>
      <c r="B12668">
        <f>GS80</f>
        <v>0</v>
      </c>
      <c r="C12668" t="inlineStr">
        <is>
          <t>+LS05</t>
        </is>
      </c>
      <c r="D12668" t="inlineStr">
        <is>
          <t>-8K3</t>
        </is>
      </c>
      <c r="E12668" t="inlineStr">
        <is>
          <t>DILA-22</t>
        </is>
      </c>
      <c r="F12668" t="inlineStr">
        <is>
          <t>#KALK!</t>
        </is>
      </c>
      <c r="G12668" t="inlineStr">
        <is>
          <t>HILFSSCHUETZ</t>
        </is>
      </c>
      <c r="H12668" t="inlineStr">
        <is>
          <t>2S 2Oe Federzugkl.</t>
        </is>
      </c>
      <c r="I12668">
        <v>146</v>
      </c>
      <c r="J12668">
        <f>GS80/8.7</f>
        <v>0</v>
      </c>
      <c r="M12668" t="inlineStr">
        <is>
          <t>-8K3</t>
        </is>
      </c>
    </row>
    <row r="12669">
      <c r="A12669">
        <v>12668</v>
      </c>
      <c r="B12669">
        <f>GS80</f>
        <v>0</v>
      </c>
      <c r="C12669" t="inlineStr">
        <is>
          <t>+LS04</t>
        </is>
      </c>
      <c r="D12669" t="inlineStr">
        <is>
          <t>-8K3</t>
        </is>
      </c>
      <c r="E12669" t="inlineStr">
        <is>
          <t>DILA-22</t>
        </is>
      </c>
      <c r="F12669" t="inlineStr">
        <is>
          <t>#KALK!</t>
        </is>
      </c>
      <c r="G12669" t="inlineStr">
        <is>
          <t>HILFSSCHUETZ</t>
        </is>
      </c>
      <c r="H12669" t="inlineStr">
        <is>
          <t>2S 2Oe Federzugkl.</t>
        </is>
      </c>
      <c r="I12669">
        <v>143</v>
      </c>
      <c r="J12669">
        <f>GS80/8.7</f>
        <v>0</v>
      </c>
      <c r="M12669" t="inlineStr">
        <is>
          <t>-8K3</t>
        </is>
      </c>
    </row>
    <row r="12670">
      <c r="A12670">
        <v>12669</v>
      </c>
      <c r="B12670">
        <f>GS65</f>
        <v>0</v>
      </c>
      <c r="C12670" t="inlineStr">
        <is>
          <t>+LS081</t>
        </is>
      </c>
      <c r="D12670" t="inlineStr">
        <is>
          <t>-8K4</t>
        </is>
      </c>
      <c r="E12670" t="inlineStr">
        <is>
          <t>DILA-40</t>
        </is>
      </c>
      <c r="F12670" t="inlineStr">
        <is>
          <t>#KALK!</t>
        </is>
      </c>
      <c r="G12670" t="inlineStr">
        <is>
          <t>HILFSSCHUETZ</t>
        </is>
      </c>
      <c r="H12670" t="inlineStr">
        <is>
          <t>4S Federzugkl.</t>
        </is>
      </c>
      <c r="I12670">
        <v>146</v>
      </c>
      <c r="J12670">
        <f>GS65/8.8</f>
        <v>0</v>
      </c>
      <c r="M12670" t="inlineStr">
        <is>
          <t>-8K4</t>
        </is>
      </c>
    </row>
    <row r="12671">
      <c r="A12671">
        <v>12670</v>
      </c>
      <c r="B12671">
        <f>GS80</f>
        <v>0</v>
      </c>
      <c r="C12671" t="inlineStr">
        <is>
          <t>+LS04</t>
        </is>
      </c>
      <c r="D12671" t="inlineStr">
        <is>
          <t>-8K4</t>
        </is>
      </c>
      <c r="E12671" t="inlineStr">
        <is>
          <t>DILA-40</t>
        </is>
      </c>
      <c r="F12671" t="inlineStr">
        <is>
          <t>#KALK!</t>
        </is>
      </c>
      <c r="G12671" t="inlineStr">
        <is>
          <t>HILFSSCHUETZ</t>
        </is>
      </c>
      <c r="H12671" t="inlineStr">
        <is>
          <t>4S Federzugkl.</t>
        </is>
      </c>
      <c r="I12671">
        <v>143</v>
      </c>
      <c r="J12671">
        <f>GS80/8.8</f>
        <v>0</v>
      </c>
      <c r="M12671" t="inlineStr">
        <is>
          <t>-8K4</t>
        </is>
      </c>
    </row>
    <row r="12672">
      <c r="A12672">
        <v>12671</v>
      </c>
      <c r="B12672">
        <f>GS80</f>
        <v>0</v>
      </c>
      <c r="C12672" t="inlineStr">
        <is>
          <t>+LS05</t>
        </is>
      </c>
      <c r="D12672" t="inlineStr">
        <is>
          <t>-8K4</t>
        </is>
      </c>
      <c r="E12672" t="inlineStr">
        <is>
          <t>DILA-40</t>
        </is>
      </c>
      <c r="F12672" t="inlineStr">
        <is>
          <t>#KALK!</t>
        </is>
      </c>
      <c r="G12672" t="inlineStr">
        <is>
          <t>HILFSSCHUETZ</t>
        </is>
      </c>
      <c r="H12672" t="inlineStr">
        <is>
          <t>4S Federzugkl.</t>
        </is>
      </c>
      <c r="I12672">
        <v>146</v>
      </c>
      <c r="J12672">
        <f>GS80/8.8</f>
        <v>0</v>
      </c>
      <c r="M12672" t="inlineStr">
        <is>
          <t>-8K4</t>
        </is>
      </c>
    </row>
    <row r="12673">
      <c r="A12673">
        <v>12672</v>
      </c>
      <c r="B12673">
        <f>GS66</f>
        <v>0</v>
      </c>
      <c r="C12673" t="inlineStr">
        <is>
          <t>+LS[ll]</t>
        </is>
      </c>
      <c r="D12673" t="inlineStr">
        <is>
          <t>-8Q1</t>
        </is>
      </c>
      <c r="E12673" t="inlineStr">
        <is>
          <t>DILMC65(RDC24)</t>
        </is>
      </c>
      <c r="F12673" t="inlineStr">
        <is>
          <t>DILM150-XHIC22</t>
        </is>
      </c>
      <c r="G12673" t="inlineStr">
        <is>
          <t>LASTSCHUETZ</t>
        </is>
      </c>
      <c r="H12673" t="inlineStr">
        <is>
          <t>30kW Federzugkl.</t>
        </is>
      </c>
      <c r="I12673">
        <v>147</v>
      </c>
      <c r="J12673">
        <f>GS66/8.6</f>
        <v>0</v>
      </c>
      <c r="K12673" t="inlineStr">
        <is>
          <t>DILMC65</t>
        </is>
      </c>
      <c r="M12673" t="inlineStr">
        <is>
          <t>-8Q1</t>
        </is>
      </c>
    </row>
    <row r="12674">
      <c r="A12674">
        <v>12673</v>
      </c>
      <c r="B12674">
        <f>GS66</f>
        <v>0</v>
      </c>
      <c r="C12674" t="inlineStr">
        <is>
          <t>+LS[ll]</t>
        </is>
      </c>
      <c r="D12674" t="inlineStr">
        <is>
          <t>-8Q1</t>
        </is>
      </c>
      <c r="E12674" t="inlineStr">
        <is>
          <t>DILM150-XHIC22</t>
        </is>
      </c>
      <c r="F12674" t="inlineStr">
        <is>
          <t>DILM150-XHIC22</t>
        </is>
      </c>
      <c r="G12674" t="inlineStr">
        <is>
          <t>HILFSKONTAKTBLOCK</t>
        </is>
      </c>
      <c r="H12674" t="inlineStr">
        <is>
          <t>2S 2OE ab DILMC40</t>
        </is>
      </c>
      <c r="I12674">
        <v>147</v>
      </c>
      <c r="J12674">
        <f>GS66/8.6</f>
        <v>0</v>
      </c>
      <c r="K12674" t="inlineStr">
        <is>
          <t>DILMC65</t>
        </is>
      </c>
      <c r="M12674" t="inlineStr">
        <is>
          <t>-8Q1</t>
        </is>
      </c>
    </row>
    <row r="12675">
      <c r="A12675">
        <v>12674</v>
      </c>
      <c r="B12675">
        <f>GS80</f>
        <v>0</v>
      </c>
      <c r="C12675" t="inlineStr">
        <is>
          <t>+LS01</t>
        </is>
      </c>
      <c r="D12675" t="inlineStr">
        <is>
          <t>-8Q1</t>
        </is>
      </c>
      <c r="E12675" t="inlineStr">
        <is>
          <t>DILM150-XHIC22</t>
        </is>
      </c>
      <c r="F12675" t="inlineStr">
        <is>
          <t>DILM150-XHIC22</t>
        </is>
      </c>
      <c r="G12675" t="inlineStr">
        <is>
          <t>HILFSKONTAKTBLOCK</t>
        </is>
      </c>
      <c r="H12675" t="inlineStr">
        <is>
          <t>2S 2OE ab DILMC40</t>
        </is>
      </c>
      <c r="I12675">
        <v>255</v>
      </c>
      <c r="J12675">
        <f>GS80/8.2</f>
        <v>0</v>
      </c>
      <c r="K12675" t="inlineStr">
        <is>
          <t>DILMC65</t>
        </is>
      </c>
      <c r="M12675" t="inlineStr">
        <is>
          <t>-8Q1</t>
        </is>
      </c>
    </row>
    <row r="12676">
      <c r="A12676">
        <v>12675</v>
      </c>
      <c r="B12676">
        <f>GS80</f>
        <v>0</v>
      </c>
      <c r="C12676" t="inlineStr">
        <is>
          <t>+LS01</t>
        </is>
      </c>
      <c r="D12676" t="inlineStr">
        <is>
          <t>-8Q1</t>
        </is>
      </c>
      <c r="E12676" t="inlineStr">
        <is>
          <t>DILMC65(RDC24)</t>
        </is>
      </c>
      <c r="F12676" t="inlineStr">
        <is>
          <t>DILM150-XHIC22</t>
        </is>
      </c>
      <c r="G12676" t="inlineStr">
        <is>
          <t>LASTSCHUETZ</t>
        </is>
      </c>
      <c r="H12676" t="inlineStr">
        <is>
          <t>30kW Federzugkl.</t>
        </is>
      </c>
      <c r="I12676">
        <v>255</v>
      </c>
      <c r="J12676">
        <f>GS80/8.2</f>
        <v>0</v>
      </c>
      <c r="K12676" t="inlineStr">
        <is>
          <t>DILMC65</t>
        </is>
      </c>
      <c r="M12676" t="inlineStr">
        <is>
          <t>-8Q1</t>
        </is>
      </c>
    </row>
    <row r="12677">
      <c r="A12677">
        <v>12676</v>
      </c>
      <c r="B12677">
        <f>GS80</f>
        <v>0</v>
      </c>
      <c r="C12677" t="inlineStr">
        <is>
          <t>+LS02</t>
        </is>
      </c>
      <c r="D12677" t="inlineStr">
        <is>
          <t>-8Q1</t>
        </is>
      </c>
      <c r="E12677" t="inlineStr">
        <is>
          <t>DILMC65(RDC24)</t>
        </is>
      </c>
      <c r="F12677" t="inlineStr">
        <is>
          <t>DILM150-XHIC22</t>
        </is>
      </c>
      <c r="G12677" t="inlineStr">
        <is>
          <t>LASTSCHUETZ</t>
        </is>
      </c>
      <c r="H12677" t="inlineStr">
        <is>
          <t>30kW Federzugkl.</t>
        </is>
      </c>
      <c r="I12677">
        <v>146</v>
      </c>
      <c r="J12677">
        <f>GS80/8.2</f>
        <v>0</v>
      </c>
      <c r="K12677" t="inlineStr">
        <is>
          <t>DILMC65</t>
        </is>
      </c>
      <c r="M12677" t="inlineStr">
        <is>
          <t>-8Q1</t>
        </is>
      </c>
    </row>
    <row r="12678">
      <c r="A12678">
        <v>12677</v>
      </c>
      <c r="B12678">
        <f>GS80</f>
        <v>0</v>
      </c>
      <c r="C12678" t="inlineStr">
        <is>
          <t>+LS03</t>
        </is>
      </c>
      <c r="D12678" t="inlineStr">
        <is>
          <t>-8Q1</t>
        </is>
      </c>
      <c r="E12678" t="inlineStr">
        <is>
          <t>DILMC65(RDC24)</t>
        </is>
      </c>
      <c r="F12678" t="inlineStr">
        <is>
          <t>DILM150-XHIC22</t>
        </is>
      </c>
      <c r="G12678" t="inlineStr">
        <is>
          <t>LASTSCHUETZ</t>
        </is>
      </c>
      <c r="H12678" t="inlineStr">
        <is>
          <t>30kW Federzugkl.</t>
        </is>
      </c>
      <c r="I12678">
        <v>146</v>
      </c>
      <c r="J12678">
        <f>GS80/8.2</f>
        <v>0</v>
      </c>
      <c r="K12678" t="inlineStr">
        <is>
          <t>DILMC65</t>
        </is>
      </c>
      <c r="M12678" t="inlineStr">
        <is>
          <t>-8Q1</t>
        </is>
      </c>
    </row>
    <row r="12679">
      <c r="A12679">
        <v>12678</v>
      </c>
      <c r="B12679">
        <f>GS80</f>
        <v>0</v>
      </c>
      <c r="C12679" t="inlineStr">
        <is>
          <t>+LS03</t>
        </is>
      </c>
      <c r="D12679" t="inlineStr">
        <is>
          <t>-8Q1</t>
        </is>
      </c>
      <c r="E12679" t="inlineStr">
        <is>
          <t>DILM150-XHIC22</t>
        </is>
      </c>
      <c r="F12679" t="inlineStr">
        <is>
          <t>DILM150-XHIC22</t>
        </is>
      </c>
      <c r="G12679" t="inlineStr">
        <is>
          <t>HILFSKONTAKTBLOCK</t>
        </is>
      </c>
      <c r="H12679" t="inlineStr">
        <is>
          <t>2S 2OE ab DILMC40</t>
        </is>
      </c>
      <c r="I12679">
        <v>146</v>
      </c>
      <c r="J12679">
        <f>GS80/8.2</f>
        <v>0</v>
      </c>
      <c r="K12679" t="inlineStr">
        <is>
          <t>DILMC65</t>
        </is>
      </c>
      <c r="M12679" t="inlineStr">
        <is>
          <t>-8Q1</t>
        </is>
      </c>
    </row>
    <row r="12680">
      <c r="A12680">
        <v>12679</v>
      </c>
      <c r="B12680">
        <f>GS80</f>
        <v>0</v>
      </c>
      <c r="C12680" t="inlineStr">
        <is>
          <t>+LS02</t>
        </is>
      </c>
      <c r="D12680" t="inlineStr">
        <is>
          <t>-8Q1</t>
        </is>
      </c>
      <c r="E12680" t="inlineStr">
        <is>
          <t>DILM150-XHIC22</t>
        </is>
      </c>
      <c r="F12680" t="inlineStr">
        <is>
          <t>DILM150-XHIC22</t>
        </is>
      </c>
      <c r="G12680" t="inlineStr">
        <is>
          <t>HILFSKONTAKTBLOCK</t>
        </is>
      </c>
      <c r="H12680" t="inlineStr">
        <is>
          <t>2S 2OE ab DILMC40</t>
        </is>
      </c>
      <c r="I12680">
        <v>146</v>
      </c>
      <c r="J12680">
        <f>GS80/8.2</f>
        <v>0</v>
      </c>
      <c r="K12680" t="inlineStr">
        <is>
          <t>DILMC65</t>
        </is>
      </c>
      <c r="M12680" t="inlineStr">
        <is>
          <t>-8Q1</t>
        </is>
      </c>
    </row>
    <row r="12681">
      <c r="A12681">
        <v>12680</v>
      </c>
      <c r="B12681">
        <f>GS8x</f>
        <v>0</v>
      </c>
      <c r="C12681" t="inlineStr">
        <is>
          <t>+LS</t>
        </is>
      </c>
      <c r="D12681" t="inlineStr">
        <is>
          <t>-8Q1</t>
        </is>
      </c>
      <c r="E12681" t="inlineStr">
        <is>
          <t>DILMC65(RDC24)</t>
        </is>
      </c>
      <c r="F12681" t="inlineStr">
        <is>
          <t>DILM150-XHIC22</t>
        </is>
      </c>
      <c r="G12681" t="inlineStr">
        <is>
          <t>LASTSCHUETZ</t>
        </is>
      </c>
      <c r="H12681" t="inlineStr">
        <is>
          <t>30kW Federzugkl.</t>
        </is>
      </c>
      <c r="I12681">
        <v>179</v>
      </c>
      <c r="J12681">
        <f>GS8x/8.2</f>
        <v>0</v>
      </c>
      <c r="K12681" t="inlineStr">
        <is>
          <t>DILMC65</t>
        </is>
      </c>
      <c r="M12681" t="inlineStr">
        <is>
          <t>-8Q1</t>
        </is>
      </c>
    </row>
    <row r="12682">
      <c r="A12682">
        <v>12681</v>
      </c>
      <c r="B12682">
        <f>GS8x</f>
        <v>0</v>
      </c>
      <c r="C12682" t="inlineStr">
        <is>
          <t>+LS</t>
        </is>
      </c>
      <c r="D12682" t="inlineStr">
        <is>
          <t>-8Q1</t>
        </is>
      </c>
      <c r="E12682" t="inlineStr">
        <is>
          <t>DILM150-XHIC22</t>
        </is>
      </c>
      <c r="F12682" t="inlineStr">
        <is>
          <t>DILM150-XHIC22</t>
        </is>
      </c>
      <c r="G12682" t="inlineStr">
        <is>
          <t>HILFSKONTAKTBLOCK</t>
        </is>
      </c>
      <c r="H12682" t="inlineStr">
        <is>
          <t>2S 2OE ab DILMC40</t>
        </is>
      </c>
      <c r="I12682">
        <v>179</v>
      </c>
      <c r="J12682">
        <f>GS8x/8.2</f>
        <v>0</v>
      </c>
      <c r="K12682" t="inlineStr">
        <is>
          <t>DILMC65</t>
        </is>
      </c>
      <c r="M12682" t="inlineStr">
        <is>
          <t>-8Q1</t>
        </is>
      </c>
    </row>
    <row r="12683">
      <c r="A12683">
        <v>12682</v>
      </c>
      <c r="B12683">
        <f>GS8x</f>
        <v>0</v>
      </c>
      <c r="C12683" t="inlineStr">
        <is>
          <t>+LS</t>
        </is>
      </c>
      <c r="D12683" t="inlineStr">
        <is>
          <t>-8Q2</t>
        </is>
      </c>
      <c r="E12683" t="inlineStr">
        <is>
          <t>DILM-9-10</t>
        </is>
      </c>
      <c r="F12683" t="inlineStr">
        <is>
          <t>#KALK!</t>
        </is>
      </c>
      <c r="G12683" t="inlineStr">
        <is>
          <t>LASTSCHUETZ</t>
        </is>
      </c>
      <c r="H12683" t="inlineStr">
        <is>
          <t>4kW 1S Federzugkl.</t>
        </is>
      </c>
      <c r="I12683">
        <v>179</v>
      </c>
      <c r="J12683">
        <f>GS8x/8.4</f>
        <v>0</v>
      </c>
      <c r="K12683" t="inlineStr">
        <is>
          <t>DILMC9</t>
        </is>
      </c>
      <c r="M12683" t="inlineStr">
        <is>
          <t>-8Q2</t>
        </is>
      </c>
    </row>
    <row r="12684">
      <c r="A12684">
        <v>12683</v>
      </c>
      <c r="B12684">
        <f>GS93</f>
        <v>0</v>
      </c>
      <c r="C12684" t="inlineStr">
        <is>
          <t>+LS17</t>
        </is>
      </c>
      <c r="D12684" t="inlineStr">
        <is>
          <t>-900Q1078.6</t>
        </is>
      </c>
      <c r="E12684" t="inlineStr">
        <is>
          <t>DILM-9-10</t>
        </is>
      </c>
      <c r="F12684" t="inlineStr">
        <is>
          <t>#KALK!</t>
        </is>
      </c>
      <c r="G12684" t="inlineStr">
        <is>
          <t>LASTSCHUETZ</t>
        </is>
      </c>
      <c r="H12684" t="inlineStr">
        <is>
          <t>4kW 1S Federzugkl.</t>
        </is>
      </c>
      <c r="I12684">
        <v>1425</v>
      </c>
      <c r="J12684">
        <f>GS93/900.5</f>
        <v>0</v>
      </c>
      <c r="M12684" t="inlineStr">
        <is>
          <t>-900Q1078.6</t>
        </is>
      </c>
    </row>
    <row r="12685">
      <c r="A12685">
        <v>12684</v>
      </c>
      <c r="B12685">
        <f>GS06</f>
        <v>0</v>
      </c>
      <c r="C12685" t="inlineStr">
        <is>
          <t>+LS14</t>
        </is>
      </c>
      <c r="D12685" t="inlineStr">
        <is>
          <t>-900Q721.6</t>
        </is>
      </c>
      <c r="E12685" t="inlineStr">
        <is>
          <t>DILA-XHI22</t>
        </is>
      </c>
      <c r="F12685" t="inlineStr">
        <is>
          <t>DILA-XHI22</t>
        </is>
      </c>
      <c r="G12685" t="inlineStr">
        <is>
          <t>HILFSKONTAKTBLOCK</t>
        </is>
      </c>
      <c r="H12685" t="inlineStr">
        <is>
          <t>2S 2OE Last+Hilfssch. Cage</t>
        </is>
      </c>
      <c r="I12685">
        <v>2719</v>
      </c>
      <c r="J12685">
        <f>GS06/900.6</f>
        <v>0</v>
      </c>
      <c r="M12685" t="inlineStr">
        <is>
          <t>-900Q721.6</t>
        </is>
      </c>
    </row>
    <row r="12686">
      <c r="A12686">
        <v>12685</v>
      </c>
      <c r="B12686">
        <f>GS06</f>
        <v>0</v>
      </c>
      <c r="C12686" t="inlineStr">
        <is>
          <t>+LS14</t>
        </is>
      </c>
      <c r="D12686" t="inlineStr">
        <is>
          <t>-900Q721.6</t>
        </is>
      </c>
      <c r="E12686" t="inlineStr">
        <is>
          <t>DILM-9-01</t>
        </is>
      </c>
      <c r="F12686" t="inlineStr">
        <is>
          <t>DILA-XHI22</t>
        </is>
      </c>
      <c r="G12686" t="inlineStr">
        <is>
          <t>LASTSCHUETZ</t>
        </is>
      </c>
      <c r="H12686" t="inlineStr">
        <is>
          <t>4kW 1Oe Federzugkl.</t>
        </is>
      </c>
      <c r="I12686">
        <v>2719</v>
      </c>
      <c r="J12686">
        <f>GS06/900.6</f>
        <v>0</v>
      </c>
      <c r="M12686" t="inlineStr">
        <is>
          <t>-900Q721.6</t>
        </is>
      </c>
    </row>
    <row r="12687">
      <c r="A12687">
        <v>12686</v>
      </c>
      <c r="B12687">
        <f>GS06</f>
        <v>0</v>
      </c>
      <c r="C12687" t="inlineStr">
        <is>
          <t>+LS14</t>
        </is>
      </c>
      <c r="D12687" t="inlineStr">
        <is>
          <t>-900Q721.7</t>
        </is>
      </c>
      <c r="E12687" t="inlineStr">
        <is>
          <t>DILA-XHI22</t>
        </is>
      </c>
      <c r="F12687" t="inlineStr">
        <is>
          <t>DILA-XHI22</t>
        </is>
      </c>
      <c r="G12687" t="inlineStr">
        <is>
          <t>HILFSKONTAKTBLOCK</t>
        </is>
      </c>
      <c r="H12687" t="inlineStr">
        <is>
          <t>2S 2OE Last+Hilfssch. Cage</t>
        </is>
      </c>
      <c r="I12687">
        <v>2719</v>
      </c>
      <c r="J12687">
        <f>GS06/900.7</f>
        <v>0</v>
      </c>
      <c r="M12687" t="inlineStr">
        <is>
          <t>-900Q721.7</t>
        </is>
      </c>
    </row>
    <row r="12688">
      <c r="A12688">
        <v>12687</v>
      </c>
      <c r="B12688">
        <f>GS06</f>
        <v>0</v>
      </c>
      <c r="C12688" t="inlineStr">
        <is>
          <t>+LS14</t>
        </is>
      </c>
      <c r="D12688" t="inlineStr">
        <is>
          <t>-900Q721.7</t>
        </is>
      </c>
      <c r="E12688" t="inlineStr">
        <is>
          <t>DILM-9-01</t>
        </is>
      </c>
      <c r="F12688" t="inlineStr">
        <is>
          <t>DILA-XHI22</t>
        </is>
      </c>
      <c r="G12688" t="inlineStr">
        <is>
          <t>LASTSCHUETZ</t>
        </is>
      </c>
      <c r="H12688" t="inlineStr">
        <is>
          <t>4kW 1Oe Federzugkl.</t>
        </is>
      </c>
      <c r="I12688">
        <v>2719</v>
      </c>
      <c r="J12688">
        <f>GS06/900.7</f>
        <v>0</v>
      </c>
      <c r="M12688" t="inlineStr">
        <is>
          <t>-900Q721.7</t>
        </is>
      </c>
    </row>
    <row r="12689">
      <c r="A12689">
        <v>12688</v>
      </c>
      <c r="B12689">
        <f>GS06</f>
        <v>0</v>
      </c>
      <c r="C12689" t="inlineStr">
        <is>
          <t>+LS14</t>
        </is>
      </c>
      <c r="D12689" t="inlineStr">
        <is>
          <t>-901Q722.0</t>
        </is>
      </c>
      <c r="E12689" t="inlineStr">
        <is>
          <t>DILM-9-01</t>
        </is>
      </c>
      <c r="F12689" t="inlineStr">
        <is>
          <t>DILA-XHI22</t>
        </is>
      </c>
      <c r="G12689" t="inlineStr">
        <is>
          <t>LASTSCHUETZ</t>
        </is>
      </c>
      <c r="H12689" t="inlineStr">
        <is>
          <t>4kW 1Oe Federzugkl.</t>
        </is>
      </c>
      <c r="I12689">
        <v>2717</v>
      </c>
      <c r="J12689">
        <f>GS06/901.6</f>
        <v>0</v>
      </c>
      <c r="M12689" t="inlineStr">
        <is>
          <t>-901Q722.0</t>
        </is>
      </c>
    </row>
    <row r="12690">
      <c r="A12690">
        <v>12689</v>
      </c>
      <c r="B12690">
        <f>GS06</f>
        <v>0</v>
      </c>
      <c r="C12690" t="inlineStr">
        <is>
          <t>+LS14</t>
        </is>
      </c>
      <c r="D12690" t="inlineStr">
        <is>
          <t>-901Q722.0</t>
        </is>
      </c>
      <c r="E12690" t="inlineStr">
        <is>
          <t>DILA-XHI22</t>
        </is>
      </c>
      <c r="F12690" t="inlineStr">
        <is>
          <t>DILA-XHI22</t>
        </is>
      </c>
      <c r="G12690" t="inlineStr">
        <is>
          <t>HILFSKONTAKTBLOCK</t>
        </is>
      </c>
      <c r="H12690" t="inlineStr">
        <is>
          <t>2S 2OE Last+Hilfssch. Cage</t>
        </is>
      </c>
      <c r="I12690">
        <v>2717</v>
      </c>
      <c r="J12690">
        <f>GS06/901.6</f>
        <v>0</v>
      </c>
      <c r="M12690" t="inlineStr">
        <is>
          <t>-901Q722.0</t>
        </is>
      </c>
    </row>
    <row r="12691">
      <c r="A12691">
        <v>12690</v>
      </c>
      <c r="B12691">
        <f>GS06</f>
        <v>0</v>
      </c>
      <c r="C12691" t="inlineStr">
        <is>
          <t>+LS14</t>
        </is>
      </c>
      <c r="D12691" t="inlineStr">
        <is>
          <t>-901Q722.1</t>
        </is>
      </c>
      <c r="E12691" t="inlineStr">
        <is>
          <t>DILM-9-01</t>
        </is>
      </c>
      <c r="F12691" t="inlineStr">
        <is>
          <t>DILA-XHI22</t>
        </is>
      </c>
      <c r="G12691" t="inlineStr">
        <is>
          <t>LASTSCHUETZ</t>
        </is>
      </c>
      <c r="H12691" t="inlineStr">
        <is>
          <t>4kW 1Oe Federzugkl.</t>
        </is>
      </c>
      <c r="I12691">
        <v>2717</v>
      </c>
      <c r="J12691">
        <f>GS06/901.7</f>
        <v>0</v>
      </c>
      <c r="M12691" t="inlineStr">
        <is>
          <t>-901Q722.1</t>
        </is>
      </c>
    </row>
    <row r="12692">
      <c r="A12692">
        <v>12691</v>
      </c>
      <c r="B12692">
        <f>GS06</f>
        <v>0</v>
      </c>
      <c r="C12692" t="inlineStr">
        <is>
          <t>+LS14</t>
        </is>
      </c>
      <c r="D12692" t="inlineStr">
        <is>
          <t>-901Q722.1</t>
        </is>
      </c>
      <c r="E12692" t="inlineStr">
        <is>
          <t>DILA-XHI22</t>
        </is>
      </c>
      <c r="F12692" t="inlineStr">
        <is>
          <t>DILA-XHI22</t>
        </is>
      </c>
      <c r="G12692" t="inlineStr">
        <is>
          <t>HILFSKONTAKTBLOCK</t>
        </is>
      </c>
      <c r="H12692" t="inlineStr">
        <is>
          <t>2S 2OE Last+Hilfssch. Cage</t>
        </is>
      </c>
      <c r="I12692">
        <v>2717</v>
      </c>
      <c r="J12692">
        <f>GS06/901.7</f>
        <v>0</v>
      </c>
      <c r="M12692" t="inlineStr">
        <is>
          <t>-901Q722.1</t>
        </is>
      </c>
    </row>
    <row r="12693">
      <c r="A12693">
        <v>12692</v>
      </c>
      <c r="B12693">
        <f>GS93</f>
        <v>0</v>
      </c>
      <c r="C12693" t="inlineStr">
        <is>
          <t>+LS17</t>
        </is>
      </c>
      <c r="D12693" t="inlineStr">
        <is>
          <t>-902K1079.0</t>
        </is>
      </c>
      <c r="E12693" t="inlineStr">
        <is>
          <t>DILA-22</t>
        </is>
      </c>
      <c r="F12693" t="inlineStr">
        <is>
          <t>#KALK!</t>
        </is>
      </c>
      <c r="G12693" t="inlineStr">
        <is>
          <t>HILFSSCHUETZ</t>
        </is>
      </c>
      <c r="H12693" t="inlineStr">
        <is>
          <t>2S 2Oe Federzugkl.</t>
        </is>
      </c>
      <c r="I12693">
        <v>1427</v>
      </c>
      <c r="J12693">
        <f>GS93/902.6</f>
        <v>0</v>
      </c>
      <c r="M12693" t="inlineStr">
        <is>
          <t>-902K1079.0</t>
        </is>
      </c>
    </row>
    <row r="12694">
      <c r="A12694">
        <v>12693</v>
      </c>
      <c r="B12694">
        <f>GS93</f>
        <v>0</v>
      </c>
      <c r="C12694" t="inlineStr">
        <is>
          <t>+LS17</t>
        </is>
      </c>
      <c r="D12694" t="inlineStr">
        <is>
          <t>-902Q1</t>
        </is>
      </c>
      <c r="E12694" t="inlineStr">
        <is>
          <t>DILMC25-10(RDC24)</t>
        </is>
      </c>
      <c r="F12694" t="inlineStr">
        <is>
          <t>DILA-XHIC31</t>
        </is>
      </c>
      <c r="G12694" t="inlineStr">
        <is>
          <t>LASTSCHUETZ</t>
        </is>
      </c>
      <c r="H12694" t="inlineStr">
        <is>
          <t>11kW 1S Federzugkl.</t>
        </is>
      </c>
      <c r="I12694">
        <v>1427</v>
      </c>
      <c r="J12694">
        <f>GS93/902.2</f>
        <v>0</v>
      </c>
      <c r="M12694" t="inlineStr">
        <is>
          <t>-902Q1</t>
        </is>
      </c>
    </row>
    <row r="12695">
      <c r="A12695">
        <v>12694</v>
      </c>
      <c r="B12695">
        <f>GS93</f>
        <v>0</v>
      </c>
      <c r="C12695" t="inlineStr">
        <is>
          <t>+LS17</t>
        </is>
      </c>
      <c r="D12695" t="inlineStr">
        <is>
          <t>-902Q1</t>
        </is>
      </c>
      <c r="E12695" t="inlineStr">
        <is>
          <t>DILA-XHIC31</t>
        </is>
      </c>
      <c r="F12695" t="inlineStr">
        <is>
          <t>DILA-XHIC31</t>
        </is>
      </c>
      <c r="G12695" t="inlineStr">
        <is>
          <t>HILFSKONTAKTBLOCK</t>
        </is>
      </c>
      <c r="H12695" t="inlineStr">
        <is>
          <t>3S 1OE Last+Hilfssch. Cage</t>
        </is>
      </c>
      <c r="I12695">
        <v>1427</v>
      </c>
      <c r="J12695">
        <f>GS93/902.2</f>
        <v>0</v>
      </c>
      <c r="M12695" t="inlineStr">
        <is>
          <t>-902Q1</t>
        </is>
      </c>
    </row>
    <row r="12696">
      <c r="A12696">
        <v>12695</v>
      </c>
      <c r="B12696">
        <f>GS05</f>
        <v>0</v>
      </c>
      <c r="C12696" t="inlineStr">
        <is>
          <t>+LS14</t>
        </is>
      </c>
      <c r="D12696" t="inlineStr">
        <is>
          <t>-903K1</t>
        </is>
      </c>
      <c r="E12696" t="inlineStr">
        <is>
          <t>DILM-9-01</t>
        </is>
      </c>
      <c r="F12696" t="inlineStr">
        <is>
          <t>#KALK!</t>
        </is>
      </c>
      <c r="G12696" t="inlineStr">
        <is>
          <t>LASTSCHUETZ</t>
        </is>
      </c>
      <c r="H12696" t="inlineStr">
        <is>
          <t>4kW 1Oe Federzugkl.</t>
        </is>
      </c>
      <c r="I12696">
        <v>1325</v>
      </c>
      <c r="J12696">
        <f>GS05/903.6</f>
        <v>0</v>
      </c>
      <c r="M12696" t="inlineStr">
        <is>
          <t>-903K1</t>
        </is>
      </c>
    </row>
    <row r="12697">
      <c r="A12697">
        <v>12696</v>
      </c>
      <c r="B12697">
        <f>GS05</f>
        <v>0</v>
      </c>
      <c r="C12697" t="inlineStr">
        <is>
          <t>+LS14</t>
        </is>
      </c>
      <c r="D12697" t="inlineStr">
        <is>
          <t>-903K2</t>
        </is>
      </c>
      <c r="E12697" t="inlineStr">
        <is>
          <t>DILM-9-01</t>
        </is>
      </c>
      <c r="F12697" t="inlineStr">
        <is>
          <t>#KALK!</t>
        </is>
      </c>
      <c r="G12697" t="inlineStr">
        <is>
          <t>LASTSCHUETZ</t>
        </is>
      </c>
      <c r="H12697" t="inlineStr">
        <is>
          <t>4kW 1Oe Federzugkl.</t>
        </is>
      </c>
      <c r="I12697">
        <v>1325</v>
      </c>
      <c r="J12697">
        <f>GS05/903.7</f>
        <v>0</v>
      </c>
      <c r="M12697" t="inlineStr">
        <is>
          <t>-903K2</t>
        </is>
      </c>
    </row>
    <row r="12698">
      <c r="A12698">
        <v>12697</v>
      </c>
      <c r="B12698">
        <f>GS05</f>
        <v>0</v>
      </c>
      <c r="C12698" t="inlineStr">
        <is>
          <t>+LS14</t>
        </is>
      </c>
      <c r="D12698" t="inlineStr">
        <is>
          <t>-904K1</t>
        </is>
      </c>
      <c r="E12698" t="inlineStr">
        <is>
          <t>DILM-9-01</t>
        </is>
      </c>
      <c r="F12698" t="inlineStr">
        <is>
          <t>#KALK!</t>
        </is>
      </c>
      <c r="G12698" t="inlineStr">
        <is>
          <t>LASTSCHUETZ</t>
        </is>
      </c>
      <c r="H12698" t="inlineStr">
        <is>
          <t>4kW 1Oe Federzugkl.</t>
        </is>
      </c>
      <c r="I12698">
        <v>1327</v>
      </c>
      <c r="J12698">
        <f>GS05/904.6</f>
        <v>0</v>
      </c>
      <c r="M12698" t="inlineStr">
        <is>
          <t>-904K1</t>
        </is>
      </c>
    </row>
    <row r="12699">
      <c r="A12699">
        <v>12698</v>
      </c>
      <c r="B12699">
        <f>GS05</f>
        <v>0</v>
      </c>
      <c r="C12699" t="inlineStr">
        <is>
          <t>+LS14</t>
        </is>
      </c>
      <c r="D12699" t="inlineStr">
        <is>
          <t>-904K2</t>
        </is>
      </c>
      <c r="E12699" t="inlineStr">
        <is>
          <t>DILM-9-01</t>
        </is>
      </c>
      <c r="F12699" t="inlineStr">
        <is>
          <t>#KALK!</t>
        </is>
      </c>
      <c r="G12699" t="inlineStr">
        <is>
          <t>LASTSCHUETZ</t>
        </is>
      </c>
      <c r="H12699" t="inlineStr">
        <is>
          <t>4kW 1Oe Federzugkl.</t>
        </is>
      </c>
      <c r="I12699">
        <v>1327</v>
      </c>
      <c r="J12699">
        <f>GS05/904.7</f>
        <v>0</v>
      </c>
      <c r="M12699" t="inlineStr">
        <is>
          <t>-904K2</t>
        </is>
      </c>
    </row>
    <row r="12700">
      <c r="A12700">
        <v>12699</v>
      </c>
      <c r="B12700">
        <f>GS05</f>
        <v>0</v>
      </c>
      <c r="C12700" t="inlineStr">
        <is>
          <t>+LS14</t>
        </is>
      </c>
      <c r="D12700" t="inlineStr">
        <is>
          <t>-905K708.7</t>
        </is>
      </c>
      <c r="E12700" t="inlineStr">
        <is>
          <t>DILA-XHI22</t>
        </is>
      </c>
      <c r="F12700" t="inlineStr">
        <is>
          <t>DILA-XHI22</t>
        </is>
      </c>
      <c r="G12700" t="inlineStr">
        <is>
          <t>HILFSKONTAKTBLOCK</t>
        </is>
      </c>
      <c r="H12700" t="inlineStr">
        <is>
          <t>2S 2OE Last+Hilfssch. Cage</t>
        </is>
      </c>
      <c r="I12700">
        <v>1326</v>
      </c>
      <c r="J12700">
        <f>GS05/905.7</f>
        <v>0</v>
      </c>
      <c r="M12700" t="inlineStr">
        <is>
          <t>-905K708.7</t>
        </is>
      </c>
    </row>
    <row r="12701">
      <c r="A12701">
        <v>12700</v>
      </c>
      <c r="B12701">
        <f>GS05</f>
        <v>0</v>
      </c>
      <c r="C12701" t="inlineStr">
        <is>
          <t>+LS14</t>
        </is>
      </c>
      <c r="D12701" t="inlineStr">
        <is>
          <t>-905K708.7</t>
        </is>
      </c>
      <c r="E12701" t="inlineStr">
        <is>
          <t>DIL_ER-40-G</t>
        </is>
      </c>
      <c r="F12701" t="inlineStr">
        <is>
          <t>DILA-XHI22</t>
        </is>
      </c>
      <c r="G12701" t="inlineStr">
        <is>
          <t>HILFSSCHUETZ</t>
        </is>
      </c>
      <c r="H12701" t="inlineStr">
        <is>
          <t>4S</t>
        </is>
      </c>
      <c r="I12701">
        <v>1326</v>
      </c>
      <c r="J12701">
        <f>GS05/905.7</f>
        <v>0</v>
      </c>
      <c r="M12701" t="inlineStr">
        <is>
          <t>-905K708.7</t>
        </is>
      </c>
    </row>
    <row r="12702">
      <c r="A12702">
        <v>12701</v>
      </c>
      <c r="B12702">
        <f>GS51</f>
        <v>0</v>
      </c>
      <c r="C12702" t="inlineStr">
        <is>
          <t>+LS14</t>
        </is>
      </c>
      <c r="D12702" t="inlineStr">
        <is>
          <t>-905Q1</t>
        </is>
      </c>
      <c r="E12702" t="inlineStr">
        <is>
          <t>DILA-XHI22</t>
        </is>
      </c>
      <c r="F12702" t="inlineStr">
        <is>
          <t>DILA-XHI22</t>
        </is>
      </c>
      <c r="G12702" t="inlineStr">
        <is>
          <t>HILFSKONTAKTBLOCK</t>
        </is>
      </c>
      <c r="H12702" t="inlineStr">
        <is>
          <t>2S 2OE Last+Hilfssch. Cage</t>
        </is>
      </c>
      <c r="I12702">
        <v>1055</v>
      </c>
      <c r="J12702">
        <f>GS51/905.6</f>
        <v>0</v>
      </c>
      <c r="K12702" t="inlineStr">
        <is>
          <t>DIL MC25</t>
        </is>
      </c>
      <c r="M12702" t="inlineStr">
        <is>
          <t>-905Q1</t>
        </is>
      </c>
    </row>
    <row r="12703">
      <c r="A12703">
        <v>12702</v>
      </c>
      <c r="B12703">
        <f>GS51</f>
        <v>0</v>
      </c>
      <c r="C12703" t="inlineStr">
        <is>
          <t>+LS14</t>
        </is>
      </c>
      <c r="D12703" t="inlineStr">
        <is>
          <t>-905Q1</t>
        </is>
      </c>
      <c r="E12703" t="inlineStr">
        <is>
          <t>DILMC25-10(RDC24)</t>
        </is>
      </c>
      <c r="F12703" t="inlineStr">
        <is>
          <t>DILA-XHI22</t>
        </is>
      </c>
      <c r="G12703" t="inlineStr">
        <is>
          <t>LASTSCHUETZ</t>
        </is>
      </c>
      <c r="H12703" t="inlineStr">
        <is>
          <t>11kW 1S Federzugkl.</t>
        </is>
      </c>
      <c r="I12703">
        <v>1055</v>
      </c>
      <c r="J12703">
        <f>GS51/905.6</f>
        <v>0</v>
      </c>
      <c r="K12703" t="inlineStr">
        <is>
          <t>DIL MC25</t>
        </is>
      </c>
      <c r="M12703" t="inlineStr">
        <is>
          <t>-905Q1</t>
        </is>
      </c>
    </row>
    <row r="12704">
      <c r="A12704">
        <v>12703</v>
      </c>
      <c r="B12704">
        <f>GS36</f>
        <v>0</v>
      </c>
      <c r="C12704" t="inlineStr">
        <is>
          <t>+LS12</t>
        </is>
      </c>
      <c r="D12704" t="inlineStr">
        <is>
          <t>-989Q724.1</t>
        </is>
      </c>
      <c r="E12704" t="inlineStr">
        <is>
          <t>DILM-9-10</t>
        </is>
      </c>
      <c r="F12704" t="inlineStr">
        <is>
          <t>DILA-XHI22</t>
        </is>
      </c>
      <c r="G12704" t="inlineStr">
        <is>
          <t>LASTSCHUETZ</t>
        </is>
      </c>
      <c r="H12704" t="inlineStr">
        <is>
          <t>4kW 1S Federzugkl.</t>
        </is>
      </c>
      <c r="I12704">
        <v>1546</v>
      </c>
      <c r="J12704">
        <f>GS36/989.6</f>
        <v>0</v>
      </c>
      <c r="L12704" t="inlineStr">
        <is>
          <t>RF_3804</t>
        </is>
      </c>
      <c r="M12704" t="inlineStr">
        <is>
          <t>RF_3804
-989Q724.1</t>
        </is>
      </c>
      <c r="N12704" t="inlineStr">
        <is>
          <t>P</t>
        </is>
      </c>
    </row>
    <row r="12705">
      <c r="A12705">
        <v>12704</v>
      </c>
      <c r="B12705">
        <f>GS36</f>
        <v>0</v>
      </c>
      <c r="C12705" t="inlineStr">
        <is>
          <t>+LS10</t>
        </is>
      </c>
      <c r="D12705" t="inlineStr">
        <is>
          <t>-905Q707.1</t>
        </is>
      </c>
      <c r="E12705" t="inlineStr">
        <is>
          <t>DILA-XHI22</t>
        </is>
      </c>
      <c r="F12705" t="inlineStr">
        <is>
          <t>DILA-XHI22</t>
        </is>
      </c>
      <c r="G12705" t="inlineStr">
        <is>
          <t>HILFSKONTAKTBLOCK</t>
        </is>
      </c>
      <c r="H12705" t="inlineStr">
        <is>
          <t>2S 2OE Last+Hilfssch. Cage</t>
        </is>
      </c>
      <c r="I12705">
        <v>1638</v>
      </c>
      <c r="J12705">
        <f>GS36/905.5</f>
        <v>0</v>
      </c>
      <c r="K12705" t="inlineStr">
        <is>
          <t>DIL MC12</t>
        </is>
      </c>
      <c r="L12705" t="inlineStr">
        <is>
          <t>HT_3506</t>
        </is>
      </c>
      <c r="M12705" t="inlineStr">
        <is>
          <t>HT_3506
-905Q707.1</t>
        </is>
      </c>
      <c r="N12705" t="inlineStr">
        <is>
          <t>P</t>
        </is>
      </c>
    </row>
    <row r="12706">
      <c r="A12706">
        <v>12705</v>
      </c>
      <c r="B12706">
        <f>GS31</f>
        <v>0</v>
      </c>
      <c r="C12706" t="inlineStr">
        <is>
          <t>+LS1</t>
        </is>
      </c>
      <c r="D12706" t="inlineStr">
        <is>
          <t>-90K1</t>
        </is>
      </c>
      <c r="E12706" t="inlineStr">
        <is>
          <t>DIL_0AM</t>
        </is>
      </c>
      <c r="F12706" t="inlineStr">
        <is>
          <t>22_DIL-M</t>
        </is>
      </c>
      <c r="G12706" t="inlineStr">
        <is>
          <t>LASTSCHUETZ</t>
        </is>
      </c>
      <c r="H12706" t="inlineStr">
        <is>
          <t>11 kW</t>
        </is>
      </c>
      <c r="I12706">
        <v>373</v>
      </c>
      <c r="J12706">
        <f>GS31/90.2</f>
        <v>0</v>
      </c>
      <c r="K12706" t="inlineStr">
        <is>
          <t>DIL0AM</t>
        </is>
      </c>
      <c r="M12706" t="inlineStr">
        <is>
          <t>-90K1</t>
        </is>
      </c>
    </row>
    <row r="12707">
      <c r="A12707">
        <v>12706</v>
      </c>
      <c r="B12707">
        <f>GS31</f>
        <v>0</v>
      </c>
      <c r="C12707" t="inlineStr">
        <is>
          <t>+LS1</t>
        </is>
      </c>
      <c r="D12707" t="inlineStr">
        <is>
          <t>-90K1</t>
        </is>
      </c>
      <c r="E12707" t="inlineStr">
        <is>
          <t>22_DIL-M</t>
        </is>
      </c>
      <c r="F12707" t="inlineStr">
        <is>
          <t>22_DIL-M</t>
        </is>
      </c>
      <c r="G12707" t="inlineStr">
        <is>
          <t>HILFSKONTAKTBLOCK</t>
        </is>
      </c>
      <c r="H12707" t="inlineStr">
        <is>
          <t>2S 2OE Lastschuetz DIL M</t>
        </is>
      </c>
      <c r="I12707">
        <v>373</v>
      </c>
      <c r="J12707">
        <f>GS31/90.2</f>
        <v>0</v>
      </c>
      <c r="K12707" t="inlineStr">
        <is>
          <t>DIL0AM</t>
        </is>
      </c>
      <c r="M12707" t="inlineStr">
        <is>
          <t>-90K1</t>
        </is>
      </c>
    </row>
    <row r="12708">
      <c r="A12708">
        <v>12707</v>
      </c>
      <c r="B12708">
        <f>GS32</f>
        <v>0</v>
      </c>
      <c r="C12708" t="inlineStr">
        <is>
          <t>+LS1</t>
        </is>
      </c>
      <c r="D12708" t="inlineStr">
        <is>
          <t>-90K1</t>
        </is>
      </c>
      <c r="E12708" t="inlineStr">
        <is>
          <t>22_DIL-M</t>
        </is>
      </c>
      <c r="F12708" t="inlineStr">
        <is>
          <t>22_DIL-M</t>
        </is>
      </c>
      <c r="G12708" t="inlineStr">
        <is>
          <t>HILFSKONTAKTBLOCK</t>
        </is>
      </c>
      <c r="H12708" t="inlineStr">
        <is>
          <t>2S 2OE Lastschuetz DIL M</t>
        </is>
      </c>
      <c r="I12708">
        <v>890</v>
      </c>
      <c r="J12708">
        <f>GS32/90.2</f>
        <v>0</v>
      </c>
      <c r="K12708" t="inlineStr">
        <is>
          <t>DIL0AM</t>
        </is>
      </c>
      <c r="M12708" t="inlineStr">
        <is>
          <t>-90K1</t>
        </is>
      </c>
    </row>
    <row r="12709">
      <c r="A12709">
        <v>12708</v>
      </c>
      <c r="B12709">
        <f>GS32</f>
        <v>0</v>
      </c>
      <c r="C12709" t="inlineStr">
        <is>
          <t>+LS1</t>
        </is>
      </c>
      <c r="D12709" t="inlineStr">
        <is>
          <t>-90K1</t>
        </is>
      </c>
      <c r="E12709" t="inlineStr">
        <is>
          <t>DIL_0AM</t>
        </is>
      </c>
      <c r="F12709" t="inlineStr">
        <is>
          <t>22_DIL-M</t>
        </is>
      </c>
      <c r="G12709" t="inlineStr">
        <is>
          <t>LASTSCHUETZ</t>
        </is>
      </c>
      <c r="H12709" t="inlineStr">
        <is>
          <t>11 kW</t>
        </is>
      </c>
      <c r="I12709">
        <v>890</v>
      </c>
      <c r="J12709">
        <f>GS32/90.2</f>
        <v>0</v>
      </c>
      <c r="K12709" t="inlineStr">
        <is>
          <t>DIL0AM</t>
        </is>
      </c>
      <c r="M12709" t="inlineStr">
        <is>
          <t>-90K1</t>
        </is>
      </c>
    </row>
    <row r="12710">
      <c r="A12710">
        <v>12709</v>
      </c>
      <c r="B12710">
        <f>GS61</f>
        <v>0</v>
      </c>
      <c r="C12710" t="inlineStr">
        <is>
          <t>+ES1</t>
        </is>
      </c>
      <c r="D12710" t="inlineStr">
        <is>
          <t>-90K53.6</t>
        </is>
      </c>
      <c r="E12710" t="inlineStr">
        <is>
          <t>DIL_EM-10-G</t>
        </is>
      </c>
      <c r="F12710" t="inlineStr">
        <is>
          <t>#KALK!</t>
        </is>
      </c>
      <c r="G12710" t="inlineStr">
        <is>
          <t>LASTSCHUETZ</t>
        </is>
      </c>
      <c r="H12710" t="inlineStr">
        <is>
          <t>4kW 1S</t>
        </is>
      </c>
      <c r="I12710">
        <v>236</v>
      </c>
      <c r="J12710">
        <f>GS61/90.6</f>
        <v>0</v>
      </c>
      <c r="M12710" t="inlineStr">
        <is>
          <t>-90K53.6</t>
        </is>
      </c>
    </row>
    <row r="12711">
      <c r="A12711">
        <v>12710</v>
      </c>
      <c r="B12711">
        <f>GS62</f>
        <v>0</v>
      </c>
      <c r="C12711" t="inlineStr">
        <is>
          <t>+ES1</t>
        </is>
      </c>
      <c r="D12711" t="inlineStr">
        <is>
          <t>-90K53.6</t>
        </is>
      </c>
      <c r="E12711" t="inlineStr">
        <is>
          <t>DIL_EM-10-G</t>
        </is>
      </c>
      <c r="F12711" t="inlineStr">
        <is>
          <t>#KALK!</t>
        </is>
      </c>
      <c r="G12711" t="inlineStr">
        <is>
          <t>LASTSCHUETZ</t>
        </is>
      </c>
      <c r="H12711" t="inlineStr">
        <is>
          <t>4kW 1S</t>
        </is>
      </c>
      <c r="I12711">
        <v>287</v>
      </c>
      <c r="J12711">
        <f>GS62/90.6</f>
        <v>0</v>
      </c>
      <c r="M12711" t="inlineStr">
        <is>
          <t>-90K53.6</t>
        </is>
      </c>
    </row>
    <row r="12712">
      <c r="A12712">
        <v>12711</v>
      </c>
      <c r="B12712">
        <f>GS61</f>
        <v>0</v>
      </c>
      <c r="C12712" t="inlineStr">
        <is>
          <t>+ES1</t>
        </is>
      </c>
      <c r="D12712" t="inlineStr">
        <is>
          <t>-90K53.7</t>
        </is>
      </c>
      <c r="E12712" t="inlineStr">
        <is>
          <t>DIL_EM-10-G</t>
        </is>
      </c>
      <c r="F12712" t="inlineStr">
        <is>
          <t>#KALK!</t>
        </is>
      </c>
      <c r="G12712" t="inlineStr">
        <is>
          <t>LASTSCHUETZ</t>
        </is>
      </c>
      <c r="H12712" t="inlineStr">
        <is>
          <t>4kW 1S</t>
        </is>
      </c>
      <c r="I12712">
        <v>236</v>
      </c>
      <c r="J12712">
        <f>GS61/90.7</f>
        <v>0</v>
      </c>
      <c r="M12712" t="inlineStr">
        <is>
          <t>-90K53.7</t>
        </is>
      </c>
    </row>
    <row r="12713">
      <c r="A12713">
        <v>12712</v>
      </c>
      <c r="B12713">
        <f>GS62</f>
        <v>0</v>
      </c>
      <c r="C12713" t="inlineStr">
        <is>
          <t>+ES1</t>
        </is>
      </c>
      <c r="D12713" t="inlineStr">
        <is>
          <t>-90K53.7</t>
        </is>
      </c>
      <c r="E12713" t="inlineStr">
        <is>
          <t>DIL_EM-10-G</t>
        </is>
      </c>
      <c r="F12713" t="inlineStr">
        <is>
          <t>#KALK!</t>
        </is>
      </c>
      <c r="G12713" t="inlineStr">
        <is>
          <t>LASTSCHUETZ</t>
        </is>
      </c>
      <c r="H12713" t="inlineStr">
        <is>
          <t>4kW 1S</t>
        </is>
      </c>
      <c r="I12713">
        <v>287</v>
      </c>
      <c r="J12713">
        <f>GS62/90.7</f>
        <v>0</v>
      </c>
      <c r="M12713" t="inlineStr">
        <is>
          <t>-90K53.7</t>
        </is>
      </c>
    </row>
    <row r="12714">
      <c r="A12714">
        <v>12713</v>
      </c>
      <c r="B12714">
        <f>GS14</f>
        <v>0</v>
      </c>
      <c r="C12714" t="inlineStr">
        <is>
          <t>+LS1</t>
        </is>
      </c>
      <c r="D12714" t="inlineStr">
        <is>
          <t>-90K55.4</t>
        </is>
      </c>
      <c r="E12714" t="inlineStr">
        <is>
          <t>DIL_EM-10-G</t>
        </is>
      </c>
      <c r="F12714" t="inlineStr">
        <is>
          <t>#KALK!</t>
        </is>
      </c>
      <c r="G12714" t="inlineStr">
        <is>
          <t>LASTSCHUETZ</t>
        </is>
      </c>
      <c r="H12714" t="inlineStr">
        <is>
          <t>4kW 1S</t>
        </is>
      </c>
      <c r="I12714">
        <v>216</v>
      </c>
      <c r="J12714">
        <f>GS14/90.6</f>
        <v>0</v>
      </c>
      <c r="M12714" t="inlineStr">
        <is>
          <t>-90K55.4</t>
        </is>
      </c>
    </row>
    <row r="12715">
      <c r="A12715">
        <v>12714</v>
      </c>
      <c r="B12715">
        <f>GS15</f>
        <v>0</v>
      </c>
      <c r="C12715" t="inlineStr">
        <is>
          <t>+LS1</t>
        </is>
      </c>
      <c r="D12715" t="inlineStr">
        <is>
          <t>-90K55.4</t>
        </is>
      </c>
      <c r="E12715" t="inlineStr">
        <is>
          <t>DIL_EM-10-G</t>
        </is>
      </c>
      <c r="F12715" t="inlineStr">
        <is>
          <t>#KALK!</t>
        </is>
      </c>
      <c r="G12715" t="inlineStr">
        <is>
          <t>LASTSCHUETZ</t>
        </is>
      </c>
      <c r="H12715" t="inlineStr">
        <is>
          <t>4kW 1S</t>
        </is>
      </c>
      <c r="I12715">
        <v>577</v>
      </c>
      <c r="J12715">
        <f>GS15/90.6</f>
        <v>0</v>
      </c>
      <c r="M12715" t="inlineStr">
        <is>
          <t>-90K55.4</t>
        </is>
      </c>
    </row>
    <row r="12716">
      <c r="A12716">
        <v>12715</v>
      </c>
      <c r="B12716">
        <f>GS24</f>
        <v>0</v>
      </c>
      <c r="C12716" t="inlineStr">
        <is>
          <t>+LS1</t>
        </is>
      </c>
      <c r="D12716" t="inlineStr">
        <is>
          <t>-90K55.4</t>
        </is>
      </c>
      <c r="E12716" t="inlineStr">
        <is>
          <t>DIL_EM-10-G</t>
        </is>
      </c>
      <c r="F12716" t="inlineStr">
        <is>
          <t>#KALK!</t>
        </is>
      </c>
      <c r="G12716" t="inlineStr">
        <is>
          <t>LASTSCHUETZ</t>
        </is>
      </c>
      <c r="H12716" t="inlineStr">
        <is>
          <t>4kW 1S</t>
        </is>
      </c>
      <c r="I12716">
        <v>989</v>
      </c>
      <c r="J12716">
        <f>GS24/90.6</f>
        <v>0</v>
      </c>
      <c r="M12716" t="inlineStr">
        <is>
          <t>-90K55.4</t>
        </is>
      </c>
    </row>
    <row r="12717">
      <c r="A12717">
        <v>12716</v>
      </c>
      <c r="B12717">
        <f>GS01</f>
        <v>0</v>
      </c>
      <c r="C12717" t="inlineStr">
        <is>
          <t>+LS1</t>
        </is>
      </c>
      <c r="D12717" t="inlineStr">
        <is>
          <t>-90K84.0</t>
        </is>
      </c>
      <c r="E12717" t="inlineStr">
        <is>
          <t>DIL_ER-22-G</t>
        </is>
      </c>
      <c r="F12717" t="inlineStr">
        <is>
          <t>#KALK!</t>
        </is>
      </c>
      <c r="G12717" t="inlineStr">
        <is>
          <t>HILFSSCHUETZ</t>
        </is>
      </c>
      <c r="H12717" t="inlineStr">
        <is>
          <t>2S 2OE</t>
        </is>
      </c>
      <c r="I12717">
        <v>252</v>
      </c>
      <c r="J12717">
        <f>GS01/90.5</f>
        <v>0</v>
      </c>
      <c r="M12717" t="inlineStr">
        <is>
          <t>-90K84.0</t>
        </is>
      </c>
    </row>
    <row r="12718">
      <c r="A12718">
        <v>12717</v>
      </c>
      <c r="B12718">
        <f>GS01</f>
        <v>0</v>
      </c>
      <c r="C12718" t="inlineStr">
        <is>
          <t>+LS1</t>
        </is>
      </c>
      <c r="D12718" t="inlineStr">
        <is>
          <t>-90K84.1</t>
        </is>
      </c>
      <c r="E12718" t="inlineStr">
        <is>
          <t>DIL_ER-22-G</t>
        </is>
      </c>
      <c r="F12718" t="inlineStr">
        <is>
          <t>#KALK!</t>
        </is>
      </c>
      <c r="G12718" t="inlineStr">
        <is>
          <t>HILFSSCHUETZ</t>
        </is>
      </c>
      <c r="H12718" t="inlineStr">
        <is>
          <t>2S 2OE</t>
        </is>
      </c>
      <c r="I12718">
        <v>252</v>
      </c>
      <c r="J12718">
        <f>GS01/90.6</f>
        <v>0</v>
      </c>
      <c r="M12718" t="inlineStr">
        <is>
          <t>-90K84.1</t>
        </is>
      </c>
    </row>
    <row r="12719">
      <c r="A12719">
        <v>12718</v>
      </c>
      <c r="B12719">
        <f>GS01</f>
        <v>0</v>
      </c>
      <c r="C12719" t="inlineStr">
        <is>
          <t>+LS1</t>
        </is>
      </c>
      <c r="D12719" t="inlineStr">
        <is>
          <t>-90K84.2</t>
        </is>
      </c>
      <c r="E12719" t="inlineStr">
        <is>
          <t>DIL_ER-22-G</t>
        </is>
      </c>
      <c r="F12719" t="inlineStr">
        <is>
          <t>#KALK!</t>
        </is>
      </c>
      <c r="G12719" t="inlineStr">
        <is>
          <t>HILFSSCHUETZ</t>
        </is>
      </c>
      <c r="H12719" t="inlineStr">
        <is>
          <t>2S 2OE</t>
        </is>
      </c>
      <c r="I12719">
        <v>252</v>
      </c>
      <c r="J12719">
        <f>GS01/90.7</f>
        <v>0</v>
      </c>
      <c r="M12719" t="inlineStr">
        <is>
          <t>-90K84.2</t>
        </is>
      </c>
    </row>
    <row r="12720">
      <c r="A12720">
        <v>12719</v>
      </c>
      <c r="B12720">
        <f>GS01</f>
        <v>0</v>
      </c>
      <c r="C12720" t="inlineStr">
        <is>
          <t>+LS1</t>
        </is>
      </c>
      <c r="D12720" t="inlineStr">
        <is>
          <t>-90K84.4</t>
        </is>
      </c>
      <c r="E12720" t="inlineStr">
        <is>
          <t>DIL_EM-10-G</t>
        </is>
      </c>
      <c r="F12720" t="inlineStr">
        <is>
          <t>#KALK!</t>
        </is>
      </c>
      <c r="G12720" t="inlineStr">
        <is>
          <t>LASTSCHUETZ</t>
        </is>
      </c>
      <c r="H12720" t="inlineStr">
        <is>
          <t>4kW 1S</t>
        </is>
      </c>
      <c r="I12720">
        <v>252</v>
      </c>
      <c r="J12720">
        <f>GS01/90.7</f>
        <v>0</v>
      </c>
      <c r="M12720" t="inlineStr">
        <is>
          <t>-90K84.4</t>
        </is>
      </c>
    </row>
    <row r="12721">
      <c r="A12721">
        <v>12720</v>
      </c>
      <c r="B12721">
        <f>GS31</f>
        <v>0</v>
      </c>
      <c r="C12721" t="inlineStr">
        <is>
          <t>+QVW2201</t>
        </is>
      </c>
      <c r="D12721" t="inlineStr">
        <is>
          <t>-911K1</t>
        </is>
      </c>
      <c r="E12721" t="inlineStr">
        <is>
          <t>22_DIL-M</t>
        </is>
      </c>
      <c r="F12721" t="inlineStr">
        <is>
          <t>22_DIL-M</t>
        </is>
      </c>
      <c r="G12721" t="inlineStr">
        <is>
          <t>HILFSKONTAKTBLOCK</t>
        </is>
      </c>
      <c r="H12721" t="inlineStr">
        <is>
          <t>2S 2OE Lastschuetz DIL M</t>
        </is>
      </c>
      <c r="I12721">
        <v>1218</v>
      </c>
      <c r="J12721">
        <f>GS31/911.2</f>
        <v>0</v>
      </c>
      <c r="M12721" t="inlineStr">
        <is>
          <t>-911K1</t>
        </is>
      </c>
    </row>
    <row r="12722">
      <c r="A12722">
        <v>12721</v>
      </c>
      <c r="B12722">
        <f>GS31</f>
        <v>0</v>
      </c>
      <c r="C12722" t="inlineStr">
        <is>
          <t>+QVW2201</t>
        </is>
      </c>
      <c r="D12722" t="inlineStr">
        <is>
          <t>-911K1</t>
        </is>
      </c>
      <c r="E12722" t="inlineStr">
        <is>
          <t>DIL_1AM-G</t>
        </is>
      </c>
      <c r="F12722" t="inlineStr">
        <is>
          <t>22_DIL-M</t>
        </is>
      </c>
      <c r="G12722" t="inlineStr">
        <is>
          <t>LASTSCHUETZ</t>
        </is>
      </c>
      <c r="H12722" t="inlineStr">
        <is>
          <t>18,5kW</t>
        </is>
      </c>
      <c r="I12722">
        <v>1218</v>
      </c>
      <c r="J12722">
        <f>GS31/911.2</f>
        <v>0</v>
      </c>
      <c r="M12722" t="inlineStr">
        <is>
          <t>-911K1</t>
        </is>
      </c>
    </row>
    <row r="12723">
      <c r="A12723">
        <v>12722</v>
      </c>
      <c r="B12723">
        <f>GS31</f>
        <v>0</v>
      </c>
      <c r="C12723" t="inlineStr">
        <is>
          <t>+QVW2201</t>
        </is>
      </c>
      <c r="D12723" t="inlineStr">
        <is>
          <t>-913K3900.2</t>
        </is>
      </c>
      <c r="E12723" t="inlineStr">
        <is>
          <t>DIL_ER-22-G</t>
        </is>
      </c>
      <c r="F12723" t="inlineStr">
        <is>
          <t>#KALK!</t>
        </is>
      </c>
      <c r="G12723" t="inlineStr">
        <is>
          <t>HILFSSCHUETZ</t>
        </is>
      </c>
      <c r="H12723" t="inlineStr">
        <is>
          <t>2S 2OE</t>
        </is>
      </c>
      <c r="I12723">
        <v>1220</v>
      </c>
      <c r="J12723">
        <f>GS31/913.2</f>
        <v>0</v>
      </c>
      <c r="M12723" t="inlineStr">
        <is>
          <t>-913K3900.2</t>
        </is>
      </c>
    </row>
    <row r="12724">
      <c r="A12724">
        <v>12723</v>
      </c>
      <c r="B12724">
        <f>GS31</f>
        <v>0</v>
      </c>
      <c r="C12724" t="inlineStr">
        <is>
          <t>+QVW2201</t>
        </is>
      </c>
      <c r="D12724" t="inlineStr">
        <is>
          <t>-913K3900.5</t>
        </is>
      </c>
      <c r="E12724" t="inlineStr">
        <is>
          <t>DIL_EM-10-G</t>
        </is>
      </c>
      <c r="F12724" t="inlineStr">
        <is>
          <t>#KALK!</t>
        </is>
      </c>
      <c r="G12724" t="inlineStr">
        <is>
          <t>LASTSCHUETZ</t>
        </is>
      </c>
      <c r="H12724" t="inlineStr">
        <is>
          <t>4kW 1S</t>
        </is>
      </c>
      <c r="I12724">
        <v>1220</v>
      </c>
      <c r="J12724">
        <f>GS31/913.5</f>
        <v>0</v>
      </c>
      <c r="M12724" t="inlineStr">
        <is>
          <t>-913K3900.5</t>
        </is>
      </c>
    </row>
    <row r="12725">
      <c r="A12725">
        <v>12724</v>
      </c>
      <c r="B12725">
        <f>GS31</f>
        <v>0</v>
      </c>
      <c r="C12725" t="inlineStr">
        <is>
          <t>+QVW2201</t>
        </is>
      </c>
      <c r="D12725" t="inlineStr">
        <is>
          <t>-913K3901.4</t>
        </is>
      </c>
      <c r="E12725" t="inlineStr">
        <is>
          <t>DIL_ER-22-G</t>
        </is>
      </c>
      <c r="F12725" t="inlineStr">
        <is>
          <t>#KALK!</t>
        </is>
      </c>
      <c r="G12725" t="inlineStr">
        <is>
          <t>HILFSSCHUETZ</t>
        </is>
      </c>
      <c r="H12725" t="inlineStr">
        <is>
          <t>2S 2OE</t>
        </is>
      </c>
      <c r="I12725">
        <v>1220</v>
      </c>
      <c r="J12725">
        <f>GS31/913.3</f>
        <v>0</v>
      </c>
      <c r="M12725" t="inlineStr">
        <is>
          <t>-913K3901.4</t>
        </is>
      </c>
    </row>
    <row r="12726">
      <c r="A12726">
        <v>12725</v>
      </c>
      <c r="B12726">
        <f>GS31</f>
        <v>0</v>
      </c>
      <c r="C12726" t="inlineStr">
        <is>
          <t>+QVW2201</t>
        </is>
      </c>
      <c r="D12726" t="inlineStr">
        <is>
          <t>-913K3901.5</t>
        </is>
      </c>
      <c r="E12726" t="inlineStr">
        <is>
          <t>DIL_ER-22-G</t>
        </is>
      </c>
      <c r="F12726" t="inlineStr">
        <is>
          <t>#KALK!</t>
        </is>
      </c>
      <c r="G12726" t="inlineStr">
        <is>
          <t>HILFSSCHUETZ</t>
        </is>
      </c>
      <c r="H12726" t="inlineStr">
        <is>
          <t>2S 2OE</t>
        </is>
      </c>
      <c r="I12726">
        <v>1220</v>
      </c>
      <c r="J12726">
        <f>GS31/913.4</f>
        <v>0</v>
      </c>
      <c r="M12726" t="inlineStr">
        <is>
          <t>-913K3901.5</t>
        </is>
      </c>
    </row>
    <row r="12727">
      <c r="A12727">
        <v>12726</v>
      </c>
      <c r="B12727">
        <f>GS31</f>
        <v>0</v>
      </c>
      <c r="C12727" t="inlineStr">
        <is>
          <t>+QVW2201</t>
        </is>
      </c>
      <c r="D12727" t="inlineStr">
        <is>
          <t>-914K3900.1</t>
        </is>
      </c>
      <c r="E12727" t="inlineStr">
        <is>
          <t>DIL_EM-10-G</t>
        </is>
      </c>
      <c r="F12727" t="inlineStr">
        <is>
          <t>#KALK!</t>
        </is>
      </c>
      <c r="G12727" t="inlineStr">
        <is>
          <t>LASTSCHUETZ</t>
        </is>
      </c>
      <c r="H12727" t="inlineStr">
        <is>
          <t>4kW 1S</t>
        </is>
      </c>
      <c r="I12727">
        <v>1221</v>
      </c>
      <c r="J12727">
        <f>GS31/914.7</f>
        <v>0</v>
      </c>
      <c r="M12727" t="inlineStr">
        <is>
          <t>-914K3900.1</t>
        </is>
      </c>
    </row>
    <row r="12728">
      <c r="A12728">
        <v>12727</v>
      </c>
      <c r="B12728">
        <f>GS05</f>
        <v>0</v>
      </c>
      <c r="C12728" t="inlineStr">
        <is>
          <t>+LS15</t>
        </is>
      </c>
      <c r="D12728" t="inlineStr">
        <is>
          <t>-915K1</t>
        </is>
      </c>
      <c r="E12728" t="inlineStr">
        <is>
          <t>DILA-22</t>
        </is>
      </c>
      <c r="F12728" t="inlineStr">
        <is>
          <t>#KALK!</t>
        </is>
      </c>
      <c r="G12728" t="inlineStr">
        <is>
          <t>HILFSSCHUETZ</t>
        </is>
      </c>
      <c r="H12728" t="inlineStr">
        <is>
          <t>2S 2Oe Federzugkl.</t>
        </is>
      </c>
      <c r="I12728">
        <v>2937</v>
      </c>
      <c r="J12728">
        <f>GS05/915.8</f>
        <v>0</v>
      </c>
      <c r="M12728" t="inlineStr">
        <is>
          <t>-915K1</t>
        </is>
      </c>
    </row>
    <row r="12729">
      <c r="A12729">
        <v>12728</v>
      </c>
      <c r="B12729">
        <f>GS36</f>
        <v>0</v>
      </c>
      <c r="C12729" t="inlineStr">
        <is>
          <t>+LS12</t>
        </is>
      </c>
      <c r="D12729" t="inlineStr">
        <is>
          <t>-989Q724.2</t>
        </is>
      </c>
      <c r="E12729" t="inlineStr">
        <is>
          <t>DILM-9-10</t>
        </is>
      </c>
      <c r="F12729" t="inlineStr">
        <is>
          <t>#KALK!</t>
        </is>
      </c>
      <c r="G12729" t="inlineStr">
        <is>
          <t>LASTSCHUETZ</t>
        </is>
      </c>
      <c r="H12729" t="inlineStr">
        <is>
          <t>4kW 1S Federzugkl.</t>
        </is>
      </c>
      <c r="I12729">
        <v>1546</v>
      </c>
      <c r="J12729">
        <f>GS36/989.7</f>
        <v>0</v>
      </c>
      <c r="L12729" t="inlineStr">
        <is>
          <t>RF_3804</t>
        </is>
      </c>
      <c r="M12729" t="inlineStr">
        <is>
          <t>RF_3804
-989Q724.2</t>
        </is>
      </c>
      <c r="N12729" t="inlineStr">
        <is>
          <t>P</t>
        </is>
      </c>
    </row>
    <row r="12730">
      <c r="A12730">
        <v>12729</v>
      </c>
      <c r="B12730">
        <f>GS93</f>
        <v>0</v>
      </c>
      <c r="C12730" t="inlineStr">
        <is>
          <t>+LS18</t>
        </is>
      </c>
      <c r="D12730" t="inlineStr">
        <is>
          <t>-915K1083.0</t>
        </is>
      </c>
      <c r="E12730" t="inlineStr">
        <is>
          <t>DILA-40</t>
        </is>
      </c>
      <c r="F12730" t="inlineStr">
        <is>
          <t>#KALK!</t>
        </is>
      </c>
      <c r="G12730" t="inlineStr">
        <is>
          <t>HILFSSCHUETZ</t>
        </is>
      </c>
      <c r="H12730" t="inlineStr">
        <is>
          <t>4S Federzugkl.</t>
        </is>
      </c>
      <c r="I12730">
        <v>1440</v>
      </c>
      <c r="J12730">
        <f>GS93/915.7</f>
        <v>0</v>
      </c>
      <c r="M12730" t="inlineStr">
        <is>
          <t>-915K1083.0</t>
        </is>
      </c>
    </row>
    <row r="12731">
      <c r="A12731">
        <v>12730</v>
      </c>
      <c r="B12731">
        <f>GS36</f>
        <v>0</v>
      </c>
      <c r="C12731" t="inlineStr">
        <is>
          <t>+LS12</t>
        </is>
      </c>
      <c r="D12731" t="inlineStr">
        <is>
          <t>-989Q725.3</t>
        </is>
      </c>
      <c r="E12731" t="inlineStr">
        <is>
          <t>DILM-9-10</t>
        </is>
      </c>
      <c r="F12731" t="inlineStr">
        <is>
          <t>DILA-XHI22</t>
        </is>
      </c>
      <c r="G12731" t="inlineStr">
        <is>
          <t>LASTSCHUETZ</t>
        </is>
      </c>
      <c r="H12731" t="inlineStr">
        <is>
          <t>4kW 1S Federzugkl.</t>
        </is>
      </c>
      <c r="I12731">
        <v>1546</v>
      </c>
      <c r="J12731">
        <f>GS36/989.6</f>
        <v>0</v>
      </c>
      <c r="L12731" t="inlineStr">
        <is>
          <t>RF_3804</t>
        </is>
      </c>
      <c r="M12731" t="inlineStr">
        <is>
          <t>RF_3804
-989Q725.3</t>
        </is>
      </c>
      <c r="N12731" t="inlineStr">
        <is>
          <t>P</t>
        </is>
      </c>
    </row>
    <row r="12732">
      <c r="A12732">
        <v>12731</v>
      </c>
      <c r="B12732">
        <f>GS05</f>
        <v>0</v>
      </c>
      <c r="C12732" t="inlineStr">
        <is>
          <t>+LS15</t>
        </is>
      </c>
      <c r="D12732" t="inlineStr">
        <is>
          <t>-915Q1</t>
        </is>
      </c>
      <c r="E12732" t="inlineStr">
        <is>
          <t>DILMC40(RDC24)</t>
        </is>
      </c>
      <c r="F12732" t="inlineStr">
        <is>
          <t>DILM150-XHIC22</t>
        </is>
      </c>
      <c r="G12732" t="inlineStr">
        <is>
          <t>LASTSCHUETZ</t>
        </is>
      </c>
      <c r="H12732" t="inlineStr">
        <is>
          <t>18,5kW Federzugkl.</t>
        </is>
      </c>
      <c r="I12732">
        <v>2937</v>
      </c>
      <c r="J12732">
        <f>GS05/915.7</f>
        <v>0</v>
      </c>
      <c r="K12732" t="inlineStr">
        <is>
          <t>DIL MC40</t>
        </is>
      </c>
      <c r="M12732" t="inlineStr">
        <is>
          <t>-915Q1</t>
        </is>
      </c>
    </row>
    <row r="12733">
      <c r="A12733">
        <v>12732</v>
      </c>
      <c r="B12733">
        <f>GS05</f>
        <v>0</v>
      </c>
      <c r="C12733" t="inlineStr">
        <is>
          <t>+LS15</t>
        </is>
      </c>
      <c r="D12733" t="inlineStr">
        <is>
          <t>-915Q1</t>
        </is>
      </c>
      <c r="E12733" t="inlineStr">
        <is>
          <t>DILM150-XHIC22</t>
        </is>
      </c>
      <c r="F12733" t="inlineStr">
        <is>
          <t>DILM150-XHIC22</t>
        </is>
      </c>
      <c r="G12733" t="inlineStr">
        <is>
          <t>HILFSKONTAKTBLOCK</t>
        </is>
      </c>
      <c r="H12733" t="inlineStr">
        <is>
          <t>2S 2OE ab DILMC40</t>
        </is>
      </c>
      <c r="I12733">
        <v>2937</v>
      </c>
      <c r="J12733">
        <f>GS05/915.7</f>
        <v>0</v>
      </c>
      <c r="K12733" t="inlineStr">
        <is>
          <t>DIL MC40</t>
        </is>
      </c>
      <c r="M12733" t="inlineStr">
        <is>
          <t>-915Q1</t>
        </is>
      </c>
    </row>
    <row r="12734">
      <c r="A12734">
        <v>12733</v>
      </c>
      <c r="B12734">
        <f>GS06</f>
        <v>0</v>
      </c>
      <c r="C12734" t="inlineStr">
        <is>
          <t>+LS14</t>
        </is>
      </c>
      <c r="D12734" t="inlineStr">
        <is>
          <t>-915Q1</t>
        </is>
      </c>
      <c r="E12734" t="inlineStr">
        <is>
          <t>DILMC25-10(RDC24)</t>
        </is>
      </c>
      <c r="F12734" t="inlineStr">
        <is>
          <t>DILA-XHI22</t>
        </is>
      </c>
      <c r="G12734" t="inlineStr">
        <is>
          <t>LASTSCHUETZ</t>
        </is>
      </c>
      <c r="H12734" t="inlineStr">
        <is>
          <t>11kW 1S Federzugkl.</t>
        </is>
      </c>
      <c r="I12734">
        <v>2702</v>
      </c>
      <c r="J12734">
        <f>GS06/915.6</f>
        <v>0</v>
      </c>
      <c r="K12734" t="inlineStr">
        <is>
          <t>DIL MC25</t>
        </is>
      </c>
      <c r="M12734" t="inlineStr">
        <is>
          <t>-915Q1</t>
        </is>
      </c>
    </row>
    <row r="12735">
      <c r="A12735">
        <v>12734</v>
      </c>
      <c r="B12735">
        <f>GS06</f>
        <v>0</v>
      </c>
      <c r="C12735" t="inlineStr">
        <is>
          <t>+LS14</t>
        </is>
      </c>
      <c r="D12735" t="inlineStr">
        <is>
          <t>-915Q1</t>
        </is>
      </c>
      <c r="E12735" t="inlineStr">
        <is>
          <t>DILA-XHI22</t>
        </is>
      </c>
      <c r="F12735" t="inlineStr">
        <is>
          <t>DILA-XHI22</t>
        </is>
      </c>
      <c r="G12735" t="inlineStr">
        <is>
          <t>HILFSKONTAKTBLOCK</t>
        </is>
      </c>
      <c r="H12735" t="inlineStr">
        <is>
          <t>2S 2OE Last+Hilfssch. Cage</t>
        </is>
      </c>
      <c r="I12735">
        <v>2702</v>
      </c>
      <c r="J12735">
        <f>GS06/915.6</f>
        <v>0</v>
      </c>
      <c r="K12735" t="inlineStr">
        <is>
          <t>DIL MC25</t>
        </is>
      </c>
      <c r="M12735" t="inlineStr">
        <is>
          <t>-915Q1</t>
        </is>
      </c>
    </row>
    <row r="12736">
      <c r="A12736">
        <v>12735</v>
      </c>
      <c r="B12736">
        <f>GS93</f>
        <v>0</v>
      </c>
      <c r="C12736" t="inlineStr">
        <is>
          <t>+LS18</t>
        </is>
      </c>
      <c r="D12736" t="inlineStr">
        <is>
          <t>-915Q1</t>
        </is>
      </c>
      <c r="E12736" t="inlineStr">
        <is>
          <t>DILA-XHI22</t>
        </is>
      </c>
      <c r="F12736" t="inlineStr">
        <is>
          <t>DILA-XHI22</t>
        </is>
      </c>
      <c r="G12736" t="inlineStr">
        <is>
          <t>HILFSKONTAKTBLOCK</t>
        </is>
      </c>
      <c r="H12736" t="inlineStr">
        <is>
          <t>2S 2OE Last+Hilfssch. Cage</t>
        </is>
      </c>
      <c r="I12736">
        <v>1440</v>
      </c>
      <c r="J12736">
        <f>GS93/915.4</f>
        <v>0</v>
      </c>
      <c r="K12736" t="inlineStr">
        <is>
          <t>DIL MC25</t>
        </is>
      </c>
      <c r="M12736" t="inlineStr">
        <is>
          <t>-915Q1</t>
        </is>
      </c>
    </row>
    <row r="12737">
      <c r="A12737">
        <v>12736</v>
      </c>
      <c r="B12737">
        <f>GS93</f>
        <v>0</v>
      </c>
      <c r="C12737" t="inlineStr">
        <is>
          <t>+LS18</t>
        </is>
      </c>
      <c r="D12737" t="inlineStr">
        <is>
          <t>-915Q1</t>
        </is>
      </c>
      <c r="E12737" t="inlineStr">
        <is>
          <t>DILMC25-10(RDC24)</t>
        </is>
      </c>
      <c r="F12737" t="inlineStr">
        <is>
          <t>DILA-XHI22</t>
        </is>
      </c>
      <c r="G12737" t="inlineStr">
        <is>
          <t>LASTSCHUETZ</t>
        </is>
      </c>
      <c r="H12737" t="inlineStr">
        <is>
          <t>11kW 1S Federzugkl.</t>
        </is>
      </c>
      <c r="I12737">
        <v>1440</v>
      </c>
      <c r="J12737">
        <f>GS93/915.4</f>
        <v>0</v>
      </c>
      <c r="K12737" t="inlineStr">
        <is>
          <t>DIL MC25</t>
        </is>
      </c>
      <c r="M12737" t="inlineStr">
        <is>
          <t>-915Q1</t>
        </is>
      </c>
    </row>
    <row r="12738">
      <c r="A12738">
        <v>12737</v>
      </c>
      <c r="B12738">
        <f>GS31</f>
        <v>0</v>
      </c>
      <c r="C12738" t="inlineStr">
        <is>
          <t>+QVW2201</t>
        </is>
      </c>
      <c r="D12738" t="inlineStr">
        <is>
          <t>-916K3902.1</t>
        </is>
      </c>
      <c r="E12738" t="inlineStr">
        <is>
          <t>DIL_EM-10-G</t>
        </is>
      </c>
      <c r="F12738" t="inlineStr">
        <is>
          <t>#KALK!</t>
        </is>
      </c>
      <c r="G12738" t="inlineStr">
        <is>
          <t>LASTSCHUETZ</t>
        </is>
      </c>
      <c r="H12738" t="inlineStr">
        <is>
          <t>4kW 1S</t>
        </is>
      </c>
      <c r="I12738">
        <v>1223</v>
      </c>
      <c r="J12738">
        <f>GS31/916.2</f>
        <v>0</v>
      </c>
      <c r="M12738" t="inlineStr">
        <is>
          <t>-916K3902.1</t>
        </is>
      </c>
    </row>
    <row r="12739">
      <c r="A12739">
        <v>12738</v>
      </c>
      <c r="B12739">
        <f>GS31</f>
        <v>0</v>
      </c>
      <c r="C12739" t="inlineStr">
        <is>
          <t>+QVW2201</t>
        </is>
      </c>
      <c r="D12739" t="inlineStr">
        <is>
          <t>-916K3902.7</t>
        </is>
      </c>
      <c r="E12739" t="inlineStr">
        <is>
          <t>DIL_EM-10-G</t>
        </is>
      </c>
      <c r="F12739" t="inlineStr">
        <is>
          <t>#KALK!</t>
        </is>
      </c>
      <c r="G12739" t="inlineStr">
        <is>
          <t>LASTSCHUETZ</t>
        </is>
      </c>
      <c r="H12739" t="inlineStr">
        <is>
          <t>4kW 1S</t>
        </is>
      </c>
      <c r="I12739">
        <v>1223</v>
      </c>
      <c r="J12739">
        <f>GS31/916.3</f>
        <v>0</v>
      </c>
      <c r="M12739" t="inlineStr">
        <is>
          <t>-916K3902.7</t>
        </is>
      </c>
    </row>
    <row r="12740">
      <c r="A12740">
        <v>12739</v>
      </c>
      <c r="B12740">
        <f>GS93</f>
        <v>0</v>
      </c>
      <c r="C12740" t="inlineStr">
        <is>
          <t>+LS18</t>
        </is>
      </c>
      <c r="D12740" t="inlineStr">
        <is>
          <t>-916Q1083.1</t>
        </is>
      </c>
      <c r="E12740" t="inlineStr">
        <is>
          <t>DILM-9-10</t>
        </is>
      </c>
      <c r="F12740" t="inlineStr">
        <is>
          <t>DILA-XHI22</t>
        </is>
      </c>
      <c r="G12740" t="inlineStr">
        <is>
          <t>LASTSCHUETZ</t>
        </is>
      </c>
      <c r="H12740" t="inlineStr">
        <is>
          <t>4kW 1S Federzugkl.</t>
        </is>
      </c>
      <c r="I12740">
        <v>1441</v>
      </c>
      <c r="J12740">
        <f>GS93/916.5</f>
        <v>0</v>
      </c>
      <c r="M12740" t="inlineStr">
        <is>
          <t>-916Q1083.1</t>
        </is>
      </c>
    </row>
    <row r="12741">
      <c r="A12741">
        <v>12740</v>
      </c>
      <c r="B12741">
        <f>GS93</f>
        <v>0</v>
      </c>
      <c r="C12741" t="inlineStr">
        <is>
          <t>+LS18</t>
        </is>
      </c>
      <c r="D12741" t="inlineStr">
        <is>
          <t>-916Q1083.1</t>
        </is>
      </c>
      <c r="E12741" t="inlineStr">
        <is>
          <t>DILA-XHI22</t>
        </is>
      </c>
      <c r="F12741" t="inlineStr">
        <is>
          <t>DILA-XHI22</t>
        </is>
      </c>
      <c r="G12741" t="inlineStr">
        <is>
          <t>HILFSKONTAKTBLOCK</t>
        </is>
      </c>
      <c r="H12741" t="inlineStr">
        <is>
          <t>2S 2OE Last+Hilfssch. Cage</t>
        </is>
      </c>
      <c r="I12741">
        <v>1441</v>
      </c>
      <c r="J12741">
        <f>GS93/916.5</f>
        <v>0</v>
      </c>
      <c r="M12741" t="inlineStr">
        <is>
          <t>-916Q1083.1</t>
        </is>
      </c>
    </row>
    <row r="12742">
      <c r="A12742">
        <v>12741</v>
      </c>
      <c r="B12742">
        <f>GS93</f>
        <v>0</v>
      </c>
      <c r="C12742" t="inlineStr">
        <is>
          <t>+LS18</t>
        </is>
      </c>
      <c r="D12742" t="inlineStr">
        <is>
          <t>-916Q1083.2</t>
        </is>
      </c>
      <c r="E12742" t="inlineStr">
        <is>
          <t>DILM-9-10</t>
        </is>
      </c>
      <c r="F12742" t="inlineStr">
        <is>
          <t>DILA-XHI22</t>
        </is>
      </c>
      <c r="G12742" t="inlineStr">
        <is>
          <t>LASTSCHUETZ</t>
        </is>
      </c>
      <c r="H12742" t="inlineStr">
        <is>
          <t>4kW 1S Federzugkl.</t>
        </is>
      </c>
      <c r="I12742">
        <v>1441</v>
      </c>
      <c r="J12742">
        <f>GS93/916.6</f>
        <v>0</v>
      </c>
      <c r="M12742" t="inlineStr">
        <is>
          <t>-916Q1083.2</t>
        </is>
      </c>
    </row>
    <row r="12743">
      <c r="A12743">
        <v>12742</v>
      </c>
      <c r="B12743">
        <f>GS93</f>
        <v>0</v>
      </c>
      <c r="C12743" t="inlineStr">
        <is>
          <t>+LS18</t>
        </is>
      </c>
      <c r="D12743" t="inlineStr">
        <is>
          <t>-916Q1083.2</t>
        </is>
      </c>
      <c r="E12743" t="inlineStr">
        <is>
          <t>DILA-XHI22</t>
        </is>
      </c>
      <c r="F12743" t="inlineStr">
        <is>
          <t>DILA-XHI22</t>
        </is>
      </c>
      <c r="G12743" t="inlineStr">
        <is>
          <t>HILFSKONTAKTBLOCK</t>
        </is>
      </c>
      <c r="H12743" t="inlineStr">
        <is>
          <t>2S 2OE Last+Hilfssch. Cage</t>
        </is>
      </c>
      <c r="I12743">
        <v>1441</v>
      </c>
      <c r="J12743">
        <f>GS93/916.6</f>
        <v>0</v>
      </c>
      <c r="M12743" t="inlineStr">
        <is>
          <t>-916Q1083.2</t>
        </is>
      </c>
    </row>
    <row r="12744">
      <c r="A12744">
        <v>12743</v>
      </c>
      <c r="B12744">
        <f>GS31</f>
        <v>0</v>
      </c>
      <c r="C12744" t="inlineStr">
        <is>
          <t>+QVW2201</t>
        </is>
      </c>
      <c r="D12744" t="inlineStr">
        <is>
          <t>-917K3903.0</t>
        </is>
      </c>
      <c r="E12744" t="inlineStr">
        <is>
          <t>DIL_EM-10-G</t>
        </is>
      </c>
      <c r="F12744" t="inlineStr">
        <is>
          <t>22_DIL-E</t>
        </is>
      </c>
      <c r="G12744" t="inlineStr">
        <is>
          <t>LASTSCHUETZ</t>
        </is>
      </c>
      <c r="H12744" t="inlineStr">
        <is>
          <t>4kW 1S</t>
        </is>
      </c>
      <c r="I12744">
        <v>1224</v>
      </c>
      <c r="J12744">
        <f>GS31/917.6</f>
        <v>0</v>
      </c>
      <c r="M12744" t="inlineStr">
        <is>
          <t>-917K3903.0</t>
        </is>
      </c>
    </row>
    <row r="12745">
      <c r="A12745">
        <v>12744</v>
      </c>
      <c r="B12745">
        <f>GS31</f>
        <v>0</v>
      </c>
      <c r="C12745" t="inlineStr">
        <is>
          <t>+QVW2201</t>
        </is>
      </c>
      <c r="D12745" t="inlineStr">
        <is>
          <t>-917K3903.0</t>
        </is>
      </c>
      <c r="E12745" t="inlineStr">
        <is>
          <t>22_DIL-E</t>
        </is>
      </c>
      <c r="F12745" t="inlineStr">
        <is>
          <t>22_DIL-E</t>
        </is>
      </c>
      <c r="G12745" t="inlineStr">
        <is>
          <t>HILFSKONTAKTBLOCK</t>
        </is>
      </c>
      <c r="H12745" t="inlineStr">
        <is>
          <t>2S 2OE Last+Hilfsschuetz</t>
        </is>
      </c>
      <c r="I12745">
        <v>1224</v>
      </c>
      <c r="J12745">
        <f>GS31/917.6</f>
        <v>0</v>
      </c>
      <c r="M12745" t="inlineStr">
        <is>
          <t>-917K3903.0</t>
        </is>
      </c>
    </row>
    <row r="12746">
      <c r="A12746">
        <v>12745</v>
      </c>
      <c r="B12746">
        <f>GS31</f>
        <v>0</v>
      </c>
      <c r="C12746" t="inlineStr">
        <is>
          <t>+QVW2201</t>
        </is>
      </c>
      <c r="D12746" t="inlineStr">
        <is>
          <t>-917K3903.1</t>
        </is>
      </c>
      <c r="E12746" t="inlineStr">
        <is>
          <t>22_DIL-E</t>
        </is>
      </c>
      <c r="F12746" t="inlineStr">
        <is>
          <t>22_DIL-E</t>
        </is>
      </c>
      <c r="G12746" t="inlineStr">
        <is>
          <t>HILFSKONTAKTBLOCK</t>
        </is>
      </c>
      <c r="H12746" t="inlineStr">
        <is>
          <t>2S 2OE Last+Hilfsschuetz</t>
        </is>
      </c>
      <c r="I12746">
        <v>1224</v>
      </c>
      <c r="J12746">
        <f>GS31/917.6</f>
        <v>0</v>
      </c>
      <c r="M12746" t="inlineStr">
        <is>
          <t>-917K3903.1</t>
        </is>
      </c>
    </row>
    <row r="12747">
      <c r="A12747">
        <v>12746</v>
      </c>
      <c r="B12747">
        <f>GS31</f>
        <v>0</v>
      </c>
      <c r="C12747" t="inlineStr">
        <is>
          <t>+QVW2201</t>
        </is>
      </c>
      <c r="D12747" t="inlineStr">
        <is>
          <t>-917K3903.1</t>
        </is>
      </c>
      <c r="E12747" t="inlineStr">
        <is>
          <t>DIL_EM-10-G</t>
        </is>
      </c>
      <c r="F12747" t="inlineStr">
        <is>
          <t>22_DIL-E</t>
        </is>
      </c>
      <c r="G12747" t="inlineStr">
        <is>
          <t>LASTSCHUETZ</t>
        </is>
      </c>
      <c r="H12747" t="inlineStr">
        <is>
          <t>4kW 1S</t>
        </is>
      </c>
      <c r="I12747">
        <v>1224</v>
      </c>
      <c r="J12747">
        <f>GS31/917.6</f>
        <v>0</v>
      </c>
      <c r="M12747" t="inlineStr">
        <is>
          <t>-917K3903.1</t>
        </is>
      </c>
    </row>
    <row r="12748">
      <c r="A12748">
        <v>12747</v>
      </c>
      <c r="B12748">
        <f>GS93</f>
        <v>0</v>
      </c>
      <c r="C12748" t="inlineStr">
        <is>
          <t>+LS18</t>
        </is>
      </c>
      <c r="D12748" t="inlineStr">
        <is>
          <t>-917Q1083.3</t>
        </is>
      </c>
      <c r="E12748" t="inlineStr">
        <is>
          <t>DILM-9-10</t>
        </is>
      </c>
      <c r="F12748" t="inlineStr">
        <is>
          <t>#KALK!</t>
        </is>
      </c>
      <c r="G12748" t="inlineStr">
        <is>
          <t>LASTSCHUETZ</t>
        </is>
      </c>
      <c r="H12748" t="inlineStr">
        <is>
          <t>4kW 1S Federzugkl.</t>
        </is>
      </c>
      <c r="I12748">
        <v>1442</v>
      </c>
      <c r="J12748">
        <f>GS93/917.5</f>
        <v>0</v>
      </c>
      <c r="M12748" t="inlineStr">
        <is>
          <t>-917Q1083.3</t>
        </is>
      </c>
    </row>
    <row r="12749">
      <c r="A12749">
        <v>12748</v>
      </c>
      <c r="B12749">
        <f>GS05</f>
        <v>0</v>
      </c>
      <c r="C12749" t="inlineStr">
        <is>
          <t>+LS15</t>
        </is>
      </c>
      <c r="D12749" t="inlineStr">
        <is>
          <t>-918K1</t>
        </is>
      </c>
      <c r="E12749" t="inlineStr">
        <is>
          <t>DILM-9-10</t>
        </is>
      </c>
      <c r="F12749" t="inlineStr">
        <is>
          <t>#KALK!</t>
        </is>
      </c>
      <c r="G12749" t="inlineStr">
        <is>
          <t>LASTSCHUETZ</t>
        </is>
      </c>
      <c r="H12749" t="inlineStr">
        <is>
          <t>4kW 1S Federzugkl.</t>
        </is>
      </c>
      <c r="I12749">
        <v>2940</v>
      </c>
      <c r="J12749">
        <f>GS05/918.5</f>
        <v>0</v>
      </c>
      <c r="M12749" t="inlineStr">
        <is>
          <t>-918K1</t>
        </is>
      </c>
    </row>
    <row r="12750">
      <c r="A12750">
        <v>12749</v>
      </c>
      <c r="B12750">
        <f>GS15</f>
        <v>0</v>
      </c>
      <c r="C12750" t="inlineStr">
        <is>
          <t>+LS1</t>
        </is>
      </c>
      <c r="D12750" t="inlineStr">
        <is>
          <t>-91K55.5</t>
        </is>
      </c>
      <c r="E12750" t="inlineStr">
        <is>
          <t>DIL_EM-10-G</t>
        </is>
      </c>
      <c r="F12750" t="inlineStr">
        <is>
          <t>#KALK!</t>
        </is>
      </c>
      <c r="G12750" t="inlineStr">
        <is>
          <t>LASTSCHUETZ</t>
        </is>
      </c>
      <c r="H12750" t="inlineStr">
        <is>
          <t>4kW 1S</t>
        </is>
      </c>
      <c r="I12750">
        <v>578</v>
      </c>
      <c r="J12750">
        <f>GS15/91.6</f>
        <v>0</v>
      </c>
      <c r="M12750" t="inlineStr">
        <is>
          <t>-91K55.5</t>
        </is>
      </c>
    </row>
    <row r="12751">
      <c r="A12751">
        <v>12750</v>
      </c>
      <c r="B12751">
        <f>GS24</f>
        <v>0</v>
      </c>
      <c r="C12751" t="inlineStr">
        <is>
          <t>+LS1</t>
        </is>
      </c>
      <c r="D12751" t="inlineStr">
        <is>
          <t>-91K55.5</t>
        </is>
      </c>
      <c r="E12751" t="inlineStr">
        <is>
          <t>DIL_EM-10-G</t>
        </is>
      </c>
      <c r="F12751" t="inlineStr">
        <is>
          <t>#KALK!</t>
        </is>
      </c>
      <c r="G12751" t="inlineStr">
        <is>
          <t>LASTSCHUETZ</t>
        </is>
      </c>
      <c r="H12751" t="inlineStr">
        <is>
          <t>4kW 1S</t>
        </is>
      </c>
      <c r="I12751">
        <v>988</v>
      </c>
      <c r="J12751">
        <f>GS24/91.6</f>
        <v>0</v>
      </c>
      <c r="M12751" t="inlineStr">
        <is>
          <t>-91K55.5</t>
        </is>
      </c>
    </row>
    <row r="12752">
      <c r="A12752">
        <v>12751</v>
      </c>
      <c r="B12752">
        <f>GS24</f>
        <v>0</v>
      </c>
      <c r="C12752" t="inlineStr">
        <is>
          <t>+LS1</t>
        </is>
      </c>
      <c r="D12752" t="inlineStr">
        <is>
          <t>-91K55.6</t>
        </is>
      </c>
      <c r="E12752" t="inlineStr">
        <is>
          <t>DIL_EM-10-G</t>
        </is>
      </c>
      <c r="F12752" t="inlineStr">
        <is>
          <t>#KALK!</t>
        </is>
      </c>
      <c r="G12752" t="inlineStr">
        <is>
          <t>LASTSCHUETZ</t>
        </is>
      </c>
      <c r="H12752" t="inlineStr">
        <is>
          <t>4kW 1S</t>
        </is>
      </c>
      <c r="I12752">
        <v>988</v>
      </c>
      <c r="J12752">
        <f>GS24/91.6</f>
        <v>0</v>
      </c>
      <c r="M12752" t="inlineStr">
        <is>
          <t>-91K55.6</t>
        </is>
      </c>
    </row>
    <row r="12753">
      <c r="A12753">
        <v>12752</v>
      </c>
      <c r="B12753">
        <f>GS14</f>
        <v>0</v>
      </c>
      <c r="C12753" t="inlineStr">
        <is>
          <t>+LS1</t>
        </is>
      </c>
      <c r="D12753" t="inlineStr">
        <is>
          <t>-91K56.0</t>
        </is>
      </c>
      <c r="E12753" t="inlineStr">
        <is>
          <t>DIL_EM-10-G</t>
        </is>
      </c>
      <c r="F12753" t="inlineStr">
        <is>
          <t>#KALK!</t>
        </is>
      </c>
      <c r="G12753" t="inlineStr">
        <is>
          <t>LASTSCHUETZ</t>
        </is>
      </c>
      <c r="H12753" t="inlineStr">
        <is>
          <t>4kW 1S</t>
        </is>
      </c>
      <c r="I12753">
        <v>217</v>
      </c>
      <c r="J12753">
        <f>GS14/91.7</f>
        <v>0</v>
      </c>
      <c r="M12753" t="inlineStr">
        <is>
          <t>-91K56.0</t>
        </is>
      </c>
    </row>
    <row r="12754">
      <c r="A12754">
        <v>12753</v>
      </c>
      <c r="B12754">
        <f>GS15</f>
        <v>0</v>
      </c>
      <c r="C12754" t="inlineStr">
        <is>
          <t>+LS1</t>
        </is>
      </c>
      <c r="D12754" t="inlineStr">
        <is>
          <t>-91K56.0</t>
        </is>
      </c>
      <c r="E12754" t="inlineStr">
        <is>
          <t>DIL_EM-10-G</t>
        </is>
      </c>
      <c r="F12754" t="inlineStr">
        <is>
          <t>#KALK!</t>
        </is>
      </c>
      <c r="G12754" t="inlineStr">
        <is>
          <t>LASTSCHUETZ</t>
        </is>
      </c>
      <c r="H12754" t="inlineStr">
        <is>
          <t>4kW 1S</t>
        </is>
      </c>
      <c r="I12754">
        <v>578</v>
      </c>
      <c r="J12754">
        <f>GS15/91.6</f>
        <v>0</v>
      </c>
      <c r="M12754" t="inlineStr">
        <is>
          <t>-91K56.0</t>
        </is>
      </c>
    </row>
    <row r="12755">
      <c r="A12755">
        <v>12754</v>
      </c>
      <c r="B12755">
        <f>GS7x</f>
        <v>0</v>
      </c>
      <c r="C12755" t="inlineStr">
        <is>
          <t>+LS[l1]</t>
        </is>
      </c>
      <c r="D12755" t="inlineStr">
        <is>
          <t>-91Q[a+8].3</t>
        </is>
      </c>
      <c r="E12755" t="inlineStr">
        <is>
          <t>DILM-9-10</t>
        </is>
      </c>
      <c r="F12755" t="inlineStr">
        <is>
          <t>#KALK!</t>
        </is>
      </c>
      <c r="G12755" t="inlineStr">
        <is>
          <t>LASTSCHUETZ</t>
        </is>
      </c>
      <c r="H12755" t="inlineStr">
        <is>
          <t>4kW 1S Federzugkl.</t>
        </is>
      </c>
      <c r="I12755">
        <v>329</v>
      </c>
      <c r="J12755">
        <f>GS7x/91.6</f>
        <v>0</v>
      </c>
      <c r="M12755" t="inlineStr">
        <is>
          <t>-91Q[a+8].3</t>
        </is>
      </c>
    </row>
    <row r="12756">
      <c r="A12756">
        <v>12755</v>
      </c>
      <c r="B12756">
        <f>GS51</f>
        <v>0</v>
      </c>
      <c r="C12756" t="inlineStr">
        <is>
          <t>+LS14</t>
        </is>
      </c>
      <c r="D12756" t="inlineStr">
        <is>
          <t>-920Q1</t>
        </is>
      </c>
      <c r="E12756" t="inlineStr">
        <is>
          <t>DILA-XHI22</t>
        </is>
      </c>
      <c r="F12756" t="inlineStr">
        <is>
          <t>DILA-XHI22</t>
        </is>
      </c>
      <c r="G12756" t="inlineStr">
        <is>
          <t>HILFSKONTAKTBLOCK</t>
        </is>
      </c>
      <c r="H12756" t="inlineStr">
        <is>
          <t>2S 2OE Last+Hilfssch. Cage</t>
        </is>
      </c>
      <c r="I12756">
        <v>1068</v>
      </c>
      <c r="J12756">
        <f>GS51/920.6</f>
        <v>0</v>
      </c>
      <c r="K12756" t="inlineStr">
        <is>
          <t>DIL MC25</t>
        </is>
      </c>
      <c r="M12756" t="inlineStr">
        <is>
          <t>-920Q1</t>
        </is>
      </c>
    </row>
    <row r="12757">
      <c r="A12757">
        <v>12756</v>
      </c>
      <c r="B12757">
        <f>GS51</f>
        <v>0</v>
      </c>
      <c r="C12757" t="inlineStr">
        <is>
          <t>+LS14</t>
        </is>
      </c>
      <c r="D12757" t="inlineStr">
        <is>
          <t>-920Q1</t>
        </is>
      </c>
      <c r="E12757" t="inlineStr">
        <is>
          <t>DILMC25-10(RDC24)</t>
        </is>
      </c>
      <c r="F12757" t="inlineStr">
        <is>
          <t>DILA-XHI22</t>
        </is>
      </c>
      <c r="G12757" t="inlineStr">
        <is>
          <t>LASTSCHUETZ</t>
        </is>
      </c>
      <c r="H12757" t="inlineStr">
        <is>
          <t>11kW 1S Federzugkl.</t>
        </is>
      </c>
      <c r="I12757">
        <v>1068</v>
      </c>
      <c r="J12757">
        <f>GS51/920.6</f>
        <v>0</v>
      </c>
      <c r="K12757" t="inlineStr">
        <is>
          <t>DIL MC25</t>
        </is>
      </c>
      <c r="M12757" t="inlineStr">
        <is>
          <t>-920Q1</t>
        </is>
      </c>
    </row>
    <row r="12758">
      <c r="A12758">
        <v>12757</v>
      </c>
      <c r="B12758">
        <f>GS93</f>
        <v>0</v>
      </c>
      <c r="C12758" t="inlineStr">
        <is>
          <t>+LS18</t>
        </is>
      </c>
      <c r="D12758" t="inlineStr">
        <is>
          <t>-925K1086.0</t>
        </is>
      </c>
      <c r="E12758" t="inlineStr">
        <is>
          <t>DILA-40</t>
        </is>
      </c>
      <c r="F12758" t="inlineStr">
        <is>
          <t>#KALK!</t>
        </is>
      </c>
      <c r="G12758" t="inlineStr">
        <is>
          <t>HILFSSCHUETZ</t>
        </is>
      </c>
      <c r="H12758" t="inlineStr">
        <is>
          <t>4S Federzugkl.</t>
        </is>
      </c>
      <c r="I12758">
        <v>1450</v>
      </c>
      <c r="J12758">
        <f>GS93/925.7</f>
        <v>0</v>
      </c>
      <c r="M12758" t="inlineStr">
        <is>
          <t>-925K1086.0</t>
        </is>
      </c>
    </row>
    <row r="12759">
      <c r="A12759">
        <v>12758</v>
      </c>
      <c r="B12759">
        <f>GS55</f>
        <v>0</v>
      </c>
      <c r="C12759" t="inlineStr">
        <is>
          <t>+LS15</t>
        </is>
      </c>
      <c r="D12759" t="inlineStr">
        <is>
          <t>-925Q1</t>
        </is>
      </c>
      <c r="E12759" t="inlineStr">
        <is>
          <t>DILA-XHI22</t>
        </is>
      </c>
      <c r="F12759" t="inlineStr">
        <is>
          <t>#ÜBERLAUF!</t>
        </is>
      </c>
      <c r="G12759" t="inlineStr">
        <is>
          <t>HILFSKONTAKTBLOCK</t>
        </is>
      </c>
      <c r="H12759" t="inlineStr">
        <is>
          <t>2S 2OE Last+Hilfssch. Cage</t>
        </is>
      </c>
      <c r="I12759">
        <v>1179</v>
      </c>
      <c r="J12759">
        <f>GS55/925.6</f>
        <v>0</v>
      </c>
      <c r="K12759" t="inlineStr">
        <is>
          <t>DIL MC25</t>
        </is>
      </c>
      <c r="M12759" t="inlineStr">
        <is>
          <t>-925Q1</t>
        </is>
      </c>
    </row>
    <row r="12760">
      <c r="A12760">
        <v>12759</v>
      </c>
      <c r="B12760">
        <f>GS55</f>
        <v>0</v>
      </c>
      <c r="C12760" t="inlineStr">
        <is>
          <t>+LS15</t>
        </is>
      </c>
      <c r="D12760" t="inlineStr">
        <is>
          <t>-925Q1</t>
        </is>
      </c>
      <c r="E12760" t="inlineStr">
        <is>
          <t>DILMC25-10(RDC24)</t>
        </is>
      </c>
      <c r="F12760" t="inlineStr">
        <is>
          <t>#ÜBERLAUF!</t>
        </is>
      </c>
      <c r="G12760" t="inlineStr">
        <is>
          <t>LASTSCHUETZ</t>
        </is>
      </c>
      <c r="H12760" t="inlineStr">
        <is>
          <t>11kW 1S Federzugkl.</t>
        </is>
      </c>
      <c r="I12760">
        <v>3621</v>
      </c>
      <c r="J12760">
        <f>GS55/925.6</f>
        <v>0</v>
      </c>
      <c r="K12760" t="inlineStr">
        <is>
          <t>DIL MC25</t>
        </is>
      </c>
      <c r="M12760" t="inlineStr">
        <is>
          <t>-925Q1</t>
        </is>
      </c>
    </row>
    <row r="12761">
      <c r="A12761">
        <v>12760</v>
      </c>
      <c r="B12761">
        <f>GS55</f>
        <v>0</v>
      </c>
      <c r="C12761" t="inlineStr">
        <is>
          <t>+LS15</t>
        </is>
      </c>
      <c r="D12761" t="inlineStr">
        <is>
          <t>-925Q1</t>
        </is>
      </c>
      <c r="E12761" t="inlineStr">
        <is>
          <t>DILA-XHI22</t>
        </is>
      </c>
      <c r="F12761" t="inlineStr">
        <is>
          <t>#ÜBERLAUF!</t>
        </is>
      </c>
      <c r="G12761" t="inlineStr">
        <is>
          <t>HILFSKONTAKTBLOCK</t>
        </is>
      </c>
      <c r="H12761" t="inlineStr">
        <is>
          <t>2S 2OE Last+Hilfssch. Cage</t>
        </is>
      </c>
      <c r="I12761">
        <v>3621</v>
      </c>
      <c r="J12761">
        <f>GS55/925.6</f>
        <v>0</v>
      </c>
      <c r="K12761" t="inlineStr">
        <is>
          <t>DIL MC25</t>
        </is>
      </c>
      <c r="M12761" t="inlineStr">
        <is>
          <t>-925Q1</t>
        </is>
      </c>
    </row>
    <row r="12762">
      <c r="A12762">
        <v>12761</v>
      </c>
      <c r="B12762">
        <f>GS55</f>
        <v>0</v>
      </c>
      <c r="C12762" t="inlineStr">
        <is>
          <t>+LS15</t>
        </is>
      </c>
      <c r="D12762" t="inlineStr">
        <is>
          <t>-925Q1</t>
        </is>
      </c>
      <c r="E12762" t="inlineStr">
        <is>
          <t>DILMC25-10(RDC24)</t>
        </is>
      </c>
      <c r="F12762" t="inlineStr">
        <is>
          <t>#ÜBERLAUF!</t>
        </is>
      </c>
      <c r="G12762" t="inlineStr">
        <is>
          <t>LASTSCHUETZ</t>
        </is>
      </c>
      <c r="H12762" t="inlineStr">
        <is>
          <t>11kW 1S Federzugkl.</t>
        </is>
      </c>
      <c r="I12762">
        <v>1179</v>
      </c>
      <c r="J12762">
        <f>GS55/925.6</f>
        <v>0</v>
      </c>
      <c r="K12762" t="inlineStr">
        <is>
          <t>DIL MC25</t>
        </is>
      </c>
      <c r="M12762" t="inlineStr">
        <is>
          <t>-925Q1</t>
        </is>
      </c>
    </row>
    <row r="12763">
      <c r="A12763">
        <v>12762</v>
      </c>
      <c r="B12763">
        <f>GS93</f>
        <v>0</v>
      </c>
      <c r="C12763" t="inlineStr">
        <is>
          <t>+LS18</t>
        </is>
      </c>
      <c r="D12763" t="inlineStr">
        <is>
          <t>-925Q1</t>
        </is>
      </c>
      <c r="E12763" t="inlineStr">
        <is>
          <t>DILA-XHI22</t>
        </is>
      </c>
      <c r="F12763" t="inlineStr">
        <is>
          <t>DILA-XHI22</t>
        </is>
      </c>
      <c r="G12763" t="inlineStr">
        <is>
          <t>HILFSKONTAKTBLOCK</t>
        </is>
      </c>
      <c r="H12763" t="inlineStr">
        <is>
          <t>2S 2OE Last+Hilfssch. Cage</t>
        </is>
      </c>
      <c r="I12763">
        <v>1450</v>
      </c>
      <c r="J12763">
        <f>GS93/925.4</f>
        <v>0</v>
      </c>
      <c r="K12763" t="inlineStr">
        <is>
          <t>DIL MC25</t>
        </is>
      </c>
      <c r="M12763" t="inlineStr">
        <is>
          <t>-925Q1</t>
        </is>
      </c>
    </row>
    <row r="12764">
      <c r="A12764">
        <v>12763</v>
      </c>
      <c r="B12764">
        <f>GS93</f>
        <v>0</v>
      </c>
      <c r="C12764" t="inlineStr">
        <is>
          <t>+LS18</t>
        </is>
      </c>
      <c r="D12764" t="inlineStr">
        <is>
          <t>-925Q1</t>
        </is>
      </c>
      <c r="E12764" t="inlineStr">
        <is>
          <t>DILMC25-10(RDC24)</t>
        </is>
      </c>
      <c r="F12764" t="inlineStr">
        <is>
          <t>DILA-XHI22</t>
        </is>
      </c>
      <c r="G12764" t="inlineStr">
        <is>
          <t>LASTSCHUETZ</t>
        </is>
      </c>
      <c r="H12764" t="inlineStr">
        <is>
          <t>11kW 1S Federzugkl.</t>
        </is>
      </c>
      <c r="I12764">
        <v>1450</v>
      </c>
      <c r="J12764">
        <f>GS93/925.4</f>
        <v>0</v>
      </c>
      <c r="K12764" t="inlineStr">
        <is>
          <t>DIL MC25</t>
        </is>
      </c>
      <c r="M12764" t="inlineStr">
        <is>
          <t>-925Q1</t>
        </is>
      </c>
    </row>
    <row r="12765">
      <c r="A12765">
        <v>12764</v>
      </c>
      <c r="B12765">
        <f>GS93</f>
        <v>0</v>
      </c>
      <c r="C12765" t="inlineStr">
        <is>
          <t>+LS18</t>
        </is>
      </c>
      <c r="D12765" t="inlineStr">
        <is>
          <t>-926Q1086.1</t>
        </is>
      </c>
      <c r="E12765" t="inlineStr">
        <is>
          <t>DILM-9-10</t>
        </is>
      </c>
      <c r="F12765" t="inlineStr">
        <is>
          <t>#KALK!</t>
        </is>
      </c>
      <c r="G12765" t="inlineStr">
        <is>
          <t>LASTSCHUETZ</t>
        </is>
      </c>
      <c r="H12765" t="inlineStr">
        <is>
          <t>4kW 1S Federzugkl.</t>
        </is>
      </c>
      <c r="I12765">
        <v>1451</v>
      </c>
      <c r="J12765">
        <f>GS93/926.5</f>
        <v>0</v>
      </c>
      <c r="M12765" t="inlineStr">
        <is>
          <t>-926Q1086.1</t>
        </is>
      </c>
    </row>
    <row r="12766">
      <c r="A12766">
        <v>12765</v>
      </c>
      <c r="B12766">
        <f>GS33</f>
        <v>0</v>
      </c>
      <c r="C12766" t="inlineStr">
        <is>
          <t>+ES3</t>
        </is>
      </c>
      <c r="D12766" t="inlineStr">
        <is>
          <t>-929K100.0</t>
        </is>
      </c>
      <c r="E12766" t="inlineStr">
        <is>
          <t>40_DIL-E</t>
        </is>
      </c>
      <c r="F12766" t="inlineStr">
        <is>
          <t>40_DIL-E</t>
        </is>
      </c>
      <c r="G12766" t="inlineStr">
        <is>
          <t>HILFSKONTAKTBLOCK</t>
        </is>
      </c>
      <c r="H12766" t="inlineStr">
        <is>
          <t>4S Last+Hilfsschuetz</t>
        </is>
      </c>
      <c r="I12766">
        <v>1379</v>
      </c>
      <c r="J12766">
        <f>GS33/929.6</f>
        <v>0</v>
      </c>
      <c r="M12766" t="inlineStr">
        <is>
          <t>-929K100.0</t>
        </is>
      </c>
    </row>
    <row r="12767">
      <c r="A12767">
        <v>12766</v>
      </c>
      <c r="B12767">
        <f>GS33</f>
        <v>0</v>
      </c>
      <c r="C12767" t="inlineStr">
        <is>
          <t>+ES3</t>
        </is>
      </c>
      <c r="D12767" t="inlineStr">
        <is>
          <t>-929K100.0</t>
        </is>
      </c>
      <c r="E12767" t="inlineStr">
        <is>
          <t>DIL_ER-40-G</t>
        </is>
      </c>
      <c r="F12767" t="inlineStr">
        <is>
          <t>40_DIL-E</t>
        </is>
      </c>
      <c r="G12767" t="inlineStr">
        <is>
          <t>HILFSSCHUETZ</t>
        </is>
      </c>
      <c r="H12767" t="inlineStr">
        <is>
          <t>4S</t>
        </is>
      </c>
      <c r="I12767">
        <v>1379</v>
      </c>
      <c r="J12767">
        <f>GS33/929.6</f>
        <v>0</v>
      </c>
      <c r="M12767" t="inlineStr">
        <is>
          <t>-929K100.0</t>
        </is>
      </c>
    </row>
    <row r="12768">
      <c r="A12768">
        <v>12767</v>
      </c>
      <c r="B12768">
        <f>GS33</f>
        <v>0</v>
      </c>
      <c r="C12768" t="inlineStr">
        <is>
          <t>+ES3</t>
        </is>
      </c>
      <c r="D12768" t="inlineStr">
        <is>
          <t>-929K100.1</t>
        </is>
      </c>
      <c r="E12768" t="inlineStr">
        <is>
          <t>40_DIL-E</t>
        </is>
      </c>
      <c r="F12768" t="inlineStr">
        <is>
          <t>40_DIL-E</t>
        </is>
      </c>
      <c r="G12768" t="inlineStr">
        <is>
          <t>HILFSKONTAKTBLOCK</t>
        </is>
      </c>
      <c r="H12768" t="inlineStr">
        <is>
          <t>4S Last+Hilfsschuetz</t>
        </is>
      </c>
      <c r="I12768">
        <v>1379</v>
      </c>
      <c r="J12768">
        <f>GS33/929.6</f>
        <v>0</v>
      </c>
      <c r="M12768" t="inlineStr">
        <is>
          <t>-929K100.1</t>
        </is>
      </c>
    </row>
    <row r="12769">
      <c r="A12769">
        <v>12768</v>
      </c>
      <c r="B12769">
        <f>GS33</f>
        <v>0</v>
      </c>
      <c r="C12769" t="inlineStr">
        <is>
          <t>+ES3</t>
        </is>
      </c>
      <c r="D12769" t="inlineStr">
        <is>
          <t>-929K100.1</t>
        </is>
      </c>
      <c r="E12769" t="inlineStr">
        <is>
          <t>DIL_ER-40-G</t>
        </is>
      </c>
      <c r="F12769" t="inlineStr">
        <is>
          <t>40_DIL-E</t>
        </is>
      </c>
      <c r="G12769" t="inlineStr">
        <is>
          <t>HILFSSCHUETZ</t>
        </is>
      </c>
      <c r="H12769" t="inlineStr">
        <is>
          <t>4S</t>
        </is>
      </c>
      <c r="I12769">
        <v>1379</v>
      </c>
      <c r="J12769">
        <f>GS33/929.6</f>
        <v>0</v>
      </c>
      <c r="M12769" t="inlineStr">
        <is>
          <t>-929K100.1</t>
        </is>
      </c>
    </row>
    <row r="12770">
      <c r="A12770">
        <v>12769</v>
      </c>
      <c r="B12770">
        <f>GS33</f>
        <v>0</v>
      </c>
      <c r="C12770" t="inlineStr">
        <is>
          <t>+ES3</t>
        </is>
      </c>
      <c r="D12770" t="inlineStr">
        <is>
          <t>-929K100.7</t>
        </is>
      </c>
      <c r="E12770" t="inlineStr">
        <is>
          <t>40_DIL-E</t>
        </is>
      </c>
      <c r="F12770" t="inlineStr">
        <is>
          <t>40_DIL-E</t>
        </is>
      </c>
      <c r="G12770" t="inlineStr">
        <is>
          <t>HILFSKONTAKTBLOCK</t>
        </is>
      </c>
      <c r="H12770" t="inlineStr">
        <is>
          <t>4S Last+Hilfsschuetz</t>
        </is>
      </c>
      <c r="I12770">
        <v>1379</v>
      </c>
      <c r="J12770">
        <f>GS33/929.7</f>
        <v>0</v>
      </c>
      <c r="M12770" t="inlineStr">
        <is>
          <t>-929K100.7</t>
        </is>
      </c>
    </row>
    <row r="12771">
      <c r="A12771">
        <v>12770</v>
      </c>
      <c r="B12771">
        <f>GS33</f>
        <v>0</v>
      </c>
      <c r="C12771" t="inlineStr">
        <is>
          <t>+ES3</t>
        </is>
      </c>
      <c r="D12771" t="inlineStr">
        <is>
          <t>-929K100.7</t>
        </is>
      </c>
      <c r="E12771" t="inlineStr">
        <is>
          <t>DIL_ER-22-G</t>
        </is>
      </c>
      <c r="F12771" t="inlineStr">
        <is>
          <t>40_DIL-E</t>
        </is>
      </c>
      <c r="G12771" t="inlineStr">
        <is>
          <t>HILFSSCHUETZ</t>
        </is>
      </c>
      <c r="H12771" t="inlineStr">
        <is>
          <t>2S 2OE</t>
        </is>
      </c>
      <c r="I12771">
        <v>1379</v>
      </c>
      <c r="J12771">
        <f>GS33/929.7</f>
        <v>0</v>
      </c>
      <c r="M12771" t="inlineStr">
        <is>
          <t>-929K100.7</t>
        </is>
      </c>
    </row>
    <row r="12772">
      <c r="A12772">
        <v>12771</v>
      </c>
      <c r="B12772">
        <f>GS32</f>
        <v>0</v>
      </c>
      <c r="C12772" t="inlineStr">
        <is>
          <t>+LS1</t>
        </is>
      </c>
      <c r="D12772" t="inlineStr">
        <is>
          <t>-92K12.0</t>
        </is>
      </c>
      <c r="E12772" t="inlineStr">
        <is>
          <t>DIL_EM-10-G</t>
        </is>
      </c>
      <c r="F12772" t="inlineStr">
        <is>
          <t>#KALK!</t>
        </is>
      </c>
      <c r="G12772" t="inlineStr">
        <is>
          <t>LASTSCHUETZ</t>
        </is>
      </c>
      <c r="H12772" t="inlineStr">
        <is>
          <t>4kW 1S</t>
        </is>
      </c>
      <c r="I12772">
        <v>892</v>
      </c>
      <c r="J12772">
        <f>GS32/92.6</f>
        <v>0</v>
      </c>
      <c r="M12772" t="inlineStr">
        <is>
          <t>-92K12.0</t>
        </is>
      </c>
    </row>
    <row r="12773">
      <c r="A12773">
        <v>12772</v>
      </c>
      <c r="B12773">
        <f>GS32</f>
        <v>0</v>
      </c>
      <c r="C12773" t="inlineStr">
        <is>
          <t>+LS1</t>
        </is>
      </c>
      <c r="D12773" t="inlineStr">
        <is>
          <t>-92K12.1</t>
        </is>
      </c>
      <c r="E12773" t="inlineStr">
        <is>
          <t>DIL_EM-10-G</t>
        </is>
      </c>
      <c r="F12773" t="inlineStr">
        <is>
          <t>#KALK!</t>
        </is>
      </c>
      <c r="G12773" t="inlineStr">
        <is>
          <t>LASTSCHUETZ</t>
        </is>
      </c>
      <c r="H12773" t="inlineStr">
        <is>
          <t>4kW 1S</t>
        </is>
      </c>
      <c r="I12773">
        <v>892</v>
      </c>
      <c r="J12773">
        <f>GS32/92.6</f>
        <v>0</v>
      </c>
      <c r="M12773" t="inlineStr">
        <is>
          <t>-92K12.1</t>
        </is>
      </c>
    </row>
    <row r="12774">
      <c r="A12774">
        <v>12773</v>
      </c>
      <c r="B12774">
        <f>GS31</f>
        <v>0</v>
      </c>
      <c r="C12774" t="inlineStr">
        <is>
          <t>+LS1</t>
        </is>
      </c>
      <c r="D12774" t="inlineStr">
        <is>
          <t>-92K14.3</t>
        </is>
      </c>
      <c r="E12774" t="inlineStr">
        <is>
          <t>DIL_EM-10-G</t>
        </is>
      </c>
      <c r="F12774" t="inlineStr">
        <is>
          <t>#KALK!</t>
        </is>
      </c>
      <c r="G12774" t="inlineStr">
        <is>
          <t>LASTSCHUETZ</t>
        </is>
      </c>
      <c r="H12774" t="inlineStr">
        <is>
          <t>4kW 1S</t>
        </is>
      </c>
      <c r="I12774">
        <v>375</v>
      </c>
      <c r="J12774">
        <f>GS31/92.7</f>
        <v>0</v>
      </c>
      <c r="M12774" t="inlineStr">
        <is>
          <t>-92K14.3</t>
        </is>
      </c>
    </row>
    <row r="12775">
      <c r="A12775">
        <v>12774</v>
      </c>
      <c r="B12775">
        <f>GS14</f>
        <v>0</v>
      </c>
      <c r="C12775" t="inlineStr">
        <is>
          <t>+LS1</t>
        </is>
      </c>
      <c r="D12775" t="inlineStr">
        <is>
          <t>-92K56.1</t>
        </is>
      </c>
      <c r="E12775" t="inlineStr">
        <is>
          <t>DIL_EM-10-G</t>
        </is>
      </c>
      <c r="F12775" t="inlineStr">
        <is>
          <t>#KALK!</t>
        </is>
      </c>
      <c r="G12775" t="inlineStr">
        <is>
          <t>LASTSCHUETZ</t>
        </is>
      </c>
      <c r="H12775" t="inlineStr">
        <is>
          <t>4kW 1S</t>
        </is>
      </c>
      <c r="I12775">
        <v>218</v>
      </c>
      <c r="J12775">
        <f>GS14/92.6</f>
        <v>0</v>
      </c>
      <c r="M12775" t="inlineStr">
        <is>
          <t>-92K56.1</t>
        </is>
      </c>
    </row>
    <row r="12776">
      <c r="A12776">
        <v>12775</v>
      </c>
      <c r="B12776">
        <f>GS15</f>
        <v>0</v>
      </c>
      <c r="C12776" t="inlineStr">
        <is>
          <t>+LS1</t>
        </is>
      </c>
      <c r="D12776" t="inlineStr">
        <is>
          <t>-92K56.1</t>
        </is>
      </c>
      <c r="E12776" t="inlineStr">
        <is>
          <t>DIL_EM-10-G</t>
        </is>
      </c>
      <c r="F12776" t="inlineStr">
        <is>
          <t>#KALK!</t>
        </is>
      </c>
      <c r="G12776" t="inlineStr">
        <is>
          <t>LASTSCHUETZ</t>
        </is>
      </c>
      <c r="H12776" t="inlineStr">
        <is>
          <t>4kW 1S</t>
        </is>
      </c>
      <c r="I12776">
        <v>579</v>
      </c>
      <c r="J12776">
        <f>GS15/92.6</f>
        <v>0</v>
      </c>
      <c r="M12776" t="inlineStr">
        <is>
          <t>-92K56.1</t>
        </is>
      </c>
    </row>
    <row r="12777">
      <c r="A12777">
        <v>12776</v>
      </c>
      <c r="B12777">
        <f>GS24</f>
        <v>0</v>
      </c>
      <c r="C12777" t="inlineStr">
        <is>
          <t>+LS1</t>
        </is>
      </c>
      <c r="D12777" t="inlineStr">
        <is>
          <t>-92K56.1</t>
        </is>
      </c>
      <c r="E12777" t="inlineStr">
        <is>
          <t>DIL_EM-10-G</t>
        </is>
      </c>
      <c r="F12777" t="inlineStr">
        <is>
          <t>#KALK!</t>
        </is>
      </c>
      <c r="G12777" t="inlineStr">
        <is>
          <t>LASTSCHUETZ</t>
        </is>
      </c>
      <c r="H12777" t="inlineStr">
        <is>
          <t>4kW 1S</t>
        </is>
      </c>
      <c r="I12777">
        <v>987</v>
      </c>
      <c r="J12777">
        <f>GS24/92.6</f>
        <v>0</v>
      </c>
      <c r="M12777" t="inlineStr">
        <is>
          <t>-92K56.1</t>
        </is>
      </c>
    </row>
    <row r="12778">
      <c r="A12778">
        <v>12777</v>
      </c>
      <c r="B12778">
        <f>GS25</f>
        <v>0</v>
      </c>
      <c r="C12778" t="inlineStr">
        <is>
          <t>+LS1</t>
        </is>
      </c>
      <c r="D12778" t="inlineStr">
        <is>
          <t>-92K56.1</t>
        </is>
      </c>
      <c r="E12778" t="inlineStr">
        <is>
          <t>DIL_EM-10-G</t>
        </is>
      </c>
      <c r="F12778" t="inlineStr">
        <is>
          <t>#KALK!</t>
        </is>
      </c>
      <c r="G12778" t="inlineStr">
        <is>
          <t>LASTSCHUETZ</t>
        </is>
      </c>
      <c r="H12778" t="inlineStr">
        <is>
          <t>4kW 1S</t>
        </is>
      </c>
      <c r="I12778">
        <v>213</v>
      </c>
      <c r="J12778">
        <f>GS25/92.6</f>
        <v>0</v>
      </c>
      <c r="M12778" t="inlineStr">
        <is>
          <t>-92K56.1</t>
        </is>
      </c>
    </row>
    <row r="12779">
      <c r="A12779">
        <v>12778</v>
      </c>
      <c r="B12779">
        <f>GS14</f>
        <v>0</v>
      </c>
      <c r="C12779" t="inlineStr">
        <is>
          <t>+LS1</t>
        </is>
      </c>
      <c r="D12779" t="inlineStr">
        <is>
          <t>-92K56.2</t>
        </is>
      </c>
      <c r="E12779" t="inlineStr">
        <is>
          <t>DIL_EM-10-G</t>
        </is>
      </c>
      <c r="F12779" t="inlineStr">
        <is>
          <t>#KALK!</t>
        </is>
      </c>
      <c r="G12779" t="inlineStr">
        <is>
          <t>LASTSCHUETZ</t>
        </is>
      </c>
      <c r="H12779" t="inlineStr">
        <is>
          <t>4kW 1S</t>
        </is>
      </c>
      <c r="I12779">
        <v>218</v>
      </c>
      <c r="J12779">
        <f>GS14/92.6</f>
        <v>0</v>
      </c>
      <c r="M12779" t="inlineStr">
        <is>
          <t>-92K56.2</t>
        </is>
      </c>
    </row>
    <row r="12780">
      <c r="A12780">
        <v>12779</v>
      </c>
      <c r="B12780">
        <f>GS15</f>
        <v>0</v>
      </c>
      <c r="C12780" t="inlineStr">
        <is>
          <t>+LS1</t>
        </is>
      </c>
      <c r="D12780" t="inlineStr">
        <is>
          <t>-92K56.2</t>
        </is>
      </c>
      <c r="E12780" t="inlineStr">
        <is>
          <t>DIL_EM-10-G</t>
        </is>
      </c>
      <c r="F12780" t="inlineStr">
        <is>
          <t>#KALK!</t>
        </is>
      </c>
      <c r="G12780" t="inlineStr">
        <is>
          <t>LASTSCHUETZ</t>
        </is>
      </c>
      <c r="H12780" t="inlineStr">
        <is>
          <t>4kW 1S</t>
        </is>
      </c>
      <c r="I12780">
        <v>579</v>
      </c>
      <c r="J12780">
        <f>GS15/92.6</f>
        <v>0</v>
      </c>
      <c r="M12780" t="inlineStr">
        <is>
          <t>-92K56.2</t>
        </is>
      </c>
    </row>
    <row r="12781">
      <c r="A12781">
        <v>12780</v>
      </c>
      <c r="B12781">
        <f>GS24</f>
        <v>0</v>
      </c>
      <c r="C12781" t="inlineStr">
        <is>
          <t>+LS1</t>
        </is>
      </c>
      <c r="D12781" t="inlineStr">
        <is>
          <t>-92K56.2</t>
        </is>
      </c>
      <c r="E12781" t="inlineStr">
        <is>
          <t>DIL_EM-10-G</t>
        </is>
      </c>
      <c r="F12781" t="inlineStr">
        <is>
          <t>#KALK!</t>
        </is>
      </c>
      <c r="G12781" t="inlineStr">
        <is>
          <t>LASTSCHUETZ</t>
        </is>
      </c>
      <c r="H12781" t="inlineStr">
        <is>
          <t>4kW 1S</t>
        </is>
      </c>
      <c r="I12781">
        <v>987</v>
      </c>
      <c r="J12781">
        <f>GS24/92.6</f>
        <v>0</v>
      </c>
      <c r="M12781" t="inlineStr">
        <is>
          <t>-92K56.2</t>
        </is>
      </c>
    </row>
    <row r="12782">
      <c r="A12782">
        <v>12781</v>
      </c>
      <c r="B12782">
        <f>GS25</f>
        <v>0</v>
      </c>
      <c r="C12782" t="inlineStr">
        <is>
          <t>+LS1</t>
        </is>
      </c>
      <c r="D12782" t="inlineStr">
        <is>
          <t>-92K56.2</t>
        </is>
      </c>
      <c r="E12782" t="inlineStr">
        <is>
          <t>DIL_EM-10-G</t>
        </is>
      </c>
      <c r="F12782" t="inlineStr">
        <is>
          <t>#KALK!</t>
        </is>
      </c>
      <c r="G12782" t="inlineStr">
        <is>
          <t>LASTSCHUETZ</t>
        </is>
      </c>
      <c r="H12782" t="inlineStr">
        <is>
          <t>4kW 1S</t>
        </is>
      </c>
      <c r="I12782">
        <v>213</v>
      </c>
      <c r="J12782">
        <f>GS25/92.6</f>
        <v>0</v>
      </c>
      <c r="M12782" t="inlineStr">
        <is>
          <t>-92K56.2</t>
        </is>
      </c>
    </row>
    <row r="12783">
      <c r="A12783">
        <v>12782</v>
      </c>
      <c r="B12783">
        <f>GS93</f>
        <v>0</v>
      </c>
      <c r="C12783" t="inlineStr">
        <is>
          <t>+LS18</t>
        </is>
      </c>
      <c r="D12783" t="inlineStr">
        <is>
          <t>-930Q1086.2</t>
        </is>
      </c>
      <c r="E12783" t="inlineStr">
        <is>
          <t>DILM-9-10</t>
        </is>
      </c>
      <c r="F12783" t="inlineStr">
        <is>
          <t>#KALK!</t>
        </is>
      </c>
      <c r="G12783" t="inlineStr">
        <is>
          <t>LASTSCHUETZ</t>
        </is>
      </c>
      <c r="H12783" t="inlineStr">
        <is>
          <t>4kW 1S Federzugkl.</t>
        </is>
      </c>
      <c r="I12783">
        <v>1455</v>
      </c>
      <c r="J12783">
        <f>GS93/930.5</f>
        <v>0</v>
      </c>
      <c r="M12783" t="inlineStr">
        <is>
          <t>-930Q1086.2</t>
        </is>
      </c>
    </row>
    <row r="12784">
      <c r="A12784">
        <v>12783</v>
      </c>
      <c r="B12784">
        <f>GS14</f>
        <v>0</v>
      </c>
      <c r="C12784" t="inlineStr">
        <is>
          <t>+LS12</t>
        </is>
      </c>
      <c r="D12784" t="inlineStr">
        <is>
          <t>-932K3534.5</t>
        </is>
      </c>
      <c r="E12784" t="inlineStr">
        <is>
          <t>DIL_EM-10-G</t>
        </is>
      </c>
      <c r="F12784" t="inlineStr">
        <is>
          <t>#KALK!</t>
        </is>
      </c>
      <c r="G12784" t="inlineStr">
        <is>
          <t>LASTSCHUETZ</t>
        </is>
      </c>
      <c r="H12784" t="inlineStr">
        <is>
          <t>4kW 1S</t>
        </is>
      </c>
      <c r="I12784">
        <v>1407</v>
      </c>
      <c r="J12784">
        <f>GS14/932.7</f>
        <v>0</v>
      </c>
      <c r="M12784" t="inlineStr">
        <is>
          <t>-932K3534.5</t>
        </is>
      </c>
    </row>
    <row r="12785">
      <c r="A12785">
        <v>12784</v>
      </c>
      <c r="B12785">
        <f>GS14</f>
        <v>0</v>
      </c>
      <c r="C12785" t="inlineStr">
        <is>
          <t>+LS12</t>
        </is>
      </c>
      <c r="D12785" t="inlineStr">
        <is>
          <t>-933K3534.6</t>
        </is>
      </c>
      <c r="E12785" t="inlineStr">
        <is>
          <t>DIL_EM-10-G</t>
        </is>
      </c>
      <c r="F12785" t="inlineStr">
        <is>
          <t>#KALK!</t>
        </is>
      </c>
      <c r="G12785" t="inlineStr">
        <is>
          <t>LASTSCHUETZ</t>
        </is>
      </c>
      <c r="H12785" t="inlineStr">
        <is>
          <t>4kW 1S</t>
        </is>
      </c>
      <c r="I12785">
        <v>1408</v>
      </c>
      <c r="J12785">
        <f>GS14/933.6</f>
        <v>0</v>
      </c>
      <c r="M12785" t="inlineStr">
        <is>
          <t>-933K3534.6</t>
        </is>
      </c>
    </row>
    <row r="12786">
      <c r="A12786">
        <v>12785</v>
      </c>
      <c r="B12786">
        <f>GS14</f>
        <v>0</v>
      </c>
      <c r="C12786" t="inlineStr">
        <is>
          <t>+LS12</t>
        </is>
      </c>
      <c r="D12786" t="inlineStr">
        <is>
          <t>-933K3534.7</t>
        </is>
      </c>
      <c r="E12786" t="inlineStr">
        <is>
          <t>DIL_EM-10-G</t>
        </is>
      </c>
      <c r="F12786" t="inlineStr">
        <is>
          <t>#KALK!</t>
        </is>
      </c>
      <c r="G12786" t="inlineStr">
        <is>
          <t>LASTSCHUETZ</t>
        </is>
      </c>
      <c r="H12786" t="inlineStr">
        <is>
          <t>4kW 1S</t>
        </is>
      </c>
      <c r="I12786">
        <v>1408</v>
      </c>
      <c r="J12786">
        <f>GS14/933.7</f>
        <v>0</v>
      </c>
      <c r="M12786" t="inlineStr">
        <is>
          <t>-933K3534.7</t>
        </is>
      </c>
    </row>
    <row r="12787">
      <c r="A12787">
        <v>12786</v>
      </c>
      <c r="B12787">
        <f>GS14</f>
        <v>0</v>
      </c>
      <c r="C12787" t="inlineStr">
        <is>
          <t>+LS12</t>
        </is>
      </c>
      <c r="D12787" t="inlineStr">
        <is>
          <t>-934K3535.0</t>
        </is>
      </c>
      <c r="E12787" t="inlineStr">
        <is>
          <t>DIL_EM-10-G</t>
        </is>
      </c>
      <c r="F12787" t="inlineStr">
        <is>
          <t>#KALK!</t>
        </is>
      </c>
      <c r="G12787" t="inlineStr">
        <is>
          <t>LASTSCHUETZ</t>
        </is>
      </c>
      <c r="H12787" t="inlineStr">
        <is>
          <t>4kW 1S</t>
        </is>
      </c>
      <c r="I12787">
        <v>1409</v>
      </c>
      <c r="J12787">
        <f>GS14/934.6</f>
        <v>0</v>
      </c>
      <c r="M12787" t="inlineStr">
        <is>
          <t>-934K3535.0</t>
        </is>
      </c>
    </row>
    <row r="12788">
      <c r="A12788">
        <v>12787</v>
      </c>
      <c r="B12788">
        <f>GS36</f>
        <v>0</v>
      </c>
      <c r="C12788" t="inlineStr">
        <is>
          <t>+LS12</t>
        </is>
      </c>
      <c r="D12788" t="inlineStr">
        <is>
          <t>-991Q724.4</t>
        </is>
      </c>
      <c r="E12788" t="inlineStr">
        <is>
          <t>DILM-9-10</t>
        </is>
      </c>
      <c r="F12788" t="inlineStr">
        <is>
          <t>#KALK!</t>
        </is>
      </c>
      <c r="G12788" t="inlineStr">
        <is>
          <t>LASTSCHUETZ</t>
        </is>
      </c>
      <c r="H12788" t="inlineStr">
        <is>
          <t>4kW 1S Federzugkl.</t>
        </is>
      </c>
      <c r="I12788">
        <v>1548</v>
      </c>
      <c r="J12788">
        <f>GS36/991.7</f>
        <v>0</v>
      </c>
      <c r="L12788" t="inlineStr">
        <is>
          <t>SLCh1706</t>
        </is>
      </c>
      <c r="M12788" t="inlineStr">
        <is>
          <t>SLCh1706
-991Q724.4</t>
        </is>
      </c>
    </row>
    <row r="12789">
      <c r="A12789">
        <v>12788</v>
      </c>
      <c r="B12789">
        <f>GS14</f>
        <v>0</v>
      </c>
      <c r="C12789" t="inlineStr">
        <is>
          <t>+LS12</t>
        </is>
      </c>
      <c r="D12789" t="inlineStr">
        <is>
          <t>-935K3535.1</t>
        </is>
      </c>
      <c r="E12789" t="inlineStr">
        <is>
          <t>DIL_EM-10-G</t>
        </is>
      </c>
      <c r="F12789" t="inlineStr">
        <is>
          <t>#KALK!</t>
        </is>
      </c>
      <c r="G12789" t="inlineStr">
        <is>
          <t>LASTSCHUETZ</t>
        </is>
      </c>
      <c r="H12789" t="inlineStr">
        <is>
          <t>4kW 1S</t>
        </is>
      </c>
      <c r="I12789">
        <v>1410</v>
      </c>
      <c r="J12789">
        <f>GS14/935.6</f>
        <v>0</v>
      </c>
      <c r="M12789" t="inlineStr">
        <is>
          <t>-935K3535.1</t>
        </is>
      </c>
    </row>
    <row r="12790">
      <c r="A12790">
        <v>12789</v>
      </c>
      <c r="B12790">
        <f>GS14</f>
        <v>0</v>
      </c>
      <c r="C12790" t="inlineStr">
        <is>
          <t>+LS12</t>
        </is>
      </c>
      <c r="D12790" t="inlineStr">
        <is>
          <t>-935K3535.2</t>
        </is>
      </c>
      <c r="E12790" t="inlineStr">
        <is>
          <t>DIL_EM-10-G</t>
        </is>
      </c>
      <c r="F12790" t="inlineStr">
        <is>
          <t>#KALK!</t>
        </is>
      </c>
      <c r="G12790" t="inlineStr">
        <is>
          <t>LASTSCHUETZ</t>
        </is>
      </c>
      <c r="H12790" t="inlineStr">
        <is>
          <t>4kW 1S</t>
        </is>
      </c>
      <c r="I12790">
        <v>1410</v>
      </c>
      <c r="J12790">
        <f>GS14/935.7</f>
        <v>0</v>
      </c>
      <c r="M12790" t="inlineStr">
        <is>
          <t>-935K3535.2</t>
        </is>
      </c>
    </row>
    <row r="12791">
      <c r="A12791">
        <v>12790</v>
      </c>
      <c r="B12791">
        <f>GS36</f>
        <v>0</v>
      </c>
      <c r="C12791" t="inlineStr">
        <is>
          <t>+LS12</t>
        </is>
      </c>
      <c r="D12791" t="inlineStr">
        <is>
          <t>-993Q724.6</t>
        </is>
      </c>
      <c r="E12791" t="inlineStr">
        <is>
          <t>DILM-9-10</t>
        </is>
      </c>
      <c r="F12791" t="inlineStr">
        <is>
          <t>#KALK!</t>
        </is>
      </c>
      <c r="G12791" t="inlineStr">
        <is>
          <t>LASTSCHUETZ</t>
        </is>
      </c>
      <c r="H12791" t="inlineStr">
        <is>
          <t>4kW 1S Federzugkl.</t>
        </is>
      </c>
      <c r="I12791">
        <v>1550</v>
      </c>
      <c r="J12791">
        <f>GS36/993.6</f>
        <v>0</v>
      </c>
      <c r="L12791" t="inlineStr">
        <is>
          <t>HT_3808</t>
        </is>
      </c>
      <c r="M12791" t="inlineStr">
        <is>
          <t>HT_3808
-993Q724.6</t>
        </is>
      </c>
      <c r="N12791" t="inlineStr">
        <is>
          <t>P</t>
        </is>
      </c>
    </row>
    <row r="12792">
      <c r="A12792">
        <v>12791</v>
      </c>
      <c r="B12792">
        <f>GS36</f>
        <v>0</v>
      </c>
      <c r="C12792" t="inlineStr">
        <is>
          <t>+LS11</t>
        </is>
      </c>
      <c r="D12792" t="inlineStr">
        <is>
          <t>-935Q1</t>
        </is>
      </c>
      <c r="E12792" t="inlineStr">
        <is>
          <t>DILA-XHI22</t>
        </is>
      </c>
      <c r="F12792" t="inlineStr">
        <is>
          <t>DILA-XHI22</t>
        </is>
      </c>
      <c r="G12792" t="inlineStr">
        <is>
          <t>HILFSKONTAKTBLOCK</t>
        </is>
      </c>
      <c r="H12792" t="inlineStr">
        <is>
          <t>2S 2OE Last+Hilfssch. Cage</t>
        </is>
      </c>
      <c r="I12792">
        <v>1531</v>
      </c>
      <c r="J12792">
        <f>GS36/935.4</f>
        <v>0</v>
      </c>
      <c r="K12792" t="inlineStr">
        <is>
          <t>DIL MC25</t>
        </is>
      </c>
      <c r="L12792" t="inlineStr">
        <is>
          <t>HVO 36</t>
        </is>
      </c>
      <c r="M12792" t="inlineStr">
        <is>
          <t>HVO 36
-935Q1</t>
        </is>
      </c>
      <c r="N12792" t="inlineStr">
        <is>
          <t>P</t>
        </is>
      </c>
    </row>
    <row r="12793">
      <c r="A12793">
        <v>12792</v>
      </c>
      <c r="B12793">
        <f>GS36</f>
        <v>0</v>
      </c>
      <c r="C12793" t="inlineStr">
        <is>
          <t>+LS11</t>
        </is>
      </c>
      <c r="D12793" t="inlineStr">
        <is>
          <t>-935Q1</t>
        </is>
      </c>
      <c r="E12793" t="inlineStr">
        <is>
          <t>DILMC25-10(RDC24)</t>
        </is>
      </c>
      <c r="F12793" t="inlineStr">
        <is>
          <t>DILA-XHI22</t>
        </is>
      </c>
      <c r="G12793" t="inlineStr">
        <is>
          <t>LASTSCHUETZ</t>
        </is>
      </c>
      <c r="H12793" t="inlineStr">
        <is>
          <t>11kW 1S Federzugkl.</t>
        </is>
      </c>
      <c r="I12793">
        <v>1531</v>
      </c>
      <c r="J12793">
        <f>GS36/935.4</f>
        <v>0</v>
      </c>
      <c r="K12793" t="inlineStr">
        <is>
          <t>DIL MC25</t>
        </is>
      </c>
      <c r="L12793" t="inlineStr">
        <is>
          <t>HVO 36</t>
        </is>
      </c>
      <c r="M12793" t="inlineStr">
        <is>
          <t>HVO 36
-935Q1</t>
        </is>
      </c>
      <c r="N12793" t="inlineStr">
        <is>
          <t>P</t>
        </is>
      </c>
    </row>
    <row r="12794">
      <c r="A12794">
        <v>12793</v>
      </c>
      <c r="B12794">
        <f>GS32</f>
        <v>0</v>
      </c>
      <c r="C12794" t="inlineStr">
        <is>
          <t>+LS1</t>
        </is>
      </c>
      <c r="D12794" t="inlineStr">
        <is>
          <t>-93K12.2</t>
        </is>
      </c>
      <c r="E12794" t="inlineStr">
        <is>
          <t>DIL_EM-10-G</t>
        </is>
      </c>
      <c r="F12794" t="inlineStr">
        <is>
          <t>#KALK!</t>
        </is>
      </c>
      <c r="G12794" t="inlineStr">
        <is>
          <t>LASTSCHUETZ</t>
        </is>
      </c>
      <c r="H12794" t="inlineStr">
        <is>
          <t>4kW 1S</t>
        </is>
      </c>
      <c r="I12794">
        <v>893</v>
      </c>
      <c r="J12794">
        <f>GS32/93.6</f>
        <v>0</v>
      </c>
      <c r="M12794" t="inlineStr">
        <is>
          <t>-93K12.2</t>
        </is>
      </c>
    </row>
    <row r="12795">
      <c r="A12795">
        <v>12794</v>
      </c>
      <c r="B12795">
        <f>GS32</f>
        <v>0</v>
      </c>
      <c r="C12795" t="inlineStr">
        <is>
          <t>+LS1</t>
        </is>
      </c>
      <c r="D12795" t="inlineStr">
        <is>
          <t>-93K12.3</t>
        </is>
      </c>
      <c r="E12795" t="inlineStr">
        <is>
          <t>DIL_EM-10-G</t>
        </is>
      </c>
      <c r="F12795" t="inlineStr">
        <is>
          <t>#KALK!</t>
        </is>
      </c>
      <c r="G12795" t="inlineStr">
        <is>
          <t>LASTSCHUETZ</t>
        </is>
      </c>
      <c r="H12795" t="inlineStr">
        <is>
          <t>4kW 1S</t>
        </is>
      </c>
      <c r="I12795">
        <v>893</v>
      </c>
      <c r="J12795">
        <f>GS32/93.6</f>
        <v>0</v>
      </c>
      <c r="M12795" t="inlineStr">
        <is>
          <t>-93K12.3</t>
        </is>
      </c>
    </row>
    <row r="12796">
      <c r="A12796">
        <v>12795</v>
      </c>
      <c r="B12796">
        <f>GS31</f>
        <v>0</v>
      </c>
      <c r="C12796" t="inlineStr">
        <is>
          <t>+LS1</t>
        </is>
      </c>
      <c r="D12796" t="inlineStr">
        <is>
          <t>-93K14.4</t>
        </is>
      </c>
      <c r="E12796" t="inlineStr">
        <is>
          <t>DIL_EM-10-G</t>
        </is>
      </c>
      <c r="F12796" t="inlineStr">
        <is>
          <t>#KALK!</t>
        </is>
      </c>
      <c r="G12796" t="inlineStr">
        <is>
          <t>LASTSCHUETZ</t>
        </is>
      </c>
      <c r="H12796" t="inlineStr">
        <is>
          <t>4kW 1S</t>
        </is>
      </c>
      <c r="I12796">
        <v>376</v>
      </c>
      <c r="J12796">
        <f>GS31/93.6</f>
        <v>0</v>
      </c>
      <c r="M12796" t="inlineStr">
        <is>
          <t>-93K14.4</t>
        </is>
      </c>
    </row>
    <row r="12797">
      <c r="A12797">
        <v>12796</v>
      </c>
      <c r="B12797">
        <f>GS14</f>
        <v>0</v>
      </c>
      <c r="C12797" t="inlineStr">
        <is>
          <t>+LS1</t>
        </is>
      </c>
      <c r="D12797" t="inlineStr">
        <is>
          <t>-93K56.3</t>
        </is>
      </c>
      <c r="E12797" t="inlineStr">
        <is>
          <t>DIL_EM-10-G</t>
        </is>
      </c>
      <c r="F12797" t="inlineStr">
        <is>
          <t>#KALK!</t>
        </is>
      </c>
      <c r="G12797" t="inlineStr">
        <is>
          <t>LASTSCHUETZ</t>
        </is>
      </c>
      <c r="H12797" t="inlineStr">
        <is>
          <t>4kW 1S</t>
        </is>
      </c>
      <c r="I12797">
        <v>219</v>
      </c>
      <c r="J12797">
        <f>GS14/93.6</f>
        <v>0</v>
      </c>
      <c r="M12797" t="inlineStr">
        <is>
          <t>-93K56.3</t>
        </is>
      </c>
    </row>
    <row r="12798">
      <c r="A12798">
        <v>12797</v>
      </c>
      <c r="B12798">
        <f>GS24</f>
        <v>0</v>
      </c>
      <c r="C12798" t="inlineStr">
        <is>
          <t>+LS1</t>
        </is>
      </c>
      <c r="D12798" t="inlineStr">
        <is>
          <t>-93K56.3</t>
        </is>
      </c>
      <c r="E12798" t="inlineStr">
        <is>
          <t>DIL_EM-10-G</t>
        </is>
      </c>
      <c r="F12798" t="inlineStr">
        <is>
          <t>#KALK!</t>
        </is>
      </c>
      <c r="G12798" t="inlineStr">
        <is>
          <t>LASTSCHUETZ</t>
        </is>
      </c>
      <c r="H12798" t="inlineStr">
        <is>
          <t>4kW 1S</t>
        </is>
      </c>
      <c r="I12798">
        <v>986</v>
      </c>
      <c r="J12798">
        <f>GS24/93.6</f>
        <v>0</v>
      </c>
      <c r="M12798" t="inlineStr">
        <is>
          <t>-93K56.3</t>
        </is>
      </c>
    </row>
    <row r="12799">
      <c r="A12799">
        <v>12798</v>
      </c>
      <c r="B12799">
        <f>GS14</f>
        <v>0</v>
      </c>
      <c r="C12799" t="inlineStr">
        <is>
          <t>+LS1</t>
        </is>
      </c>
      <c r="D12799" t="inlineStr">
        <is>
          <t>-93K56.6</t>
        </is>
      </c>
      <c r="E12799" t="inlineStr">
        <is>
          <t>DIL_EM-10-G</t>
        </is>
      </c>
      <c r="F12799" t="inlineStr">
        <is>
          <t>#KALK!</t>
        </is>
      </c>
      <c r="G12799" t="inlineStr">
        <is>
          <t>LASTSCHUETZ</t>
        </is>
      </c>
      <c r="H12799" t="inlineStr">
        <is>
          <t>4kW 1S</t>
        </is>
      </c>
      <c r="I12799">
        <v>219</v>
      </c>
      <c r="J12799">
        <f>GS14/93.6</f>
        <v>0</v>
      </c>
      <c r="M12799" t="inlineStr">
        <is>
          <t>-93K56.6</t>
        </is>
      </c>
    </row>
    <row r="12800">
      <c r="A12800">
        <v>12799</v>
      </c>
      <c r="B12800">
        <f>GS15</f>
        <v>0</v>
      </c>
      <c r="C12800" t="inlineStr">
        <is>
          <t>+LS1</t>
        </is>
      </c>
      <c r="D12800" t="inlineStr">
        <is>
          <t>-93K56.6</t>
        </is>
      </c>
      <c r="E12800" t="inlineStr">
        <is>
          <t>DIL_EM-10-G</t>
        </is>
      </c>
      <c r="F12800" t="inlineStr">
        <is>
          <t>#KALK!</t>
        </is>
      </c>
      <c r="G12800" t="inlineStr">
        <is>
          <t>LASTSCHUETZ</t>
        </is>
      </c>
      <c r="H12800" t="inlineStr">
        <is>
          <t>4kW 1S</t>
        </is>
      </c>
      <c r="I12800">
        <v>580</v>
      </c>
      <c r="J12800">
        <f>GS15/93.7</f>
        <v>0</v>
      </c>
      <c r="M12800" t="inlineStr">
        <is>
          <t>-93K56.6</t>
        </is>
      </c>
    </row>
    <row r="12801">
      <c r="A12801">
        <v>12800</v>
      </c>
      <c r="B12801">
        <f>GS24</f>
        <v>0</v>
      </c>
      <c r="C12801" t="inlineStr">
        <is>
          <t>+LS1</t>
        </is>
      </c>
      <c r="D12801" t="inlineStr">
        <is>
          <t>-93K56.6</t>
        </is>
      </c>
      <c r="E12801" t="inlineStr">
        <is>
          <t>DIL_EM-10-G</t>
        </is>
      </c>
      <c r="F12801" t="inlineStr">
        <is>
          <t>#KALK!</t>
        </is>
      </c>
      <c r="G12801" t="inlineStr">
        <is>
          <t>LASTSCHUETZ</t>
        </is>
      </c>
      <c r="H12801" t="inlineStr">
        <is>
          <t>4kW 1S</t>
        </is>
      </c>
      <c r="I12801">
        <v>986</v>
      </c>
      <c r="J12801">
        <f>GS24/93.6</f>
        <v>0</v>
      </c>
      <c r="M12801" t="inlineStr">
        <is>
          <t>-93K56.6</t>
        </is>
      </c>
    </row>
    <row r="12802">
      <c r="A12802">
        <v>12801</v>
      </c>
      <c r="B12802">
        <f>GS25</f>
        <v>0</v>
      </c>
      <c r="C12802" t="inlineStr">
        <is>
          <t>+LS1</t>
        </is>
      </c>
      <c r="D12802" t="inlineStr">
        <is>
          <t>-93K56.6</t>
        </is>
      </c>
      <c r="E12802" t="inlineStr">
        <is>
          <t>DIL_EM-10-G</t>
        </is>
      </c>
      <c r="F12802" t="inlineStr">
        <is>
          <t>#KALK!</t>
        </is>
      </c>
      <c r="G12802" t="inlineStr">
        <is>
          <t>LASTSCHUETZ</t>
        </is>
      </c>
      <c r="H12802" t="inlineStr">
        <is>
          <t>4kW 1S</t>
        </is>
      </c>
      <c r="I12802">
        <v>214</v>
      </c>
      <c r="J12802">
        <f>GS25/93.7</f>
        <v>0</v>
      </c>
      <c r="M12802" t="inlineStr">
        <is>
          <t>-93K56.6</t>
        </is>
      </c>
    </row>
    <row r="12803">
      <c r="A12803">
        <v>12802</v>
      </c>
      <c r="B12803">
        <f>GS55</f>
        <v>0</v>
      </c>
      <c r="C12803" t="inlineStr">
        <is>
          <t>+LS15</t>
        </is>
      </c>
      <c r="D12803" t="inlineStr">
        <is>
          <t>-940Q1</t>
        </is>
      </c>
      <c r="E12803" t="inlineStr">
        <is>
          <t>DILA-XHI22</t>
        </is>
      </c>
      <c r="F12803" t="inlineStr">
        <is>
          <t>DILA-XHI22</t>
        </is>
      </c>
      <c r="G12803" t="inlineStr">
        <is>
          <t>HILFSKONTAKTBLOCK</t>
        </is>
      </c>
      <c r="H12803" t="inlineStr">
        <is>
          <t>2S 2OE Last+Hilfssch. Cage</t>
        </is>
      </c>
      <c r="I12803">
        <v>1194</v>
      </c>
      <c r="J12803">
        <f>GS55/940.6</f>
        <v>0</v>
      </c>
      <c r="K12803" t="inlineStr">
        <is>
          <t>DIL MC25</t>
        </is>
      </c>
      <c r="M12803" t="inlineStr">
        <is>
          <t>-940Q1</t>
        </is>
      </c>
    </row>
    <row r="12804">
      <c r="A12804">
        <v>12803</v>
      </c>
      <c r="B12804">
        <f>GS55</f>
        <v>0</v>
      </c>
      <c r="C12804" t="inlineStr">
        <is>
          <t>+LS15</t>
        </is>
      </c>
      <c r="D12804" t="inlineStr">
        <is>
          <t>-940Q1</t>
        </is>
      </c>
      <c r="E12804" t="inlineStr">
        <is>
          <t>DILMC25-10(RDC24)</t>
        </is>
      </c>
      <c r="F12804" t="inlineStr">
        <is>
          <t>DILA-XHI22</t>
        </is>
      </c>
      <c r="G12804" t="inlineStr">
        <is>
          <t>LASTSCHUETZ</t>
        </is>
      </c>
      <c r="H12804" t="inlineStr">
        <is>
          <t>11kW 1S Federzugkl.</t>
        </is>
      </c>
      <c r="I12804">
        <v>1194</v>
      </c>
      <c r="J12804">
        <f>GS55/940.6</f>
        <v>0</v>
      </c>
      <c r="K12804" t="inlineStr">
        <is>
          <t>DIL MC25</t>
        </is>
      </c>
      <c r="M12804" t="inlineStr">
        <is>
          <t>-940Q1</t>
        </is>
      </c>
    </row>
    <row r="12805">
      <c r="A12805">
        <v>12804</v>
      </c>
      <c r="B12805">
        <f>GS36</f>
        <v>0</v>
      </c>
      <c r="C12805" t="inlineStr">
        <is>
          <t>+LS13</t>
        </is>
      </c>
      <c r="D12805" t="inlineStr">
        <is>
          <t>-1025K728.0</t>
        </is>
      </c>
      <c r="E12805" t="inlineStr">
        <is>
          <t>DILA-40</t>
        </is>
      </c>
      <c r="F12805" t="inlineStr">
        <is>
          <t>#KALK!</t>
        </is>
      </c>
      <c r="G12805" t="inlineStr">
        <is>
          <t>HILFSSCHUETZ</t>
        </is>
      </c>
      <c r="H12805" t="inlineStr">
        <is>
          <t>4S Federzugkl.</t>
        </is>
      </c>
      <c r="I12805">
        <v>1554</v>
      </c>
      <c r="J12805">
        <f>GS36/1025.7</f>
        <v>0</v>
      </c>
      <c r="M12805" t="inlineStr">
        <is>
          <t>-1025K728.0</t>
        </is>
      </c>
    </row>
    <row r="12806">
      <c r="A12806">
        <v>12805</v>
      </c>
      <c r="B12806">
        <f>GC22</f>
        <v>0</v>
      </c>
      <c r="C12806" t="inlineStr">
        <is>
          <t>+ES6</t>
        </is>
      </c>
      <c r="D12806" t="inlineStr">
        <is>
          <t>-941K7.6</t>
        </is>
      </c>
      <c r="E12806" t="inlineStr">
        <is>
          <t>DILA-40</t>
        </is>
      </c>
      <c r="F12806" t="inlineStr">
        <is>
          <t>DILA-XHIC40</t>
        </is>
      </c>
      <c r="G12806" t="inlineStr">
        <is>
          <t>HILFSSCHUETZ</t>
        </is>
      </c>
      <c r="H12806" t="inlineStr">
        <is>
          <t>4S Federzugkl.</t>
        </is>
      </c>
      <c r="I12806">
        <v>200</v>
      </c>
      <c r="J12806">
        <f>GC22/941.6</f>
        <v>0</v>
      </c>
      <c r="M12806" t="inlineStr">
        <is>
          <t>-941K7.6</t>
        </is>
      </c>
    </row>
    <row r="12807">
      <c r="A12807">
        <v>12806</v>
      </c>
      <c r="B12807">
        <f>GC22</f>
        <v>0</v>
      </c>
      <c r="C12807" t="inlineStr">
        <is>
          <t>+ES6</t>
        </is>
      </c>
      <c r="D12807" t="inlineStr">
        <is>
          <t>-941K7.6</t>
        </is>
      </c>
      <c r="E12807" t="inlineStr">
        <is>
          <t>DILA-XHIC40</t>
        </is>
      </c>
      <c r="F12807" t="inlineStr">
        <is>
          <t>DILA-XHIC40</t>
        </is>
      </c>
      <c r="G12807" t="inlineStr">
        <is>
          <t>HILFSKONTAKTBLOCK</t>
        </is>
      </c>
      <c r="H12807" t="inlineStr">
        <is>
          <t>4S Last+Hilfssch. Cage</t>
        </is>
      </c>
      <c r="I12807">
        <v>200</v>
      </c>
      <c r="J12807">
        <f>GC22/941.6</f>
        <v>0</v>
      </c>
      <c r="M12807" t="inlineStr">
        <is>
          <t>-941K7.6</t>
        </is>
      </c>
    </row>
    <row r="12808">
      <c r="A12808">
        <v>12807</v>
      </c>
      <c r="B12808">
        <f>GS12</f>
        <v>0</v>
      </c>
      <c r="C12808" t="inlineStr">
        <is>
          <t>+ES6</t>
        </is>
      </c>
      <c r="D12808" t="inlineStr">
        <is>
          <t>-941K7.6</t>
        </is>
      </c>
      <c r="E12808" t="inlineStr">
        <is>
          <t>DILA-40</t>
        </is>
      </c>
      <c r="F12808" t="inlineStr">
        <is>
          <t>DILA-XHIC40</t>
        </is>
      </c>
      <c r="G12808" t="inlineStr">
        <is>
          <t>HILFSSCHUETZ</t>
        </is>
      </c>
      <c r="H12808" t="inlineStr">
        <is>
          <t>4S Federzugkl.</t>
        </is>
      </c>
      <c r="I12808">
        <v>1457</v>
      </c>
      <c r="J12808">
        <f>GS12/941.6</f>
        <v>0</v>
      </c>
      <c r="M12808" t="inlineStr">
        <is>
          <t>-941K7.6</t>
        </is>
      </c>
    </row>
    <row r="12809">
      <c r="A12809">
        <v>12808</v>
      </c>
      <c r="B12809">
        <f>GS12</f>
        <v>0</v>
      </c>
      <c r="C12809" t="inlineStr">
        <is>
          <t>+ES6</t>
        </is>
      </c>
      <c r="D12809" t="inlineStr">
        <is>
          <t>-941K7.6</t>
        </is>
      </c>
      <c r="E12809" t="inlineStr">
        <is>
          <t>DILA-XHIC40</t>
        </is>
      </c>
      <c r="F12809" t="inlineStr">
        <is>
          <t>DILA-XHIC40</t>
        </is>
      </c>
      <c r="G12809" t="inlineStr">
        <is>
          <t>HILFSKONTAKTBLOCK</t>
        </is>
      </c>
      <c r="H12809" t="inlineStr">
        <is>
          <t>4S Last+Hilfssch. Cage</t>
        </is>
      </c>
      <c r="I12809">
        <v>1457</v>
      </c>
      <c r="J12809">
        <f>GS12/941.6</f>
        <v>0</v>
      </c>
      <c r="M12809" t="inlineStr">
        <is>
          <t>-941K7.6</t>
        </is>
      </c>
    </row>
    <row r="12810">
      <c r="A12810">
        <v>12809</v>
      </c>
      <c r="B12810">
        <f>GC22</f>
        <v>0</v>
      </c>
      <c r="C12810" t="inlineStr">
        <is>
          <t>+ES6</t>
        </is>
      </c>
      <c r="D12810" t="inlineStr">
        <is>
          <t>-941K7.7</t>
        </is>
      </c>
      <c r="E12810" t="inlineStr">
        <is>
          <t>DILA-40</t>
        </is>
      </c>
      <c r="F12810" t="inlineStr">
        <is>
          <t>DILA-XHIC40</t>
        </is>
      </c>
      <c r="G12810" t="inlineStr">
        <is>
          <t>HILFSSCHUETZ</t>
        </is>
      </c>
      <c r="H12810" t="inlineStr">
        <is>
          <t>4S Federzugkl.</t>
        </is>
      </c>
      <c r="I12810">
        <v>200</v>
      </c>
      <c r="J12810">
        <f>GC22/941.6</f>
        <v>0</v>
      </c>
      <c r="M12810" t="inlineStr">
        <is>
          <t>-941K7.7</t>
        </is>
      </c>
    </row>
    <row r="12811">
      <c r="A12811">
        <v>12810</v>
      </c>
      <c r="B12811">
        <f>GC22</f>
        <v>0</v>
      </c>
      <c r="C12811" t="inlineStr">
        <is>
          <t>+ES6</t>
        </is>
      </c>
      <c r="D12811" t="inlineStr">
        <is>
          <t>-941K7.7</t>
        </is>
      </c>
      <c r="E12811" t="inlineStr">
        <is>
          <t>DILA-XHIC40</t>
        </is>
      </c>
      <c r="F12811" t="inlineStr">
        <is>
          <t>DILA-XHIC40</t>
        </is>
      </c>
      <c r="G12811" t="inlineStr">
        <is>
          <t>HILFSKONTAKTBLOCK</t>
        </is>
      </c>
      <c r="H12811" t="inlineStr">
        <is>
          <t>4S Last+Hilfssch. Cage</t>
        </is>
      </c>
      <c r="I12811">
        <v>200</v>
      </c>
      <c r="J12811">
        <f>GC22/941.6</f>
        <v>0</v>
      </c>
      <c r="M12811" t="inlineStr">
        <is>
          <t>-941K7.7</t>
        </is>
      </c>
    </row>
    <row r="12812">
      <c r="A12812">
        <v>12811</v>
      </c>
      <c r="B12812">
        <f>GS12</f>
        <v>0</v>
      </c>
      <c r="C12812" t="inlineStr">
        <is>
          <t>+ES6</t>
        </is>
      </c>
      <c r="D12812" t="inlineStr">
        <is>
          <t>-941K7.7</t>
        </is>
      </c>
      <c r="E12812" t="inlineStr">
        <is>
          <t>DILA-40</t>
        </is>
      </c>
      <c r="F12812" t="inlineStr">
        <is>
          <t>DILA-XHIC40</t>
        </is>
      </c>
      <c r="G12812" t="inlineStr">
        <is>
          <t>HILFSSCHUETZ</t>
        </is>
      </c>
      <c r="H12812" t="inlineStr">
        <is>
          <t>4S Federzugkl.</t>
        </is>
      </c>
      <c r="I12812">
        <v>1457</v>
      </c>
      <c r="J12812">
        <f>GS12/941.6</f>
        <v>0</v>
      </c>
      <c r="M12812" t="inlineStr">
        <is>
          <t>-941K7.7</t>
        </is>
      </c>
    </row>
    <row r="12813">
      <c r="A12813">
        <v>12812</v>
      </c>
      <c r="B12813">
        <f>GS12</f>
        <v>0</v>
      </c>
      <c r="C12813" t="inlineStr">
        <is>
          <t>+ES6</t>
        </is>
      </c>
      <c r="D12813" t="inlineStr">
        <is>
          <t>-941K7.7</t>
        </is>
      </c>
      <c r="E12813" t="inlineStr">
        <is>
          <t>DILA-XHIC40</t>
        </is>
      </c>
      <c r="F12813" t="inlineStr">
        <is>
          <t>DILA-XHIC40</t>
        </is>
      </c>
      <c r="G12813" t="inlineStr">
        <is>
          <t>HILFSKONTAKTBLOCK</t>
        </is>
      </c>
      <c r="H12813" t="inlineStr">
        <is>
          <t>4S Last+Hilfssch. Cage</t>
        </is>
      </c>
      <c r="I12813">
        <v>1457</v>
      </c>
      <c r="J12813">
        <f>GS12/941.6</f>
        <v>0</v>
      </c>
      <c r="M12813" t="inlineStr">
        <is>
          <t>-941K7.7</t>
        </is>
      </c>
    </row>
    <row r="12814">
      <c r="A12814">
        <v>12813</v>
      </c>
      <c r="B12814">
        <f>GS05</f>
        <v>0</v>
      </c>
      <c r="C12814" t="inlineStr">
        <is>
          <t>+LS15</t>
        </is>
      </c>
      <c r="D12814" t="inlineStr">
        <is>
          <t>-941K714.2</t>
        </is>
      </c>
      <c r="E12814" t="inlineStr">
        <is>
          <t>DILA-31</t>
        </is>
      </c>
      <c r="F12814" t="inlineStr">
        <is>
          <t>#KALK!</t>
        </is>
      </c>
      <c r="G12814" t="inlineStr">
        <is>
          <t>HILFSSCHUETZ</t>
        </is>
      </c>
      <c r="H12814" t="inlineStr">
        <is>
          <t>3S 1Oe Federzugkl.</t>
        </is>
      </c>
      <c r="I12814">
        <v>2869</v>
      </c>
      <c r="J12814">
        <f>GS05/941.2</f>
        <v>0</v>
      </c>
      <c r="M12814" t="inlineStr">
        <is>
          <t>-941K714.2</t>
        </is>
      </c>
    </row>
    <row r="12815">
      <c r="A12815">
        <v>12814</v>
      </c>
      <c r="B12815">
        <f>GS05</f>
        <v>0</v>
      </c>
      <c r="C12815" t="inlineStr">
        <is>
          <t>+LS15</t>
        </is>
      </c>
      <c r="D12815" t="inlineStr">
        <is>
          <t>-941K714.3</t>
        </is>
      </c>
      <c r="E12815" t="inlineStr">
        <is>
          <t>DILM-9-10</t>
        </is>
      </c>
      <c r="F12815" t="inlineStr">
        <is>
          <t>#KALK!</t>
        </is>
      </c>
      <c r="G12815" t="inlineStr">
        <is>
          <t>LASTSCHUETZ</t>
        </is>
      </c>
      <c r="H12815" t="inlineStr">
        <is>
          <t>4kW 1S Federzugkl.</t>
        </is>
      </c>
      <c r="I12815">
        <v>2869</v>
      </c>
      <c r="J12815">
        <f>GS05/941.3</f>
        <v>0</v>
      </c>
      <c r="M12815" t="inlineStr">
        <is>
          <t>-941K714.3</t>
        </is>
      </c>
    </row>
    <row r="12816">
      <c r="A12816">
        <v>12815</v>
      </c>
      <c r="B12816">
        <f>GC22</f>
        <v>0</v>
      </c>
      <c r="C12816" t="inlineStr">
        <is>
          <t>+ES6</t>
        </is>
      </c>
      <c r="D12816" t="inlineStr">
        <is>
          <t>-942K3842.2</t>
        </is>
      </c>
      <c r="E12816" t="inlineStr">
        <is>
          <t>DILA-31</t>
        </is>
      </c>
      <c r="F12816" t="inlineStr">
        <is>
          <t>#KALK!</t>
        </is>
      </c>
      <c r="G12816" t="inlineStr">
        <is>
          <t>HILFSSCHUETZ</t>
        </is>
      </c>
      <c r="H12816" t="inlineStr">
        <is>
          <t>3S 1Oe Federzugkl.</t>
        </is>
      </c>
      <c r="I12816">
        <v>309</v>
      </c>
      <c r="J12816">
        <f>GC22/942.6</f>
        <v>0</v>
      </c>
      <c r="M12816" t="inlineStr">
        <is>
          <t>-942K3842.2</t>
        </is>
      </c>
    </row>
    <row r="12817">
      <c r="A12817">
        <v>12816</v>
      </c>
      <c r="B12817">
        <f>GS12</f>
        <v>0</v>
      </c>
      <c r="C12817" t="inlineStr">
        <is>
          <t>+ES6</t>
        </is>
      </c>
      <c r="D12817" t="inlineStr">
        <is>
          <t>-942K3842.2</t>
        </is>
      </c>
      <c r="E12817" t="inlineStr">
        <is>
          <t>DILA-31</t>
        </is>
      </c>
      <c r="F12817" t="inlineStr">
        <is>
          <t>#KALK!</t>
        </is>
      </c>
      <c r="G12817" t="inlineStr">
        <is>
          <t>HILFSSCHUETZ</t>
        </is>
      </c>
      <c r="H12817" t="inlineStr">
        <is>
          <t>3S 1Oe Federzugkl.</t>
        </is>
      </c>
      <c r="I12817">
        <v>1458</v>
      </c>
      <c r="J12817">
        <f>GS12/942.6</f>
        <v>0</v>
      </c>
      <c r="M12817" t="inlineStr">
        <is>
          <t>-942K3842.2</t>
        </is>
      </c>
    </row>
    <row r="12818">
      <c r="A12818">
        <v>12817</v>
      </c>
      <c r="B12818">
        <f>GS34</f>
        <v>0</v>
      </c>
      <c r="C12818" t="inlineStr">
        <is>
          <t>+LS12</t>
        </is>
      </c>
      <c r="D12818" t="inlineStr">
        <is>
          <t>-943K1</t>
        </is>
      </c>
      <c r="E12818" t="inlineStr">
        <is>
          <t>DILM40(230V50HZ)</t>
        </is>
      </c>
      <c r="F12818" t="inlineStr">
        <is>
          <t>DILM150-XHIC40</t>
        </is>
      </c>
      <c r="G12818" t="inlineStr">
        <is>
          <t>LASTSCHUETZ</t>
        </is>
      </c>
      <c r="H12818" t="inlineStr">
        <is>
          <t>18,5kW Schraubkl.</t>
        </is>
      </c>
      <c r="I12818">
        <v>1507</v>
      </c>
      <c r="J12818">
        <f>GS34/943.4</f>
        <v>0</v>
      </c>
      <c r="K12818" t="inlineStr">
        <is>
          <t>DILM40</t>
        </is>
      </c>
      <c r="M12818" t="inlineStr">
        <is>
          <t>-943K1</t>
        </is>
      </c>
    </row>
    <row r="12819">
      <c r="A12819">
        <v>12818</v>
      </c>
      <c r="B12819">
        <f>GS34</f>
        <v>0</v>
      </c>
      <c r="C12819" t="inlineStr">
        <is>
          <t>+LS12</t>
        </is>
      </c>
      <c r="D12819" t="inlineStr">
        <is>
          <t>-943K1</t>
        </is>
      </c>
      <c r="E12819" t="inlineStr">
        <is>
          <t>DILM150-XHIC40</t>
        </is>
      </c>
      <c r="F12819" t="inlineStr">
        <is>
          <t>DILM150-XHIC40</t>
        </is>
      </c>
      <c r="G12819" t="inlineStr">
        <is>
          <t>HILFSKONTAKTBLOCK</t>
        </is>
      </c>
      <c r="H12819" t="inlineStr">
        <is>
          <t>4S ab DILMC40</t>
        </is>
      </c>
      <c r="I12819">
        <v>1507</v>
      </c>
      <c r="J12819">
        <f>GS34/943.4</f>
        <v>0</v>
      </c>
      <c r="K12819" t="inlineStr">
        <is>
          <t>DILM40</t>
        </is>
      </c>
      <c r="M12819" t="inlineStr">
        <is>
          <t>-943K1</t>
        </is>
      </c>
    </row>
    <row r="12820">
      <c r="A12820">
        <v>12819</v>
      </c>
      <c r="B12820">
        <f>GS06</f>
        <v>0</v>
      </c>
      <c r="C12820" t="inlineStr">
        <is>
          <t>+LS14</t>
        </is>
      </c>
      <c r="D12820" t="inlineStr">
        <is>
          <t>-944K1</t>
        </is>
      </c>
      <c r="E12820" t="inlineStr">
        <is>
          <t>DILM-9-01</t>
        </is>
      </c>
      <c r="F12820" t="inlineStr">
        <is>
          <t>#KALK!</t>
        </is>
      </c>
      <c r="G12820" t="inlineStr">
        <is>
          <t>LASTSCHUETZ</t>
        </is>
      </c>
      <c r="H12820" t="inlineStr">
        <is>
          <t>4kW 1Oe Federzugkl.</t>
        </is>
      </c>
      <c r="I12820">
        <v>2652</v>
      </c>
      <c r="J12820">
        <f>GS06/944.6</f>
        <v>0</v>
      </c>
      <c r="M12820" t="inlineStr">
        <is>
          <t>-944K1</t>
        </is>
      </c>
    </row>
    <row r="12821">
      <c r="A12821">
        <v>12820</v>
      </c>
      <c r="B12821">
        <f>GS06</f>
        <v>0</v>
      </c>
      <c r="C12821" t="inlineStr">
        <is>
          <t>+LS14</t>
        </is>
      </c>
      <c r="D12821" t="inlineStr">
        <is>
          <t>-944K2</t>
        </is>
      </c>
      <c r="E12821" t="inlineStr">
        <is>
          <t>DILM-9-01</t>
        </is>
      </c>
      <c r="F12821" t="inlineStr">
        <is>
          <t>#KALK!</t>
        </is>
      </c>
      <c r="G12821" t="inlineStr">
        <is>
          <t>LASTSCHUETZ</t>
        </is>
      </c>
      <c r="H12821" t="inlineStr">
        <is>
          <t>4kW 1Oe Federzugkl.</t>
        </is>
      </c>
      <c r="I12821">
        <v>2652</v>
      </c>
      <c r="J12821">
        <f>GS06/944.7</f>
        <v>0</v>
      </c>
      <c r="M12821" t="inlineStr">
        <is>
          <t>-944K2</t>
        </is>
      </c>
    </row>
    <row r="12822">
      <c r="A12822">
        <v>12821</v>
      </c>
      <c r="B12822">
        <f>GS06</f>
        <v>0</v>
      </c>
      <c r="C12822" t="inlineStr">
        <is>
          <t>+LS14</t>
        </is>
      </c>
      <c r="D12822" t="inlineStr">
        <is>
          <t>-945K1</t>
        </is>
      </c>
      <c r="E12822" t="inlineStr">
        <is>
          <t>DILM-9-01</t>
        </is>
      </c>
      <c r="F12822" t="inlineStr">
        <is>
          <t>#KALK!</t>
        </is>
      </c>
      <c r="G12822" t="inlineStr">
        <is>
          <t>LASTSCHUETZ</t>
        </is>
      </c>
      <c r="H12822" t="inlineStr">
        <is>
          <t>4kW 1Oe Federzugkl.</t>
        </is>
      </c>
      <c r="I12822">
        <v>2653</v>
      </c>
      <c r="J12822">
        <f>GS06/945.6</f>
        <v>0</v>
      </c>
      <c r="M12822" t="inlineStr">
        <is>
          <t>-945K1</t>
        </is>
      </c>
    </row>
    <row r="12823">
      <c r="A12823">
        <v>12822</v>
      </c>
      <c r="B12823">
        <f>GS06</f>
        <v>0</v>
      </c>
      <c r="C12823" t="inlineStr">
        <is>
          <t>+LS14</t>
        </is>
      </c>
      <c r="D12823" t="inlineStr">
        <is>
          <t>-945K2</t>
        </is>
      </c>
      <c r="E12823" t="inlineStr">
        <is>
          <t>DILM-9-01</t>
        </is>
      </c>
      <c r="F12823" t="inlineStr">
        <is>
          <t>#KALK!</t>
        </is>
      </c>
      <c r="G12823" t="inlineStr">
        <is>
          <t>LASTSCHUETZ</t>
        </is>
      </c>
      <c r="H12823" t="inlineStr">
        <is>
          <t>4kW 1Oe Federzugkl.</t>
        </is>
      </c>
      <c r="I12823">
        <v>2653</v>
      </c>
      <c r="J12823">
        <f>GS06/945.7</f>
        <v>0</v>
      </c>
      <c r="M12823" t="inlineStr">
        <is>
          <t>-945K2</t>
        </is>
      </c>
    </row>
    <row r="12824">
      <c r="A12824">
        <v>12823</v>
      </c>
      <c r="B12824">
        <f>GS06</f>
        <v>0</v>
      </c>
      <c r="C12824" t="inlineStr">
        <is>
          <t>+LS14</t>
        </is>
      </c>
      <c r="D12824" t="inlineStr">
        <is>
          <t>-946K722.2</t>
        </is>
      </c>
      <c r="E12824" t="inlineStr">
        <is>
          <t>DILA-40</t>
        </is>
      </c>
      <c r="F12824" t="inlineStr">
        <is>
          <t>#KALK!</t>
        </is>
      </c>
      <c r="G12824" t="inlineStr">
        <is>
          <t>HILFSSCHUETZ</t>
        </is>
      </c>
      <c r="H12824" t="inlineStr">
        <is>
          <t>4S Federzugkl.</t>
        </is>
      </c>
      <c r="I12824">
        <v>2654</v>
      </c>
      <c r="J12824">
        <f>GS06/946.7</f>
        <v>0</v>
      </c>
      <c r="M12824" t="inlineStr">
        <is>
          <t>-946K722.2</t>
        </is>
      </c>
    </row>
    <row r="12825">
      <c r="A12825">
        <v>12824</v>
      </c>
      <c r="B12825">
        <f>GS34</f>
        <v>0</v>
      </c>
      <c r="C12825" t="inlineStr">
        <is>
          <t>+LS12</t>
        </is>
      </c>
      <c r="D12825" t="inlineStr">
        <is>
          <t>-948K45.3</t>
        </is>
      </c>
      <c r="E12825" t="inlineStr">
        <is>
          <t>DILMC12-10(24VDC)</t>
        </is>
      </c>
      <c r="F12825" t="inlineStr">
        <is>
          <t>#KALK!</t>
        </is>
      </c>
      <c r="G12825" t="inlineStr">
        <is>
          <t>LASTSCHUETZ</t>
        </is>
      </c>
      <c r="H12825" t="inlineStr">
        <is>
          <t>5,5kW 1S Federzugkl.</t>
        </is>
      </c>
      <c r="I12825">
        <v>1512</v>
      </c>
      <c r="J12825">
        <f>GS34/948.5</f>
        <v>0</v>
      </c>
      <c r="K12825" t="inlineStr">
        <is>
          <t>DIL MC12</t>
        </is>
      </c>
      <c r="M12825" t="inlineStr">
        <is>
          <t>-948K45.3</t>
        </is>
      </c>
    </row>
    <row r="12826">
      <c r="A12826">
        <v>12825</v>
      </c>
      <c r="B12826">
        <f>GS32</f>
        <v>0</v>
      </c>
      <c r="C12826" t="inlineStr">
        <is>
          <t>+LS1</t>
        </is>
      </c>
      <c r="D12826" t="inlineStr">
        <is>
          <t>-94K12.4</t>
        </is>
      </c>
      <c r="E12826" t="inlineStr">
        <is>
          <t>DIL_EM-10-G</t>
        </is>
      </c>
      <c r="F12826" t="inlineStr">
        <is>
          <t>#KALK!</t>
        </is>
      </c>
      <c r="G12826" t="inlineStr">
        <is>
          <t>LASTSCHUETZ</t>
        </is>
      </c>
      <c r="H12826" t="inlineStr">
        <is>
          <t>4kW 1S</t>
        </is>
      </c>
      <c r="I12826">
        <v>894</v>
      </c>
      <c r="J12826">
        <f>GS32/94.6</f>
        <v>0</v>
      </c>
      <c r="M12826" t="inlineStr">
        <is>
          <t>-94K12.4</t>
        </is>
      </c>
    </row>
    <row r="12827">
      <c r="A12827">
        <v>12826</v>
      </c>
      <c r="B12827">
        <f>GS32</f>
        <v>0</v>
      </c>
      <c r="C12827" t="inlineStr">
        <is>
          <t>+LS1</t>
        </is>
      </c>
      <c r="D12827" t="inlineStr">
        <is>
          <t>-94K12.5</t>
        </is>
      </c>
      <c r="E12827" t="inlineStr">
        <is>
          <t>DIL_EM-10-G</t>
        </is>
      </c>
      <c r="F12827" t="inlineStr">
        <is>
          <t>#KALK!</t>
        </is>
      </c>
      <c r="G12827" t="inlineStr">
        <is>
          <t>LASTSCHUETZ</t>
        </is>
      </c>
      <c r="H12827" t="inlineStr">
        <is>
          <t>4kW 1S</t>
        </is>
      </c>
      <c r="I12827">
        <v>894</v>
      </c>
      <c r="J12827">
        <f>GS32/94.6</f>
        <v>0</v>
      </c>
      <c r="M12827" t="inlineStr">
        <is>
          <t>-94K12.5</t>
        </is>
      </c>
    </row>
    <row r="12828">
      <c r="A12828">
        <v>12827</v>
      </c>
      <c r="B12828">
        <f>GS31</f>
        <v>0</v>
      </c>
      <c r="C12828" t="inlineStr">
        <is>
          <t>+LS1</t>
        </is>
      </c>
      <c r="D12828" t="inlineStr">
        <is>
          <t>-94K15.0</t>
        </is>
      </c>
      <c r="E12828" t="inlineStr">
        <is>
          <t>DIL_EM-10-G</t>
        </is>
      </c>
      <c r="F12828" t="inlineStr">
        <is>
          <t>#KALK!</t>
        </is>
      </c>
      <c r="G12828" t="inlineStr">
        <is>
          <t>LASTSCHUETZ</t>
        </is>
      </c>
      <c r="H12828" t="inlineStr">
        <is>
          <t>4kW 1S</t>
        </is>
      </c>
      <c r="I12828">
        <v>377</v>
      </c>
      <c r="J12828">
        <f>GS31/94.7</f>
        <v>0</v>
      </c>
      <c r="M12828" t="inlineStr">
        <is>
          <t>-94K15.0</t>
        </is>
      </c>
    </row>
    <row r="12829">
      <c r="A12829">
        <v>12828</v>
      </c>
      <c r="B12829">
        <f>GS14</f>
        <v>0</v>
      </c>
      <c r="C12829" t="inlineStr">
        <is>
          <t>+LS1</t>
        </is>
      </c>
      <c r="D12829" t="inlineStr">
        <is>
          <t>-94K56.7</t>
        </is>
      </c>
      <c r="E12829" t="inlineStr">
        <is>
          <t>DIL_EM-10-G</t>
        </is>
      </c>
      <c r="F12829" t="inlineStr">
        <is>
          <t>#KALK!</t>
        </is>
      </c>
      <c r="G12829" t="inlineStr">
        <is>
          <t>LASTSCHUETZ</t>
        </is>
      </c>
      <c r="H12829" t="inlineStr">
        <is>
          <t>4kW 1S</t>
        </is>
      </c>
      <c r="I12829">
        <v>220</v>
      </c>
      <c r="J12829">
        <f>GS14/94.6</f>
        <v>0</v>
      </c>
      <c r="M12829" t="inlineStr">
        <is>
          <t>-94K56.7</t>
        </is>
      </c>
    </row>
    <row r="12830">
      <c r="A12830">
        <v>12829</v>
      </c>
      <c r="B12830">
        <f>GS15</f>
        <v>0</v>
      </c>
      <c r="C12830" t="inlineStr">
        <is>
          <t>+LS1</t>
        </is>
      </c>
      <c r="D12830" t="inlineStr">
        <is>
          <t>-94K56.7</t>
        </is>
      </c>
      <c r="E12830" t="inlineStr">
        <is>
          <t>DIL_EM-10-G</t>
        </is>
      </c>
      <c r="F12830" t="inlineStr">
        <is>
          <t>#KALK!</t>
        </is>
      </c>
      <c r="G12830" t="inlineStr">
        <is>
          <t>LASTSCHUETZ</t>
        </is>
      </c>
      <c r="H12830" t="inlineStr">
        <is>
          <t>4kW 1S</t>
        </is>
      </c>
      <c r="I12830">
        <v>581</v>
      </c>
      <c r="J12830">
        <f>GS15/94.6</f>
        <v>0</v>
      </c>
      <c r="M12830" t="inlineStr">
        <is>
          <t>-94K56.7</t>
        </is>
      </c>
    </row>
    <row r="12831">
      <c r="A12831">
        <v>12830</v>
      </c>
      <c r="B12831">
        <f>GS24</f>
        <v>0</v>
      </c>
      <c r="C12831" t="inlineStr">
        <is>
          <t>+LS1</t>
        </is>
      </c>
      <c r="D12831" t="inlineStr">
        <is>
          <t>-94K56.7</t>
        </is>
      </c>
      <c r="E12831" t="inlineStr">
        <is>
          <t>DIL_EM-10-G</t>
        </is>
      </c>
      <c r="F12831" t="inlineStr">
        <is>
          <t>#KALK!</t>
        </is>
      </c>
      <c r="G12831" t="inlineStr">
        <is>
          <t>LASTSCHUETZ</t>
        </is>
      </c>
      <c r="H12831" t="inlineStr">
        <is>
          <t>4kW 1S</t>
        </is>
      </c>
      <c r="I12831">
        <v>985</v>
      </c>
      <c r="J12831">
        <f>GS24/94.6</f>
        <v>0</v>
      </c>
      <c r="M12831" t="inlineStr">
        <is>
          <t>-94K56.7</t>
        </is>
      </c>
    </row>
    <row r="12832">
      <c r="A12832">
        <v>12831</v>
      </c>
      <c r="B12832">
        <f>GS25</f>
        <v>0</v>
      </c>
      <c r="C12832" t="inlineStr">
        <is>
          <t>+LS1</t>
        </is>
      </c>
      <c r="D12832" t="inlineStr">
        <is>
          <t>-94K56.7</t>
        </is>
      </c>
      <c r="E12832" t="inlineStr">
        <is>
          <t>DIL_EM-10-G</t>
        </is>
      </c>
      <c r="F12832" t="inlineStr">
        <is>
          <t>#KALK!</t>
        </is>
      </c>
      <c r="G12832" t="inlineStr">
        <is>
          <t>LASTSCHUETZ</t>
        </is>
      </c>
      <c r="H12832" t="inlineStr">
        <is>
          <t>4kW 1S</t>
        </is>
      </c>
      <c r="I12832">
        <v>215</v>
      </c>
      <c r="J12832">
        <f>GS25/94.6</f>
        <v>0</v>
      </c>
      <c r="M12832" t="inlineStr">
        <is>
          <t>-94K56.7</t>
        </is>
      </c>
    </row>
    <row r="12833">
      <c r="A12833">
        <v>12832</v>
      </c>
      <c r="B12833">
        <f>GS36</f>
        <v>0</v>
      </c>
      <c r="C12833" t="inlineStr">
        <is>
          <t>+LS13</t>
        </is>
      </c>
      <c r="D12833" t="inlineStr">
        <is>
          <t>-1026Q728.1</t>
        </is>
      </c>
      <c r="E12833" t="inlineStr">
        <is>
          <t>DILM-9-10</t>
        </is>
      </c>
      <c r="F12833" t="inlineStr">
        <is>
          <t>#KALK!</t>
        </is>
      </c>
      <c r="G12833" t="inlineStr">
        <is>
          <t>LASTSCHUETZ</t>
        </is>
      </c>
      <c r="H12833" t="inlineStr">
        <is>
          <t>4kW 1S Federzugkl.</t>
        </is>
      </c>
      <c r="I12833">
        <v>1553</v>
      </c>
      <c r="J12833">
        <f>GS36/1026.7</f>
        <v>0</v>
      </c>
      <c r="L12833" t="inlineStr">
        <is>
          <t>SLCh1706</t>
        </is>
      </c>
      <c r="M12833" t="inlineStr">
        <is>
          <t>SLCh1706
-1026Q728.1</t>
        </is>
      </c>
    </row>
    <row r="12834">
      <c r="A12834">
        <v>12833</v>
      </c>
      <c r="B12834">
        <f>GS36</f>
        <v>0</v>
      </c>
      <c r="C12834" t="inlineStr">
        <is>
          <t>+LS13</t>
        </is>
      </c>
      <c r="D12834" t="inlineStr">
        <is>
          <t>-1029K728.2</t>
        </is>
      </c>
      <c r="E12834" t="inlineStr">
        <is>
          <t>DILM-9-10</t>
        </is>
      </c>
      <c r="F12834" t="inlineStr">
        <is>
          <t>#KALK!</t>
        </is>
      </c>
      <c r="G12834" t="inlineStr">
        <is>
          <t>LASTSCHUETZ</t>
        </is>
      </c>
      <c r="H12834" t="inlineStr">
        <is>
          <t>4kW 1S Federzugkl.</t>
        </is>
      </c>
      <c r="I12834">
        <v>1485</v>
      </c>
      <c r="J12834">
        <f>GS36/1029.6</f>
        <v>0</v>
      </c>
      <c r="L12834" t="inlineStr">
        <is>
          <t>HW_3903</t>
        </is>
      </c>
      <c r="M12834" t="inlineStr">
        <is>
          <t>HW_3903
-1029K728.2</t>
        </is>
      </c>
      <c r="N12834" t="inlineStr">
        <is>
          <t>P</t>
        </is>
      </c>
    </row>
    <row r="12835">
      <c r="A12835">
        <v>12834</v>
      </c>
      <c r="B12835">
        <f>GS36</f>
        <v>0</v>
      </c>
      <c r="C12835" t="inlineStr">
        <is>
          <t>+LS11</t>
        </is>
      </c>
      <c r="D12835" t="inlineStr">
        <is>
          <t>-950Q1</t>
        </is>
      </c>
      <c r="E12835" t="inlineStr">
        <is>
          <t>DILA-XHI22</t>
        </is>
      </c>
      <c r="F12835" t="inlineStr">
        <is>
          <t>DILA-XHI22</t>
        </is>
      </c>
      <c r="G12835" t="inlineStr">
        <is>
          <t>HILFSKONTAKTBLOCK</t>
        </is>
      </c>
      <c r="H12835" t="inlineStr">
        <is>
          <t>2S 2OE Last+Hilfssch. Cage</t>
        </is>
      </c>
      <c r="I12835">
        <v>1516</v>
      </c>
      <c r="J12835">
        <f>GS36/950.4</f>
        <v>0</v>
      </c>
      <c r="K12835" t="inlineStr">
        <is>
          <t>DIL MC25</t>
        </is>
      </c>
      <c r="L12835" t="inlineStr">
        <is>
          <t>HVO 37</t>
        </is>
      </c>
      <c r="M12835" t="inlineStr">
        <is>
          <t>HVO 37
-950Q1</t>
        </is>
      </c>
      <c r="N12835" t="inlineStr">
        <is>
          <t>P</t>
        </is>
      </c>
    </row>
    <row r="12836">
      <c r="A12836">
        <v>12835</v>
      </c>
      <c r="B12836">
        <f>GS36</f>
        <v>0</v>
      </c>
      <c r="C12836" t="inlineStr">
        <is>
          <t>+LS11</t>
        </is>
      </c>
      <c r="D12836" t="inlineStr">
        <is>
          <t>-950Q1</t>
        </is>
      </c>
      <c r="E12836" t="inlineStr">
        <is>
          <t>DILMC25-10(RDC24)</t>
        </is>
      </c>
      <c r="F12836" t="inlineStr">
        <is>
          <t>DILA-XHI22</t>
        </is>
      </c>
      <c r="G12836" t="inlineStr">
        <is>
          <t>LASTSCHUETZ</t>
        </is>
      </c>
      <c r="H12836" t="inlineStr">
        <is>
          <t>11kW 1S Federzugkl.</t>
        </is>
      </c>
      <c r="I12836">
        <v>1516</v>
      </c>
      <c r="J12836">
        <f>GS36/950.4</f>
        <v>0</v>
      </c>
      <c r="K12836" t="inlineStr">
        <is>
          <t>DIL MC25</t>
        </is>
      </c>
      <c r="L12836" t="inlineStr">
        <is>
          <t>HVO 37</t>
        </is>
      </c>
      <c r="M12836" t="inlineStr">
        <is>
          <t>HVO 37
-950Q1</t>
        </is>
      </c>
      <c r="N12836" t="inlineStr">
        <is>
          <t>P</t>
        </is>
      </c>
    </row>
    <row r="12837">
      <c r="A12837">
        <v>12836</v>
      </c>
      <c r="B12837">
        <f>GS34</f>
        <v>0</v>
      </c>
      <c r="C12837" t="inlineStr">
        <is>
          <t>+LS12</t>
        </is>
      </c>
      <c r="D12837" t="inlineStr">
        <is>
          <t>-951K45.6</t>
        </is>
      </c>
      <c r="E12837" t="inlineStr">
        <is>
          <t>DILMC12-10(24VDC)</t>
        </is>
      </c>
      <c r="F12837" t="inlineStr">
        <is>
          <t>#KALK!</t>
        </is>
      </c>
      <c r="G12837" t="inlineStr">
        <is>
          <t>LASTSCHUETZ</t>
        </is>
      </c>
      <c r="H12837" t="inlineStr">
        <is>
          <t>5,5kW 1S Federzugkl.</t>
        </is>
      </c>
      <c r="I12837">
        <v>1515</v>
      </c>
      <c r="J12837">
        <f>GS34/951.5</f>
        <v>0</v>
      </c>
      <c r="K12837" t="inlineStr">
        <is>
          <t>DIL MC12</t>
        </is>
      </c>
      <c r="M12837" t="inlineStr">
        <is>
          <t>-951K45.6</t>
        </is>
      </c>
    </row>
    <row r="12838">
      <c r="A12838">
        <v>12837</v>
      </c>
      <c r="B12838">
        <f>GS33</f>
        <v>0</v>
      </c>
      <c r="C12838" t="inlineStr">
        <is>
          <t>+LS11</t>
        </is>
      </c>
      <c r="D12838" t="inlineStr">
        <is>
          <t>-955K1</t>
        </is>
      </c>
      <c r="E12838" t="inlineStr">
        <is>
          <t>DIL_2AM</t>
        </is>
      </c>
      <c r="F12838" t="inlineStr">
        <is>
          <t>22_DIL-M</t>
        </is>
      </c>
      <c r="G12838" t="inlineStr">
        <is>
          <t>LASTSCHUETZ</t>
        </is>
      </c>
      <c r="H12838" t="inlineStr">
        <is>
          <t>30 kW</t>
        </is>
      </c>
      <c r="I12838">
        <v>1408</v>
      </c>
      <c r="J12838">
        <f>GS33/955.2</f>
        <v>0</v>
      </c>
      <c r="K12838" t="inlineStr">
        <is>
          <t>DIL2AM</t>
        </is>
      </c>
      <c r="M12838" t="inlineStr">
        <is>
          <t>-955K1</t>
        </is>
      </c>
    </row>
    <row r="12839">
      <c r="A12839">
        <v>12838</v>
      </c>
      <c r="B12839">
        <f>GS33</f>
        <v>0</v>
      </c>
      <c r="C12839" t="inlineStr">
        <is>
          <t>+LS11</t>
        </is>
      </c>
      <c r="D12839" t="inlineStr">
        <is>
          <t>-955K1</t>
        </is>
      </c>
      <c r="E12839" t="inlineStr">
        <is>
          <t>22_DIL-M</t>
        </is>
      </c>
      <c r="F12839" t="inlineStr">
        <is>
          <t>22_DIL-M</t>
        </is>
      </c>
      <c r="G12839" t="inlineStr">
        <is>
          <t>HILFSKONTAKTBLOCK</t>
        </is>
      </c>
      <c r="H12839" t="inlineStr">
        <is>
          <t>2S 2OE Lastschuetz DIL M</t>
        </is>
      </c>
      <c r="I12839">
        <v>1408</v>
      </c>
      <c r="J12839">
        <f>GS33/955.2</f>
        <v>0</v>
      </c>
      <c r="K12839" t="inlineStr">
        <is>
          <t>DIL2AM</t>
        </is>
      </c>
      <c r="M12839" t="inlineStr">
        <is>
          <t>-955K1</t>
        </is>
      </c>
    </row>
    <row r="12840">
      <c r="A12840">
        <v>12839</v>
      </c>
      <c r="B12840">
        <f>GS33</f>
        <v>0</v>
      </c>
      <c r="C12840" t="inlineStr">
        <is>
          <t>+LS11</t>
        </is>
      </c>
      <c r="D12840" t="inlineStr">
        <is>
          <t>-955K2</t>
        </is>
      </c>
      <c r="E12840" t="inlineStr">
        <is>
          <t>DIL_0AM</t>
        </is>
      </c>
      <c r="F12840" t="inlineStr">
        <is>
          <t>22_DIL-M</t>
        </is>
      </c>
      <c r="G12840" t="inlineStr">
        <is>
          <t>LASTSCHUETZ</t>
        </is>
      </c>
      <c r="H12840" t="inlineStr">
        <is>
          <t>11 kW</t>
        </is>
      </c>
      <c r="I12840">
        <v>1408</v>
      </c>
      <c r="J12840">
        <f>GS33/955.3</f>
        <v>0</v>
      </c>
      <c r="K12840" t="inlineStr">
        <is>
          <t>DIL0AM</t>
        </is>
      </c>
      <c r="M12840" t="inlineStr">
        <is>
          <t>-955K2</t>
        </is>
      </c>
    </row>
    <row r="12841">
      <c r="A12841">
        <v>12840</v>
      </c>
      <c r="B12841">
        <f>GS33</f>
        <v>0</v>
      </c>
      <c r="C12841" t="inlineStr">
        <is>
          <t>+LS11</t>
        </is>
      </c>
      <c r="D12841" t="inlineStr">
        <is>
          <t>-955K2</t>
        </is>
      </c>
      <c r="E12841" t="inlineStr">
        <is>
          <t>22_DIL-M</t>
        </is>
      </c>
      <c r="F12841" t="inlineStr">
        <is>
          <t>22_DIL-M</t>
        </is>
      </c>
      <c r="G12841" t="inlineStr">
        <is>
          <t>HILFSKONTAKTBLOCK</t>
        </is>
      </c>
      <c r="H12841" t="inlineStr">
        <is>
          <t>2S 2OE Lastschuetz DIL M</t>
        </is>
      </c>
      <c r="I12841">
        <v>1408</v>
      </c>
      <c r="J12841">
        <f>GS33/955.3</f>
        <v>0</v>
      </c>
      <c r="K12841" t="inlineStr">
        <is>
          <t>DIL0AM</t>
        </is>
      </c>
      <c r="M12841" t="inlineStr">
        <is>
          <t>-955K2</t>
        </is>
      </c>
    </row>
    <row r="12842">
      <c r="A12842">
        <v>12841</v>
      </c>
      <c r="B12842">
        <f>GS36</f>
        <v>0</v>
      </c>
      <c r="C12842" t="inlineStr">
        <is>
          <t>+LS13</t>
        </is>
      </c>
      <c r="D12842" t="inlineStr">
        <is>
          <t>-1029K728.3</t>
        </is>
      </c>
      <c r="E12842" t="inlineStr">
        <is>
          <t>DILA-22</t>
        </is>
      </c>
      <c r="F12842" t="inlineStr">
        <is>
          <t>#KALK!</t>
        </is>
      </c>
      <c r="G12842" t="inlineStr">
        <is>
          <t>HILFSSCHUETZ</t>
        </is>
      </c>
      <c r="H12842" t="inlineStr">
        <is>
          <t>2S 2Oe Federzugkl.</t>
        </is>
      </c>
      <c r="I12842">
        <v>1485</v>
      </c>
      <c r="J12842">
        <f>GS36/1029.7</f>
        <v>0</v>
      </c>
      <c r="M12842" t="inlineStr">
        <is>
          <t>-1029K728.3</t>
        </is>
      </c>
    </row>
    <row r="12843">
      <c r="A12843">
        <v>12842</v>
      </c>
      <c r="B12843">
        <f>GS33</f>
        <v>0</v>
      </c>
      <c r="C12843" t="inlineStr">
        <is>
          <t>+LS11</t>
        </is>
      </c>
      <c r="D12843" t="inlineStr">
        <is>
          <t>-957K60.0</t>
        </is>
      </c>
      <c r="E12843" t="inlineStr">
        <is>
          <t>DIL_EM-10-G</t>
        </is>
      </c>
      <c r="F12843" t="inlineStr">
        <is>
          <t>#KALK!</t>
        </is>
      </c>
      <c r="G12843" t="inlineStr">
        <is>
          <t>LASTSCHUETZ</t>
        </is>
      </c>
      <c r="H12843" t="inlineStr">
        <is>
          <t>4kW 1S</t>
        </is>
      </c>
      <c r="I12843">
        <v>1410</v>
      </c>
      <c r="J12843">
        <f>GS33/957.6</f>
        <v>0</v>
      </c>
      <c r="M12843" t="inlineStr">
        <is>
          <t>-957K60.0</t>
        </is>
      </c>
    </row>
    <row r="12844">
      <c r="A12844">
        <v>12843</v>
      </c>
      <c r="B12844">
        <f>GS33</f>
        <v>0</v>
      </c>
      <c r="C12844" t="inlineStr">
        <is>
          <t>+LS11</t>
        </is>
      </c>
      <c r="D12844" t="inlineStr">
        <is>
          <t>-957K60.1</t>
        </is>
      </c>
      <c r="E12844" t="inlineStr">
        <is>
          <t>DIL_EM-10-G</t>
        </is>
      </c>
      <c r="F12844" t="inlineStr">
        <is>
          <t>#KALK!</t>
        </is>
      </c>
      <c r="G12844" t="inlineStr">
        <is>
          <t>LASTSCHUETZ</t>
        </is>
      </c>
      <c r="H12844" t="inlineStr">
        <is>
          <t>4kW 1S</t>
        </is>
      </c>
      <c r="I12844">
        <v>1410</v>
      </c>
      <c r="J12844">
        <f>GS33/957.6</f>
        <v>0</v>
      </c>
      <c r="M12844" t="inlineStr">
        <is>
          <t>-957K60.1</t>
        </is>
      </c>
    </row>
    <row r="12845">
      <c r="A12845">
        <v>12844</v>
      </c>
      <c r="B12845">
        <f>GS33</f>
        <v>0</v>
      </c>
      <c r="C12845" t="inlineStr">
        <is>
          <t>+LS11</t>
        </is>
      </c>
      <c r="D12845" t="inlineStr">
        <is>
          <t>-958K60.5</t>
        </is>
      </c>
      <c r="E12845" t="inlineStr">
        <is>
          <t>DIL_EM-10-G</t>
        </is>
      </c>
      <c r="F12845" t="inlineStr">
        <is>
          <t>#KALK!</t>
        </is>
      </c>
      <c r="G12845" t="inlineStr">
        <is>
          <t>LASTSCHUETZ</t>
        </is>
      </c>
      <c r="H12845" t="inlineStr">
        <is>
          <t>4kW 1S</t>
        </is>
      </c>
      <c r="I12845">
        <v>1411</v>
      </c>
      <c r="J12845">
        <f>GS33/958.7</f>
        <v>0</v>
      </c>
      <c r="M12845" t="inlineStr">
        <is>
          <t>-958K60.5</t>
        </is>
      </c>
    </row>
    <row r="12846">
      <c r="A12846">
        <v>12845</v>
      </c>
      <c r="B12846">
        <f>GS33</f>
        <v>0</v>
      </c>
      <c r="C12846" t="inlineStr">
        <is>
          <t>+LS11</t>
        </is>
      </c>
      <c r="D12846" t="inlineStr">
        <is>
          <t>-959K61.0</t>
        </is>
      </c>
      <c r="E12846" t="inlineStr">
        <is>
          <t>DIL_EM-10-G</t>
        </is>
      </c>
      <c r="F12846" t="inlineStr">
        <is>
          <t>#KALK!</t>
        </is>
      </c>
      <c r="G12846" t="inlineStr">
        <is>
          <t>LASTSCHUETZ</t>
        </is>
      </c>
      <c r="H12846" t="inlineStr">
        <is>
          <t>4kW 1S</t>
        </is>
      </c>
      <c r="I12846">
        <v>1412</v>
      </c>
      <c r="J12846">
        <f>GS33/959.6</f>
        <v>0</v>
      </c>
      <c r="M12846" t="inlineStr">
        <is>
          <t>-959K61.0</t>
        </is>
      </c>
    </row>
    <row r="12847">
      <c r="A12847">
        <v>12846</v>
      </c>
      <c r="B12847">
        <f>GS33</f>
        <v>0</v>
      </c>
      <c r="C12847" t="inlineStr">
        <is>
          <t>+LS11</t>
        </is>
      </c>
      <c r="D12847" t="inlineStr">
        <is>
          <t>-959K61.1</t>
        </is>
      </c>
      <c r="E12847" t="inlineStr">
        <is>
          <t>DIL_EM-10-G</t>
        </is>
      </c>
      <c r="F12847" t="inlineStr">
        <is>
          <t>#KALK!</t>
        </is>
      </c>
      <c r="G12847" t="inlineStr">
        <is>
          <t>LASTSCHUETZ</t>
        </is>
      </c>
      <c r="H12847" t="inlineStr">
        <is>
          <t>4kW 1S</t>
        </is>
      </c>
      <c r="I12847">
        <v>1412</v>
      </c>
      <c r="J12847">
        <f>GS33/959.6</f>
        <v>0</v>
      </c>
      <c r="M12847" t="inlineStr">
        <is>
          <t>-959K61.1</t>
        </is>
      </c>
    </row>
    <row r="12848">
      <c r="A12848">
        <v>12847</v>
      </c>
      <c r="B12848">
        <f>GC03</f>
        <v>0</v>
      </c>
      <c r="C12848" t="inlineStr">
        <is>
          <t>+LS1</t>
        </is>
      </c>
      <c r="D12848" t="inlineStr">
        <is>
          <t>-95K1</t>
        </is>
      </c>
      <c r="E12848" t="inlineStr">
        <is>
          <t>22_DIL-M</t>
        </is>
      </c>
      <c r="F12848" t="inlineStr">
        <is>
          <t>22_DIL-M</t>
        </is>
      </c>
      <c r="G12848" t="inlineStr">
        <is>
          <t>HILFSKONTAKTBLOCK</t>
        </is>
      </c>
      <c r="H12848" t="inlineStr">
        <is>
          <t>2S 2OE Lastschuetz DIL M</t>
        </is>
      </c>
      <c r="I12848">
        <v>2194</v>
      </c>
      <c r="J12848">
        <f>GC03/95.2</f>
        <v>0</v>
      </c>
      <c r="K12848" t="inlineStr">
        <is>
          <t>DIL0AM</t>
        </is>
      </c>
      <c r="M12848" t="inlineStr">
        <is>
          <t>-95K1</t>
        </is>
      </c>
    </row>
    <row r="12849">
      <c r="A12849">
        <v>12848</v>
      </c>
      <c r="B12849">
        <f>GC03</f>
        <v>0</v>
      </c>
      <c r="C12849" t="inlineStr">
        <is>
          <t>+LS1</t>
        </is>
      </c>
      <c r="D12849" t="inlineStr">
        <is>
          <t>-95K1</t>
        </is>
      </c>
      <c r="E12849" t="inlineStr">
        <is>
          <t>DIL_0AM</t>
        </is>
      </c>
      <c r="F12849" t="inlineStr">
        <is>
          <t>22_DIL-M</t>
        </is>
      </c>
      <c r="G12849" t="inlineStr">
        <is>
          <t>LASTSCHUETZ</t>
        </is>
      </c>
      <c r="H12849" t="inlineStr">
        <is>
          <t>11 kW</t>
        </is>
      </c>
      <c r="I12849">
        <v>2194</v>
      </c>
      <c r="J12849">
        <f>GC03/95.2</f>
        <v>0</v>
      </c>
      <c r="K12849" t="inlineStr">
        <is>
          <t>DIL0AM</t>
        </is>
      </c>
      <c r="M12849" t="inlineStr">
        <is>
          <t>-95K1</t>
        </is>
      </c>
    </row>
    <row r="12850">
      <c r="A12850">
        <v>12849</v>
      </c>
      <c r="B12850">
        <f>GS32</f>
        <v>0</v>
      </c>
      <c r="C12850" t="inlineStr">
        <is>
          <t>+LS1</t>
        </is>
      </c>
      <c r="D12850" t="inlineStr">
        <is>
          <t>-95K12.6</t>
        </is>
      </c>
      <c r="E12850" t="inlineStr">
        <is>
          <t>DIL_EM-10-G</t>
        </is>
      </c>
      <c r="F12850" t="inlineStr">
        <is>
          <t>#KALK!</t>
        </is>
      </c>
      <c r="G12850" t="inlineStr">
        <is>
          <t>LASTSCHUETZ</t>
        </is>
      </c>
      <c r="H12850" t="inlineStr">
        <is>
          <t>4kW 1S</t>
        </is>
      </c>
      <c r="I12850">
        <v>896</v>
      </c>
      <c r="J12850">
        <f>GS32/95.6</f>
        <v>0</v>
      </c>
      <c r="M12850" t="inlineStr">
        <is>
          <t>-95K12.6</t>
        </is>
      </c>
    </row>
    <row r="12851">
      <c r="A12851">
        <v>12850</v>
      </c>
      <c r="B12851">
        <f>GS32</f>
        <v>0</v>
      </c>
      <c r="C12851" t="inlineStr">
        <is>
          <t>+LS1</t>
        </is>
      </c>
      <c r="D12851" t="inlineStr">
        <is>
          <t>-95K12.7</t>
        </is>
      </c>
      <c r="E12851" t="inlineStr">
        <is>
          <t>DIL_EM-10-G</t>
        </is>
      </c>
      <c r="F12851" t="inlineStr">
        <is>
          <t>#KALK!</t>
        </is>
      </c>
      <c r="G12851" t="inlineStr">
        <is>
          <t>LASTSCHUETZ</t>
        </is>
      </c>
      <c r="H12851" t="inlineStr">
        <is>
          <t>4kW 1S</t>
        </is>
      </c>
      <c r="I12851">
        <v>896</v>
      </c>
      <c r="J12851">
        <f>GS32/95.6</f>
        <v>0</v>
      </c>
      <c r="M12851" t="inlineStr">
        <is>
          <t>-95K12.7</t>
        </is>
      </c>
    </row>
    <row r="12852">
      <c r="A12852">
        <v>12851</v>
      </c>
      <c r="B12852">
        <f>GS31</f>
        <v>0</v>
      </c>
      <c r="C12852" t="inlineStr">
        <is>
          <t>+LS1</t>
        </is>
      </c>
      <c r="D12852" t="inlineStr">
        <is>
          <t>-95K15.1</t>
        </is>
      </c>
      <c r="E12852" t="inlineStr">
        <is>
          <t>DIL_EM-10-G</t>
        </is>
      </c>
      <c r="F12852" t="inlineStr">
        <is>
          <t>#KALK!</t>
        </is>
      </c>
      <c r="G12852" t="inlineStr">
        <is>
          <t>LASTSCHUETZ</t>
        </is>
      </c>
      <c r="H12852" t="inlineStr">
        <is>
          <t>4kW 1S</t>
        </is>
      </c>
      <c r="I12852">
        <v>378</v>
      </c>
      <c r="J12852">
        <f>GS31/95.6</f>
        <v>0</v>
      </c>
      <c r="M12852" t="inlineStr">
        <is>
          <t>-95K15.1</t>
        </is>
      </c>
    </row>
    <row r="12853">
      <c r="A12853">
        <v>12852</v>
      </c>
      <c r="B12853">
        <f>GS14</f>
        <v>0</v>
      </c>
      <c r="C12853" t="inlineStr">
        <is>
          <t>+LS1</t>
        </is>
      </c>
      <c r="D12853" t="inlineStr">
        <is>
          <t>-95K57.3</t>
        </is>
      </c>
      <c r="E12853" t="inlineStr">
        <is>
          <t>DIL_EM-10-G</t>
        </is>
      </c>
      <c r="F12853" t="inlineStr">
        <is>
          <t>#KALK!</t>
        </is>
      </c>
      <c r="G12853" t="inlineStr">
        <is>
          <t>LASTSCHUETZ</t>
        </is>
      </c>
      <c r="H12853" t="inlineStr">
        <is>
          <t>4kW 1S</t>
        </is>
      </c>
      <c r="I12853">
        <v>221</v>
      </c>
      <c r="J12853">
        <f>GS14/95.7</f>
        <v>0</v>
      </c>
      <c r="M12853" t="inlineStr">
        <is>
          <t>-95K57.3</t>
        </is>
      </c>
    </row>
    <row r="12854">
      <c r="A12854">
        <v>12853</v>
      </c>
      <c r="B12854">
        <f>GS15</f>
        <v>0</v>
      </c>
      <c r="C12854" t="inlineStr">
        <is>
          <t>+LS1</t>
        </is>
      </c>
      <c r="D12854" t="inlineStr">
        <is>
          <t>-95K57.3</t>
        </is>
      </c>
      <c r="E12854" t="inlineStr">
        <is>
          <t>DIL_EM-10-G</t>
        </is>
      </c>
      <c r="F12854" t="inlineStr">
        <is>
          <t>#KALK!</t>
        </is>
      </c>
      <c r="G12854" t="inlineStr">
        <is>
          <t>LASTSCHUETZ</t>
        </is>
      </c>
      <c r="H12854" t="inlineStr">
        <is>
          <t>4kW 1S</t>
        </is>
      </c>
      <c r="I12854">
        <v>582</v>
      </c>
      <c r="J12854">
        <f>GS15/95.7</f>
        <v>0</v>
      </c>
      <c r="M12854" t="inlineStr">
        <is>
          <t>-95K57.3</t>
        </is>
      </c>
    </row>
    <row r="12855">
      <c r="A12855">
        <v>12854</v>
      </c>
      <c r="B12855">
        <f>GS24</f>
        <v>0</v>
      </c>
      <c r="C12855" t="inlineStr">
        <is>
          <t>+LS1</t>
        </is>
      </c>
      <c r="D12855" t="inlineStr">
        <is>
          <t>-95K57.3</t>
        </is>
      </c>
      <c r="E12855" t="inlineStr">
        <is>
          <t>DIL_EM-10-G</t>
        </is>
      </c>
      <c r="F12855" t="inlineStr">
        <is>
          <t>#KALK!</t>
        </is>
      </c>
      <c r="G12855" t="inlineStr">
        <is>
          <t>LASTSCHUETZ</t>
        </is>
      </c>
      <c r="H12855" t="inlineStr">
        <is>
          <t>4kW 1S</t>
        </is>
      </c>
      <c r="I12855">
        <v>984</v>
      </c>
      <c r="J12855">
        <f>GS24/95.7</f>
        <v>0</v>
      </c>
      <c r="M12855" t="inlineStr">
        <is>
          <t>-95K57.3</t>
        </is>
      </c>
    </row>
    <row r="12856">
      <c r="A12856">
        <v>12855</v>
      </c>
      <c r="B12856">
        <f>GS25</f>
        <v>0</v>
      </c>
      <c r="C12856" t="inlineStr">
        <is>
          <t>+LS1</t>
        </is>
      </c>
      <c r="D12856" t="inlineStr">
        <is>
          <t>-95K57.3</t>
        </is>
      </c>
      <c r="E12856" t="inlineStr">
        <is>
          <t>DIL_EM-10-G</t>
        </is>
      </c>
      <c r="F12856" t="inlineStr">
        <is>
          <t>#KALK!</t>
        </is>
      </c>
      <c r="G12856" t="inlineStr">
        <is>
          <t>LASTSCHUETZ</t>
        </is>
      </c>
      <c r="H12856" t="inlineStr">
        <is>
          <t>4kW 1S</t>
        </is>
      </c>
      <c r="I12856">
        <v>216</v>
      </c>
      <c r="J12856">
        <f>GS25/95.7</f>
        <v>0</v>
      </c>
      <c r="M12856" t="inlineStr">
        <is>
          <t>-95K57.3</t>
        </is>
      </c>
    </row>
    <row r="12857">
      <c r="A12857">
        <v>12856</v>
      </c>
      <c r="B12857">
        <f>GS01</f>
        <v>0</v>
      </c>
      <c r="C12857" t="inlineStr">
        <is>
          <t>+LS1</t>
        </is>
      </c>
      <c r="D12857" t="inlineStr">
        <is>
          <t>-95K80.3</t>
        </is>
      </c>
      <c r="E12857" t="inlineStr">
        <is>
          <t>DIL_EM-10-G</t>
        </is>
      </c>
      <c r="F12857" t="inlineStr">
        <is>
          <t>#KALK!</t>
        </is>
      </c>
      <c r="G12857" t="inlineStr">
        <is>
          <t>LASTSCHUETZ</t>
        </is>
      </c>
      <c r="H12857" t="inlineStr">
        <is>
          <t>4kW 1S</t>
        </is>
      </c>
      <c r="I12857">
        <v>257</v>
      </c>
      <c r="J12857">
        <f>GS01/95.7</f>
        <v>0</v>
      </c>
      <c r="M12857" t="inlineStr">
        <is>
          <t>-95K80.3</t>
        </is>
      </c>
    </row>
    <row r="12858">
      <c r="A12858">
        <v>12857</v>
      </c>
      <c r="B12858">
        <f>GS33</f>
        <v>0</v>
      </c>
      <c r="C12858" t="inlineStr">
        <is>
          <t>+LS11</t>
        </is>
      </c>
      <c r="D12858" t="inlineStr">
        <is>
          <t>-960K61.2</t>
        </is>
      </c>
      <c r="E12858" t="inlineStr">
        <is>
          <t>DIL_EM-10-G</t>
        </is>
      </c>
      <c r="F12858" t="inlineStr">
        <is>
          <t>#KALK!</t>
        </is>
      </c>
      <c r="G12858" t="inlineStr">
        <is>
          <t>LASTSCHUETZ</t>
        </is>
      </c>
      <c r="H12858" t="inlineStr">
        <is>
          <t>4kW 1S</t>
        </is>
      </c>
      <c r="I12858">
        <v>1413</v>
      </c>
      <c r="J12858">
        <f>GS33/960.6</f>
        <v>0</v>
      </c>
      <c r="M12858" t="inlineStr">
        <is>
          <t>-960K61.2</t>
        </is>
      </c>
    </row>
    <row r="12859">
      <c r="A12859">
        <v>12858</v>
      </c>
      <c r="B12859">
        <f>GS34</f>
        <v>0</v>
      </c>
      <c r="C12859" t="inlineStr">
        <is>
          <t>+LS12</t>
        </is>
      </c>
      <c r="D12859" t="inlineStr">
        <is>
          <t>-960Q44.6</t>
        </is>
      </c>
      <c r="E12859" t="inlineStr">
        <is>
          <t>DILA-XHI22</t>
        </is>
      </c>
      <c r="F12859" t="inlineStr">
        <is>
          <t>DILA-XHI22</t>
        </is>
      </c>
      <c r="G12859" t="inlineStr">
        <is>
          <t>HILFSKONTAKTBLOCK</t>
        </is>
      </c>
      <c r="H12859" t="inlineStr">
        <is>
          <t>2S 2OE Last+Hilfssch. Cage</t>
        </is>
      </c>
      <c r="I12859">
        <v>1179</v>
      </c>
      <c r="J12859">
        <f>GS34/960.6</f>
        <v>0</v>
      </c>
      <c r="K12859" t="inlineStr">
        <is>
          <t>DIL MC25</t>
        </is>
      </c>
      <c r="M12859" t="inlineStr">
        <is>
          <t>-960Q44.6</t>
        </is>
      </c>
    </row>
    <row r="12860">
      <c r="A12860">
        <v>12859</v>
      </c>
      <c r="B12860">
        <f>GS34</f>
        <v>0</v>
      </c>
      <c r="C12860" t="inlineStr">
        <is>
          <t>+LS12</t>
        </is>
      </c>
      <c r="D12860" t="inlineStr">
        <is>
          <t>-960Q44.6</t>
        </is>
      </c>
      <c r="E12860" t="inlineStr">
        <is>
          <t>DILMC25-10(RDC24)</t>
        </is>
      </c>
      <c r="F12860" t="inlineStr">
        <is>
          <t>DILA-XHI22</t>
        </is>
      </c>
      <c r="G12860" t="inlineStr">
        <is>
          <t>LASTSCHUETZ</t>
        </is>
      </c>
      <c r="H12860" t="inlineStr">
        <is>
          <t>11kW 1S Federzugkl.</t>
        </is>
      </c>
      <c r="I12860">
        <v>1179</v>
      </c>
      <c r="J12860">
        <f>GS34/960.6</f>
        <v>0</v>
      </c>
      <c r="K12860" t="inlineStr">
        <is>
          <t>DIL MC25</t>
        </is>
      </c>
      <c r="M12860" t="inlineStr">
        <is>
          <t>-960Q44.6</t>
        </is>
      </c>
    </row>
    <row r="12861">
      <c r="A12861">
        <v>12860</v>
      </c>
      <c r="B12861">
        <f>GS33</f>
        <v>0</v>
      </c>
      <c r="C12861" t="inlineStr">
        <is>
          <t>+LS11</t>
        </is>
      </c>
      <c r="D12861" t="inlineStr">
        <is>
          <t>-962K61.3</t>
        </is>
      </c>
      <c r="E12861" t="inlineStr">
        <is>
          <t>DIL_ER-22-G</t>
        </is>
      </c>
      <c r="F12861" t="inlineStr">
        <is>
          <t>#KALK!</t>
        </is>
      </c>
      <c r="G12861" t="inlineStr">
        <is>
          <t>HILFSSCHUETZ</t>
        </is>
      </c>
      <c r="H12861" t="inlineStr">
        <is>
          <t>2S 2OE</t>
        </is>
      </c>
      <c r="I12861">
        <v>1416</v>
      </c>
      <c r="J12861">
        <f>GS33/962.5</f>
        <v>0</v>
      </c>
      <c r="M12861" t="inlineStr">
        <is>
          <t>-962K61.3</t>
        </is>
      </c>
    </row>
    <row r="12862">
      <c r="A12862">
        <v>12861</v>
      </c>
      <c r="B12862">
        <f>GS33</f>
        <v>0</v>
      </c>
      <c r="C12862" t="inlineStr">
        <is>
          <t>+LS11</t>
        </is>
      </c>
      <c r="D12862" t="inlineStr">
        <is>
          <t>-962K61.4</t>
        </is>
      </c>
      <c r="E12862" t="inlineStr">
        <is>
          <t>DIL_ER-22-G</t>
        </is>
      </c>
      <c r="F12862" t="inlineStr">
        <is>
          <t>#KALK!</t>
        </is>
      </c>
      <c r="G12862" t="inlineStr">
        <is>
          <t>HILFSSCHUETZ</t>
        </is>
      </c>
      <c r="H12862" t="inlineStr">
        <is>
          <t>2S 2OE</t>
        </is>
      </c>
      <c r="I12862">
        <v>1416</v>
      </c>
      <c r="J12862">
        <f>GS33/962.6</f>
        <v>0</v>
      </c>
      <c r="M12862" t="inlineStr">
        <is>
          <t>-962K61.4</t>
        </is>
      </c>
    </row>
    <row r="12863">
      <c r="A12863">
        <v>12862</v>
      </c>
      <c r="B12863">
        <f>GS33</f>
        <v>0</v>
      </c>
      <c r="C12863" t="inlineStr">
        <is>
          <t>+LS11</t>
        </is>
      </c>
      <c r="D12863" t="inlineStr">
        <is>
          <t>-962K61.5</t>
        </is>
      </c>
      <c r="E12863" t="inlineStr">
        <is>
          <t>DIL_ER-22-G</t>
        </is>
      </c>
      <c r="F12863" t="inlineStr">
        <is>
          <t>#KALK!</t>
        </is>
      </c>
      <c r="G12863" t="inlineStr">
        <is>
          <t>HILFSSCHUETZ</t>
        </is>
      </c>
      <c r="H12863" t="inlineStr">
        <is>
          <t>2S 2OE</t>
        </is>
      </c>
      <c r="I12863">
        <v>1416</v>
      </c>
      <c r="J12863">
        <f>GS33/962.7</f>
        <v>0</v>
      </c>
      <c r="M12863" t="inlineStr">
        <is>
          <t>-962K61.5</t>
        </is>
      </c>
    </row>
    <row r="12864">
      <c r="A12864">
        <v>12863</v>
      </c>
      <c r="B12864">
        <f>GS33</f>
        <v>0</v>
      </c>
      <c r="C12864" t="inlineStr">
        <is>
          <t>+LS11</t>
        </is>
      </c>
      <c r="D12864" t="inlineStr">
        <is>
          <t>-962K61.7</t>
        </is>
      </c>
      <c r="E12864" t="inlineStr">
        <is>
          <t>DIL_EM-10-G</t>
        </is>
      </c>
      <c r="F12864" t="inlineStr">
        <is>
          <t>#KALK!</t>
        </is>
      </c>
      <c r="G12864" t="inlineStr">
        <is>
          <t>LASTSCHUETZ</t>
        </is>
      </c>
      <c r="H12864" t="inlineStr">
        <is>
          <t>4kW 1S</t>
        </is>
      </c>
      <c r="I12864">
        <v>1416</v>
      </c>
      <c r="J12864">
        <f>GS33/962.7</f>
        <v>0</v>
      </c>
      <c r="M12864" t="inlineStr">
        <is>
          <t>-962K61.7</t>
        </is>
      </c>
    </row>
    <row r="12865">
      <c r="A12865">
        <v>12864</v>
      </c>
      <c r="B12865">
        <f>GS34</f>
        <v>0</v>
      </c>
      <c r="C12865" t="inlineStr">
        <is>
          <t>+LS12</t>
        </is>
      </c>
      <c r="D12865" t="inlineStr">
        <is>
          <t>-963K1</t>
        </is>
      </c>
      <c r="E12865" t="inlineStr">
        <is>
          <t>DILM-9-10</t>
        </is>
      </c>
      <c r="F12865" t="inlineStr">
        <is>
          <t>DILA-XHI22</t>
        </is>
      </c>
      <c r="G12865" t="inlineStr">
        <is>
          <t>LASTSCHUETZ</t>
        </is>
      </c>
      <c r="H12865" t="inlineStr">
        <is>
          <t>4kW 1S Federzugkl.</t>
        </is>
      </c>
      <c r="I12865">
        <v>1176</v>
      </c>
      <c r="J12865">
        <f>GS34/963.5</f>
        <v>0</v>
      </c>
      <c r="M12865" t="inlineStr">
        <is>
          <t>-963K1</t>
        </is>
      </c>
    </row>
    <row r="12866">
      <c r="A12866">
        <v>12865</v>
      </c>
      <c r="B12866">
        <f>GS34</f>
        <v>0</v>
      </c>
      <c r="C12866" t="inlineStr">
        <is>
          <t>+LS12</t>
        </is>
      </c>
      <c r="D12866" t="inlineStr">
        <is>
          <t>-963K1</t>
        </is>
      </c>
      <c r="E12866" t="inlineStr">
        <is>
          <t>DILA-XHI22</t>
        </is>
      </c>
      <c r="F12866" t="inlineStr">
        <is>
          <t>DILA-XHI22</t>
        </is>
      </c>
      <c r="G12866" t="inlineStr">
        <is>
          <t>HILFSKONTAKTBLOCK</t>
        </is>
      </c>
      <c r="H12866" t="inlineStr">
        <is>
          <t>2S 2OE Last+Hilfssch. Cage</t>
        </is>
      </c>
      <c r="I12866">
        <v>1176</v>
      </c>
      <c r="J12866">
        <f>GS34/963.5</f>
        <v>0</v>
      </c>
      <c r="M12866" t="inlineStr">
        <is>
          <t>-963K1</t>
        </is>
      </c>
    </row>
    <row r="12867">
      <c r="A12867">
        <v>12866</v>
      </c>
      <c r="B12867">
        <f>GS34</f>
        <v>0</v>
      </c>
      <c r="C12867" t="inlineStr">
        <is>
          <t>+LS12</t>
        </is>
      </c>
      <c r="D12867" t="inlineStr">
        <is>
          <t>-963K2</t>
        </is>
      </c>
      <c r="E12867" t="inlineStr">
        <is>
          <t>DILM-9-10</t>
        </is>
      </c>
      <c r="F12867" t="inlineStr">
        <is>
          <t>DILA-XHI22</t>
        </is>
      </c>
      <c r="G12867" t="inlineStr">
        <is>
          <t>LASTSCHUETZ</t>
        </is>
      </c>
      <c r="H12867" t="inlineStr">
        <is>
          <t>4kW 1S Federzugkl.</t>
        </is>
      </c>
      <c r="I12867">
        <v>1176</v>
      </c>
      <c r="J12867">
        <f>GS34/963.6</f>
        <v>0</v>
      </c>
      <c r="M12867" t="inlineStr">
        <is>
          <t>-963K2</t>
        </is>
      </c>
    </row>
    <row r="12868">
      <c r="A12868">
        <v>12867</v>
      </c>
      <c r="B12868">
        <f>GS34</f>
        <v>0</v>
      </c>
      <c r="C12868" t="inlineStr">
        <is>
          <t>+LS12</t>
        </is>
      </c>
      <c r="D12868" t="inlineStr">
        <is>
          <t>-963K2</t>
        </is>
      </c>
      <c r="E12868" t="inlineStr">
        <is>
          <t>DILA-XHI22</t>
        </is>
      </c>
      <c r="F12868" t="inlineStr">
        <is>
          <t>DILA-XHI22</t>
        </is>
      </c>
      <c r="G12868" t="inlineStr">
        <is>
          <t>HILFSKONTAKTBLOCK</t>
        </is>
      </c>
      <c r="H12868" t="inlineStr">
        <is>
          <t>2S 2OE Last+Hilfssch. Cage</t>
        </is>
      </c>
      <c r="I12868">
        <v>1176</v>
      </c>
      <c r="J12868">
        <f>GS34/963.6</f>
        <v>0</v>
      </c>
      <c r="M12868" t="inlineStr">
        <is>
          <t>-963K2</t>
        </is>
      </c>
    </row>
    <row r="12869">
      <c r="A12869">
        <v>12868</v>
      </c>
      <c r="B12869">
        <f>GS33</f>
        <v>0</v>
      </c>
      <c r="C12869" t="inlineStr">
        <is>
          <t>+LS11</t>
        </is>
      </c>
      <c r="D12869" t="inlineStr">
        <is>
          <t>-963K62.3</t>
        </is>
      </c>
      <c r="E12869" t="inlineStr">
        <is>
          <t>DIL_EM-10-G</t>
        </is>
      </c>
      <c r="F12869" t="inlineStr">
        <is>
          <t>#KALK!</t>
        </is>
      </c>
      <c r="G12869" t="inlineStr">
        <is>
          <t>LASTSCHUETZ</t>
        </is>
      </c>
      <c r="H12869" t="inlineStr">
        <is>
          <t>4kW 1S</t>
        </is>
      </c>
      <c r="I12869">
        <v>1419</v>
      </c>
      <c r="J12869">
        <f>GS33/963.7</f>
        <v>0</v>
      </c>
      <c r="M12869" t="inlineStr">
        <is>
          <t>-963K62.3</t>
        </is>
      </c>
    </row>
    <row r="12870">
      <c r="A12870">
        <v>12869</v>
      </c>
      <c r="B12870">
        <f>GS05</f>
        <v>0</v>
      </c>
      <c r="C12870" t="inlineStr">
        <is>
          <t>+LS15</t>
        </is>
      </c>
      <c r="D12870" t="inlineStr">
        <is>
          <t>-964K1</t>
        </is>
      </c>
      <c r="E12870" t="inlineStr">
        <is>
          <t>DILM-9-01</t>
        </is>
      </c>
      <c r="F12870" t="inlineStr">
        <is>
          <t>#KALK!</t>
        </is>
      </c>
      <c r="G12870" t="inlineStr">
        <is>
          <t>LASTSCHUETZ</t>
        </is>
      </c>
      <c r="H12870" t="inlineStr">
        <is>
          <t>4kW 1Oe Federzugkl.</t>
        </is>
      </c>
      <c r="I12870">
        <v>2892</v>
      </c>
      <c r="J12870">
        <f>GS05/964.6</f>
        <v>0</v>
      </c>
      <c r="M12870" t="inlineStr">
        <is>
          <t>-964K1</t>
        </is>
      </c>
    </row>
    <row r="12871">
      <c r="A12871">
        <v>12870</v>
      </c>
      <c r="B12871">
        <f>GS34</f>
        <v>0</v>
      </c>
      <c r="C12871" t="inlineStr">
        <is>
          <t>+LS12</t>
        </is>
      </c>
      <c r="D12871" t="inlineStr">
        <is>
          <t>-964K1</t>
        </is>
      </c>
      <c r="E12871" t="inlineStr">
        <is>
          <t>DILM-9-10</t>
        </is>
      </c>
      <c r="F12871" t="inlineStr">
        <is>
          <t>DILA-XHI22</t>
        </is>
      </c>
      <c r="G12871" t="inlineStr">
        <is>
          <t>LASTSCHUETZ</t>
        </is>
      </c>
      <c r="H12871" t="inlineStr">
        <is>
          <t>4kW 1S Federzugkl.</t>
        </is>
      </c>
      <c r="I12871">
        <v>1525</v>
      </c>
      <c r="J12871">
        <f>GS34/964.5</f>
        <v>0</v>
      </c>
      <c r="M12871" t="inlineStr">
        <is>
          <t>-964K1</t>
        </is>
      </c>
    </row>
    <row r="12872">
      <c r="A12872">
        <v>12871</v>
      </c>
      <c r="B12872">
        <f>GS34</f>
        <v>0</v>
      </c>
      <c r="C12872" t="inlineStr">
        <is>
          <t>+LS12</t>
        </is>
      </c>
      <c r="D12872" t="inlineStr">
        <is>
          <t>-964K1</t>
        </is>
      </c>
      <c r="E12872" t="inlineStr">
        <is>
          <t>DILA-XHI22</t>
        </is>
      </c>
      <c r="F12872" t="inlineStr">
        <is>
          <t>DILA-XHI22</t>
        </is>
      </c>
      <c r="G12872" t="inlineStr">
        <is>
          <t>HILFSKONTAKTBLOCK</t>
        </is>
      </c>
      <c r="H12872" t="inlineStr">
        <is>
          <t>2S 2OE Last+Hilfssch. Cage</t>
        </is>
      </c>
      <c r="I12872">
        <v>1525</v>
      </c>
      <c r="J12872">
        <f>GS34/964.5</f>
        <v>0</v>
      </c>
      <c r="M12872" t="inlineStr">
        <is>
          <t>-964K1</t>
        </is>
      </c>
    </row>
    <row r="12873">
      <c r="A12873">
        <v>12872</v>
      </c>
      <c r="B12873">
        <f>GS05</f>
        <v>0</v>
      </c>
      <c r="C12873" t="inlineStr">
        <is>
          <t>+LS15</t>
        </is>
      </c>
      <c r="D12873" t="inlineStr">
        <is>
          <t>-964K2</t>
        </is>
      </c>
      <c r="E12873" t="inlineStr">
        <is>
          <t>DILM-9-01</t>
        </is>
      </c>
      <c r="F12873" t="inlineStr">
        <is>
          <t>#KALK!</t>
        </is>
      </c>
      <c r="G12873" t="inlineStr">
        <is>
          <t>LASTSCHUETZ</t>
        </is>
      </c>
      <c r="H12873" t="inlineStr">
        <is>
          <t>4kW 1Oe Federzugkl.</t>
        </is>
      </c>
      <c r="I12873">
        <v>2892</v>
      </c>
      <c r="J12873">
        <f>GS05/964.7</f>
        <v>0</v>
      </c>
      <c r="M12873" t="inlineStr">
        <is>
          <t>-964K2</t>
        </is>
      </c>
    </row>
    <row r="12874">
      <c r="A12874">
        <v>12873</v>
      </c>
      <c r="B12874">
        <f>GS34</f>
        <v>0</v>
      </c>
      <c r="C12874" t="inlineStr">
        <is>
          <t>+LS12</t>
        </is>
      </c>
      <c r="D12874" t="inlineStr">
        <is>
          <t>-964K2</t>
        </is>
      </c>
      <c r="E12874" t="inlineStr">
        <is>
          <t>DILM-9-10</t>
        </is>
      </c>
      <c r="F12874" t="inlineStr">
        <is>
          <t>DILA-XHI22</t>
        </is>
      </c>
      <c r="G12874" t="inlineStr">
        <is>
          <t>LASTSCHUETZ</t>
        </is>
      </c>
      <c r="H12874" t="inlineStr">
        <is>
          <t>4kW 1S Federzugkl.</t>
        </is>
      </c>
      <c r="I12874">
        <v>1525</v>
      </c>
      <c r="J12874">
        <f>GS34/964.6</f>
        <v>0</v>
      </c>
      <c r="M12874" t="inlineStr">
        <is>
          <t>-964K2</t>
        </is>
      </c>
    </row>
    <row r="12875">
      <c r="A12875">
        <v>12874</v>
      </c>
      <c r="B12875">
        <f>GS34</f>
        <v>0</v>
      </c>
      <c r="C12875" t="inlineStr">
        <is>
          <t>+LS12</t>
        </is>
      </c>
      <c r="D12875" t="inlineStr">
        <is>
          <t>-964K2</t>
        </is>
      </c>
      <c r="E12875" t="inlineStr">
        <is>
          <t>DILA-XHI22</t>
        </is>
      </c>
      <c r="F12875" t="inlineStr">
        <is>
          <t>DILA-XHI22</t>
        </is>
      </c>
      <c r="G12875" t="inlineStr">
        <is>
          <t>HILFSKONTAKTBLOCK</t>
        </is>
      </c>
      <c r="H12875" t="inlineStr">
        <is>
          <t>2S 2OE Last+Hilfssch. Cage</t>
        </is>
      </c>
      <c r="I12875">
        <v>1525</v>
      </c>
      <c r="J12875">
        <f>GS34/964.6</f>
        <v>0</v>
      </c>
      <c r="M12875" t="inlineStr">
        <is>
          <t>-964K2</t>
        </is>
      </c>
    </row>
    <row r="12876">
      <c r="A12876">
        <v>12875</v>
      </c>
      <c r="B12876">
        <f>GS33</f>
        <v>0</v>
      </c>
      <c r="C12876" t="inlineStr">
        <is>
          <t>+LS11</t>
        </is>
      </c>
      <c r="D12876" t="inlineStr">
        <is>
          <t>-964K63.0</t>
        </is>
      </c>
      <c r="E12876" t="inlineStr">
        <is>
          <t>DIL_EM-10-G</t>
        </is>
      </c>
      <c r="F12876" t="inlineStr">
        <is>
          <t>#KALK!</t>
        </is>
      </c>
      <c r="G12876" t="inlineStr">
        <is>
          <t>LASTSCHUETZ</t>
        </is>
      </c>
      <c r="H12876" t="inlineStr">
        <is>
          <t>4kW 1S</t>
        </is>
      </c>
      <c r="I12876">
        <v>1420</v>
      </c>
      <c r="J12876">
        <f>GS33/964.6</f>
        <v>0</v>
      </c>
      <c r="M12876" t="inlineStr">
        <is>
          <t>-964K63.0</t>
        </is>
      </c>
    </row>
    <row r="12877">
      <c r="A12877">
        <v>12876</v>
      </c>
      <c r="B12877">
        <f>GS33</f>
        <v>0</v>
      </c>
      <c r="C12877" t="inlineStr">
        <is>
          <t>+LS11</t>
        </is>
      </c>
      <c r="D12877" t="inlineStr">
        <is>
          <t>-964K63.1</t>
        </is>
      </c>
      <c r="E12877" t="inlineStr">
        <is>
          <t>DIL_EM-10-G</t>
        </is>
      </c>
      <c r="F12877" t="inlineStr">
        <is>
          <t>#KALK!</t>
        </is>
      </c>
      <c r="G12877" t="inlineStr">
        <is>
          <t>LASTSCHUETZ</t>
        </is>
      </c>
      <c r="H12877" t="inlineStr">
        <is>
          <t>4kW 1S</t>
        </is>
      </c>
      <c r="I12877">
        <v>1420</v>
      </c>
      <c r="J12877">
        <f>GS33/964.6</f>
        <v>0</v>
      </c>
      <c r="M12877" t="inlineStr">
        <is>
          <t>-964K63.1</t>
        </is>
      </c>
    </row>
    <row r="12878">
      <c r="A12878">
        <v>12877</v>
      </c>
      <c r="B12878">
        <f>GS05</f>
        <v>0</v>
      </c>
      <c r="C12878" t="inlineStr">
        <is>
          <t>+LS15</t>
        </is>
      </c>
      <c r="D12878" t="inlineStr">
        <is>
          <t>-965K1</t>
        </is>
      </c>
      <c r="E12878" t="inlineStr">
        <is>
          <t>DILM-9-01</t>
        </is>
      </c>
      <c r="F12878" t="inlineStr">
        <is>
          <t>#KALK!</t>
        </is>
      </c>
      <c r="G12878" t="inlineStr">
        <is>
          <t>LASTSCHUETZ</t>
        </is>
      </c>
      <c r="H12878" t="inlineStr">
        <is>
          <t>4kW 1Oe Federzugkl.</t>
        </is>
      </c>
      <c r="I12878">
        <v>2893</v>
      </c>
      <c r="J12878">
        <f>GS05/965.6</f>
        <v>0</v>
      </c>
      <c r="M12878" t="inlineStr">
        <is>
          <t>-965K1</t>
        </is>
      </c>
    </row>
    <row r="12879">
      <c r="A12879">
        <v>12878</v>
      </c>
      <c r="B12879">
        <f>GS06</f>
        <v>0</v>
      </c>
      <c r="C12879" t="inlineStr">
        <is>
          <t>+LS15</t>
        </is>
      </c>
      <c r="D12879" t="inlineStr">
        <is>
          <t>-965K1</t>
        </is>
      </c>
      <c r="E12879" t="inlineStr">
        <is>
          <t>DILA-22</t>
        </is>
      </c>
      <c r="F12879" t="inlineStr">
        <is>
          <t>#KALK!</t>
        </is>
      </c>
      <c r="G12879" t="inlineStr">
        <is>
          <t>HILFSSCHUETZ</t>
        </is>
      </c>
      <c r="H12879" t="inlineStr">
        <is>
          <t>2S 2Oe Federzugkl.</t>
        </is>
      </c>
      <c r="I12879">
        <v>2665</v>
      </c>
      <c r="J12879">
        <f>GS06/965.7</f>
        <v>0</v>
      </c>
      <c r="M12879" t="inlineStr">
        <is>
          <t>-965K1</t>
        </is>
      </c>
    </row>
    <row r="12880">
      <c r="A12880">
        <v>12879</v>
      </c>
      <c r="B12880">
        <f>GS34</f>
        <v>0</v>
      </c>
      <c r="C12880" t="inlineStr">
        <is>
          <t>+LS12</t>
        </is>
      </c>
      <c r="D12880" t="inlineStr">
        <is>
          <t>-965K1</t>
        </is>
      </c>
      <c r="E12880" t="inlineStr">
        <is>
          <t>DILA-XHI22</t>
        </is>
      </c>
      <c r="F12880" t="inlineStr">
        <is>
          <t>DILA-XHI22</t>
        </is>
      </c>
      <c r="G12880" t="inlineStr">
        <is>
          <t>HILFSKONTAKTBLOCK</t>
        </is>
      </c>
      <c r="H12880" t="inlineStr">
        <is>
          <t>2S 2OE Last+Hilfssch. Cage</t>
        </is>
      </c>
      <c r="I12880">
        <v>1526</v>
      </c>
      <c r="J12880">
        <f>GS34/965.5</f>
        <v>0</v>
      </c>
      <c r="M12880" t="inlineStr">
        <is>
          <t>-965K1</t>
        </is>
      </c>
    </row>
    <row r="12881">
      <c r="A12881">
        <v>12880</v>
      </c>
      <c r="B12881">
        <f>GS34</f>
        <v>0</v>
      </c>
      <c r="C12881" t="inlineStr">
        <is>
          <t>+LS12</t>
        </is>
      </c>
      <c r="D12881" t="inlineStr">
        <is>
          <t>-965K1</t>
        </is>
      </c>
      <c r="E12881" t="inlineStr">
        <is>
          <t>DILM-9-10</t>
        </is>
      </c>
      <c r="F12881" t="inlineStr">
        <is>
          <t>DILA-XHI22</t>
        </is>
      </c>
      <c r="G12881" t="inlineStr">
        <is>
          <t>LASTSCHUETZ</t>
        </is>
      </c>
      <c r="H12881" t="inlineStr">
        <is>
          <t>4kW 1S Federzugkl.</t>
        </is>
      </c>
      <c r="I12881">
        <v>1526</v>
      </c>
      <c r="J12881">
        <f>GS34/965.5</f>
        <v>0</v>
      </c>
      <c r="M12881" t="inlineStr">
        <is>
          <t>-965K1</t>
        </is>
      </c>
    </row>
    <row r="12882">
      <c r="A12882">
        <v>12881</v>
      </c>
      <c r="B12882">
        <f>GS05</f>
        <v>0</v>
      </c>
      <c r="C12882" t="inlineStr">
        <is>
          <t>+LS15</t>
        </is>
      </c>
      <c r="D12882" t="inlineStr">
        <is>
          <t>-965K2</t>
        </is>
      </c>
      <c r="E12882" t="inlineStr">
        <is>
          <t>DILM-9-01</t>
        </is>
      </c>
      <c r="F12882" t="inlineStr">
        <is>
          <t>#KALK!</t>
        </is>
      </c>
      <c r="G12882" t="inlineStr">
        <is>
          <t>LASTSCHUETZ</t>
        </is>
      </c>
      <c r="H12882" t="inlineStr">
        <is>
          <t>4kW 1Oe Federzugkl.</t>
        </is>
      </c>
      <c r="I12882">
        <v>2893</v>
      </c>
      <c r="J12882">
        <f>GS05/965.7</f>
        <v>0</v>
      </c>
      <c r="M12882" t="inlineStr">
        <is>
          <t>-965K2</t>
        </is>
      </c>
    </row>
    <row r="12883">
      <c r="A12883">
        <v>12882</v>
      </c>
      <c r="B12883">
        <f>GS34</f>
        <v>0</v>
      </c>
      <c r="C12883" t="inlineStr">
        <is>
          <t>+LS12</t>
        </is>
      </c>
      <c r="D12883" t="inlineStr">
        <is>
          <t>-965K2</t>
        </is>
      </c>
      <c r="E12883" t="inlineStr">
        <is>
          <t>DILA-XHI22</t>
        </is>
      </c>
      <c r="F12883" t="inlineStr">
        <is>
          <t>DILA-XHI22</t>
        </is>
      </c>
      <c r="G12883" t="inlineStr">
        <is>
          <t>HILFSKONTAKTBLOCK</t>
        </is>
      </c>
      <c r="H12883" t="inlineStr">
        <is>
          <t>2S 2OE Last+Hilfssch. Cage</t>
        </is>
      </c>
      <c r="I12883">
        <v>1526</v>
      </c>
      <c r="J12883">
        <f>GS34/965.6</f>
        <v>0</v>
      </c>
      <c r="M12883" t="inlineStr">
        <is>
          <t>-965K2</t>
        </is>
      </c>
    </row>
    <row r="12884">
      <c r="A12884">
        <v>12883</v>
      </c>
      <c r="B12884">
        <f>GS34</f>
        <v>0</v>
      </c>
      <c r="C12884" t="inlineStr">
        <is>
          <t>+LS12</t>
        </is>
      </c>
      <c r="D12884" t="inlineStr">
        <is>
          <t>-965K2</t>
        </is>
      </c>
      <c r="E12884" t="inlineStr">
        <is>
          <t>DILM-9-10</t>
        </is>
      </c>
      <c r="F12884" t="inlineStr">
        <is>
          <t>DILA-XHI22</t>
        </is>
      </c>
      <c r="G12884" t="inlineStr">
        <is>
          <t>LASTSCHUETZ</t>
        </is>
      </c>
      <c r="H12884" t="inlineStr">
        <is>
          <t>4kW 1S Federzugkl.</t>
        </is>
      </c>
      <c r="I12884">
        <v>1526</v>
      </c>
      <c r="J12884">
        <f>GS34/965.6</f>
        <v>0</v>
      </c>
      <c r="M12884" t="inlineStr">
        <is>
          <t>-965K2</t>
        </is>
      </c>
    </row>
    <row r="12885">
      <c r="A12885">
        <v>12884</v>
      </c>
      <c r="B12885">
        <f>GS33</f>
        <v>0</v>
      </c>
      <c r="C12885" t="inlineStr">
        <is>
          <t>+LS11</t>
        </is>
      </c>
      <c r="D12885" t="inlineStr">
        <is>
          <t>-965K63.5</t>
        </is>
      </c>
      <c r="E12885" t="inlineStr">
        <is>
          <t>DIL_EM-10-G</t>
        </is>
      </c>
      <c r="F12885" t="inlineStr">
        <is>
          <t>#KALK!</t>
        </is>
      </c>
      <c r="G12885" t="inlineStr">
        <is>
          <t>LASTSCHUETZ</t>
        </is>
      </c>
      <c r="H12885" t="inlineStr">
        <is>
          <t>4kW 1S</t>
        </is>
      </c>
      <c r="I12885">
        <v>1421</v>
      </c>
      <c r="J12885">
        <f>GS33/965.7</f>
        <v>0</v>
      </c>
      <c r="M12885" t="inlineStr">
        <is>
          <t>-965K63.5</t>
        </is>
      </c>
    </row>
    <row r="12886">
      <c r="A12886">
        <v>12885</v>
      </c>
      <c r="B12886">
        <f>GS06</f>
        <v>0</v>
      </c>
      <c r="C12886" t="inlineStr">
        <is>
          <t>+LS15</t>
        </is>
      </c>
      <c r="D12886" t="inlineStr">
        <is>
          <t>-965Q1</t>
        </is>
      </c>
      <c r="E12886" t="inlineStr">
        <is>
          <t>DILMC25-10(RDC24)</t>
        </is>
      </c>
      <c r="F12886" t="inlineStr">
        <is>
          <t>DILA-XHI22</t>
        </is>
      </c>
      <c r="G12886" t="inlineStr">
        <is>
          <t>LASTSCHUETZ</t>
        </is>
      </c>
      <c r="H12886" t="inlineStr">
        <is>
          <t>11kW 1S Federzugkl.</t>
        </is>
      </c>
      <c r="I12886">
        <v>2665</v>
      </c>
      <c r="J12886">
        <f>GS06/965.6</f>
        <v>0</v>
      </c>
      <c r="K12886" t="inlineStr">
        <is>
          <t>DIL MC25</t>
        </is>
      </c>
      <c r="M12886" t="inlineStr">
        <is>
          <t>-965Q1</t>
        </is>
      </c>
    </row>
    <row r="12887">
      <c r="A12887">
        <v>12886</v>
      </c>
      <c r="B12887">
        <f>GS06</f>
        <v>0</v>
      </c>
      <c r="C12887" t="inlineStr">
        <is>
          <t>+LS15</t>
        </is>
      </c>
      <c r="D12887" t="inlineStr">
        <is>
          <t>-965Q1</t>
        </is>
      </c>
      <c r="E12887" t="inlineStr">
        <is>
          <t>DILA-XHI22</t>
        </is>
      </c>
      <c r="F12887" t="inlineStr">
        <is>
          <t>DILA-XHI22</t>
        </is>
      </c>
      <c r="G12887" t="inlineStr">
        <is>
          <t>HILFSKONTAKTBLOCK</t>
        </is>
      </c>
      <c r="H12887" t="inlineStr">
        <is>
          <t>2S 2OE Last+Hilfssch. Cage</t>
        </is>
      </c>
      <c r="I12887">
        <v>2665</v>
      </c>
      <c r="J12887">
        <f>GS06/965.6</f>
        <v>0</v>
      </c>
      <c r="K12887" t="inlineStr">
        <is>
          <t>DIL MC25</t>
        </is>
      </c>
      <c r="M12887" t="inlineStr">
        <is>
          <t>-965Q1</t>
        </is>
      </c>
    </row>
    <row r="12888">
      <c r="A12888">
        <v>12887</v>
      </c>
      <c r="B12888">
        <f>GS51</f>
        <v>0</v>
      </c>
      <c r="C12888" t="inlineStr">
        <is>
          <t>+LS15</t>
        </is>
      </c>
      <c r="D12888" t="inlineStr">
        <is>
          <t>-965Q1</t>
        </is>
      </c>
      <c r="E12888" t="inlineStr">
        <is>
          <t>DILA-XHI22</t>
        </is>
      </c>
      <c r="F12888" t="inlineStr">
        <is>
          <t>DILA-XHI22</t>
        </is>
      </c>
      <c r="G12888" t="inlineStr">
        <is>
          <t>HILFSKONTAKTBLOCK</t>
        </is>
      </c>
      <c r="H12888" t="inlineStr">
        <is>
          <t>2S 2OE Last+Hilfssch. Cage</t>
        </is>
      </c>
      <c r="I12888">
        <v>1107</v>
      </c>
      <c r="J12888">
        <f>GS51/965.6</f>
        <v>0</v>
      </c>
      <c r="K12888" t="inlineStr">
        <is>
          <t>DIL MC25</t>
        </is>
      </c>
      <c r="M12888" t="inlineStr">
        <is>
          <t>-965Q1</t>
        </is>
      </c>
    </row>
    <row r="12889">
      <c r="A12889">
        <v>12888</v>
      </c>
      <c r="B12889">
        <f>GS51</f>
        <v>0</v>
      </c>
      <c r="C12889" t="inlineStr">
        <is>
          <t>+LS15</t>
        </is>
      </c>
      <c r="D12889" t="inlineStr">
        <is>
          <t>-965Q1</t>
        </is>
      </c>
      <c r="E12889" t="inlineStr">
        <is>
          <t>DILMC25-10(RDC24)</t>
        </is>
      </c>
      <c r="F12889" t="inlineStr">
        <is>
          <t>DILA-XHI22</t>
        </is>
      </c>
      <c r="G12889" t="inlineStr">
        <is>
          <t>LASTSCHUETZ</t>
        </is>
      </c>
      <c r="H12889" t="inlineStr">
        <is>
          <t>11kW 1S Federzugkl.</t>
        </is>
      </c>
      <c r="I12889">
        <v>1107</v>
      </c>
      <c r="J12889">
        <f>GS51/965.6</f>
        <v>0</v>
      </c>
      <c r="K12889" t="inlineStr">
        <is>
          <t>DIL MC25</t>
        </is>
      </c>
      <c r="M12889" t="inlineStr">
        <is>
          <t>-965Q1</t>
        </is>
      </c>
    </row>
    <row r="12890">
      <c r="A12890">
        <v>12889</v>
      </c>
      <c r="B12890">
        <f>GS34</f>
        <v>0</v>
      </c>
      <c r="C12890" t="inlineStr">
        <is>
          <t>+LS12</t>
        </is>
      </c>
      <c r="D12890" t="inlineStr">
        <is>
          <t>-966K1</t>
        </is>
      </c>
      <c r="E12890" t="inlineStr">
        <is>
          <t>DILA-40</t>
        </is>
      </c>
      <c r="F12890" t="inlineStr">
        <is>
          <t>#KALK!</t>
        </is>
      </c>
      <c r="G12890" t="inlineStr">
        <is>
          <t>HILFSSCHUETZ</t>
        </is>
      </c>
      <c r="H12890" t="inlineStr">
        <is>
          <t>4S Federzugkl.</t>
        </is>
      </c>
      <c r="I12890">
        <v>1527</v>
      </c>
      <c r="J12890">
        <f>GS34/966.2</f>
        <v>0</v>
      </c>
      <c r="M12890" t="inlineStr">
        <is>
          <t>-966K1</t>
        </is>
      </c>
    </row>
    <row r="12891">
      <c r="A12891">
        <v>12890</v>
      </c>
      <c r="B12891">
        <f>GS33</f>
        <v>0</v>
      </c>
      <c r="C12891" t="inlineStr">
        <is>
          <t>+LS11</t>
        </is>
      </c>
      <c r="D12891" t="inlineStr">
        <is>
          <t>-966K64.0</t>
        </is>
      </c>
      <c r="E12891" t="inlineStr">
        <is>
          <t>DIL_EM-10-G</t>
        </is>
      </c>
      <c r="F12891" t="inlineStr">
        <is>
          <t>#KALK!</t>
        </is>
      </c>
      <c r="G12891" t="inlineStr">
        <is>
          <t>LASTSCHUETZ</t>
        </is>
      </c>
      <c r="H12891" t="inlineStr">
        <is>
          <t>4kW 1S</t>
        </is>
      </c>
      <c r="I12891">
        <v>1422</v>
      </c>
      <c r="J12891">
        <f>GS33/966.6</f>
        <v>0</v>
      </c>
      <c r="M12891" t="inlineStr">
        <is>
          <t>-966K64.0</t>
        </is>
      </c>
    </row>
    <row r="12892">
      <c r="A12892">
        <v>12891</v>
      </c>
      <c r="B12892">
        <f>GS33</f>
        <v>0</v>
      </c>
      <c r="C12892" t="inlineStr">
        <is>
          <t>+LS11</t>
        </is>
      </c>
      <c r="D12892" t="inlineStr">
        <is>
          <t>-967K64.1</t>
        </is>
      </c>
      <c r="E12892" t="inlineStr">
        <is>
          <t>DIL_EM-10-G</t>
        </is>
      </c>
      <c r="F12892" t="inlineStr">
        <is>
          <t>#KALK!</t>
        </is>
      </c>
      <c r="G12892" t="inlineStr">
        <is>
          <t>LASTSCHUETZ</t>
        </is>
      </c>
      <c r="H12892" t="inlineStr">
        <is>
          <t>4kW 1S</t>
        </is>
      </c>
      <c r="I12892">
        <v>1423</v>
      </c>
      <c r="J12892">
        <f>GS33/967.6</f>
        <v>0</v>
      </c>
      <c r="M12892" t="inlineStr">
        <is>
          <t>-967K64.1</t>
        </is>
      </c>
    </row>
    <row r="12893">
      <c r="A12893">
        <v>12892</v>
      </c>
      <c r="B12893">
        <f>GS33</f>
        <v>0</v>
      </c>
      <c r="C12893" t="inlineStr">
        <is>
          <t>+LS11</t>
        </is>
      </c>
      <c r="D12893" t="inlineStr">
        <is>
          <t>-967K64.2</t>
        </is>
      </c>
      <c r="E12893" t="inlineStr">
        <is>
          <t>DIL_EM-10-G</t>
        </is>
      </c>
      <c r="F12893" t="inlineStr">
        <is>
          <t>#KALK!</t>
        </is>
      </c>
      <c r="G12893" t="inlineStr">
        <is>
          <t>LASTSCHUETZ</t>
        </is>
      </c>
      <c r="H12893" t="inlineStr">
        <is>
          <t>4kW 1S</t>
        </is>
      </c>
      <c r="I12893">
        <v>1423</v>
      </c>
      <c r="J12893">
        <f>GS33/967.6</f>
        <v>0</v>
      </c>
      <c r="M12893" t="inlineStr">
        <is>
          <t>-967K64.2</t>
        </is>
      </c>
    </row>
    <row r="12894">
      <c r="A12894">
        <v>12893</v>
      </c>
      <c r="B12894">
        <f>GS06</f>
        <v>0</v>
      </c>
      <c r="C12894" t="inlineStr">
        <is>
          <t>+LS15</t>
        </is>
      </c>
      <c r="D12894" t="inlineStr">
        <is>
          <t>-967Q729.6</t>
        </is>
      </c>
      <c r="E12894" t="inlineStr">
        <is>
          <t>DILM-9-10</t>
        </is>
      </c>
      <c r="F12894" t="inlineStr">
        <is>
          <t>#KALK!</t>
        </is>
      </c>
      <c r="G12894" t="inlineStr">
        <is>
          <t>LASTSCHUETZ</t>
        </is>
      </c>
      <c r="H12894" t="inlineStr">
        <is>
          <t>4kW 1S Federzugkl.</t>
        </is>
      </c>
      <c r="I12894">
        <v>2667</v>
      </c>
      <c r="J12894">
        <f>GS06/967.5</f>
        <v>0</v>
      </c>
      <c r="M12894" t="inlineStr">
        <is>
          <t>-967Q729.6</t>
        </is>
      </c>
    </row>
    <row r="12895">
      <c r="A12895">
        <v>12894</v>
      </c>
      <c r="B12895">
        <f>GS33</f>
        <v>0</v>
      </c>
      <c r="C12895" t="inlineStr">
        <is>
          <t>+LS11</t>
        </is>
      </c>
      <c r="D12895" t="inlineStr">
        <is>
          <t>-968K64.6</t>
        </is>
      </c>
      <c r="E12895" t="inlineStr">
        <is>
          <t>DIL_EM-10-G</t>
        </is>
      </c>
      <c r="F12895" t="inlineStr">
        <is>
          <t>#KALK!</t>
        </is>
      </c>
      <c r="G12895" t="inlineStr">
        <is>
          <t>LASTSCHUETZ</t>
        </is>
      </c>
      <c r="H12895" t="inlineStr">
        <is>
          <t>4kW 1S</t>
        </is>
      </c>
      <c r="I12895">
        <v>1424</v>
      </c>
      <c r="J12895">
        <f>GS33/968.7</f>
        <v>0</v>
      </c>
      <c r="M12895" t="inlineStr">
        <is>
          <t>-968K64.6</t>
        </is>
      </c>
    </row>
    <row r="12896">
      <c r="A12896">
        <v>12895</v>
      </c>
      <c r="B12896">
        <f>GS51</f>
        <v>0</v>
      </c>
      <c r="C12896" t="inlineStr">
        <is>
          <t>+LS15</t>
        </is>
      </c>
      <c r="D12896" t="inlineStr">
        <is>
          <t>-968Q735.1</t>
        </is>
      </c>
      <c r="E12896" t="inlineStr">
        <is>
          <t>DILM-9-10</t>
        </is>
      </c>
      <c r="F12896" t="inlineStr">
        <is>
          <t>#KALK!</t>
        </is>
      </c>
      <c r="G12896" t="inlineStr">
        <is>
          <t>LASTSCHUETZ</t>
        </is>
      </c>
      <c r="H12896" t="inlineStr">
        <is>
          <t>4kW 1S Federzugkl.</t>
        </is>
      </c>
      <c r="I12896">
        <v>1111</v>
      </c>
      <c r="J12896">
        <f>GS51/968.6</f>
        <v>0</v>
      </c>
      <c r="K12896" t="inlineStr">
        <is>
          <t>DIL MC9</t>
        </is>
      </c>
      <c r="M12896" t="inlineStr">
        <is>
          <t>-968Q735.1</t>
        </is>
      </c>
    </row>
    <row r="12897">
      <c r="A12897">
        <v>12896</v>
      </c>
      <c r="B12897">
        <f>GS33</f>
        <v>0</v>
      </c>
      <c r="C12897" t="inlineStr">
        <is>
          <t>+LS11</t>
        </is>
      </c>
      <c r="D12897" t="inlineStr">
        <is>
          <t>-969K65.4</t>
        </is>
      </c>
      <c r="E12897" t="inlineStr">
        <is>
          <t>DIL_EM-10-G</t>
        </is>
      </c>
      <c r="F12897" t="inlineStr">
        <is>
          <t>#KALK!</t>
        </is>
      </c>
      <c r="G12897" t="inlineStr">
        <is>
          <t>LASTSCHUETZ</t>
        </is>
      </c>
      <c r="H12897" t="inlineStr">
        <is>
          <t>4kW 1S</t>
        </is>
      </c>
      <c r="I12897">
        <v>1425</v>
      </c>
      <c r="J12897">
        <f>GS33/969.7</f>
        <v>0</v>
      </c>
      <c r="M12897" t="inlineStr">
        <is>
          <t>-969K65.4</t>
        </is>
      </c>
    </row>
    <row r="12898">
      <c r="A12898">
        <v>12897</v>
      </c>
      <c r="B12898">
        <f>GS11</f>
        <v>0</v>
      </c>
      <c r="C12898" t="inlineStr">
        <is>
          <t>+LS1</t>
        </is>
      </c>
      <c r="D12898" t="inlineStr">
        <is>
          <t>-96K1</t>
        </is>
      </c>
      <c r="E12898" t="inlineStr">
        <is>
          <t>22_DIL-M</t>
        </is>
      </c>
      <c r="F12898" t="inlineStr">
        <is>
          <t>22_DIL-M</t>
        </is>
      </c>
      <c r="G12898" t="inlineStr">
        <is>
          <t>HILFSKONTAKTBLOCK</t>
        </is>
      </c>
      <c r="H12898" t="inlineStr">
        <is>
          <t>2S 2OE Lastschuetz DIL M</t>
        </is>
      </c>
      <c r="I12898">
        <v>207</v>
      </c>
      <c r="J12898">
        <f>GS11/96.2</f>
        <v>0</v>
      </c>
      <c r="K12898" t="inlineStr">
        <is>
          <t>DIL0AM</t>
        </is>
      </c>
      <c r="M12898" t="inlineStr">
        <is>
          <t>-96K1</t>
        </is>
      </c>
    </row>
    <row r="12899">
      <c r="A12899">
        <v>12898</v>
      </c>
      <c r="B12899">
        <f>GS11</f>
        <v>0</v>
      </c>
      <c r="C12899" t="inlineStr">
        <is>
          <t>+LS1</t>
        </is>
      </c>
      <c r="D12899" t="inlineStr">
        <is>
          <t>-96K1</t>
        </is>
      </c>
      <c r="E12899" t="inlineStr">
        <is>
          <t>DIL_0AM</t>
        </is>
      </c>
      <c r="F12899" t="inlineStr">
        <is>
          <t>22_DIL-M</t>
        </is>
      </c>
      <c r="G12899" t="inlineStr">
        <is>
          <t>LASTSCHUETZ</t>
        </is>
      </c>
      <c r="H12899" t="inlineStr">
        <is>
          <t>11 kW</t>
        </is>
      </c>
      <c r="I12899">
        <v>207</v>
      </c>
      <c r="J12899">
        <f>GS11/96.2</f>
        <v>0</v>
      </c>
      <c r="K12899" t="inlineStr">
        <is>
          <t>DIL0AM</t>
        </is>
      </c>
      <c r="M12899" t="inlineStr">
        <is>
          <t>-96K1</t>
        </is>
      </c>
    </row>
    <row r="12900">
      <c r="A12900">
        <v>12899</v>
      </c>
      <c r="B12900">
        <f>GS16</f>
        <v>0</v>
      </c>
      <c r="C12900" t="inlineStr">
        <is>
          <t>+LS1</t>
        </is>
      </c>
      <c r="D12900" t="inlineStr">
        <is>
          <t>-96K1</t>
        </is>
      </c>
      <c r="E12900" t="inlineStr">
        <is>
          <t>22_DIL-M</t>
        </is>
      </c>
      <c r="F12900" t="inlineStr">
        <is>
          <t>22_DIL-M</t>
        </is>
      </c>
      <c r="G12900" t="inlineStr">
        <is>
          <t>HILFSKONTAKTBLOCK</t>
        </is>
      </c>
      <c r="H12900" t="inlineStr">
        <is>
          <t>2S 2OE Lastschuetz DIL M</t>
        </is>
      </c>
      <c r="I12900">
        <v>316</v>
      </c>
      <c r="J12900">
        <f>GS16/96.2</f>
        <v>0</v>
      </c>
      <c r="K12900" t="inlineStr">
        <is>
          <t>DIL0AM</t>
        </is>
      </c>
      <c r="M12900" t="inlineStr">
        <is>
          <t>-96K1</t>
        </is>
      </c>
    </row>
    <row r="12901">
      <c r="A12901">
        <v>12900</v>
      </c>
      <c r="B12901">
        <f>GS16</f>
        <v>0</v>
      </c>
      <c r="C12901" t="inlineStr">
        <is>
          <t>+LS1</t>
        </is>
      </c>
      <c r="D12901" t="inlineStr">
        <is>
          <t>-96K1</t>
        </is>
      </c>
      <c r="E12901" t="inlineStr">
        <is>
          <t>DIL_0AM</t>
        </is>
      </c>
      <c r="F12901" t="inlineStr">
        <is>
          <t>22_DIL-M</t>
        </is>
      </c>
      <c r="G12901" t="inlineStr">
        <is>
          <t>LASTSCHUETZ</t>
        </is>
      </c>
      <c r="H12901" t="inlineStr">
        <is>
          <t>11 kW</t>
        </is>
      </c>
      <c r="I12901">
        <v>316</v>
      </c>
      <c r="J12901">
        <f>GS16/96.2</f>
        <v>0</v>
      </c>
      <c r="K12901" t="inlineStr">
        <is>
          <t>DIL0AM</t>
        </is>
      </c>
      <c r="M12901" t="inlineStr">
        <is>
          <t>-96K1</t>
        </is>
      </c>
    </row>
    <row r="12902">
      <c r="A12902">
        <v>12901</v>
      </c>
      <c r="B12902">
        <f>GS21</f>
        <v>0</v>
      </c>
      <c r="C12902" t="inlineStr">
        <is>
          <t>+LS1</t>
        </is>
      </c>
      <c r="D12902" t="inlineStr">
        <is>
          <t>-96K1</t>
        </is>
      </c>
      <c r="E12902" t="inlineStr">
        <is>
          <t>DIL_0AM</t>
        </is>
      </c>
      <c r="F12902" t="inlineStr">
        <is>
          <t>22_DIL-M</t>
        </is>
      </c>
      <c r="G12902" t="inlineStr">
        <is>
          <t>LASTSCHUETZ</t>
        </is>
      </c>
      <c r="H12902" t="inlineStr">
        <is>
          <t>11 kW</t>
        </is>
      </c>
      <c r="I12902">
        <v>89</v>
      </c>
      <c r="J12902">
        <f>GS21/96.2</f>
        <v>0</v>
      </c>
      <c r="K12902" t="inlineStr">
        <is>
          <t>DIL0AM</t>
        </is>
      </c>
      <c r="M12902" t="inlineStr">
        <is>
          <t>-96K1</t>
        </is>
      </c>
    </row>
    <row r="12903">
      <c r="A12903">
        <v>12902</v>
      </c>
      <c r="B12903">
        <f>GS21</f>
        <v>0</v>
      </c>
      <c r="C12903" t="inlineStr">
        <is>
          <t>+LS1</t>
        </is>
      </c>
      <c r="D12903" t="inlineStr">
        <is>
          <t>-96K1</t>
        </is>
      </c>
      <c r="E12903" t="inlineStr">
        <is>
          <t>22_DIL-M</t>
        </is>
      </c>
      <c r="F12903" t="inlineStr">
        <is>
          <t>22_DIL-M</t>
        </is>
      </c>
      <c r="G12903" t="inlineStr">
        <is>
          <t>HILFSKONTAKTBLOCK</t>
        </is>
      </c>
      <c r="H12903" t="inlineStr">
        <is>
          <t>2S 2OE Lastschuetz DIL M</t>
        </is>
      </c>
      <c r="I12903">
        <v>89</v>
      </c>
      <c r="J12903">
        <f>GS21/96.2</f>
        <v>0</v>
      </c>
      <c r="K12903" t="inlineStr">
        <is>
          <t>DIL0AM</t>
        </is>
      </c>
      <c r="M12903" t="inlineStr">
        <is>
          <t>-96K1</t>
        </is>
      </c>
    </row>
    <row r="12904">
      <c r="A12904">
        <v>12903</v>
      </c>
      <c r="B12904">
        <f>GS32</f>
        <v>0</v>
      </c>
      <c r="C12904" t="inlineStr">
        <is>
          <t>+LS1</t>
        </is>
      </c>
      <c r="D12904" t="inlineStr">
        <is>
          <t>-96K13.0</t>
        </is>
      </c>
      <c r="E12904" t="inlineStr">
        <is>
          <t>DIL_EM-10-G</t>
        </is>
      </c>
      <c r="F12904" t="inlineStr">
        <is>
          <t>#KALK!</t>
        </is>
      </c>
      <c r="G12904" t="inlineStr">
        <is>
          <t>LASTSCHUETZ</t>
        </is>
      </c>
      <c r="H12904" t="inlineStr">
        <is>
          <t>4kW 1S</t>
        </is>
      </c>
      <c r="I12904">
        <v>897</v>
      </c>
      <c r="J12904">
        <f>GS32/96.6</f>
        <v>0</v>
      </c>
      <c r="M12904" t="inlineStr">
        <is>
          <t>-96K13.0</t>
        </is>
      </c>
    </row>
    <row r="12905">
      <c r="A12905">
        <v>12904</v>
      </c>
      <c r="B12905">
        <f>GS32</f>
        <v>0</v>
      </c>
      <c r="C12905" t="inlineStr">
        <is>
          <t>+LS1</t>
        </is>
      </c>
      <c r="D12905" t="inlineStr">
        <is>
          <t>-96K13.1</t>
        </is>
      </c>
      <c r="E12905" t="inlineStr">
        <is>
          <t>DIL_EM-10-G</t>
        </is>
      </c>
      <c r="F12905" t="inlineStr">
        <is>
          <t>#KALK!</t>
        </is>
      </c>
      <c r="G12905" t="inlineStr">
        <is>
          <t>LASTSCHUETZ</t>
        </is>
      </c>
      <c r="H12905" t="inlineStr">
        <is>
          <t>4kW 1S</t>
        </is>
      </c>
      <c r="I12905">
        <v>897</v>
      </c>
      <c r="J12905">
        <f>GS32/96.6</f>
        <v>0</v>
      </c>
      <c r="M12905" t="inlineStr">
        <is>
          <t>-96K13.1</t>
        </is>
      </c>
    </row>
    <row r="12906">
      <c r="A12906">
        <v>12905</v>
      </c>
      <c r="B12906">
        <f>GS31</f>
        <v>0</v>
      </c>
      <c r="C12906" t="inlineStr">
        <is>
          <t>+LS1</t>
        </is>
      </c>
      <c r="D12906" t="inlineStr">
        <is>
          <t>-96K15.3</t>
        </is>
      </c>
      <c r="E12906" t="inlineStr">
        <is>
          <t>DIL_EM-10-G</t>
        </is>
      </c>
      <c r="F12906" t="inlineStr">
        <is>
          <t>#KALK!</t>
        </is>
      </c>
      <c r="G12906" t="inlineStr">
        <is>
          <t>LASTSCHUETZ</t>
        </is>
      </c>
      <c r="H12906" t="inlineStr">
        <is>
          <t>4kW 1S</t>
        </is>
      </c>
      <c r="I12906">
        <v>379</v>
      </c>
      <c r="J12906">
        <f>GS31/96.7</f>
        <v>0</v>
      </c>
      <c r="M12906" t="inlineStr">
        <is>
          <t>-96K15.3</t>
        </is>
      </c>
    </row>
    <row r="12907">
      <c r="A12907">
        <v>12906</v>
      </c>
      <c r="B12907">
        <f>GS11</f>
        <v>0</v>
      </c>
      <c r="C12907" t="inlineStr">
        <is>
          <t>+LS1</t>
        </is>
      </c>
      <c r="D12907" t="inlineStr">
        <is>
          <t>-96K2</t>
        </is>
      </c>
      <c r="E12907" t="inlineStr">
        <is>
          <t>22_DIL-M</t>
        </is>
      </c>
      <c r="F12907" t="inlineStr">
        <is>
          <t>22_DIL-M</t>
        </is>
      </c>
      <c r="G12907" t="inlineStr">
        <is>
          <t>HILFSKONTAKTBLOCK</t>
        </is>
      </c>
      <c r="H12907" t="inlineStr">
        <is>
          <t>2S 2OE Lastschuetz DIL M</t>
        </is>
      </c>
      <c r="I12907">
        <v>207</v>
      </c>
      <c r="J12907">
        <f>GS11/96.3</f>
        <v>0</v>
      </c>
      <c r="K12907" t="inlineStr">
        <is>
          <t>DIL0AM</t>
        </is>
      </c>
      <c r="M12907" t="inlineStr">
        <is>
          <t>-96K2</t>
        </is>
      </c>
    </row>
    <row r="12908">
      <c r="A12908">
        <v>12907</v>
      </c>
      <c r="B12908">
        <f>GS11</f>
        <v>0</v>
      </c>
      <c r="C12908" t="inlineStr">
        <is>
          <t>+LS1</t>
        </is>
      </c>
      <c r="D12908" t="inlineStr">
        <is>
          <t>-96K2</t>
        </is>
      </c>
      <c r="E12908" t="inlineStr">
        <is>
          <t>DIL_0AM</t>
        </is>
      </c>
      <c r="F12908" t="inlineStr">
        <is>
          <t>22_DIL-M</t>
        </is>
      </c>
      <c r="G12908" t="inlineStr">
        <is>
          <t>LASTSCHUETZ</t>
        </is>
      </c>
      <c r="H12908" t="inlineStr">
        <is>
          <t>11 kW</t>
        </is>
      </c>
      <c r="I12908">
        <v>207</v>
      </c>
      <c r="J12908">
        <f>GS11/96.3</f>
        <v>0</v>
      </c>
      <c r="K12908" t="inlineStr">
        <is>
          <t>DIL0AM</t>
        </is>
      </c>
      <c r="M12908" t="inlineStr">
        <is>
          <t>-96K2</t>
        </is>
      </c>
    </row>
    <row r="12909">
      <c r="A12909">
        <v>12908</v>
      </c>
      <c r="B12909">
        <f>GS21</f>
        <v>0</v>
      </c>
      <c r="C12909" t="inlineStr">
        <is>
          <t>+LS1</t>
        </is>
      </c>
      <c r="D12909" t="inlineStr">
        <is>
          <t>-96K2</t>
        </is>
      </c>
      <c r="E12909" t="inlineStr">
        <is>
          <t>DIL_0AM</t>
        </is>
      </c>
      <c r="F12909" t="inlineStr">
        <is>
          <t>22_DIL-M</t>
        </is>
      </c>
      <c r="G12909" t="inlineStr">
        <is>
          <t>LASTSCHUETZ</t>
        </is>
      </c>
      <c r="H12909" t="inlineStr">
        <is>
          <t>11 kW</t>
        </is>
      </c>
      <c r="I12909">
        <v>89</v>
      </c>
      <c r="J12909">
        <f>GS21/96.3</f>
        <v>0</v>
      </c>
      <c r="K12909" t="inlineStr">
        <is>
          <t>DIL0AM</t>
        </is>
      </c>
      <c r="M12909" t="inlineStr">
        <is>
          <t>-96K2</t>
        </is>
      </c>
    </row>
    <row r="12910">
      <c r="A12910">
        <v>12909</v>
      </c>
      <c r="B12910">
        <f>GS21</f>
        <v>0</v>
      </c>
      <c r="C12910" t="inlineStr">
        <is>
          <t>+LS1</t>
        </is>
      </c>
      <c r="D12910" t="inlineStr">
        <is>
          <t>-96K2</t>
        </is>
      </c>
      <c r="E12910" t="inlineStr">
        <is>
          <t>22_DIL-M</t>
        </is>
      </c>
      <c r="F12910" t="inlineStr">
        <is>
          <t>22_DIL-M</t>
        </is>
      </c>
      <c r="G12910" t="inlineStr">
        <is>
          <t>HILFSKONTAKTBLOCK</t>
        </is>
      </c>
      <c r="H12910" t="inlineStr">
        <is>
          <t>2S 2OE Lastschuetz DIL M</t>
        </is>
      </c>
      <c r="I12910">
        <v>89</v>
      </c>
      <c r="J12910">
        <f>GS21/96.3</f>
        <v>0</v>
      </c>
      <c r="K12910" t="inlineStr">
        <is>
          <t>DIL0AM</t>
        </is>
      </c>
      <c r="M12910" t="inlineStr">
        <is>
          <t>-96K2</t>
        </is>
      </c>
    </row>
    <row r="12911">
      <c r="A12911">
        <v>12910</v>
      </c>
      <c r="B12911">
        <f>GS14</f>
        <v>0</v>
      </c>
      <c r="C12911" t="inlineStr">
        <is>
          <t>+LS1</t>
        </is>
      </c>
      <c r="D12911" t="inlineStr">
        <is>
          <t>-96K57.4</t>
        </is>
      </c>
      <c r="E12911" t="inlineStr">
        <is>
          <t>DIL_EM-10-G</t>
        </is>
      </c>
      <c r="F12911" t="inlineStr">
        <is>
          <t>#KALK!</t>
        </is>
      </c>
      <c r="G12911" t="inlineStr">
        <is>
          <t>LASTSCHUETZ</t>
        </is>
      </c>
      <c r="H12911" t="inlineStr">
        <is>
          <t>4kW 1S</t>
        </is>
      </c>
      <c r="I12911">
        <v>222</v>
      </c>
      <c r="J12911">
        <f>GS14/96.6</f>
        <v>0</v>
      </c>
      <c r="M12911" t="inlineStr">
        <is>
          <t>-96K57.4</t>
        </is>
      </c>
    </row>
    <row r="12912">
      <c r="A12912">
        <v>12911</v>
      </c>
      <c r="B12912">
        <f>GS15</f>
        <v>0</v>
      </c>
      <c r="C12912" t="inlineStr">
        <is>
          <t>+LS1</t>
        </is>
      </c>
      <c r="D12912" t="inlineStr">
        <is>
          <t>-96K57.4</t>
        </is>
      </c>
      <c r="E12912" t="inlineStr">
        <is>
          <t>DIL_EM-10-G</t>
        </is>
      </c>
      <c r="F12912" t="inlineStr">
        <is>
          <t>#KALK!</t>
        </is>
      </c>
      <c r="G12912" t="inlineStr">
        <is>
          <t>LASTSCHUETZ</t>
        </is>
      </c>
      <c r="H12912" t="inlineStr">
        <is>
          <t>4kW 1S</t>
        </is>
      </c>
      <c r="I12912">
        <v>583</v>
      </c>
      <c r="J12912">
        <f>GS15/96.6</f>
        <v>0</v>
      </c>
      <c r="M12912" t="inlineStr">
        <is>
          <t>-96K57.4</t>
        </is>
      </c>
    </row>
    <row r="12913">
      <c r="A12913">
        <v>12912</v>
      </c>
      <c r="B12913">
        <f>GS24</f>
        <v>0</v>
      </c>
      <c r="C12913" t="inlineStr">
        <is>
          <t>+LS1</t>
        </is>
      </c>
      <c r="D12913" t="inlineStr">
        <is>
          <t>-96K57.4</t>
        </is>
      </c>
      <c r="E12913" t="inlineStr">
        <is>
          <t>DIL_EM-10-G</t>
        </is>
      </c>
      <c r="F12913" t="inlineStr">
        <is>
          <t>#KALK!</t>
        </is>
      </c>
      <c r="G12913" t="inlineStr">
        <is>
          <t>LASTSCHUETZ</t>
        </is>
      </c>
      <c r="H12913" t="inlineStr">
        <is>
          <t>4kW 1S</t>
        </is>
      </c>
      <c r="I12913">
        <v>983</v>
      </c>
      <c r="J12913">
        <f>GS24/96.6</f>
        <v>0</v>
      </c>
      <c r="M12913" t="inlineStr">
        <is>
          <t>-96K57.4</t>
        </is>
      </c>
    </row>
    <row r="12914">
      <c r="A12914">
        <v>12913</v>
      </c>
      <c r="B12914">
        <f>GS25</f>
        <v>0</v>
      </c>
      <c r="C12914" t="inlineStr">
        <is>
          <t>+LS1</t>
        </is>
      </c>
      <c r="D12914" t="inlineStr">
        <is>
          <t>-96K57.4</t>
        </is>
      </c>
      <c r="E12914" t="inlineStr">
        <is>
          <t>DIL_EM-10-G</t>
        </is>
      </c>
      <c r="F12914" t="inlineStr">
        <is>
          <t>#KALK!</t>
        </is>
      </c>
      <c r="G12914" t="inlineStr">
        <is>
          <t>LASTSCHUETZ</t>
        </is>
      </c>
      <c r="H12914" t="inlineStr">
        <is>
          <t>4kW 1S</t>
        </is>
      </c>
      <c r="I12914">
        <v>217</v>
      </c>
      <c r="J12914">
        <f>GS25/96.6</f>
        <v>0</v>
      </c>
      <c r="M12914" t="inlineStr">
        <is>
          <t>-96K57.4</t>
        </is>
      </c>
    </row>
    <row r="12915">
      <c r="A12915">
        <v>12914</v>
      </c>
      <c r="B12915">
        <f>GS14</f>
        <v>0</v>
      </c>
      <c r="C12915" t="inlineStr">
        <is>
          <t>+LS1</t>
        </is>
      </c>
      <c r="D12915" t="inlineStr">
        <is>
          <t>-96K57.5</t>
        </is>
      </c>
      <c r="E12915" t="inlineStr">
        <is>
          <t>DIL_EM-10-G</t>
        </is>
      </c>
      <c r="F12915" t="inlineStr">
        <is>
          <t>#KALK!</t>
        </is>
      </c>
      <c r="G12915" t="inlineStr">
        <is>
          <t>LASTSCHUETZ</t>
        </is>
      </c>
      <c r="H12915" t="inlineStr">
        <is>
          <t>4kW 1S</t>
        </is>
      </c>
      <c r="I12915">
        <v>222</v>
      </c>
      <c r="J12915">
        <f>GS14/96.6</f>
        <v>0</v>
      </c>
      <c r="M12915" t="inlineStr">
        <is>
          <t>-96K57.5</t>
        </is>
      </c>
    </row>
    <row r="12916">
      <c r="A12916">
        <v>12915</v>
      </c>
      <c r="B12916">
        <f>GS15</f>
        <v>0</v>
      </c>
      <c r="C12916" t="inlineStr">
        <is>
          <t>+LS1</t>
        </is>
      </c>
      <c r="D12916" t="inlineStr">
        <is>
          <t>-96K57.5</t>
        </is>
      </c>
      <c r="E12916" t="inlineStr">
        <is>
          <t>DIL_EM-10-G</t>
        </is>
      </c>
      <c r="F12916" t="inlineStr">
        <is>
          <t>#KALK!</t>
        </is>
      </c>
      <c r="G12916" t="inlineStr">
        <is>
          <t>LASTSCHUETZ</t>
        </is>
      </c>
      <c r="H12916" t="inlineStr">
        <is>
          <t>4kW 1S</t>
        </is>
      </c>
      <c r="I12916">
        <v>583</v>
      </c>
      <c r="J12916">
        <f>GS15/96.6</f>
        <v>0</v>
      </c>
      <c r="M12916" t="inlineStr">
        <is>
          <t>-96K57.5</t>
        </is>
      </c>
    </row>
    <row r="12917">
      <c r="A12917">
        <v>12916</v>
      </c>
      <c r="B12917">
        <f>GS24</f>
        <v>0</v>
      </c>
      <c r="C12917" t="inlineStr">
        <is>
          <t>+LS1</t>
        </is>
      </c>
      <c r="D12917" t="inlineStr">
        <is>
          <t>-96K57.5</t>
        </is>
      </c>
      <c r="E12917" t="inlineStr">
        <is>
          <t>DIL_EM-10-G</t>
        </is>
      </c>
      <c r="F12917" t="inlineStr">
        <is>
          <t>#KALK!</t>
        </is>
      </c>
      <c r="G12917" t="inlineStr">
        <is>
          <t>LASTSCHUETZ</t>
        </is>
      </c>
      <c r="H12917" t="inlineStr">
        <is>
          <t>4kW 1S</t>
        </is>
      </c>
      <c r="I12917">
        <v>983</v>
      </c>
      <c r="J12917">
        <f>GS24/96.6</f>
        <v>0</v>
      </c>
      <c r="M12917" t="inlineStr">
        <is>
          <t>-96K57.5</t>
        </is>
      </c>
    </row>
    <row r="12918">
      <c r="A12918">
        <v>12917</v>
      </c>
      <c r="B12918">
        <f>GS25</f>
        <v>0</v>
      </c>
      <c r="C12918" t="inlineStr">
        <is>
          <t>+LS1</t>
        </is>
      </c>
      <c r="D12918" t="inlineStr">
        <is>
          <t>-96K57.5</t>
        </is>
      </c>
      <c r="E12918" t="inlineStr">
        <is>
          <t>DIL_EM-10-G</t>
        </is>
      </c>
      <c r="F12918" t="inlineStr">
        <is>
          <t>#KALK!</t>
        </is>
      </c>
      <c r="G12918" t="inlineStr">
        <is>
          <t>LASTSCHUETZ</t>
        </is>
      </c>
      <c r="H12918" t="inlineStr">
        <is>
          <t>4kW 1S</t>
        </is>
      </c>
      <c r="I12918">
        <v>217</v>
      </c>
      <c r="J12918">
        <f>GS25/96.6</f>
        <v>0</v>
      </c>
      <c r="M12918" t="inlineStr">
        <is>
          <t>-96K57.5</t>
        </is>
      </c>
    </row>
    <row r="12919">
      <c r="A12919">
        <v>12918</v>
      </c>
      <c r="B12919">
        <f>GS01</f>
        <v>0</v>
      </c>
      <c r="C12919" t="inlineStr">
        <is>
          <t>+LS1</t>
        </is>
      </c>
      <c r="D12919" t="inlineStr">
        <is>
          <t>-96K80.7</t>
        </is>
      </c>
      <c r="E12919" t="inlineStr">
        <is>
          <t>DIL_EM-10-G</t>
        </is>
      </c>
      <c r="F12919" t="inlineStr">
        <is>
          <t>#KALK!</t>
        </is>
      </c>
      <c r="G12919" t="inlineStr">
        <is>
          <t>LASTSCHUETZ</t>
        </is>
      </c>
      <c r="H12919" t="inlineStr">
        <is>
          <t>4kW 1S</t>
        </is>
      </c>
      <c r="I12919">
        <v>258</v>
      </c>
      <c r="J12919">
        <f>GS01/96.7</f>
        <v>0</v>
      </c>
      <c r="M12919" t="inlineStr">
        <is>
          <t>-96K80.7</t>
        </is>
      </c>
    </row>
    <row r="12920">
      <c r="A12920">
        <v>12919</v>
      </c>
      <c r="B12920">
        <f>GS33</f>
        <v>0</v>
      </c>
      <c r="C12920" t="inlineStr">
        <is>
          <t>+LS11</t>
        </is>
      </c>
      <c r="D12920" t="inlineStr">
        <is>
          <t>-970K65.7</t>
        </is>
      </c>
      <c r="E12920" t="inlineStr">
        <is>
          <t>DIL_EM-10-G</t>
        </is>
      </c>
      <c r="F12920" t="inlineStr">
        <is>
          <t>#KALK!</t>
        </is>
      </c>
      <c r="G12920" t="inlineStr">
        <is>
          <t>LASTSCHUETZ</t>
        </is>
      </c>
      <c r="H12920" t="inlineStr">
        <is>
          <t>4kW 1S</t>
        </is>
      </c>
      <c r="I12920">
        <v>1426</v>
      </c>
      <c r="J12920">
        <f>GS33/970.6</f>
        <v>0</v>
      </c>
      <c r="M12920" t="inlineStr">
        <is>
          <t>-970K65.7</t>
        </is>
      </c>
    </row>
    <row r="12921">
      <c r="A12921">
        <v>12920</v>
      </c>
      <c r="B12921">
        <f>GS33</f>
        <v>0</v>
      </c>
      <c r="C12921" t="inlineStr">
        <is>
          <t>+LS11</t>
        </is>
      </c>
      <c r="D12921" t="inlineStr">
        <is>
          <t>-971K66.3</t>
        </is>
      </c>
      <c r="E12921" t="inlineStr">
        <is>
          <t>DIL_EM-10-G</t>
        </is>
      </c>
      <c r="F12921" t="inlineStr">
        <is>
          <t>#KALK!</t>
        </is>
      </c>
      <c r="G12921" t="inlineStr">
        <is>
          <t>LASTSCHUETZ</t>
        </is>
      </c>
      <c r="H12921" t="inlineStr">
        <is>
          <t>4kW 1S</t>
        </is>
      </c>
      <c r="I12921">
        <v>1427</v>
      </c>
      <c r="J12921">
        <f>GS33/971.7</f>
        <v>0</v>
      </c>
      <c r="M12921" t="inlineStr">
        <is>
          <t>-971K66.3</t>
        </is>
      </c>
    </row>
    <row r="12922">
      <c r="A12922">
        <v>12921</v>
      </c>
      <c r="B12922">
        <f>GS33</f>
        <v>0</v>
      </c>
      <c r="C12922" t="inlineStr">
        <is>
          <t>+LS11</t>
        </is>
      </c>
      <c r="D12922" t="inlineStr">
        <is>
          <t>-972K66.6</t>
        </is>
      </c>
      <c r="E12922" t="inlineStr">
        <is>
          <t>DIL_EM-10-G</t>
        </is>
      </c>
      <c r="F12922" t="inlineStr">
        <is>
          <t>11_DIL-E</t>
        </is>
      </c>
      <c r="G12922" t="inlineStr">
        <is>
          <t>LASTSCHUETZ</t>
        </is>
      </c>
      <c r="H12922" t="inlineStr">
        <is>
          <t>4kW 1S</t>
        </is>
      </c>
      <c r="I12922">
        <v>1428</v>
      </c>
      <c r="J12922">
        <f>GS33/972.6</f>
        <v>0</v>
      </c>
      <c r="M12922" t="inlineStr">
        <is>
          <t>-972K66.6</t>
        </is>
      </c>
    </row>
    <row r="12923">
      <c r="A12923">
        <v>12922</v>
      </c>
      <c r="B12923">
        <f>GS33</f>
        <v>0</v>
      </c>
      <c r="C12923" t="inlineStr">
        <is>
          <t>+LS11</t>
        </is>
      </c>
      <c r="D12923" t="inlineStr">
        <is>
          <t>-972K66.6</t>
        </is>
      </c>
      <c r="E12923" t="inlineStr">
        <is>
          <t>11_DIL-E</t>
        </is>
      </c>
      <c r="F12923" t="inlineStr">
        <is>
          <t>11_DIL-E</t>
        </is>
      </c>
      <c r="G12923" t="inlineStr">
        <is>
          <t>HILFSKONTAKTBLOCK</t>
        </is>
      </c>
      <c r="H12923" t="inlineStr">
        <is>
          <t>1S 1OE Last+Hilfsschuetz</t>
        </is>
      </c>
      <c r="I12923">
        <v>1428</v>
      </c>
      <c r="J12923">
        <f>GS33/972.6</f>
        <v>0</v>
      </c>
      <c r="M12923" t="inlineStr">
        <is>
          <t>-972K66.6</t>
        </is>
      </c>
    </row>
    <row r="12924">
      <c r="A12924">
        <v>12923</v>
      </c>
      <c r="B12924">
        <f>GS33</f>
        <v>0</v>
      </c>
      <c r="C12924" t="inlineStr">
        <is>
          <t>+LS11</t>
        </is>
      </c>
      <c r="D12924" t="inlineStr">
        <is>
          <t>-972K66.7</t>
        </is>
      </c>
      <c r="E12924" t="inlineStr">
        <is>
          <t>DIL_EM-10-G</t>
        </is>
      </c>
      <c r="F12924" t="inlineStr">
        <is>
          <t>#ÜBERLAUF!</t>
        </is>
      </c>
      <c r="G12924" t="inlineStr">
        <is>
          <t>LASTSCHUETZ</t>
        </is>
      </c>
      <c r="H12924" t="inlineStr">
        <is>
          <t>4kW 1S</t>
        </is>
      </c>
      <c r="I12924">
        <v>1428</v>
      </c>
      <c r="J12924">
        <f>GS33/972.6</f>
        <v>0</v>
      </c>
      <c r="M12924" t="inlineStr">
        <is>
          <t>-972K66.7</t>
        </is>
      </c>
    </row>
    <row r="12925">
      <c r="A12925">
        <v>12924</v>
      </c>
      <c r="B12925">
        <f>GS33</f>
        <v>0</v>
      </c>
      <c r="C12925" t="inlineStr">
        <is>
          <t>+LS11</t>
        </is>
      </c>
      <c r="D12925" t="inlineStr">
        <is>
          <t>-972K66.7</t>
        </is>
      </c>
      <c r="E12925" t="inlineStr">
        <is>
          <t>22_DIL-E</t>
        </is>
      </c>
      <c r="F12925" t="inlineStr">
        <is>
          <t>#ÜBERLAUF!</t>
        </is>
      </c>
      <c r="G12925" t="inlineStr">
        <is>
          <t>HILFSKONTAKTBLOCK</t>
        </is>
      </c>
      <c r="H12925" t="inlineStr">
        <is>
          <t>2S 2OE Last+Hilfsschuetz</t>
        </is>
      </c>
      <c r="I12925">
        <v>1428</v>
      </c>
      <c r="J12925">
        <f>GS33/972.6</f>
        <v>0</v>
      </c>
      <c r="M12925" t="inlineStr">
        <is>
          <t>-972K66.7</t>
        </is>
      </c>
    </row>
    <row r="12926">
      <c r="A12926">
        <v>12925</v>
      </c>
      <c r="B12926">
        <f>GS33</f>
        <v>0</v>
      </c>
      <c r="C12926" t="inlineStr">
        <is>
          <t>+LS11</t>
        </is>
      </c>
      <c r="D12926" t="inlineStr">
        <is>
          <t>-972K66.7</t>
        </is>
      </c>
      <c r="E12926" t="inlineStr">
        <is>
          <t>11_DIL-E</t>
        </is>
      </c>
      <c r="F12926" t="inlineStr">
        <is>
          <t>#ÜBERLAUF!</t>
        </is>
      </c>
      <c r="G12926" t="inlineStr">
        <is>
          <t>HILFSKONTAKTBLOCK</t>
        </is>
      </c>
      <c r="H12926" t="inlineStr">
        <is>
          <t>1S 1OE Last+Hilfsschuetz</t>
        </is>
      </c>
      <c r="I12926">
        <v>1428</v>
      </c>
      <c r="J12926">
        <f>GS33/972.6</f>
        <v>0</v>
      </c>
      <c r="M12926" t="inlineStr">
        <is>
          <t>-972K66.7</t>
        </is>
      </c>
    </row>
    <row r="12927">
      <c r="A12927">
        <v>12926</v>
      </c>
      <c r="B12927">
        <f>GS33</f>
        <v>0</v>
      </c>
      <c r="C12927" t="inlineStr">
        <is>
          <t>+LS11</t>
        </is>
      </c>
      <c r="D12927" t="inlineStr">
        <is>
          <t>-973K67.0</t>
        </is>
      </c>
      <c r="E12927" t="inlineStr">
        <is>
          <t>DIL_EM-10-G</t>
        </is>
      </c>
      <c r="F12927" t="inlineStr">
        <is>
          <t>11_DIL-E</t>
        </is>
      </c>
      <c r="G12927" t="inlineStr">
        <is>
          <t>LASTSCHUETZ</t>
        </is>
      </c>
      <c r="H12927" t="inlineStr">
        <is>
          <t>4kW 1S</t>
        </is>
      </c>
      <c r="I12927">
        <v>1429</v>
      </c>
      <c r="J12927">
        <f>GS33/973.6</f>
        <v>0</v>
      </c>
      <c r="M12927" t="inlineStr">
        <is>
          <t>-973K67.0</t>
        </is>
      </c>
    </row>
    <row r="12928">
      <c r="A12928">
        <v>12927</v>
      </c>
      <c r="B12928">
        <f>GS33</f>
        <v>0</v>
      </c>
      <c r="C12928" t="inlineStr">
        <is>
          <t>+LS11</t>
        </is>
      </c>
      <c r="D12928" t="inlineStr">
        <is>
          <t>-973K67.0</t>
        </is>
      </c>
      <c r="E12928" t="inlineStr">
        <is>
          <t>11_DIL-E</t>
        </is>
      </c>
      <c r="F12928" t="inlineStr">
        <is>
          <t>11_DIL-E</t>
        </is>
      </c>
      <c r="G12928" t="inlineStr">
        <is>
          <t>HILFSKONTAKTBLOCK</t>
        </is>
      </c>
      <c r="H12928" t="inlineStr">
        <is>
          <t>1S 1OE Last+Hilfsschuetz</t>
        </is>
      </c>
      <c r="I12928">
        <v>1429</v>
      </c>
      <c r="J12928">
        <f>GS33/973.6</f>
        <v>0</v>
      </c>
      <c r="M12928" t="inlineStr">
        <is>
          <t>-973K67.0</t>
        </is>
      </c>
    </row>
    <row r="12929">
      <c r="A12929">
        <v>12928</v>
      </c>
      <c r="B12929">
        <f>GS33</f>
        <v>0</v>
      </c>
      <c r="C12929" t="inlineStr">
        <is>
          <t>+LS11</t>
        </is>
      </c>
      <c r="D12929" t="inlineStr">
        <is>
          <t>-973K67.1</t>
        </is>
      </c>
      <c r="E12929" t="inlineStr">
        <is>
          <t>DIL_EM-10-G</t>
        </is>
      </c>
      <c r="F12929" t="inlineStr">
        <is>
          <t>11_DIL-E</t>
        </is>
      </c>
      <c r="G12929" t="inlineStr">
        <is>
          <t>LASTSCHUETZ</t>
        </is>
      </c>
      <c r="H12929" t="inlineStr">
        <is>
          <t>4kW 1S</t>
        </is>
      </c>
      <c r="I12929">
        <v>1429</v>
      </c>
      <c r="J12929">
        <f>GS33/973.6</f>
        <v>0</v>
      </c>
      <c r="M12929" t="inlineStr">
        <is>
          <t>-973K67.1</t>
        </is>
      </c>
    </row>
    <row r="12930">
      <c r="A12930">
        <v>12929</v>
      </c>
      <c r="B12930">
        <f>GS33</f>
        <v>0</v>
      </c>
      <c r="C12930" t="inlineStr">
        <is>
          <t>+LS11</t>
        </is>
      </c>
      <c r="D12930" t="inlineStr">
        <is>
          <t>-973K67.1</t>
        </is>
      </c>
      <c r="E12930" t="inlineStr">
        <is>
          <t>11_DIL-E</t>
        </is>
      </c>
      <c r="F12930" t="inlineStr">
        <is>
          <t>11_DIL-E</t>
        </is>
      </c>
      <c r="G12930" t="inlineStr">
        <is>
          <t>HILFSKONTAKTBLOCK</t>
        </is>
      </c>
      <c r="H12930" t="inlineStr">
        <is>
          <t>1S 1OE Last+Hilfsschuetz</t>
        </is>
      </c>
      <c r="I12930">
        <v>1429</v>
      </c>
      <c r="J12930">
        <f>GS33/973.6</f>
        <v>0</v>
      </c>
      <c r="M12930" t="inlineStr">
        <is>
          <t>-973K67.1</t>
        </is>
      </c>
    </row>
    <row r="12931">
      <c r="A12931">
        <v>12930</v>
      </c>
      <c r="B12931">
        <f>GS33</f>
        <v>0</v>
      </c>
      <c r="C12931" t="inlineStr">
        <is>
          <t>+LS11</t>
        </is>
      </c>
      <c r="D12931" t="inlineStr">
        <is>
          <t>-975K67.7</t>
        </is>
      </c>
      <c r="E12931" t="inlineStr">
        <is>
          <t>DIL_ER-22-G</t>
        </is>
      </c>
      <c r="F12931" t="inlineStr">
        <is>
          <t>#KALK!</t>
        </is>
      </c>
      <c r="G12931" t="inlineStr">
        <is>
          <t>HILFSSCHUETZ</t>
        </is>
      </c>
      <c r="H12931" t="inlineStr">
        <is>
          <t>2S 2OE</t>
        </is>
      </c>
      <c r="I12931">
        <v>1431</v>
      </c>
      <c r="J12931">
        <f>GS33/975.8</f>
        <v>0</v>
      </c>
      <c r="M12931" t="inlineStr">
        <is>
          <t>-975K67.7</t>
        </is>
      </c>
    </row>
    <row r="12932">
      <c r="A12932">
        <v>12931</v>
      </c>
      <c r="B12932">
        <f>GS08</f>
        <v>0</v>
      </c>
      <c r="C12932" t="inlineStr">
        <is>
          <t>+LS15</t>
        </is>
      </c>
      <c r="D12932" t="inlineStr">
        <is>
          <t>-975Q1</t>
        </is>
      </c>
      <c r="E12932" t="inlineStr">
        <is>
          <t>DILA-XHI22</t>
        </is>
      </c>
      <c r="F12932" t="inlineStr">
        <is>
          <t>DILA-XHI22</t>
        </is>
      </c>
      <c r="G12932" t="inlineStr">
        <is>
          <t>HILFSKONTAKTBLOCK</t>
        </is>
      </c>
      <c r="H12932" t="inlineStr">
        <is>
          <t>2S 2OE Last+Hilfssch. Cage</t>
        </is>
      </c>
      <c r="I12932">
        <v>1287</v>
      </c>
      <c r="J12932">
        <f>GS08/975.6</f>
        <v>0</v>
      </c>
      <c r="K12932" t="inlineStr">
        <is>
          <t>DIL MC25</t>
        </is>
      </c>
      <c r="M12932" t="inlineStr">
        <is>
          <t>-975Q1</t>
        </is>
      </c>
    </row>
    <row r="12933">
      <c r="A12933">
        <v>12932</v>
      </c>
      <c r="B12933">
        <f>GS08</f>
        <v>0</v>
      </c>
      <c r="C12933" t="inlineStr">
        <is>
          <t>+LS15</t>
        </is>
      </c>
      <c r="D12933" t="inlineStr">
        <is>
          <t>-975Q1</t>
        </is>
      </c>
      <c r="E12933" t="inlineStr">
        <is>
          <t>DILMC25-10(RDC24)</t>
        </is>
      </c>
      <c r="F12933" t="inlineStr">
        <is>
          <t>DILA-XHI22</t>
        </is>
      </c>
      <c r="G12933" t="inlineStr">
        <is>
          <t>LASTSCHUETZ</t>
        </is>
      </c>
      <c r="H12933" t="inlineStr">
        <is>
          <t>11kW 1S Federzugkl.</t>
        </is>
      </c>
      <c r="I12933">
        <v>1287</v>
      </c>
      <c r="J12933">
        <f>GS08/975.6</f>
        <v>0</v>
      </c>
      <c r="K12933" t="inlineStr">
        <is>
          <t>DIL MC25</t>
        </is>
      </c>
      <c r="M12933" t="inlineStr">
        <is>
          <t>-975Q1</t>
        </is>
      </c>
    </row>
    <row r="12934">
      <c r="A12934">
        <v>12933</v>
      </c>
      <c r="B12934">
        <f>GS51</f>
        <v>0</v>
      </c>
      <c r="C12934" t="inlineStr">
        <is>
          <t>+LS15</t>
        </is>
      </c>
      <c r="D12934" t="inlineStr">
        <is>
          <t>-975Q1</t>
        </is>
      </c>
      <c r="E12934" t="inlineStr">
        <is>
          <t>DILA-XHI22</t>
        </is>
      </c>
      <c r="F12934" t="inlineStr">
        <is>
          <t>DILA-XHI22</t>
        </is>
      </c>
      <c r="G12934" t="inlineStr">
        <is>
          <t>HILFSKONTAKTBLOCK</t>
        </is>
      </c>
      <c r="H12934" t="inlineStr">
        <is>
          <t>2S 2OE Last+Hilfssch. Cage</t>
        </is>
      </c>
      <c r="I12934">
        <v>1118</v>
      </c>
      <c r="J12934">
        <f>GS51/975.6</f>
        <v>0</v>
      </c>
      <c r="K12934" t="inlineStr">
        <is>
          <t>DIL MC25</t>
        </is>
      </c>
      <c r="M12934" t="inlineStr">
        <is>
          <t>-975Q1</t>
        </is>
      </c>
    </row>
    <row r="12935">
      <c r="A12935">
        <v>12934</v>
      </c>
      <c r="B12935">
        <f>GS51</f>
        <v>0</v>
      </c>
      <c r="C12935" t="inlineStr">
        <is>
          <t>+LS15</t>
        </is>
      </c>
      <c r="D12935" t="inlineStr">
        <is>
          <t>-975Q1</t>
        </is>
      </c>
      <c r="E12935" t="inlineStr">
        <is>
          <t>DILMC25-10(RDC24)</t>
        </is>
      </c>
      <c r="F12935" t="inlineStr">
        <is>
          <t>DILA-XHI22</t>
        </is>
      </c>
      <c r="G12935" t="inlineStr">
        <is>
          <t>LASTSCHUETZ</t>
        </is>
      </c>
      <c r="H12935" t="inlineStr">
        <is>
          <t>11kW 1S Federzugkl.</t>
        </is>
      </c>
      <c r="I12935">
        <v>1118</v>
      </c>
      <c r="J12935">
        <f>GS51/975.6</f>
        <v>0</v>
      </c>
      <c r="K12935" t="inlineStr">
        <is>
          <t>DIL MC25</t>
        </is>
      </c>
      <c r="M12935" t="inlineStr">
        <is>
          <t>-975Q1</t>
        </is>
      </c>
    </row>
    <row r="12936">
      <c r="A12936">
        <v>12935</v>
      </c>
      <c r="B12936">
        <f>GS08</f>
        <v>0</v>
      </c>
      <c r="C12936" t="inlineStr">
        <is>
          <t>+LS15</t>
        </is>
      </c>
      <c r="D12936" t="inlineStr">
        <is>
          <t>-975Q3</t>
        </is>
      </c>
      <c r="E12936" t="inlineStr">
        <is>
          <t>DILA-XHI22</t>
        </is>
      </c>
      <c r="F12936" t="inlineStr">
        <is>
          <t>DILA-XHI22</t>
        </is>
      </c>
      <c r="G12936" t="inlineStr">
        <is>
          <t>HILFSKONTAKTBLOCK</t>
        </is>
      </c>
      <c r="H12936" t="inlineStr">
        <is>
          <t>2S 2OE Last+Hilfssch. Cage</t>
        </is>
      </c>
      <c r="I12936">
        <v>1287</v>
      </c>
      <c r="J12936">
        <f>GS08/975.7</f>
        <v>0</v>
      </c>
      <c r="K12936" t="inlineStr">
        <is>
          <t>DIL MC25</t>
        </is>
      </c>
      <c r="M12936" t="inlineStr">
        <is>
          <t>-975Q3</t>
        </is>
      </c>
    </row>
    <row r="12937">
      <c r="A12937">
        <v>12936</v>
      </c>
      <c r="B12937">
        <f>GS08</f>
        <v>0</v>
      </c>
      <c r="C12937" t="inlineStr">
        <is>
          <t>+LS15</t>
        </is>
      </c>
      <c r="D12937" t="inlineStr">
        <is>
          <t>-975Q3</t>
        </is>
      </c>
      <c r="E12937" t="inlineStr">
        <is>
          <t>DILMC25-10(RDC24)</t>
        </is>
      </c>
      <c r="F12937" t="inlineStr">
        <is>
          <t>DILA-XHI22</t>
        </is>
      </c>
      <c r="G12937" t="inlineStr">
        <is>
          <t>LASTSCHUETZ</t>
        </is>
      </c>
      <c r="H12937" t="inlineStr">
        <is>
          <t>11kW 1S Federzugkl.</t>
        </is>
      </c>
      <c r="I12937">
        <v>1287</v>
      </c>
      <c r="J12937">
        <f>GS08/975.7</f>
        <v>0</v>
      </c>
      <c r="K12937" t="inlineStr">
        <is>
          <t>DIL MC25</t>
        </is>
      </c>
      <c r="M12937" t="inlineStr">
        <is>
          <t>-975Q3</t>
        </is>
      </c>
    </row>
    <row r="12938">
      <c r="A12938">
        <v>12937</v>
      </c>
      <c r="B12938">
        <f>GC22</f>
        <v>0</v>
      </c>
      <c r="C12938" t="inlineStr">
        <is>
          <t>+LS9</t>
        </is>
      </c>
      <c r="D12938" t="inlineStr">
        <is>
          <t>-976K1</t>
        </is>
      </c>
      <c r="E12938" t="inlineStr">
        <is>
          <t>DILA-XHI22</t>
        </is>
      </c>
      <c r="F12938" t="inlineStr">
        <is>
          <t>DILA-XHI22</t>
        </is>
      </c>
      <c r="G12938" t="inlineStr">
        <is>
          <t>HILFSKONTAKTBLOCK</t>
        </is>
      </c>
      <c r="H12938" t="inlineStr">
        <is>
          <t>2S 2OE Last+Hilfssch. Cage</t>
        </is>
      </c>
      <c r="I12938">
        <v>286</v>
      </c>
      <c r="J12938">
        <f>GC22/976.4</f>
        <v>0</v>
      </c>
      <c r="K12938" t="inlineStr">
        <is>
          <t>DIL MC25</t>
        </is>
      </c>
      <c r="M12938" t="inlineStr">
        <is>
          <t>-976K1</t>
        </is>
      </c>
    </row>
    <row r="12939">
      <c r="A12939">
        <v>12938</v>
      </c>
      <c r="B12939">
        <f>GC22</f>
        <v>0</v>
      </c>
      <c r="C12939" t="inlineStr">
        <is>
          <t>+LS9</t>
        </is>
      </c>
      <c r="D12939" t="inlineStr">
        <is>
          <t>-976K1</t>
        </is>
      </c>
      <c r="E12939" t="inlineStr">
        <is>
          <t>DILMC25-10230V50HZ</t>
        </is>
      </c>
      <c r="F12939" t="inlineStr">
        <is>
          <t>DILA-XHI22</t>
        </is>
      </c>
      <c r="G12939" t="inlineStr">
        <is>
          <t>LASTSCHUETZ</t>
        </is>
      </c>
      <c r="H12939" t="inlineStr">
        <is>
          <t>11kW 1S Federzugkl.</t>
        </is>
      </c>
      <c r="I12939">
        <v>286</v>
      </c>
      <c r="J12939">
        <f>GC22/976.4</f>
        <v>0</v>
      </c>
      <c r="K12939" t="inlineStr">
        <is>
          <t>DIL MC25</t>
        </is>
      </c>
      <c r="M12939" t="inlineStr">
        <is>
          <t>-976K1</t>
        </is>
      </c>
    </row>
    <row r="12940">
      <c r="A12940">
        <v>12939</v>
      </c>
      <c r="B12940">
        <f>GS12</f>
        <v>0</v>
      </c>
      <c r="C12940" t="inlineStr">
        <is>
          <t>+LS9</t>
        </is>
      </c>
      <c r="D12940" t="inlineStr">
        <is>
          <t>-976K1</t>
        </is>
      </c>
      <c r="E12940" t="inlineStr">
        <is>
          <t>DILMC25-10230V50HZ</t>
        </is>
      </c>
      <c r="F12940" t="inlineStr">
        <is>
          <t>DILA-XHI22</t>
        </is>
      </c>
      <c r="G12940" t="inlineStr">
        <is>
          <t>LASTSCHUETZ</t>
        </is>
      </c>
      <c r="H12940" t="inlineStr">
        <is>
          <t>11kW 1S Federzugkl.</t>
        </is>
      </c>
      <c r="I12940">
        <v>1491</v>
      </c>
      <c r="J12940">
        <f>GS12/976.4</f>
        <v>0</v>
      </c>
      <c r="K12940" t="inlineStr">
        <is>
          <t>DIL MC25</t>
        </is>
      </c>
      <c r="M12940" t="inlineStr">
        <is>
          <t>-976K1</t>
        </is>
      </c>
    </row>
    <row r="12941">
      <c r="A12941">
        <v>12940</v>
      </c>
      <c r="B12941">
        <f>GS12</f>
        <v>0</v>
      </c>
      <c r="C12941" t="inlineStr">
        <is>
          <t>+LS9</t>
        </is>
      </c>
      <c r="D12941" t="inlineStr">
        <is>
          <t>-976K1</t>
        </is>
      </c>
      <c r="E12941" t="inlineStr">
        <is>
          <t>DILA-XHI22</t>
        </is>
      </c>
      <c r="F12941" t="inlineStr">
        <is>
          <t>DILA-XHI22</t>
        </is>
      </c>
      <c r="G12941" t="inlineStr">
        <is>
          <t>HILFSKONTAKTBLOCK</t>
        </is>
      </c>
      <c r="H12941" t="inlineStr">
        <is>
          <t>2S 2OE Last+Hilfssch. Cage</t>
        </is>
      </c>
      <c r="I12941">
        <v>1491</v>
      </c>
      <c r="J12941">
        <f>GS12/976.4</f>
        <v>0</v>
      </c>
      <c r="K12941" t="inlineStr">
        <is>
          <t>DIL MC25</t>
        </is>
      </c>
      <c r="M12941" t="inlineStr">
        <is>
          <t>-976K1</t>
        </is>
      </c>
    </row>
    <row r="12942">
      <c r="A12942">
        <v>12941</v>
      </c>
      <c r="B12942">
        <f>GS51</f>
        <v>0</v>
      </c>
      <c r="C12942" t="inlineStr">
        <is>
          <t>+LS15</t>
        </is>
      </c>
      <c r="D12942" t="inlineStr">
        <is>
          <t>-976Q737.5</t>
        </is>
      </c>
      <c r="E12942" t="inlineStr">
        <is>
          <t>DILM-9-10</t>
        </is>
      </c>
      <c r="F12942" t="inlineStr">
        <is>
          <t>#KALK!</t>
        </is>
      </c>
      <c r="G12942" t="inlineStr">
        <is>
          <t>LASTSCHUETZ</t>
        </is>
      </c>
      <c r="H12942" t="inlineStr">
        <is>
          <t>4kW 1S Federzugkl.</t>
        </is>
      </c>
      <c r="I12942">
        <v>1119</v>
      </c>
      <c r="J12942">
        <f>GS51/976.6</f>
        <v>0</v>
      </c>
      <c r="K12942" t="inlineStr">
        <is>
          <t>DIL MC9</t>
        </is>
      </c>
      <c r="M12942" t="inlineStr">
        <is>
          <t>-976Q737.5</t>
        </is>
      </c>
    </row>
    <row r="12943">
      <c r="A12943">
        <v>12942</v>
      </c>
      <c r="B12943">
        <f>GS08</f>
        <v>0</v>
      </c>
      <c r="C12943" t="inlineStr">
        <is>
          <t>+LS15</t>
        </is>
      </c>
      <c r="D12943" t="inlineStr">
        <is>
          <t>-979Q271.2</t>
        </is>
      </c>
      <c r="E12943" t="inlineStr">
        <is>
          <t>DILMC17-10(RDC24)</t>
        </is>
      </c>
      <c r="F12943" t="inlineStr">
        <is>
          <t>#KALK!</t>
        </is>
      </c>
      <c r="G12943" t="inlineStr">
        <is>
          <t>LASTSCHUETZ</t>
        </is>
      </c>
      <c r="H12943" t="inlineStr">
        <is>
          <t>7,5kW 1S Federzugkl.</t>
        </is>
      </c>
      <c r="I12943">
        <v>2788</v>
      </c>
      <c r="J12943">
        <f>GS08/979.5</f>
        <v>0</v>
      </c>
      <c r="K12943" t="inlineStr">
        <is>
          <t>DIL MC17</t>
        </is>
      </c>
      <c r="M12943" t="inlineStr">
        <is>
          <t>-979Q271.2</t>
        </is>
      </c>
    </row>
    <row r="12944">
      <c r="A12944">
        <v>12943</v>
      </c>
      <c r="B12944">
        <f>GS16</f>
        <v>0</v>
      </c>
      <c r="C12944" t="inlineStr">
        <is>
          <t>+LS1</t>
        </is>
      </c>
      <c r="D12944" t="inlineStr">
        <is>
          <t>-97K12.0</t>
        </is>
      </c>
      <c r="E12944" t="inlineStr">
        <is>
          <t>DIL_EM-10-G</t>
        </is>
      </c>
      <c r="F12944" t="inlineStr">
        <is>
          <t>#KALK!</t>
        </is>
      </c>
      <c r="G12944" t="inlineStr">
        <is>
          <t>LASTSCHUETZ</t>
        </is>
      </c>
      <c r="H12944" t="inlineStr">
        <is>
          <t>4kW 1S</t>
        </is>
      </c>
      <c r="I12944">
        <v>317</v>
      </c>
      <c r="J12944">
        <f>GS16/97.6</f>
        <v>0</v>
      </c>
      <c r="M12944" t="inlineStr">
        <is>
          <t>-97K12.0</t>
        </is>
      </c>
    </row>
    <row r="12945">
      <c r="A12945">
        <v>12944</v>
      </c>
      <c r="B12945">
        <f>GS16</f>
        <v>0</v>
      </c>
      <c r="C12945" t="inlineStr">
        <is>
          <t>+LS1</t>
        </is>
      </c>
      <c r="D12945" t="inlineStr">
        <is>
          <t>-97K12.1</t>
        </is>
      </c>
      <c r="E12945" t="inlineStr">
        <is>
          <t>DIL_EM-10-G</t>
        </is>
      </c>
      <c r="F12945" t="inlineStr">
        <is>
          <t>#KALK!</t>
        </is>
      </c>
      <c r="G12945" t="inlineStr">
        <is>
          <t>LASTSCHUETZ</t>
        </is>
      </c>
      <c r="H12945" t="inlineStr">
        <is>
          <t>4kW 1S</t>
        </is>
      </c>
      <c r="I12945">
        <v>317</v>
      </c>
      <c r="J12945">
        <f>GS16/97.6</f>
        <v>0</v>
      </c>
      <c r="M12945" t="inlineStr">
        <is>
          <t>-97K12.1</t>
        </is>
      </c>
    </row>
    <row r="12946">
      <c r="A12946">
        <v>12945</v>
      </c>
      <c r="B12946">
        <f>GS32</f>
        <v>0</v>
      </c>
      <c r="C12946" t="inlineStr">
        <is>
          <t>+LS1</t>
        </is>
      </c>
      <c r="D12946" t="inlineStr">
        <is>
          <t>-97K13.2</t>
        </is>
      </c>
      <c r="E12946" t="inlineStr">
        <is>
          <t>DIL_EM-10-G</t>
        </is>
      </c>
      <c r="F12946" t="inlineStr">
        <is>
          <t>#KALK!</t>
        </is>
      </c>
      <c r="G12946" t="inlineStr">
        <is>
          <t>LASTSCHUETZ</t>
        </is>
      </c>
      <c r="H12946" t="inlineStr">
        <is>
          <t>4kW 1S</t>
        </is>
      </c>
      <c r="I12946">
        <v>895</v>
      </c>
      <c r="J12946">
        <f>GS32/97.6</f>
        <v>0</v>
      </c>
      <c r="M12946" t="inlineStr">
        <is>
          <t>-97K13.2</t>
        </is>
      </c>
    </row>
    <row r="12947">
      <c r="A12947">
        <v>12946</v>
      </c>
      <c r="B12947">
        <f>GS32</f>
        <v>0</v>
      </c>
      <c r="C12947" t="inlineStr">
        <is>
          <t>+LS1</t>
        </is>
      </c>
      <c r="D12947" t="inlineStr">
        <is>
          <t>-97K13.3</t>
        </is>
      </c>
      <c r="E12947" t="inlineStr">
        <is>
          <t>DIL_EM-10-G</t>
        </is>
      </c>
      <c r="F12947" t="inlineStr">
        <is>
          <t>#KALK!</t>
        </is>
      </c>
      <c r="G12947" t="inlineStr">
        <is>
          <t>LASTSCHUETZ</t>
        </is>
      </c>
      <c r="H12947" t="inlineStr">
        <is>
          <t>4kW 1S</t>
        </is>
      </c>
      <c r="I12947">
        <v>895</v>
      </c>
      <c r="J12947">
        <f>GS32/97.6</f>
        <v>0</v>
      </c>
      <c r="M12947" t="inlineStr">
        <is>
          <t>-97K13.3</t>
        </is>
      </c>
    </row>
    <row r="12948">
      <c r="A12948">
        <v>12947</v>
      </c>
      <c r="B12948">
        <f>GS31</f>
        <v>0</v>
      </c>
      <c r="C12948" t="inlineStr">
        <is>
          <t>+LS1</t>
        </is>
      </c>
      <c r="D12948" t="inlineStr">
        <is>
          <t>-97K16.1</t>
        </is>
      </c>
      <c r="E12948" t="inlineStr">
        <is>
          <t>DIL_EM-10-G</t>
        </is>
      </c>
      <c r="F12948" t="inlineStr">
        <is>
          <t>#KALK!</t>
        </is>
      </c>
      <c r="G12948" t="inlineStr">
        <is>
          <t>LASTSCHUETZ</t>
        </is>
      </c>
      <c r="H12948" t="inlineStr">
        <is>
          <t>4kW 1S</t>
        </is>
      </c>
      <c r="I12948">
        <v>380</v>
      </c>
      <c r="J12948">
        <f>GS31/97.7</f>
        <v>0</v>
      </c>
      <c r="M12948" t="inlineStr">
        <is>
          <t>-97K16.1</t>
        </is>
      </c>
    </row>
    <row r="12949">
      <c r="A12949">
        <v>12948</v>
      </c>
      <c r="B12949">
        <f>GC03</f>
        <v>0</v>
      </c>
      <c r="C12949" t="inlineStr">
        <is>
          <t>+LS1</t>
        </is>
      </c>
      <c r="D12949" t="inlineStr">
        <is>
          <t>-97K42.0</t>
        </is>
      </c>
      <c r="E12949" t="inlineStr">
        <is>
          <t>DIL_EM-10-G</t>
        </is>
      </c>
      <c r="F12949" t="inlineStr">
        <is>
          <t>#KALK!</t>
        </is>
      </c>
      <c r="G12949" t="inlineStr">
        <is>
          <t>LASTSCHUETZ</t>
        </is>
      </c>
      <c r="H12949" t="inlineStr">
        <is>
          <t>4kW 1S</t>
        </is>
      </c>
      <c r="I12949">
        <v>2197</v>
      </c>
      <c r="J12949">
        <f>GC03/97.6</f>
        <v>0</v>
      </c>
      <c r="M12949" t="inlineStr">
        <is>
          <t>-97K42.0</t>
        </is>
      </c>
    </row>
    <row r="12950">
      <c r="A12950">
        <v>12949</v>
      </c>
      <c r="B12950">
        <f>GC03</f>
        <v>0</v>
      </c>
      <c r="C12950" t="inlineStr">
        <is>
          <t>+LS1</t>
        </is>
      </c>
      <c r="D12950" t="inlineStr">
        <is>
          <t>-97K42.1</t>
        </is>
      </c>
      <c r="E12950" t="inlineStr">
        <is>
          <t>DIL_EM-10-G</t>
        </is>
      </c>
      <c r="F12950" t="inlineStr">
        <is>
          <t>#KALK!</t>
        </is>
      </c>
      <c r="G12950" t="inlineStr">
        <is>
          <t>LASTSCHUETZ</t>
        </is>
      </c>
      <c r="H12950" t="inlineStr">
        <is>
          <t>4kW 1S</t>
        </is>
      </c>
      <c r="I12950">
        <v>2197</v>
      </c>
      <c r="J12950">
        <f>GC03/97.6</f>
        <v>0</v>
      </c>
      <c r="M12950" t="inlineStr">
        <is>
          <t>-97K42.1</t>
        </is>
      </c>
    </row>
    <row r="12951">
      <c r="A12951">
        <v>12950</v>
      </c>
      <c r="B12951">
        <f>GS14</f>
        <v>0</v>
      </c>
      <c r="C12951" t="inlineStr">
        <is>
          <t>+LS1</t>
        </is>
      </c>
      <c r="D12951" t="inlineStr">
        <is>
          <t>-97K57.6</t>
        </is>
      </c>
      <c r="E12951" t="inlineStr">
        <is>
          <t>DIL_EM-10-G</t>
        </is>
      </c>
      <c r="F12951" t="inlineStr">
        <is>
          <t>#KALK!</t>
        </is>
      </c>
      <c r="G12951" t="inlineStr">
        <is>
          <t>LASTSCHUETZ</t>
        </is>
      </c>
      <c r="H12951" t="inlineStr">
        <is>
          <t>4kW 1S</t>
        </is>
      </c>
      <c r="I12951">
        <v>223</v>
      </c>
      <c r="J12951">
        <f>GS14/97.6</f>
        <v>0</v>
      </c>
      <c r="M12951" t="inlineStr">
        <is>
          <t>-97K57.6</t>
        </is>
      </c>
    </row>
    <row r="12952">
      <c r="A12952">
        <v>12951</v>
      </c>
      <c r="B12952">
        <f>GS15</f>
        <v>0</v>
      </c>
      <c r="C12952" t="inlineStr">
        <is>
          <t>+LS1</t>
        </is>
      </c>
      <c r="D12952" t="inlineStr">
        <is>
          <t>-97K57.6</t>
        </is>
      </c>
      <c r="E12952" t="inlineStr">
        <is>
          <t>DIL_EM-10-G</t>
        </is>
      </c>
      <c r="F12952" t="inlineStr">
        <is>
          <t>#KALK!</t>
        </is>
      </c>
      <c r="G12952" t="inlineStr">
        <is>
          <t>LASTSCHUETZ</t>
        </is>
      </c>
      <c r="H12952" t="inlineStr">
        <is>
          <t>4kW 1S</t>
        </is>
      </c>
      <c r="I12952">
        <v>584</v>
      </c>
      <c r="J12952">
        <f>GS15/97.6</f>
        <v>0</v>
      </c>
      <c r="M12952" t="inlineStr">
        <is>
          <t>-97K57.6</t>
        </is>
      </c>
    </row>
    <row r="12953">
      <c r="A12953">
        <v>12952</v>
      </c>
      <c r="B12953">
        <f>GS24</f>
        <v>0</v>
      </c>
      <c r="C12953" t="inlineStr">
        <is>
          <t>+LS1</t>
        </is>
      </c>
      <c r="D12953" t="inlineStr">
        <is>
          <t>-97K57.6</t>
        </is>
      </c>
      <c r="E12953" t="inlineStr">
        <is>
          <t>DIL_EM-10-G</t>
        </is>
      </c>
      <c r="F12953" t="inlineStr">
        <is>
          <t>#KALK!</t>
        </is>
      </c>
      <c r="G12953" t="inlineStr">
        <is>
          <t>LASTSCHUETZ</t>
        </is>
      </c>
      <c r="H12953" t="inlineStr">
        <is>
          <t>4kW 1S</t>
        </is>
      </c>
      <c r="I12953">
        <v>982</v>
      </c>
      <c r="J12953">
        <f>GS24/97.6</f>
        <v>0</v>
      </c>
      <c r="M12953" t="inlineStr">
        <is>
          <t>-97K57.6</t>
        </is>
      </c>
    </row>
    <row r="12954">
      <c r="A12954">
        <v>12953</v>
      </c>
      <c r="B12954">
        <f>GS25</f>
        <v>0</v>
      </c>
      <c r="C12954" t="inlineStr">
        <is>
          <t>+LS1</t>
        </is>
      </c>
      <c r="D12954" t="inlineStr">
        <is>
          <t>-97K57.6</t>
        </is>
      </c>
      <c r="E12954" t="inlineStr">
        <is>
          <t>DIL_EM-10-G</t>
        </is>
      </c>
      <c r="F12954" t="inlineStr">
        <is>
          <t>#KALK!</t>
        </is>
      </c>
      <c r="G12954" t="inlineStr">
        <is>
          <t>LASTSCHUETZ</t>
        </is>
      </c>
      <c r="H12954" t="inlineStr">
        <is>
          <t>4kW 1S</t>
        </is>
      </c>
      <c r="I12954">
        <v>218</v>
      </c>
      <c r="J12954">
        <f>GS25/97.6</f>
        <v>0</v>
      </c>
      <c r="M12954" t="inlineStr">
        <is>
          <t>-97K57.6</t>
        </is>
      </c>
    </row>
    <row r="12955">
      <c r="A12955">
        <v>12954</v>
      </c>
      <c r="B12955">
        <f>GS14</f>
        <v>0</v>
      </c>
      <c r="C12955" t="inlineStr">
        <is>
          <t>+LS1</t>
        </is>
      </c>
      <c r="D12955" t="inlineStr">
        <is>
          <t>-97K57.7</t>
        </is>
      </c>
      <c r="E12955" t="inlineStr">
        <is>
          <t>DIL_EM-10-G</t>
        </is>
      </c>
      <c r="F12955" t="inlineStr">
        <is>
          <t>#KALK!</t>
        </is>
      </c>
      <c r="G12955" t="inlineStr">
        <is>
          <t>LASTSCHUETZ</t>
        </is>
      </c>
      <c r="H12955" t="inlineStr">
        <is>
          <t>4kW 1S</t>
        </is>
      </c>
      <c r="I12955">
        <v>223</v>
      </c>
      <c r="J12955">
        <f>GS14/97.6</f>
        <v>0</v>
      </c>
      <c r="M12955" t="inlineStr">
        <is>
          <t>-97K57.7</t>
        </is>
      </c>
    </row>
    <row r="12956">
      <c r="A12956">
        <v>12955</v>
      </c>
      <c r="B12956">
        <f>GS15</f>
        <v>0</v>
      </c>
      <c r="C12956" t="inlineStr">
        <is>
          <t>+LS1</t>
        </is>
      </c>
      <c r="D12956" t="inlineStr">
        <is>
          <t>-97K57.7</t>
        </is>
      </c>
      <c r="E12956" t="inlineStr">
        <is>
          <t>DIL_EM-10-G</t>
        </is>
      </c>
      <c r="F12956" t="inlineStr">
        <is>
          <t>#KALK!</t>
        </is>
      </c>
      <c r="G12956" t="inlineStr">
        <is>
          <t>LASTSCHUETZ</t>
        </is>
      </c>
      <c r="H12956" t="inlineStr">
        <is>
          <t>4kW 1S</t>
        </is>
      </c>
      <c r="I12956">
        <v>584</v>
      </c>
      <c r="J12956">
        <f>GS15/97.6</f>
        <v>0</v>
      </c>
      <c r="M12956" t="inlineStr">
        <is>
          <t>-97K57.7</t>
        </is>
      </c>
    </row>
    <row r="12957">
      <c r="A12957">
        <v>12956</v>
      </c>
      <c r="B12957">
        <f>GS24</f>
        <v>0</v>
      </c>
      <c r="C12957" t="inlineStr">
        <is>
          <t>+LS1</t>
        </is>
      </c>
      <c r="D12957" t="inlineStr">
        <is>
          <t>-97K57.7</t>
        </is>
      </c>
      <c r="E12957" t="inlineStr">
        <is>
          <t>DIL_EM-10-G</t>
        </is>
      </c>
      <c r="F12957" t="inlineStr">
        <is>
          <t>#KALK!</t>
        </is>
      </c>
      <c r="G12957" t="inlineStr">
        <is>
          <t>LASTSCHUETZ</t>
        </is>
      </c>
      <c r="H12957" t="inlineStr">
        <is>
          <t>4kW 1S</t>
        </is>
      </c>
      <c r="I12957">
        <v>982</v>
      </c>
      <c r="J12957">
        <f>GS24/97.6</f>
        <v>0</v>
      </c>
      <c r="M12957" t="inlineStr">
        <is>
          <t>-97K57.7</t>
        </is>
      </c>
    </row>
    <row r="12958">
      <c r="A12958">
        <v>12957</v>
      </c>
      <c r="B12958">
        <f>GS25</f>
        <v>0</v>
      </c>
      <c r="C12958" t="inlineStr">
        <is>
          <t>+LS1</t>
        </is>
      </c>
      <c r="D12958" t="inlineStr">
        <is>
          <t>-97K57.7</t>
        </is>
      </c>
      <c r="E12958" t="inlineStr">
        <is>
          <t>DIL_EM-10-G</t>
        </is>
      </c>
      <c r="F12958" t="inlineStr">
        <is>
          <t>#KALK!</t>
        </is>
      </c>
      <c r="G12958" t="inlineStr">
        <is>
          <t>LASTSCHUETZ</t>
        </is>
      </c>
      <c r="H12958" t="inlineStr">
        <is>
          <t>4kW 1S</t>
        </is>
      </c>
      <c r="I12958">
        <v>218</v>
      </c>
      <c r="J12958">
        <f>GS25/97.6</f>
        <v>0</v>
      </c>
      <c r="M12958" t="inlineStr">
        <is>
          <t>-97K57.7</t>
        </is>
      </c>
    </row>
    <row r="12959">
      <c r="A12959">
        <v>12958</v>
      </c>
      <c r="B12959">
        <f>GS01</f>
        <v>0</v>
      </c>
      <c r="C12959" t="inlineStr">
        <is>
          <t>+LS1</t>
        </is>
      </c>
      <c r="D12959" t="inlineStr">
        <is>
          <t>-97K81.3</t>
        </is>
      </c>
      <c r="E12959" t="inlineStr">
        <is>
          <t>DIL_EM-10-G</t>
        </is>
      </c>
      <c r="F12959" t="inlineStr">
        <is>
          <t>#KALK!</t>
        </is>
      </c>
      <c r="G12959" t="inlineStr">
        <is>
          <t>LASTSCHUETZ</t>
        </is>
      </c>
      <c r="H12959" t="inlineStr">
        <is>
          <t>4kW 1S</t>
        </is>
      </c>
      <c r="I12959">
        <v>259</v>
      </c>
      <c r="J12959">
        <f>GS01/97.7</f>
        <v>0</v>
      </c>
      <c r="M12959" t="inlineStr">
        <is>
          <t>-97K81.3</t>
        </is>
      </c>
    </row>
    <row r="12960">
      <c r="A12960">
        <v>12959</v>
      </c>
      <c r="B12960">
        <f>GS06</f>
        <v>0</v>
      </c>
      <c r="C12960" t="inlineStr">
        <is>
          <t>+LS15</t>
        </is>
      </c>
      <c r="D12960" t="inlineStr">
        <is>
          <t>-980K1</t>
        </is>
      </c>
      <c r="E12960" t="inlineStr">
        <is>
          <t>DILM-9-01</t>
        </is>
      </c>
      <c r="F12960" t="inlineStr">
        <is>
          <t>#KALK!</t>
        </is>
      </c>
      <c r="G12960" t="inlineStr">
        <is>
          <t>LASTSCHUETZ</t>
        </is>
      </c>
      <c r="H12960" t="inlineStr">
        <is>
          <t>4kW 1Oe Federzugkl.</t>
        </is>
      </c>
      <c r="I12960">
        <v>2680</v>
      </c>
      <c r="J12960">
        <f>GS06/980.7</f>
        <v>0</v>
      </c>
      <c r="M12960" t="inlineStr">
        <is>
          <t>-980K1</t>
        </is>
      </c>
    </row>
    <row r="12961">
      <c r="A12961">
        <v>12960</v>
      </c>
      <c r="B12961">
        <f>GS06</f>
        <v>0</v>
      </c>
      <c r="C12961" t="inlineStr">
        <is>
          <t>+LS15</t>
        </is>
      </c>
      <c r="D12961" t="inlineStr">
        <is>
          <t>-980K2</t>
        </is>
      </c>
      <c r="E12961" t="inlineStr">
        <is>
          <t>DILM-9-01</t>
        </is>
      </c>
      <c r="F12961" t="inlineStr">
        <is>
          <t>#KALK!</t>
        </is>
      </c>
      <c r="G12961" t="inlineStr">
        <is>
          <t>LASTSCHUETZ</t>
        </is>
      </c>
      <c r="H12961" t="inlineStr">
        <is>
          <t>4kW 1Oe Federzugkl.</t>
        </is>
      </c>
      <c r="I12961">
        <v>2680</v>
      </c>
      <c r="J12961">
        <f>GS06/980.7</f>
        <v>0</v>
      </c>
      <c r="M12961" t="inlineStr">
        <is>
          <t>-980K2</t>
        </is>
      </c>
    </row>
    <row r="12962">
      <c r="A12962">
        <v>12961</v>
      </c>
      <c r="B12962">
        <f>GS06</f>
        <v>0</v>
      </c>
      <c r="C12962" t="inlineStr">
        <is>
          <t>+LS15</t>
        </is>
      </c>
      <c r="D12962" t="inlineStr">
        <is>
          <t>-980K730.4</t>
        </is>
      </c>
      <c r="E12962" t="inlineStr">
        <is>
          <t>DILA-31</t>
        </is>
      </c>
      <c r="F12962" t="inlineStr">
        <is>
          <t>#KALK!</t>
        </is>
      </c>
      <c r="G12962" t="inlineStr">
        <is>
          <t>HILFSSCHUETZ</t>
        </is>
      </c>
      <c r="H12962" t="inlineStr">
        <is>
          <t>3S 1Oe Federzugkl.</t>
        </is>
      </c>
      <c r="I12962">
        <v>2680</v>
      </c>
      <c r="J12962">
        <f>GS06/980.2</f>
        <v>0</v>
      </c>
      <c r="M12962" t="inlineStr">
        <is>
          <t>-980K730.4</t>
        </is>
      </c>
    </row>
    <row r="12963">
      <c r="A12963">
        <v>12962</v>
      </c>
      <c r="B12963">
        <f>GS36</f>
        <v>0</v>
      </c>
      <c r="C12963" t="inlineStr">
        <is>
          <t>+LS13</t>
        </is>
      </c>
      <c r="D12963" t="inlineStr">
        <is>
          <t>-1029K728.4</t>
        </is>
      </c>
      <c r="E12963" t="inlineStr">
        <is>
          <t>DILA-22</t>
        </is>
      </c>
      <c r="F12963" t="inlineStr">
        <is>
          <t>#KALK!</t>
        </is>
      </c>
      <c r="G12963" t="inlineStr">
        <is>
          <t>HILFSSCHUETZ</t>
        </is>
      </c>
      <c r="H12963" t="inlineStr">
        <is>
          <t>2S 2Oe Federzugkl.</t>
        </is>
      </c>
      <c r="I12963">
        <v>1485</v>
      </c>
      <c r="J12963">
        <f>GS36/1029.8</f>
        <v>0</v>
      </c>
      <c r="M12963" t="inlineStr">
        <is>
          <t>-1029K728.4</t>
        </is>
      </c>
    </row>
    <row r="12964">
      <c r="A12964">
        <v>12963</v>
      </c>
      <c r="B12964">
        <f>GS36</f>
        <v>0</v>
      </c>
      <c r="C12964" t="inlineStr">
        <is>
          <t>+LS13</t>
        </is>
      </c>
      <c r="D12964" t="inlineStr">
        <is>
          <t>-1035K732.0</t>
        </is>
      </c>
      <c r="E12964" t="inlineStr">
        <is>
          <t>DILA-40</t>
        </is>
      </c>
      <c r="F12964" t="inlineStr">
        <is>
          <t>#KALK!</t>
        </is>
      </c>
      <c r="G12964" t="inlineStr">
        <is>
          <t>HILFSSCHUETZ</t>
        </is>
      </c>
      <c r="H12964" t="inlineStr">
        <is>
          <t>4S Federzugkl.</t>
        </is>
      </c>
      <c r="I12964">
        <v>1489</v>
      </c>
      <c r="J12964">
        <f>GS36/1035.7</f>
        <v>0</v>
      </c>
      <c r="M12964" t="inlineStr">
        <is>
          <t>-1035K732.0</t>
        </is>
      </c>
    </row>
    <row r="12965">
      <c r="A12965">
        <v>12964</v>
      </c>
      <c r="B12965">
        <f>GS05</f>
        <v>0</v>
      </c>
      <c r="C12965" t="inlineStr">
        <is>
          <t>+LS16</t>
        </is>
      </c>
      <c r="D12965" t="inlineStr">
        <is>
          <t>-985Q1</t>
        </is>
      </c>
      <c r="E12965" t="inlineStr">
        <is>
          <t>DILA-XHI22</t>
        </is>
      </c>
      <c r="F12965" t="inlineStr">
        <is>
          <t>DILA-XHI22</t>
        </is>
      </c>
      <c r="G12965" t="inlineStr">
        <is>
          <t>HILFSKONTAKTBLOCK</t>
        </is>
      </c>
      <c r="H12965" t="inlineStr">
        <is>
          <t>2S 2OE Last+Hilfssch. Cage</t>
        </is>
      </c>
      <c r="I12965">
        <v>2981</v>
      </c>
      <c r="J12965">
        <f>GS05/985.6</f>
        <v>0</v>
      </c>
      <c r="K12965" t="inlineStr">
        <is>
          <t>DIL MC25</t>
        </is>
      </c>
      <c r="M12965" t="inlineStr">
        <is>
          <t>-985Q1</t>
        </is>
      </c>
    </row>
    <row r="12966">
      <c r="A12966">
        <v>12965</v>
      </c>
      <c r="B12966">
        <f>GS05</f>
        <v>0</v>
      </c>
      <c r="C12966" t="inlineStr">
        <is>
          <t>+LS16</t>
        </is>
      </c>
      <c r="D12966" t="inlineStr">
        <is>
          <t>-985Q1</t>
        </is>
      </c>
      <c r="E12966" t="inlineStr">
        <is>
          <t>DILMC25-10(RDC24)</t>
        </is>
      </c>
      <c r="F12966" t="inlineStr">
        <is>
          <t>DILA-XHI22</t>
        </is>
      </c>
      <c r="G12966" t="inlineStr">
        <is>
          <t>LASTSCHUETZ</t>
        </is>
      </c>
      <c r="H12966" t="inlineStr">
        <is>
          <t>11kW 1S Federzugkl.</t>
        </is>
      </c>
      <c r="I12966">
        <v>2981</v>
      </c>
      <c r="J12966">
        <f>GS05/985.6</f>
        <v>0</v>
      </c>
      <c r="K12966" t="inlineStr">
        <is>
          <t>DIL MC25</t>
        </is>
      </c>
      <c r="M12966" t="inlineStr">
        <is>
          <t>-985Q1</t>
        </is>
      </c>
    </row>
    <row r="12967">
      <c r="A12967">
        <v>12966</v>
      </c>
      <c r="B12967">
        <f>GS36</f>
        <v>0</v>
      </c>
      <c r="C12967" t="inlineStr">
        <is>
          <t>+LS12</t>
        </is>
      </c>
      <c r="D12967" t="inlineStr">
        <is>
          <t>-985Q1</t>
        </is>
      </c>
      <c r="E12967" t="inlineStr">
        <is>
          <t>DILA-XHI22</t>
        </is>
      </c>
      <c r="F12967" t="inlineStr">
        <is>
          <t>DILA-XHI22</t>
        </is>
      </c>
      <c r="G12967" t="inlineStr">
        <is>
          <t>HILFSKONTAKTBLOCK</t>
        </is>
      </c>
      <c r="H12967" t="inlineStr">
        <is>
          <t>2S 2OE Last+Hilfssch. Cage</t>
        </is>
      </c>
      <c r="I12967">
        <v>1542</v>
      </c>
      <c r="J12967">
        <f>GS36/985.4</f>
        <v>0</v>
      </c>
      <c r="K12967" t="inlineStr">
        <is>
          <t>DIL MC25</t>
        </is>
      </c>
      <c r="L12967" t="inlineStr">
        <is>
          <t>HVO 38</t>
        </is>
      </c>
      <c r="M12967" t="inlineStr">
        <is>
          <t>HVO 38
-985Q1</t>
        </is>
      </c>
      <c r="N12967" t="inlineStr">
        <is>
          <t>P</t>
        </is>
      </c>
    </row>
    <row r="12968">
      <c r="A12968">
        <v>12967</v>
      </c>
      <c r="B12968">
        <f>GS36</f>
        <v>0</v>
      </c>
      <c r="C12968" t="inlineStr">
        <is>
          <t>+LS12</t>
        </is>
      </c>
      <c r="D12968" t="inlineStr">
        <is>
          <t>-985Q1</t>
        </is>
      </c>
      <c r="E12968" t="inlineStr">
        <is>
          <t>DILMC25-10(RDC24)</t>
        </is>
      </c>
      <c r="F12968" t="inlineStr">
        <is>
          <t>DILA-XHI22</t>
        </is>
      </c>
      <c r="G12968" t="inlineStr">
        <is>
          <t>LASTSCHUETZ</t>
        </is>
      </c>
      <c r="H12968" t="inlineStr">
        <is>
          <t>11kW 1S Federzugkl.</t>
        </is>
      </c>
      <c r="I12968">
        <v>1542</v>
      </c>
      <c r="J12968">
        <f>GS36/985.4</f>
        <v>0</v>
      </c>
      <c r="K12968" t="inlineStr">
        <is>
          <t>DIL MC25</t>
        </is>
      </c>
      <c r="L12968" t="inlineStr">
        <is>
          <t>HVO 38</t>
        </is>
      </c>
      <c r="M12968" t="inlineStr">
        <is>
          <t>HVO 38
-985Q1</t>
        </is>
      </c>
      <c r="N12968" t="inlineStr">
        <is>
          <t>P</t>
        </is>
      </c>
    </row>
    <row r="12969">
      <c r="A12969">
        <v>12968</v>
      </c>
      <c r="B12969">
        <f>GS55</f>
        <v>0</v>
      </c>
      <c r="C12969" t="inlineStr">
        <is>
          <t>+LS16</t>
        </is>
      </c>
      <c r="D12969" t="inlineStr">
        <is>
          <t>-985Q1</t>
        </is>
      </c>
      <c r="E12969" t="inlineStr">
        <is>
          <t>DILA-XHI22</t>
        </is>
      </c>
      <c r="F12969" t="inlineStr">
        <is>
          <t>DILA-XHI22</t>
        </is>
      </c>
      <c r="G12969" t="inlineStr">
        <is>
          <t>HILFSKONTAKTBLOCK</t>
        </is>
      </c>
      <c r="H12969" t="inlineStr">
        <is>
          <t>2S 2OE Last+Hilfssch. Cage</t>
        </is>
      </c>
      <c r="I12969">
        <v>1236</v>
      </c>
      <c r="J12969">
        <f>GS55/985.6</f>
        <v>0</v>
      </c>
      <c r="K12969" t="inlineStr">
        <is>
          <t>DIL MC25</t>
        </is>
      </c>
      <c r="M12969" t="inlineStr">
        <is>
          <t>-985Q1</t>
        </is>
      </c>
    </row>
    <row r="12970">
      <c r="A12970">
        <v>12969</v>
      </c>
      <c r="B12970">
        <f>GS55</f>
        <v>0</v>
      </c>
      <c r="C12970" t="inlineStr">
        <is>
          <t>+LS16</t>
        </is>
      </c>
      <c r="D12970" t="inlineStr">
        <is>
          <t>-985Q1</t>
        </is>
      </c>
      <c r="E12970" t="inlineStr">
        <is>
          <t>DILMC25-10(RDC24)</t>
        </is>
      </c>
      <c r="F12970" t="inlineStr">
        <is>
          <t>DILA-XHI22</t>
        </is>
      </c>
      <c r="G12970" t="inlineStr">
        <is>
          <t>LASTSCHUETZ</t>
        </is>
      </c>
      <c r="H12970" t="inlineStr">
        <is>
          <t>11kW 1S Federzugkl.</t>
        </is>
      </c>
      <c r="I12970">
        <v>1236</v>
      </c>
      <c r="J12970">
        <f>GS55/985.6</f>
        <v>0</v>
      </c>
      <c r="K12970" t="inlineStr">
        <is>
          <t>DIL MC25</t>
        </is>
      </c>
      <c r="M12970" t="inlineStr">
        <is>
          <t>-985Q1</t>
        </is>
      </c>
    </row>
    <row r="12971">
      <c r="A12971">
        <v>12970</v>
      </c>
      <c r="B12971">
        <f>GC22</f>
        <v>0</v>
      </c>
      <c r="C12971" t="inlineStr">
        <is>
          <t>+LS9</t>
        </is>
      </c>
      <c r="D12971" t="inlineStr">
        <is>
          <t>-988K1</t>
        </is>
      </c>
      <c r="E12971" t="inlineStr">
        <is>
          <t>DILA-XHI22</t>
        </is>
      </c>
      <c r="F12971" t="inlineStr">
        <is>
          <t>DILA-XHI22</t>
        </is>
      </c>
      <c r="G12971" t="inlineStr">
        <is>
          <t>HILFSKONTAKTBLOCK</t>
        </is>
      </c>
      <c r="H12971" t="inlineStr">
        <is>
          <t>2S 2OE Last+Hilfssch. Cage</t>
        </is>
      </c>
      <c r="I12971">
        <v>274</v>
      </c>
      <c r="J12971">
        <f>GC22/988.4</f>
        <v>0</v>
      </c>
      <c r="K12971" t="inlineStr">
        <is>
          <t>DIL MC25</t>
        </is>
      </c>
      <c r="M12971" t="inlineStr">
        <is>
          <t>-988K1</t>
        </is>
      </c>
    </row>
    <row r="12972">
      <c r="A12972">
        <v>12971</v>
      </c>
      <c r="B12972">
        <f>GC22</f>
        <v>0</v>
      </c>
      <c r="C12972" t="inlineStr">
        <is>
          <t>+LS9</t>
        </is>
      </c>
      <c r="D12972" t="inlineStr">
        <is>
          <t>-988K1</t>
        </is>
      </c>
      <c r="E12972" t="inlineStr">
        <is>
          <t>DILMC25-10230V50HZ</t>
        </is>
      </c>
      <c r="F12972" t="inlineStr">
        <is>
          <t>DILA-XHI22</t>
        </is>
      </c>
      <c r="G12972" t="inlineStr">
        <is>
          <t>LASTSCHUETZ</t>
        </is>
      </c>
      <c r="H12972" t="inlineStr">
        <is>
          <t>11kW 1S Federzugkl.</t>
        </is>
      </c>
      <c r="I12972">
        <v>274</v>
      </c>
      <c r="J12972">
        <f>GC22/988.4</f>
        <v>0</v>
      </c>
      <c r="K12972" t="inlineStr">
        <is>
          <t>DIL MC25</t>
        </is>
      </c>
      <c r="M12972" t="inlineStr">
        <is>
          <t>-988K1</t>
        </is>
      </c>
    </row>
    <row r="12973">
      <c r="A12973">
        <v>12972</v>
      </c>
      <c r="B12973">
        <f>GS12</f>
        <v>0</v>
      </c>
      <c r="C12973" t="inlineStr">
        <is>
          <t>+LS9</t>
        </is>
      </c>
      <c r="D12973" t="inlineStr">
        <is>
          <t>-988K1</t>
        </is>
      </c>
      <c r="E12973" t="inlineStr">
        <is>
          <t>DILMC25-10230V50HZ</t>
        </is>
      </c>
      <c r="F12973" t="inlineStr">
        <is>
          <t>DILA-XHI22</t>
        </is>
      </c>
      <c r="G12973" t="inlineStr">
        <is>
          <t>LASTSCHUETZ</t>
        </is>
      </c>
      <c r="H12973" t="inlineStr">
        <is>
          <t>11kW 1S Federzugkl.</t>
        </is>
      </c>
      <c r="I12973">
        <v>1503</v>
      </c>
      <c r="J12973">
        <f>GS12/988.4</f>
        <v>0</v>
      </c>
      <c r="K12973" t="inlineStr">
        <is>
          <t>DIL MC25</t>
        </is>
      </c>
      <c r="M12973" t="inlineStr">
        <is>
          <t>-988K1</t>
        </is>
      </c>
    </row>
    <row r="12974">
      <c r="A12974">
        <v>12973</v>
      </c>
      <c r="B12974">
        <f>GS12</f>
        <v>0</v>
      </c>
      <c r="C12974" t="inlineStr">
        <is>
          <t>+LS9</t>
        </is>
      </c>
      <c r="D12974" t="inlineStr">
        <is>
          <t>-988K1</t>
        </is>
      </c>
      <c r="E12974" t="inlineStr">
        <is>
          <t>DILA-XHI22</t>
        </is>
      </c>
      <c r="F12974" t="inlineStr">
        <is>
          <t>DILA-XHI22</t>
        </is>
      </c>
      <c r="G12974" t="inlineStr">
        <is>
          <t>HILFSKONTAKTBLOCK</t>
        </is>
      </c>
      <c r="H12974" t="inlineStr">
        <is>
          <t>2S 2OE Last+Hilfssch. Cage</t>
        </is>
      </c>
      <c r="I12974">
        <v>1503</v>
      </c>
      <c r="J12974">
        <f>GS12/988.4</f>
        <v>0</v>
      </c>
      <c r="K12974" t="inlineStr">
        <is>
          <t>DIL MC25</t>
        </is>
      </c>
      <c r="M12974" t="inlineStr">
        <is>
          <t>-988K1</t>
        </is>
      </c>
    </row>
    <row r="12975">
      <c r="A12975">
        <v>12974</v>
      </c>
      <c r="B12975">
        <f>GS55</f>
        <v>0</v>
      </c>
      <c r="C12975" t="inlineStr">
        <is>
          <t>+LS16</t>
        </is>
      </c>
      <c r="D12975" t="inlineStr">
        <is>
          <t>-988Q428.2</t>
        </is>
      </c>
      <c r="E12975" t="inlineStr">
        <is>
          <t>DILA-XHI22</t>
        </is>
      </c>
      <c r="F12975" t="inlineStr">
        <is>
          <t>DILA-XHI22</t>
        </is>
      </c>
      <c r="G12975" t="inlineStr">
        <is>
          <t>HILFSKONTAKTBLOCK</t>
        </is>
      </c>
      <c r="H12975" t="inlineStr">
        <is>
          <t>2S 2OE Last+Hilfssch. Cage</t>
        </is>
      </c>
      <c r="I12975">
        <v>1239</v>
      </c>
      <c r="J12975">
        <f>GS55/988.6</f>
        <v>0</v>
      </c>
      <c r="K12975" t="inlineStr">
        <is>
          <t>DIL MC9 HT1507</t>
        </is>
      </c>
      <c r="M12975" t="inlineStr">
        <is>
          <t>-988Q428.2</t>
        </is>
      </c>
    </row>
    <row r="12976">
      <c r="A12976">
        <v>12975</v>
      </c>
      <c r="B12976">
        <f>GS55</f>
        <v>0</v>
      </c>
      <c r="C12976" t="inlineStr">
        <is>
          <t>+LS16</t>
        </is>
      </c>
      <c r="D12976" t="inlineStr">
        <is>
          <t>-988Q428.2</t>
        </is>
      </c>
      <c r="E12976" t="inlineStr">
        <is>
          <t>DILM-9-10</t>
        </is>
      </c>
      <c r="F12976" t="inlineStr">
        <is>
          <t>DILA-XHI22</t>
        </is>
      </c>
      <c r="G12976" t="inlineStr">
        <is>
          <t>LASTSCHUETZ</t>
        </is>
      </c>
      <c r="H12976" t="inlineStr">
        <is>
          <t>4kW 1S Federzugkl.</t>
        </is>
      </c>
      <c r="I12976">
        <v>1239</v>
      </c>
      <c r="J12976">
        <f>GS55/988.6</f>
        <v>0</v>
      </c>
      <c r="K12976" t="inlineStr">
        <is>
          <t>DIL MC9 HT1507</t>
        </is>
      </c>
      <c r="M12976" t="inlineStr">
        <is>
          <t>-988Q428.2</t>
        </is>
      </c>
    </row>
    <row r="12977">
      <c r="A12977">
        <v>12976</v>
      </c>
      <c r="B12977">
        <f>GS55</f>
        <v>0</v>
      </c>
      <c r="C12977" t="inlineStr">
        <is>
          <t>+LS16</t>
        </is>
      </c>
      <c r="D12977" t="inlineStr">
        <is>
          <t>-988Q428.4</t>
        </is>
      </c>
      <c r="E12977" t="inlineStr">
        <is>
          <t>DILA-XHI22</t>
        </is>
      </c>
      <c r="F12977" t="inlineStr">
        <is>
          <t>DILA-XHI22</t>
        </is>
      </c>
      <c r="G12977" t="inlineStr">
        <is>
          <t>HILFSKONTAKTBLOCK</t>
        </is>
      </c>
      <c r="H12977" t="inlineStr">
        <is>
          <t>2S 2OE Last+Hilfssch. Cage</t>
        </is>
      </c>
      <c r="I12977">
        <v>1239</v>
      </c>
      <c r="J12977">
        <f>GS55/988.7</f>
        <v>0</v>
      </c>
      <c r="K12977" t="inlineStr">
        <is>
          <t>DIL MC9 HT1507</t>
        </is>
      </c>
      <c r="M12977" t="inlineStr">
        <is>
          <t>-988Q428.4</t>
        </is>
      </c>
    </row>
    <row r="12978">
      <c r="A12978">
        <v>12977</v>
      </c>
      <c r="B12978">
        <f>GS55</f>
        <v>0</v>
      </c>
      <c r="C12978" t="inlineStr">
        <is>
          <t>+LS16</t>
        </is>
      </c>
      <c r="D12978" t="inlineStr">
        <is>
          <t>-988Q428.4</t>
        </is>
      </c>
      <c r="E12978" t="inlineStr">
        <is>
          <t>DILM-9-10</t>
        </is>
      </c>
      <c r="F12978" t="inlineStr">
        <is>
          <t>DILA-XHI22</t>
        </is>
      </c>
      <c r="G12978" t="inlineStr">
        <is>
          <t>LASTSCHUETZ</t>
        </is>
      </c>
      <c r="H12978" t="inlineStr">
        <is>
          <t>4kW 1S Federzugkl.</t>
        </is>
      </c>
      <c r="I12978">
        <v>1239</v>
      </c>
      <c r="J12978">
        <f>GS55/988.7</f>
        <v>0</v>
      </c>
      <c r="K12978" t="inlineStr">
        <is>
          <t>DIL MC9 HT1507</t>
        </is>
      </c>
      <c r="M12978" t="inlineStr">
        <is>
          <t>-988Q428.4</t>
        </is>
      </c>
    </row>
    <row r="12979">
      <c r="A12979">
        <v>12978</v>
      </c>
      <c r="B12979">
        <f>GS08</f>
        <v>0</v>
      </c>
      <c r="C12979" t="inlineStr">
        <is>
          <t>+LS15</t>
        </is>
      </c>
      <c r="D12979" t="inlineStr">
        <is>
          <t>-989K1</t>
        </is>
      </c>
      <c r="E12979" t="inlineStr">
        <is>
          <t>DILM-9-01</t>
        </is>
      </c>
      <c r="F12979" t="inlineStr">
        <is>
          <t>#KALK!</t>
        </is>
      </c>
      <c r="G12979" t="inlineStr">
        <is>
          <t>LASTSCHUETZ</t>
        </is>
      </c>
      <c r="H12979" t="inlineStr">
        <is>
          <t>4kW 1Oe Federzugkl.</t>
        </is>
      </c>
      <c r="I12979">
        <v>1224</v>
      </c>
      <c r="J12979">
        <f>GS08/989.5</f>
        <v>0</v>
      </c>
      <c r="M12979" t="inlineStr">
        <is>
          <t>-989K1</t>
        </is>
      </c>
    </row>
    <row r="12980">
      <c r="A12980">
        <v>12979</v>
      </c>
      <c r="B12980">
        <f>GS08</f>
        <v>0</v>
      </c>
      <c r="C12980" t="inlineStr">
        <is>
          <t>+LS15</t>
        </is>
      </c>
      <c r="D12980" t="inlineStr">
        <is>
          <t>-989K2</t>
        </is>
      </c>
      <c r="E12980" t="inlineStr">
        <is>
          <t>DILM-9-01</t>
        </is>
      </c>
      <c r="F12980" t="inlineStr">
        <is>
          <t>#KALK!</t>
        </is>
      </c>
      <c r="G12980" t="inlineStr">
        <is>
          <t>LASTSCHUETZ</t>
        </is>
      </c>
      <c r="H12980" t="inlineStr">
        <is>
          <t>4kW 1Oe Federzugkl.</t>
        </is>
      </c>
      <c r="I12980">
        <v>1224</v>
      </c>
      <c r="J12980">
        <f>GS08/989.5</f>
        <v>0</v>
      </c>
      <c r="M12980" t="inlineStr">
        <is>
          <t>-989K2</t>
        </is>
      </c>
    </row>
    <row r="12981">
      <c r="A12981">
        <v>12980</v>
      </c>
      <c r="B12981">
        <f>GS08</f>
        <v>0</v>
      </c>
      <c r="C12981" t="inlineStr">
        <is>
          <t>+LS15</t>
        </is>
      </c>
      <c r="D12981" t="inlineStr">
        <is>
          <t>-989K271.4</t>
        </is>
      </c>
      <c r="E12981" t="inlineStr">
        <is>
          <t>DILA-22</t>
        </is>
      </c>
      <c r="F12981" t="inlineStr">
        <is>
          <t>#KALK!</t>
        </is>
      </c>
      <c r="G12981" t="inlineStr">
        <is>
          <t>HILFSSCHUETZ</t>
        </is>
      </c>
      <c r="H12981" t="inlineStr">
        <is>
          <t>2S 2Oe Federzugkl.</t>
        </is>
      </c>
      <c r="I12981">
        <v>1224</v>
      </c>
      <c r="J12981">
        <f>GS08/989.8</f>
        <v>0</v>
      </c>
      <c r="M12981" t="inlineStr">
        <is>
          <t>-989K271.4</t>
        </is>
      </c>
    </row>
    <row r="12982">
      <c r="A12982">
        <v>12981</v>
      </c>
      <c r="B12982">
        <f>GS36</f>
        <v>0</v>
      </c>
      <c r="C12982" t="inlineStr">
        <is>
          <t>+LS12</t>
        </is>
      </c>
      <c r="D12982" t="inlineStr">
        <is>
          <t>-989Q724.1</t>
        </is>
      </c>
      <c r="E12982" t="inlineStr">
        <is>
          <t>DILA-XHI22</t>
        </is>
      </c>
      <c r="F12982" t="inlineStr">
        <is>
          <t>DILA-XHI22</t>
        </is>
      </c>
      <c r="G12982" t="inlineStr">
        <is>
          <t>HILFSKONTAKTBLOCK</t>
        </is>
      </c>
      <c r="H12982" t="inlineStr">
        <is>
          <t>2S 2OE Last+Hilfssch. Cage</t>
        </is>
      </c>
      <c r="I12982">
        <v>1546</v>
      </c>
      <c r="J12982">
        <f>GS36/989.6</f>
        <v>0</v>
      </c>
      <c r="L12982" t="inlineStr">
        <is>
          <t>RF_3804</t>
        </is>
      </c>
      <c r="M12982" t="inlineStr">
        <is>
          <t>RF_3804
-989Q724.1</t>
        </is>
      </c>
      <c r="N12982" t="inlineStr">
        <is>
          <t>P</t>
        </is>
      </c>
    </row>
    <row r="12983">
      <c r="A12983">
        <v>12982</v>
      </c>
      <c r="B12983">
        <f>GS36</f>
        <v>0</v>
      </c>
      <c r="C12983" t="inlineStr">
        <is>
          <t>+LS13</t>
        </is>
      </c>
      <c r="D12983" t="inlineStr">
        <is>
          <t>-1038Q732.3</t>
        </is>
      </c>
      <c r="E12983" t="inlineStr">
        <is>
          <t>DILMC12-10(24VDC)</t>
        </is>
      </c>
      <c r="F12983" t="inlineStr">
        <is>
          <t>#KALK!</t>
        </is>
      </c>
      <c r="G12983" t="inlineStr">
        <is>
          <t>LASTSCHUETZ</t>
        </is>
      </c>
      <c r="H12983" t="inlineStr">
        <is>
          <t>5,5kW 1S Federzugkl.</t>
        </is>
      </c>
      <c r="I12983">
        <v>1431</v>
      </c>
      <c r="J12983">
        <f>GS36/1038.5</f>
        <v>0</v>
      </c>
      <c r="K12983" t="inlineStr">
        <is>
          <t>DIL MC12</t>
        </is>
      </c>
      <c r="L12983" t="inlineStr">
        <is>
          <t>HT_4002</t>
        </is>
      </c>
      <c r="M12983" t="inlineStr">
        <is>
          <t>HT_4002
-1038Q732.3</t>
        </is>
      </c>
      <c r="N12983" t="inlineStr">
        <is>
          <t>P</t>
        </is>
      </c>
    </row>
    <row r="12984">
      <c r="A12984">
        <v>12983</v>
      </c>
      <c r="B12984">
        <f>GS36</f>
        <v>0</v>
      </c>
      <c r="C12984" t="inlineStr">
        <is>
          <t>+LS13</t>
        </is>
      </c>
      <c r="D12984" t="inlineStr">
        <is>
          <t>-1041Q732.6</t>
        </is>
      </c>
      <c r="E12984" t="inlineStr">
        <is>
          <t>DILMC12-10(24VDC)</t>
        </is>
      </c>
      <c r="F12984" t="inlineStr">
        <is>
          <t>#KALK!</t>
        </is>
      </c>
      <c r="G12984" t="inlineStr">
        <is>
          <t>LASTSCHUETZ</t>
        </is>
      </c>
      <c r="H12984" t="inlineStr">
        <is>
          <t>5,5kW 1S Federzugkl.</t>
        </is>
      </c>
      <c r="I12984">
        <v>1432</v>
      </c>
      <c r="J12984">
        <f>GS36/1041.5</f>
        <v>0</v>
      </c>
      <c r="K12984" t="inlineStr">
        <is>
          <t>DIL MC12</t>
        </is>
      </c>
      <c r="L12984" t="inlineStr">
        <is>
          <t>HT_4004</t>
        </is>
      </c>
      <c r="M12984" t="inlineStr">
        <is>
          <t>HT_4004
-1041Q732.6</t>
        </is>
      </c>
      <c r="N12984" t="inlineStr">
        <is>
          <t>P</t>
        </is>
      </c>
    </row>
    <row r="12985">
      <c r="A12985">
        <v>12984</v>
      </c>
      <c r="B12985">
        <f>GS36</f>
        <v>0</v>
      </c>
      <c r="C12985" t="inlineStr">
        <is>
          <t>+LS12</t>
        </is>
      </c>
      <c r="D12985" t="inlineStr">
        <is>
          <t>-989Q725.3</t>
        </is>
      </c>
      <c r="E12985" t="inlineStr">
        <is>
          <t>DILA-XHI22</t>
        </is>
      </c>
      <c r="F12985" t="inlineStr">
        <is>
          <t>DILA-XHI22</t>
        </is>
      </c>
      <c r="G12985" t="inlineStr">
        <is>
          <t>HILFSKONTAKTBLOCK</t>
        </is>
      </c>
      <c r="H12985" t="inlineStr">
        <is>
          <t>2S 2OE Last+Hilfssch. Cage</t>
        </is>
      </c>
      <c r="I12985">
        <v>1546</v>
      </c>
      <c r="J12985">
        <f>GS36/989.6</f>
        <v>0</v>
      </c>
      <c r="L12985" t="inlineStr">
        <is>
          <t>RF_3804</t>
        </is>
      </c>
      <c r="M12985" t="inlineStr">
        <is>
          <t>RF_3804
-989Q725.3</t>
        </is>
      </c>
      <c r="N12985" t="inlineStr">
        <is>
          <t>P</t>
        </is>
      </c>
    </row>
    <row r="12986">
      <c r="A12986">
        <v>12985</v>
      </c>
      <c r="B12986">
        <f>GS36</f>
        <v>0</v>
      </c>
      <c r="C12986" t="inlineStr">
        <is>
          <t>+LS14</t>
        </is>
      </c>
      <c r="D12986" t="inlineStr">
        <is>
          <t>-1065K736.4</t>
        </is>
      </c>
      <c r="E12986" t="inlineStr">
        <is>
          <t>DILA-40</t>
        </is>
      </c>
      <c r="F12986" t="inlineStr">
        <is>
          <t>#KALK!</t>
        </is>
      </c>
      <c r="G12986" t="inlineStr">
        <is>
          <t>HILFSSCHUETZ</t>
        </is>
      </c>
      <c r="H12986" t="inlineStr">
        <is>
          <t>4S Federzugkl.</t>
        </is>
      </c>
      <c r="I12986">
        <v>1597</v>
      </c>
      <c r="J12986">
        <f>GS36/1065.7</f>
        <v>0</v>
      </c>
      <c r="M12986" t="inlineStr">
        <is>
          <t>-1065K736.4</t>
        </is>
      </c>
    </row>
    <row r="12987">
      <c r="A12987">
        <v>12986</v>
      </c>
      <c r="B12987">
        <f>GS16</f>
        <v>0</v>
      </c>
      <c r="C12987" t="inlineStr">
        <is>
          <t>+LS1</t>
        </is>
      </c>
      <c r="D12987" t="inlineStr">
        <is>
          <t>-98K12.5</t>
        </is>
      </c>
      <c r="E12987" t="inlineStr">
        <is>
          <t>DIL_EM-10-G</t>
        </is>
      </c>
      <c r="F12987" t="inlineStr">
        <is>
          <t>#KALK!</t>
        </is>
      </c>
      <c r="G12987" t="inlineStr">
        <is>
          <t>LASTSCHUETZ</t>
        </is>
      </c>
      <c r="H12987" t="inlineStr">
        <is>
          <t>4kW 1S</t>
        </is>
      </c>
      <c r="I12987">
        <v>318</v>
      </c>
      <c r="J12987">
        <f>GS16/98.7</f>
        <v>0</v>
      </c>
      <c r="M12987" t="inlineStr">
        <is>
          <t>-98K12.5</t>
        </is>
      </c>
    </row>
    <row r="12988">
      <c r="A12988">
        <v>12987</v>
      </c>
      <c r="B12988">
        <f>GS32</f>
        <v>0</v>
      </c>
      <c r="C12988" t="inlineStr">
        <is>
          <t>+LS1</t>
        </is>
      </c>
      <c r="D12988" t="inlineStr">
        <is>
          <t>-98K13.4</t>
        </is>
      </c>
      <c r="E12988" t="inlineStr">
        <is>
          <t>DIL_EM-10-G</t>
        </is>
      </c>
      <c r="F12988" t="inlineStr">
        <is>
          <t>#KALK!</t>
        </is>
      </c>
      <c r="G12988" t="inlineStr">
        <is>
          <t>LASTSCHUETZ</t>
        </is>
      </c>
      <c r="H12988" t="inlineStr">
        <is>
          <t>4kW 1S</t>
        </is>
      </c>
      <c r="I12988">
        <v>898</v>
      </c>
      <c r="J12988">
        <f>GS32/98.6</f>
        <v>0</v>
      </c>
      <c r="M12988" t="inlineStr">
        <is>
          <t>-98K13.4</t>
        </is>
      </c>
    </row>
    <row r="12989">
      <c r="A12989">
        <v>12988</v>
      </c>
      <c r="B12989">
        <f>GS32</f>
        <v>0</v>
      </c>
      <c r="C12989" t="inlineStr">
        <is>
          <t>+LS1</t>
        </is>
      </c>
      <c r="D12989" t="inlineStr">
        <is>
          <t>-98K13.5</t>
        </is>
      </c>
      <c r="E12989" t="inlineStr">
        <is>
          <t>DIL_EM-10-G</t>
        </is>
      </c>
      <c r="F12989" t="inlineStr">
        <is>
          <t>#KALK!</t>
        </is>
      </c>
      <c r="G12989" t="inlineStr">
        <is>
          <t>LASTSCHUETZ</t>
        </is>
      </c>
      <c r="H12989" t="inlineStr">
        <is>
          <t>4kW 1S</t>
        </is>
      </c>
      <c r="I12989">
        <v>898</v>
      </c>
      <c r="J12989">
        <f>GS32/98.6</f>
        <v>0</v>
      </c>
      <c r="M12989" t="inlineStr">
        <is>
          <t>-98K13.5</t>
        </is>
      </c>
    </row>
    <row r="12990">
      <c r="A12990">
        <v>12989</v>
      </c>
      <c r="B12990">
        <f>GS31</f>
        <v>0</v>
      </c>
      <c r="C12990" t="inlineStr">
        <is>
          <t>+LS1</t>
        </is>
      </c>
      <c r="D12990" t="inlineStr">
        <is>
          <t>-98K16.5</t>
        </is>
      </c>
      <c r="E12990" t="inlineStr">
        <is>
          <t>DIL_EM-10-G</t>
        </is>
      </c>
      <c r="F12990" t="inlineStr">
        <is>
          <t>#KALK!</t>
        </is>
      </c>
      <c r="G12990" t="inlineStr">
        <is>
          <t>LASTSCHUETZ</t>
        </is>
      </c>
      <c r="H12990" t="inlineStr">
        <is>
          <t>4kW 1S</t>
        </is>
      </c>
      <c r="I12990">
        <v>381</v>
      </c>
      <c r="J12990">
        <f>GS31/98.7</f>
        <v>0</v>
      </c>
      <c r="M12990" t="inlineStr">
        <is>
          <t>-98K16.5</t>
        </is>
      </c>
    </row>
    <row r="12991">
      <c r="A12991">
        <v>12990</v>
      </c>
      <c r="B12991">
        <f>GS11</f>
        <v>0</v>
      </c>
      <c r="C12991" t="inlineStr">
        <is>
          <t>+LS1</t>
        </is>
      </c>
      <c r="D12991" t="inlineStr">
        <is>
          <t>-98K24.3</t>
        </is>
      </c>
      <c r="E12991" t="inlineStr">
        <is>
          <t>DIL_EM-10-G</t>
        </is>
      </c>
      <c r="F12991" t="inlineStr">
        <is>
          <t>#KALK!</t>
        </is>
      </c>
      <c r="G12991" t="inlineStr">
        <is>
          <t>LASTSCHUETZ</t>
        </is>
      </c>
      <c r="H12991" t="inlineStr">
        <is>
          <t>4kW 1S</t>
        </is>
      </c>
      <c r="I12991">
        <v>209</v>
      </c>
      <c r="J12991">
        <f>GS11/98.7</f>
        <v>0</v>
      </c>
      <c r="M12991" t="inlineStr">
        <is>
          <t>-98K24.3</t>
        </is>
      </c>
    </row>
    <row r="12992">
      <c r="A12992">
        <v>12991</v>
      </c>
      <c r="B12992">
        <f>GS21</f>
        <v>0</v>
      </c>
      <c r="C12992" t="inlineStr">
        <is>
          <t>+LS1</t>
        </is>
      </c>
      <c r="D12992" t="inlineStr">
        <is>
          <t>-98K24.3</t>
        </is>
      </c>
      <c r="E12992" t="inlineStr">
        <is>
          <t>DIL_EM-10-G</t>
        </is>
      </c>
      <c r="F12992" t="inlineStr">
        <is>
          <t>#KALK!</t>
        </is>
      </c>
      <c r="G12992" t="inlineStr">
        <is>
          <t>LASTSCHUETZ</t>
        </is>
      </c>
      <c r="H12992" t="inlineStr">
        <is>
          <t>4kW 1S</t>
        </is>
      </c>
      <c r="I12992">
        <v>59</v>
      </c>
      <c r="J12992">
        <f>GS21/98.7</f>
        <v>0</v>
      </c>
      <c r="M12992" t="inlineStr">
        <is>
          <t>-98K24.3</t>
        </is>
      </c>
    </row>
    <row r="12993">
      <c r="A12993">
        <v>12992</v>
      </c>
      <c r="B12993">
        <f>GC03</f>
        <v>0</v>
      </c>
      <c r="C12993" t="inlineStr">
        <is>
          <t>+LS1</t>
        </is>
      </c>
      <c r="D12993" t="inlineStr">
        <is>
          <t>-98K42.2</t>
        </is>
      </c>
      <c r="E12993" t="inlineStr">
        <is>
          <t>DIL_EM-10-G</t>
        </is>
      </c>
      <c r="F12993" t="inlineStr">
        <is>
          <t>#KALK!</t>
        </is>
      </c>
      <c r="G12993" t="inlineStr">
        <is>
          <t>LASTSCHUETZ</t>
        </is>
      </c>
      <c r="H12993" t="inlineStr">
        <is>
          <t>4kW 1S</t>
        </is>
      </c>
      <c r="I12993">
        <v>2196</v>
      </c>
      <c r="J12993">
        <f>GC03/98.6</f>
        <v>0</v>
      </c>
      <c r="M12993" t="inlineStr">
        <is>
          <t>-98K42.2</t>
        </is>
      </c>
    </row>
    <row r="12994">
      <c r="A12994">
        <v>12993</v>
      </c>
      <c r="B12994">
        <f>GC03</f>
        <v>0</v>
      </c>
      <c r="C12994" t="inlineStr">
        <is>
          <t>+LS1</t>
        </is>
      </c>
      <c r="D12994" t="inlineStr">
        <is>
          <t>-98K42.3</t>
        </is>
      </c>
      <c r="E12994" t="inlineStr">
        <is>
          <t>DIL_EM-10-G</t>
        </is>
      </c>
      <c r="F12994" t="inlineStr">
        <is>
          <t>#KALK!</t>
        </is>
      </c>
      <c r="G12994" t="inlineStr">
        <is>
          <t>LASTSCHUETZ</t>
        </is>
      </c>
      <c r="H12994" t="inlineStr">
        <is>
          <t>4kW 1S</t>
        </is>
      </c>
      <c r="I12994">
        <v>2196</v>
      </c>
      <c r="J12994">
        <f>GC03/98.6</f>
        <v>0</v>
      </c>
      <c r="M12994" t="inlineStr">
        <is>
          <t>-98K42.3</t>
        </is>
      </c>
    </row>
    <row r="12995">
      <c r="A12995">
        <v>12994</v>
      </c>
      <c r="B12995">
        <f>GS01</f>
        <v>0</v>
      </c>
      <c r="C12995" t="inlineStr">
        <is>
          <t>+LS1</t>
        </is>
      </c>
      <c r="D12995" t="inlineStr">
        <is>
          <t>-98K81.7</t>
        </is>
      </c>
      <c r="E12995" t="inlineStr">
        <is>
          <t>DIL_EM-10-G</t>
        </is>
      </c>
      <c r="F12995" t="inlineStr">
        <is>
          <t>#KALK!</t>
        </is>
      </c>
      <c r="G12995" t="inlineStr">
        <is>
          <t>LASTSCHUETZ</t>
        </is>
      </c>
      <c r="H12995" t="inlineStr">
        <is>
          <t>4kW 1S</t>
        </is>
      </c>
      <c r="I12995">
        <v>260</v>
      </c>
      <c r="J12995">
        <f>GS01/98.7</f>
        <v>0</v>
      </c>
      <c r="M12995" t="inlineStr">
        <is>
          <t>-98K81.7</t>
        </is>
      </c>
    </row>
    <row r="12996">
      <c r="A12996">
        <v>12995</v>
      </c>
      <c r="B12996">
        <f>GS25</f>
        <v>0</v>
      </c>
      <c r="C12996" t="inlineStr">
        <is>
          <t>+LS1</t>
        </is>
      </c>
      <c r="D12996" t="inlineStr">
        <is>
          <t>-99.1K88.4</t>
        </is>
      </c>
      <c r="E12996" t="inlineStr">
        <is>
          <t>DILM-9-10</t>
        </is>
      </c>
      <c r="F12996" t="inlineStr">
        <is>
          <t>#KALK!</t>
        </is>
      </c>
      <c r="G12996" t="inlineStr">
        <is>
          <t>LASTSCHUETZ</t>
        </is>
      </c>
      <c r="H12996" t="inlineStr">
        <is>
          <t>4kW 1S Federzugkl.</t>
        </is>
      </c>
      <c r="I12996">
        <v>220</v>
      </c>
      <c r="J12996">
        <f>GS25/99.1.6</f>
        <v>0</v>
      </c>
      <c r="K12996" t="inlineStr">
        <is>
          <t>DIL MC9</t>
        </is>
      </c>
      <c r="M12996" t="inlineStr">
        <is>
          <t>-99.1K88.4</t>
        </is>
      </c>
    </row>
    <row r="12997">
      <c r="A12997">
        <v>12996</v>
      </c>
      <c r="B12997">
        <f>GS36</f>
        <v>0</v>
      </c>
      <c r="C12997" t="inlineStr">
        <is>
          <t>+LS14</t>
        </is>
      </c>
      <c r="D12997" t="inlineStr">
        <is>
          <t>-1068Q736.7</t>
        </is>
      </c>
      <c r="E12997" t="inlineStr">
        <is>
          <t>DILM-9-10</t>
        </is>
      </c>
      <c r="F12997" t="inlineStr">
        <is>
          <t>DILA-XHI22</t>
        </is>
      </c>
      <c r="G12997" t="inlineStr">
        <is>
          <t>LASTSCHUETZ</t>
        </is>
      </c>
      <c r="H12997" t="inlineStr">
        <is>
          <t>4kW 1S Federzugkl.</t>
        </is>
      </c>
      <c r="I12997">
        <v>1594</v>
      </c>
      <c r="J12997">
        <f>GS36/1068.5</f>
        <v>0</v>
      </c>
      <c r="L12997" t="inlineStr">
        <is>
          <t>KL_4101</t>
        </is>
      </c>
      <c r="M12997" t="inlineStr">
        <is>
          <t>KL_4101
-1068Q736.7</t>
        </is>
      </c>
      <c r="N12997" t="inlineStr">
        <is>
          <t>P</t>
        </is>
      </c>
    </row>
    <row r="12998">
      <c r="A12998">
        <v>12997</v>
      </c>
      <c r="B12998">
        <f>GS24</f>
        <v>0</v>
      </c>
      <c r="C12998" t="inlineStr">
        <is>
          <t>+LS14</t>
        </is>
      </c>
      <c r="D12998" t="inlineStr">
        <is>
          <t>-992K3534.3</t>
        </is>
      </c>
      <c r="E12998" t="inlineStr">
        <is>
          <t>DIL_EM-10-G</t>
        </is>
      </c>
      <c r="F12998" t="inlineStr">
        <is>
          <t>#KALK!</t>
        </is>
      </c>
      <c r="G12998" t="inlineStr">
        <is>
          <t>LASTSCHUETZ</t>
        </is>
      </c>
      <c r="H12998" t="inlineStr">
        <is>
          <t>4kW 1S</t>
        </is>
      </c>
      <c r="I12998">
        <v>1461</v>
      </c>
      <c r="J12998">
        <f>GS24/992.7</f>
        <v>0</v>
      </c>
      <c r="M12998" t="inlineStr">
        <is>
          <t>-992K3534.3</t>
        </is>
      </c>
    </row>
    <row r="12999">
      <c r="A12999">
        <v>12998</v>
      </c>
      <c r="B12999">
        <f>GS24</f>
        <v>0</v>
      </c>
      <c r="C12999" t="inlineStr">
        <is>
          <t>+LS14</t>
        </is>
      </c>
      <c r="D12999" t="inlineStr">
        <is>
          <t>-993K3535.1</t>
        </is>
      </c>
      <c r="E12999" t="inlineStr">
        <is>
          <t>DIL_EM-10-G</t>
        </is>
      </c>
      <c r="F12999" t="inlineStr">
        <is>
          <t>#KALK!</t>
        </is>
      </c>
      <c r="G12999" t="inlineStr">
        <is>
          <t>LASTSCHUETZ</t>
        </is>
      </c>
      <c r="H12999" t="inlineStr">
        <is>
          <t>4kW 1S</t>
        </is>
      </c>
      <c r="I12999">
        <v>1455</v>
      </c>
      <c r="J12999">
        <f>GS24/993.7</f>
        <v>0</v>
      </c>
      <c r="M12999" t="inlineStr">
        <is>
          <t>-993K3535.1</t>
        </is>
      </c>
    </row>
    <row r="13000">
      <c r="A13000">
        <v>12999</v>
      </c>
      <c r="B13000">
        <f>GS36</f>
        <v>0</v>
      </c>
      <c r="C13000" t="inlineStr">
        <is>
          <t>+LS14</t>
        </is>
      </c>
      <c r="D13000" t="inlineStr">
        <is>
          <t>-1068Q737.0</t>
        </is>
      </c>
      <c r="E13000" t="inlineStr">
        <is>
          <t>DILM-9-10</t>
        </is>
      </c>
      <c r="F13000" t="inlineStr">
        <is>
          <t>DILA-XHI22</t>
        </is>
      </c>
      <c r="G13000" t="inlineStr">
        <is>
          <t>LASTSCHUETZ</t>
        </is>
      </c>
      <c r="H13000" t="inlineStr">
        <is>
          <t>4kW 1S Federzugkl.</t>
        </is>
      </c>
      <c r="I13000">
        <v>1594</v>
      </c>
      <c r="J13000">
        <f>GS36/1068.6</f>
        <v>0</v>
      </c>
      <c r="L13000" t="inlineStr">
        <is>
          <t>KL_4101</t>
        </is>
      </c>
      <c r="M13000" t="inlineStr">
        <is>
          <t>KL_4101
-1068Q737.0</t>
        </is>
      </c>
      <c r="N13000" t="inlineStr">
        <is>
          <t>P</t>
        </is>
      </c>
    </row>
    <row r="13001">
      <c r="A13001">
        <v>13000</v>
      </c>
      <c r="B13001">
        <f>GS24</f>
        <v>0</v>
      </c>
      <c r="C13001" t="inlineStr">
        <is>
          <t>+LS14</t>
        </is>
      </c>
      <c r="D13001" t="inlineStr">
        <is>
          <t>-994K3535.4</t>
        </is>
      </c>
      <c r="E13001" t="inlineStr">
        <is>
          <t>DIL_EM-10-G</t>
        </is>
      </c>
      <c r="F13001" t="inlineStr">
        <is>
          <t>#KALK!</t>
        </is>
      </c>
      <c r="G13001" t="inlineStr">
        <is>
          <t>LASTSCHUETZ</t>
        </is>
      </c>
      <c r="H13001" t="inlineStr">
        <is>
          <t>4kW 1S</t>
        </is>
      </c>
      <c r="I13001">
        <v>1456</v>
      </c>
      <c r="J13001">
        <f>GS24/994.6</f>
        <v>0</v>
      </c>
      <c r="M13001" t="inlineStr">
        <is>
          <t>-994K3535.4</t>
        </is>
      </c>
    </row>
    <row r="13002">
      <c r="A13002">
        <v>13001</v>
      </c>
      <c r="B13002">
        <f>GS24</f>
        <v>0</v>
      </c>
      <c r="C13002" t="inlineStr">
        <is>
          <t>+LS14</t>
        </is>
      </c>
      <c r="D13002" t="inlineStr">
        <is>
          <t>-995K3536.0</t>
        </is>
      </c>
      <c r="E13002" t="inlineStr">
        <is>
          <t>DIL_EM-10-G</t>
        </is>
      </c>
      <c r="F13002" t="inlineStr">
        <is>
          <t>#KALK!</t>
        </is>
      </c>
      <c r="G13002" t="inlineStr">
        <is>
          <t>LASTSCHUETZ</t>
        </is>
      </c>
      <c r="H13002" t="inlineStr">
        <is>
          <t>4kW 1S</t>
        </is>
      </c>
      <c r="I13002">
        <v>1457</v>
      </c>
      <c r="J13002">
        <f>GS24/995.7</f>
        <v>0</v>
      </c>
      <c r="M13002" t="inlineStr">
        <is>
          <t>-995K3536.0</t>
        </is>
      </c>
    </row>
    <row r="13003">
      <c r="A13003">
        <v>13002</v>
      </c>
      <c r="B13003">
        <f>GS24</f>
        <v>0</v>
      </c>
      <c r="C13003" t="inlineStr">
        <is>
          <t>+LS14</t>
        </is>
      </c>
      <c r="D13003" t="inlineStr">
        <is>
          <t>-998K3537.1</t>
        </is>
      </c>
      <c r="E13003" t="inlineStr">
        <is>
          <t>DIL_EM-10-G</t>
        </is>
      </c>
      <c r="F13003" t="inlineStr">
        <is>
          <t>#KALK!</t>
        </is>
      </c>
      <c r="G13003" t="inlineStr">
        <is>
          <t>LASTSCHUETZ</t>
        </is>
      </c>
      <c r="H13003" t="inlineStr">
        <is>
          <t>4kW 1S</t>
        </is>
      </c>
      <c r="I13003">
        <v>1468</v>
      </c>
      <c r="J13003">
        <f>GS24/998.6</f>
        <v>0</v>
      </c>
      <c r="M13003" t="inlineStr">
        <is>
          <t>-998K3537.1</t>
        </is>
      </c>
    </row>
    <row r="13004">
      <c r="A13004">
        <v>13003</v>
      </c>
      <c r="B13004">
        <f>GS24</f>
        <v>0</v>
      </c>
      <c r="C13004" t="inlineStr">
        <is>
          <t>+LS14</t>
        </is>
      </c>
      <c r="D13004" t="inlineStr">
        <is>
          <t>-998K3537.2</t>
        </is>
      </c>
      <c r="E13004" t="inlineStr">
        <is>
          <t>DIL_EM-10-G</t>
        </is>
      </c>
      <c r="F13004" t="inlineStr">
        <is>
          <t>#KALK!</t>
        </is>
      </c>
      <c r="G13004" t="inlineStr">
        <is>
          <t>LASTSCHUETZ</t>
        </is>
      </c>
      <c r="H13004" t="inlineStr">
        <is>
          <t>4kW 1S</t>
        </is>
      </c>
      <c r="I13004">
        <v>1468</v>
      </c>
      <c r="J13004">
        <f>GS24/998.6</f>
        <v>0</v>
      </c>
      <c r="M13004" t="inlineStr">
        <is>
          <t>-998K3537.2</t>
        </is>
      </c>
    </row>
    <row r="13005">
      <c r="A13005">
        <v>13004</v>
      </c>
      <c r="B13005">
        <f>GS24</f>
        <v>0</v>
      </c>
      <c r="C13005" t="inlineStr">
        <is>
          <t>+LS14</t>
        </is>
      </c>
      <c r="D13005" t="inlineStr">
        <is>
          <t>-999K3537.6</t>
        </is>
      </c>
      <c r="E13005" t="inlineStr">
        <is>
          <t>DIL_EM-10-G</t>
        </is>
      </c>
      <c r="F13005" t="inlineStr">
        <is>
          <t>#KALK!</t>
        </is>
      </c>
      <c r="G13005" t="inlineStr">
        <is>
          <t>LASTSCHUETZ</t>
        </is>
      </c>
      <c r="H13005" t="inlineStr">
        <is>
          <t>4kW 1S</t>
        </is>
      </c>
      <c r="I13005">
        <v>1469</v>
      </c>
      <c r="J13005">
        <f>GS24/999.7</f>
        <v>0</v>
      </c>
      <c r="M13005" t="inlineStr">
        <is>
          <t>-999K3537.6</t>
        </is>
      </c>
    </row>
    <row r="13006">
      <c r="A13006">
        <v>13005</v>
      </c>
      <c r="B13006">
        <f>GS16</f>
        <v>0</v>
      </c>
      <c r="C13006" t="inlineStr">
        <is>
          <t>+LS1</t>
        </is>
      </c>
      <c r="D13006" t="inlineStr">
        <is>
          <t>-99K13.0</t>
        </is>
      </c>
      <c r="E13006" t="inlineStr">
        <is>
          <t>DIL_EM-10-G</t>
        </is>
      </c>
      <c r="F13006" t="inlineStr">
        <is>
          <t>#KALK!</t>
        </is>
      </c>
      <c r="G13006" t="inlineStr">
        <is>
          <t>LASTSCHUETZ</t>
        </is>
      </c>
      <c r="H13006" t="inlineStr">
        <is>
          <t>4kW 1S</t>
        </is>
      </c>
      <c r="I13006">
        <v>319</v>
      </c>
      <c r="J13006">
        <f>GS16/99.6</f>
        <v>0</v>
      </c>
      <c r="M13006" t="inlineStr">
        <is>
          <t>-99K13.0</t>
        </is>
      </c>
    </row>
    <row r="13007">
      <c r="A13007">
        <v>13006</v>
      </c>
      <c r="B13007">
        <f>GS32</f>
        <v>0</v>
      </c>
      <c r="C13007" t="inlineStr">
        <is>
          <t>+LS1</t>
        </is>
      </c>
      <c r="D13007" t="inlineStr">
        <is>
          <t>-99K14.1</t>
        </is>
      </c>
      <c r="E13007" t="inlineStr">
        <is>
          <t>DIL_EM-10-G</t>
        </is>
      </c>
      <c r="F13007" t="inlineStr">
        <is>
          <t>#KALK!</t>
        </is>
      </c>
      <c r="G13007" t="inlineStr">
        <is>
          <t>LASTSCHUETZ</t>
        </is>
      </c>
      <c r="H13007" t="inlineStr">
        <is>
          <t>4kW 1S</t>
        </is>
      </c>
      <c r="I13007">
        <v>899</v>
      </c>
      <c r="J13007">
        <f>GS32/99.7</f>
        <v>0</v>
      </c>
      <c r="M13007" t="inlineStr">
        <is>
          <t>-99K14.1</t>
        </is>
      </c>
    </row>
    <row r="13008">
      <c r="A13008">
        <v>13007</v>
      </c>
      <c r="B13008">
        <f>GS31</f>
        <v>0</v>
      </c>
      <c r="C13008" t="inlineStr">
        <is>
          <t>+LS1</t>
        </is>
      </c>
      <c r="D13008" t="inlineStr">
        <is>
          <t>-99K17.1</t>
        </is>
      </c>
      <c r="E13008" t="inlineStr">
        <is>
          <t>DIL_EM-10-G</t>
        </is>
      </c>
      <c r="F13008" t="inlineStr">
        <is>
          <t>#KALK!</t>
        </is>
      </c>
      <c r="G13008" t="inlineStr">
        <is>
          <t>LASTSCHUETZ</t>
        </is>
      </c>
      <c r="H13008" t="inlineStr">
        <is>
          <t>4kW 1S</t>
        </is>
      </c>
      <c r="I13008">
        <v>382</v>
      </c>
      <c r="J13008">
        <f>GS31/99.7</f>
        <v>0</v>
      </c>
      <c r="M13008" t="inlineStr">
        <is>
          <t>-99K17.1</t>
        </is>
      </c>
    </row>
    <row r="13009">
      <c r="A13009">
        <v>13008</v>
      </c>
      <c r="B13009">
        <f>GS11</f>
        <v>0</v>
      </c>
      <c r="C13009" t="inlineStr">
        <is>
          <t>+LS1</t>
        </is>
      </c>
      <c r="D13009" t="inlineStr">
        <is>
          <t>-99K24.7</t>
        </is>
      </c>
      <c r="E13009" t="inlineStr">
        <is>
          <t>DIL_EM-10-G</t>
        </is>
      </c>
      <c r="F13009" t="inlineStr">
        <is>
          <t>#KALK!</t>
        </is>
      </c>
      <c r="G13009" t="inlineStr">
        <is>
          <t>LASTSCHUETZ</t>
        </is>
      </c>
      <c r="H13009" t="inlineStr">
        <is>
          <t>4kW 1S</t>
        </is>
      </c>
      <c r="I13009">
        <v>210</v>
      </c>
      <c r="J13009">
        <f>GS11/99.7</f>
        <v>0</v>
      </c>
      <c r="M13009" t="inlineStr">
        <is>
          <t>-99K24.7</t>
        </is>
      </c>
    </row>
    <row r="13010">
      <c r="A13010">
        <v>13009</v>
      </c>
      <c r="B13010">
        <f>GS21</f>
        <v>0</v>
      </c>
      <c r="C13010" t="inlineStr">
        <is>
          <t>+LS1</t>
        </is>
      </c>
      <c r="D13010" t="inlineStr">
        <is>
          <t>-99K24.7</t>
        </is>
      </c>
      <c r="E13010" t="inlineStr">
        <is>
          <t>DIL_EM-10-G</t>
        </is>
      </c>
      <c r="F13010" t="inlineStr">
        <is>
          <t>#KALK!</t>
        </is>
      </c>
      <c r="G13010" t="inlineStr">
        <is>
          <t>LASTSCHUETZ</t>
        </is>
      </c>
      <c r="H13010" t="inlineStr">
        <is>
          <t>4kW 1S</t>
        </is>
      </c>
      <c r="I13010">
        <v>60</v>
      </c>
      <c r="J13010">
        <f>GS21/99.7</f>
        <v>0</v>
      </c>
      <c r="M13010" t="inlineStr">
        <is>
          <t>-99K24.7</t>
        </is>
      </c>
    </row>
    <row r="13011">
      <c r="A13011">
        <v>13010</v>
      </c>
      <c r="B13011">
        <f>GC03</f>
        <v>0</v>
      </c>
      <c r="C13011" t="inlineStr">
        <is>
          <t>+LS1</t>
        </is>
      </c>
      <c r="D13011" t="inlineStr">
        <is>
          <t>-99K42.4</t>
        </is>
      </c>
      <c r="E13011" t="inlineStr">
        <is>
          <t>DIL_EM-10-G</t>
        </is>
      </c>
      <c r="F13011" t="inlineStr">
        <is>
          <t>#KALK!</t>
        </is>
      </c>
      <c r="G13011" t="inlineStr">
        <is>
          <t>LASTSCHUETZ</t>
        </is>
      </c>
      <c r="H13011" t="inlineStr">
        <is>
          <t>4kW 1S</t>
        </is>
      </c>
      <c r="I13011">
        <v>259</v>
      </c>
      <c r="J13011">
        <f>GC03/99.6</f>
        <v>0</v>
      </c>
      <c r="M13011" t="inlineStr">
        <is>
          <t>-99K42.4</t>
        </is>
      </c>
    </row>
    <row r="13012">
      <c r="A13012">
        <v>13011</v>
      </c>
      <c r="B13012">
        <f>GC03</f>
        <v>0</v>
      </c>
      <c r="C13012" t="inlineStr">
        <is>
          <t>+LS1</t>
        </is>
      </c>
      <c r="D13012" t="inlineStr">
        <is>
          <t>-99K42.5</t>
        </is>
      </c>
      <c r="E13012" t="inlineStr">
        <is>
          <t>DIL_EM-10-G</t>
        </is>
      </c>
      <c r="F13012" t="inlineStr">
        <is>
          <t>#KALK!</t>
        </is>
      </c>
      <c r="G13012" t="inlineStr">
        <is>
          <t>LASTSCHUETZ</t>
        </is>
      </c>
      <c r="H13012" t="inlineStr">
        <is>
          <t>4kW 1S</t>
        </is>
      </c>
      <c r="I13012">
        <v>259</v>
      </c>
      <c r="J13012">
        <f>GC03/99.6</f>
        <v>0</v>
      </c>
      <c r="M13012" t="inlineStr">
        <is>
          <t>-99K42.5</t>
        </is>
      </c>
    </row>
    <row r="13013">
      <c r="A13013">
        <v>13012</v>
      </c>
      <c r="B13013">
        <f>GS01</f>
        <v>0</v>
      </c>
      <c r="C13013" t="inlineStr">
        <is>
          <t>+LS1</t>
        </is>
      </c>
      <c r="D13013" t="inlineStr">
        <is>
          <t>-99K82.3</t>
        </is>
      </c>
      <c r="E13013" t="inlineStr">
        <is>
          <t>DIL_EM-10-G</t>
        </is>
      </c>
      <c r="F13013" t="inlineStr">
        <is>
          <t>#KALK!</t>
        </is>
      </c>
      <c r="G13013" t="inlineStr">
        <is>
          <t>LASTSCHUETZ</t>
        </is>
      </c>
      <c r="H13013" t="inlineStr">
        <is>
          <t>4kW 1S</t>
        </is>
      </c>
      <c r="I13013">
        <v>261</v>
      </c>
      <c r="J13013">
        <f>GS01/99.7</f>
        <v>0</v>
      </c>
      <c r="M13013" t="inlineStr">
        <is>
          <t>-99K82.3</t>
        </is>
      </c>
    </row>
    <row r="13014">
      <c r="A13014">
        <v>13013</v>
      </c>
      <c r="B13014">
        <f>GS99</f>
        <v>0</v>
      </c>
      <c r="C13014" t="inlineStr">
        <is>
          <t>+SPS</t>
        </is>
      </c>
      <c r="D13014" t="inlineStr">
        <is>
          <t>-9K0.3</t>
        </is>
      </c>
      <c r="E13014" t="inlineStr">
        <is>
          <t>DILM-9-10</t>
        </is>
      </c>
      <c r="F13014" t="inlineStr">
        <is>
          <t>#KALK!</t>
        </is>
      </c>
      <c r="G13014" t="inlineStr">
        <is>
          <t>LASTSCHUETZ</t>
        </is>
      </c>
      <c r="H13014" t="inlineStr">
        <is>
          <t>4kW 1S Federzugkl.</t>
        </is>
      </c>
      <c r="I13014">
        <v>146</v>
      </c>
      <c r="J13014">
        <f>GS99/9.6</f>
        <v>0</v>
      </c>
      <c r="M13014" t="inlineStr">
        <is>
          <t>-9K0.3</t>
        </is>
      </c>
    </row>
    <row r="13015">
      <c r="A13015">
        <v>13014</v>
      </c>
      <c r="B13015">
        <f>GS20</f>
        <v>0</v>
      </c>
      <c r="C13015" t="inlineStr">
        <is>
          <t>+LS[p1]</t>
        </is>
      </c>
      <c r="D13015" t="inlineStr">
        <is>
          <t>-9K1</t>
        </is>
      </c>
      <c r="E13015" t="inlineStr">
        <is>
          <t>DILM-9-10</t>
        </is>
      </c>
      <c r="F13015" t="inlineStr">
        <is>
          <t>#KALK!</t>
        </is>
      </c>
      <c r="G13015" t="inlineStr">
        <is>
          <t>LASTSCHUETZ</t>
        </is>
      </c>
      <c r="H13015" t="inlineStr">
        <is>
          <t>4kW 1S Federzugkl.</t>
        </is>
      </c>
      <c r="I13015">
        <v>158</v>
      </c>
      <c r="J13015">
        <f>GS20/9.5</f>
        <v>0</v>
      </c>
      <c r="M13015" t="inlineStr">
        <is>
          <t>-9K1</t>
        </is>
      </c>
    </row>
    <row r="13016">
      <c r="A13016">
        <v>13015</v>
      </c>
      <c r="B13016">
        <f>GS06</f>
        <v>0</v>
      </c>
      <c r="C13016" t="inlineStr">
        <is>
          <t>+LS[p1]</t>
        </is>
      </c>
      <c r="D13016" t="inlineStr">
        <is>
          <t>-9Q[a+0].1</t>
        </is>
      </c>
      <c r="E13016" t="inlineStr">
        <is>
          <t>DILM-9-10</t>
        </is>
      </c>
      <c r="F13016" t="inlineStr">
        <is>
          <t>#KALK!</t>
        </is>
      </c>
      <c r="G13016" t="inlineStr">
        <is>
          <t>LASTSCHUETZ</t>
        </is>
      </c>
      <c r="H13016" t="inlineStr">
        <is>
          <t>4kW 1S Federzugkl.</t>
        </is>
      </c>
      <c r="I13016">
        <v>154</v>
      </c>
      <c r="J13016">
        <f>GS06/9.7</f>
        <v>0</v>
      </c>
      <c r="M13016" t="inlineStr">
        <is>
          <t>-9Q[a+0].1</t>
        </is>
      </c>
    </row>
    <row r="13017">
      <c r="A13017">
        <v>13016</v>
      </c>
      <c r="B13017">
        <f>GS36</f>
        <v>0</v>
      </c>
      <c r="C13017" t="inlineStr">
        <is>
          <t>+LS14</t>
        </is>
      </c>
      <c r="D13017" t="inlineStr">
        <is>
          <t>-1075K741.0</t>
        </is>
      </c>
      <c r="E13017" t="inlineStr">
        <is>
          <t>DILA-40</t>
        </is>
      </c>
      <c r="F13017" t="inlineStr">
        <is>
          <t>#KALK!</t>
        </is>
      </c>
      <c r="G13017" t="inlineStr">
        <is>
          <t>HILFSSCHUETZ</t>
        </is>
      </c>
      <c r="H13017" t="inlineStr">
        <is>
          <t>4S Federzugkl.</t>
        </is>
      </c>
      <c r="I13017">
        <v>1587</v>
      </c>
      <c r="J13017">
        <f>GS36/1075.7</f>
        <v>0</v>
      </c>
      <c r="M13017" t="inlineStr">
        <is>
          <t>-1075K741.0</t>
        </is>
      </c>
    </row>
    <row r="13018">
      <c r="A13018">
        <v>13017</v>
      </c>
      <c r="B13018">
        <f>GS38/39</f>
        <v>0</v>
      </c>
      <c r="C13018" t="inlineStr">
        <is>
          <t>+LS</t>
        </is>
      </c>
      <c r="D13018" t="inlineStr">
        <is>
          <t>-9Q3</t>
        </is>
      </c>
      <c r="E13018" t="inlineStr">
        <is>
          <t>DILM-9-10</t>
        </is>
      </c>
      <c r="F13018" t="inlineStr">
        <is>
          <t>#KALK!</t>
        </is>
      </c>
      <c r="G13018" t="inlineStr">
        <is>
          <t>LASTSCHUETZ</t>
        </is>
      </c>
      <c r="H13018" t="inlineStr">
        <is>
          <t>4kW 1S Federzugkl.</t>
        </is>
      </c>
      <c r="I13018">
        <v>147</v>
      </c>
      <c r="J13018">
        <f>GS38/39/9.5</f>
        <v>0</v>
      </c>
      <c r="M13018" t="inlineStr">
        <is>
          <t>-9Q3</t>
        </is>
      </c>
    </row>
    <row r="13019">
      <c r="A13019">
        <v>13018</v>
      </c>
      <c r="B13019">
        <f>GS38/39</f>
        <v>0</v>
      </c>
      <c r="C13019" t="inlineStr">
        <is>
          <t>+LS</t>
        </is>
      </c>
      <c r="D13019" t="inlineStr">
        <is>
          <t>-9Q3</t>
        </is>
      </c>
      <c r="E13019" t="inlineStr">
        <is>
          <t>DILM-9-10</t>
        </is>
      </c>
      <c r="F13019" t="inlineStr">
        <is>
          <t>#KALK!</t>
        </is>
      </c>
      <c r="G13019" t="inlineStr">
        <is>
          <t>LASTSCHUETZ</t>
        </is>
      </c>
      <c r="H13019" t="inlineStr">
        <is>
          <t>4kW 1S Federzugkl.</t>
        </is>
      </c>
      <c r="I13019">
        <v>148</v>
      </c>
      <c r="J13019">
        <f>GS38/39/9.5</f>
        <v>0</v>
      </c>
      <c r="M13019" t="inlineStr">
        <is>
          <t>-9Q3</t>
        </is>
      </c>
    </row>
    <row r="13020">
      <c r="A13020">
        <v>13019</v>
      </c>
      <c r="B13020">
        <f>GS36</f>
        <v>0</v>
      </c>
      <c r="C13020" t="inlineStr">
        <is>
          <t>+LS14</t>
        </is>
      </c>
      <c r="D13020" t="inlineStr">
        <is>
          <t>-1081Q741.6</t>
        </is>
      </c>
      <c r="E13020" t="inlineStr">
        <is>
          <t>DILMC12-10(24VDC)</t>
        </is>
      </c>
      <c r="F13020" t="inlineStr">
        <is>
          <t>#KALK!</t>
        </is>
      </c>
      <c r="G13020" t="inlineStr">
        <is>
          <t>LASTSCHUETZ</t>
        </is>
      </c>
      <c r="H13020" t="inlineStr">
        <is>
          <t>5,5kW 1S Federzugkl.</t>
        </is>
      </c>
      <c r="I13020">
        <v>1581</v>
      </c>
      <c r="J13020">
        <f>GS36/1081.5</f>
        <v>0</v>
      </c>
      <c r="K13020" t="inlineStr">
        <is>
          <t>DIL MC12</t>
        </is>
      </c>
      <c r="L13020" t="inlineStr">
        <is>
          <t>HT_4204</t>
        </is>
      </c>
      <c r="M13020" t="inlineStr">
        <is>
          <t>HT_4204
-1081Q741.6</t>
        </is>
      </c>
      <c r="N13020" t="inlineStr">
        <is>
          <t>P</t>
        </is>
      </c>
    </row>
    <row r="13021">
      <c r="A13021">
        <v>13020</v>
      </c>
      <c r="B13021">
        <f>GS38/39</f>
        <v>0</v>
      </c>
      <c r="C13021" t="inlineStr">
        <is>
          <t>+LS</t>
        </is>
      </c>
      <c r="D13021" t="inlineStr">
        <is>
          <t>-9Q4</t>
        </is>
      </c>
      <c r="E13021" t="inlineStr">
        <is>
          <t>DILM-9-10</t>
        </is>
      </c>
      <c r="F13021" t="inlineStr">
        <is>
          <t>#KALK!</t>
        </is>
      </c>
      <c r="G13021" t="inlineStr">
        <is>
          <t>LASTSCHUETZ</t>
        </is>
      </c>
      <c r="H13021" t="inlineStr">
        <is>
          <t>4kW 1S Federzugkl.</t>
        </is>
      </c>
      <c r="I13021">
        <v>147</v>
      </c>
      <c r="J13021">
        <f>GS38/39/9.6</f>
        <v>0</v>
      </c>
      <c r="M13021" t="inlineStr">
        <is>
          <t>-9Q4</t>
        </is>
      </c>
    </row>
    <row r="13022">
      <c r="A13022">
        <v>13021</v>
      </c>
      <c r="B13022">
        <f>GS38/39</f>
        <v>0</v>
      </c>
      <c r="C13022" t="inlineStr">
        <is>
          <t>+LS</t>
        </is>
      </c>
      <c r="D13022" t="inlineStr">
        <is>
          <t>-9Q4</t>
        </is>
      </c>
      <c r="E13022" t="inlineStr">
        <is>
          <t>DILM-9-10</t>
        </is>
      </c>
      <c r="F13022" t="inlineStr">
        <is>
          <t>#KALK!</t>
        </is>
      </c>
      <c r="G13022" t="inlineStr">
        <is>
          <t>LASTSCHUETZ</t>
        </is>
      </c>
      <c r="H13022" t="inlineStr">
        <is>
          <t>4kW 1S Federzugkl.</t>
        </is>
      </c>
      <c r="I13022">
        <v>148</v>
      </c>
      <c r="J13022">
        <f>GS38/39/9.6</f>
        <v>0</v>
      </c>
      <c r="M13022" t="inlineStr">
        <is>
          <t>-9Q4</t>
        </is>
      </c>
    </row>
    <row r="13023">
      <c r="A13023">
        <v>13022</v>
      </c>
    </row>
    <row r="13024">
      <c r="A13024">
        <v>13023</v>
      </c>
    </row>
    <row r="13025">
      <c r="A13025">
        <v>13024</v>
      </c>
    </row>
    <row r="13026">
      <c r="A13026">
        <v>13025</v>
      </c>
    </row>
    <row r="13027">
      <c r="A13027">
        <v>13026</v>
      </c>
    </row>
    <row r="13028">
      <c r="A13028">
        <v>13027</v>
      </c>
    </row>
    <row r="13029">
      <c r="A13029">
        <v>13028</v>
      </c>
    </row>
    <row r="13030">
      <c r="A13030">
        <v>13029</v>
      </c>
    </row>
    <row r="13031">
      <c r="A13031">
        <v>13030</v>
      </c>
    </row>
    <row r="13032">
      <c r="A13032">
        <v>13031</v>
      </c>
    </row>
    <row r="13033">
      <c r="A13033">
        <v>13032</v>
      </c>
    </row>
    <row r="13034">
      <c r="A13034">
        <v>13033</v>
      </c>
    </row>
    <row r="13035">
      <c r="A13035">
        <v>13034</v>
      </c>
    </row>
    <row r="13036">
      <c r="A13036">
        <v>13035</v>
      </c>
    </row>
    <row r="13037">
      <c r="A13037">
        <v>13036</v>
      </c>
    </row>
    <row r="13038">
      <c r="A13038">
        <v>13037</v>
      </c>
    </row>
    <row r="13039">
      <c r="A13039">
        <v>13038</v>
      </c>
    </row>
    <row r="13040">
      <c r="A13040">
        <v>13039</v>
      </c>
    </row>
    <row r="13041">
      <c r="A13041">
        <v>13040</v>
      </c>
    </row>
    <row r="13042">
      <c r="A13042">
        <v>13041</v>
      </c>
    </row>
    <row r="13043">
      <c r="A13043">
        <v>13042</v>
      </c>
    </row>
    <row r="13044">
      <c r="A13044">
        <v>13043</v>
      </c>
    </row>
    <row r="13045">
      <c r="A13045">
        <v>13044</v>
      </c>
    </row>
    <row r="13046">
      <c r="A13046">
        <v>13045</v>
      </c>
    </row>
    <row r="13047">
      <c r="A13047">
        <v>13046</v>
      </c>
    </row>
    <row r="13048">
      <c r="A13048">
        <v>13047</v>
      </c>
    </row>
    <row r="13049">
      <c r="A13049">
        <v>13048</v>
      </c>
    </row>
    <row r="13050">
      <c r="A13050">
        <v>13049</v>
      </c>
    </row>
    <row r="13051">
      <c r="A13051">
        <v>13050</v>
      </c>
    </row>
    <row r="13052">
      <c r="A13052">
        <v>13051</v>
      </c>
    </row>
    <row r="13053">
      <c r="A13053">
        <v>13052</v>
      </c>
    </row>
    <row r="13054">
      <c r="A13054">
        <v>13053</v>
      </c>
    </row>
    <row r="13055">
      <c r="A13055">
        <v>13054</v>
      </c>
    </row>
    <row r="13056">
      <c r="A13056">
        <v>13055</v>
      </c>
    </row>
    <row r="13057">
      <c r="A13057">
        <v>13056</v>
      </c>
    </row>
    <row r="13058">
      <c r="A13058">
        <v>13057</v>
      </c>
    </row>
    <row r="13059">
      <c r="A13059">
        <v>13058</v>
      </c>
    </row>
    <row r="13060">
      <c r="A13060">
        <v>13059</v>
      </c>
    </row>
    <row r="13061">
      <c r="A13061">
        <v>13060</v>
      </c>
    </row>
    <row r="13062">
      <c r="A13062">
        <v>13061</v>
      </c>
    </row>
    <row r="13063">
      <c r="A13063">
        <v>13062</v>
      </c>
    </row>
    <row r="13064">
      <c r="A13064">
        <v>13063</v>
      </c>
    </row>
    <row r="13065">
      <c r="A13065">
        <v>13064</v>
      </c>
    </row>
    <row r="13066">
      <c r="A13066">
        <v>13065</v>
      </c>
    </row>
    <row r="13067">
      <c r="A13067">
        <v>13066</v>
      </c>
    </row>
    <row r="13068">
      <c r="A13068">
        <v>13067</v>
      </c>
    </row>
    <row r="13069">
      <c r="A13069">
        <v>13068</v>
      </c>
    </row>
    <row r="13070">
      <c r="A13070">
        <v>13069</v>
      </c>
    </row>
    <row r="13071">
      <c r="A13071">
        <v>13070</v>
      </c>
    </row>
    <row r="13072">
      <c r="A13072">
        <v>13071</v>
      </c>
    </row>
    <row r="13073">
      <c r="A13073">
        <v>13072</v>
      </c>
    </row>
    <row r="13074">
      <c r="A13074">
        <v>13073</v>
      </c>
    </row>
    <row r="13075">
      <c r="A13075">
        <v>13074</v>
      </c>
    </row>
    <row r="13076">
      <c r="A13076">
        <v>13075</v>
      </c>
    </row>
    <row r="13077">
      <c r="A13077">
        <v>13076</v>
      </c>
    </row>
    <row r="13078">
      <c r="A13078">
        <v>13077</v>
      </c>
    </row>
    <row r="13079">
      <c r="A13079">
        <v>13078</v>
      </c>
    </row>
    <row r="13080">
      <c r="A13080">
        <v>13079</v>
      </c>
    </row>
    <row r="13081">
      <c r="A13081">
        <v>13080</v>
      </c>
    </row>
    <row r="13082">
      <c r="A13082">
        <v>13081</v>
      </c>
    </row>
    <row r="13083">
      <c r="A13083">
        <v>13082</v>
      </c>
    </row>
    <row r="13084">
      <c r="A13084">
        <v>13083</v>
      </c>
    </row>
    <row r="13085">
      <c r="A13085">
        <v>13084</v>
      </c>
    </row>
    <row r="13086">
      <c r="A13086">
        <v>13085</v>
      </c>
    </row>
    <row r="13087">
      <c r="A13087">
        <v>13086</v>
      </c>
    </row>
    <row r="13088">
      <c r="A13088">
        <v>13087</v>
      </c>
    </row>
    <row r="13089">
      <c r="A13089">
        <v>13088</v>
      </c>
    </row>
    <row r="13090">
      <c r="A13090">
        <v>13089</v>
      </c>
    </row>
    <row r="13091">
      <c r="A13091">
        <v>13090</v>
      </c>
    </row>
    <row r="13092">
      <c r="A13092">
        <v>13091</v>
      </c>
    </row>
    <row r="13093">
      <c r="A13093">
        <v>13092</v>
      </c>
    </row>
    <row r="13094">
      <c r="A13094">
        <v>13093</v>
      </c>
    </row>
    <row r="13095">
      <c r="A13095">
        <v>13094</v>
      </c>
    </row>
    <row r="13096">
      <c r="A13096">
        <v>13095</v>
      </c>
    </row>
    <row r="13097">
      <c r="A13097">
        <v>13096</v>
      </c>
    </row>
    <row r="13098">
      <c r="A13098">
        <v>13097</v>
      </c>
    </row>
    <row r="13099">
      <c r="A13099">
        <v>13098</v>
      </c>
    </row>
    <row r="13100">
      <c r="A13100">
        <v>13099</v>
      </c>
    </row>
    <row r="13101">
      <c r="A13101">
        <v>13100</v>
      </c>
    </row>
    <row r="13102">
      <c r="A13102">
        <v>13101</v>
      </c>
    </row>
    <row r="13103">
      <c r="A13103">
        <v>13102</v>
      </c>
    </row>
    <row r="13104">
      <c r="A13104">
        <v>13103</v>
      </c>
    </row>
    <row r="13105">
      <c r="A13105">
        <v>13104</v>
      </c>
    </row>
    <row r="13106">
      <c r="A13106">
        <v>13105</v>
      </c>
    </row>
    <row r="13107">
      <c r="A13107">
        <v>13106</v>
      </c>
    </row>
    <row r="13108">
      <c r="A13108">
        <v>13107</v>
      </c>
    </row>
    <row r="13109">
      <c r="A13109">
        <v>13108</v>
      </c>
    </row>
    <row r="13110">
      <c r="A13110">
        <v>13109</v>
      </c>
    </row>
    <row r="13111">
      <c r="A13111">
        <v>13110</v>
      </c>
    </row>
    <row r="13112">
      <c r="A13112">
        <v>13111</v>
      </c>
    </row>
    <row r="13113">
      <c r="A13113">
        <v>13112</v>
      </c>
    </row>
    <row r="13114">
      <c r="A13114">
        <v>13113</v>
      </c>
    </row>
    <row r="13115">
      <c r="A13115">
        <v>13114</v>
      </c>
    </row>
    <row r="13116">
      <c r="A13116">
        <v>13115</v>
      </c>
    </row>
    <row r="13117">
      <c r="A13117">
        <v>13116</v>
      </c>
    </row>
    <row r="13118">
      <c r="A13118">
        <v>13117</v>
      </c>
    </row>
    <row r="13119">
      <c r="A13119">
        <v>13118</v>
      </c>
    </row>
    <row r="13120">
      <c r="A13120">
        <v>13119</v>
      </c>
    </row>
    <row r="13121">
      <c r="A13121">
        <v>13120</v>
      </c>
    </row>
    <row r="13122">
      <c r="A13122">
        <v>13121</v>
      </c>
    </row>
    <row r="13123">
      <c r="A13123">
        <v>13122</v>
      </c>
    </row>
    <row r="13124">
      <c r="A13124">
        <v>13123</v>
      </c>
    </row>
    <row r="13125">
      <c r="A13125">
        <v>13124</v>
      </c>
    </row>
    <row r="13126">
      <c r="A13126">
        <v>13125</v>
      </c>
    </row>
    <row r="13127">
      <c r="A13127">
        <v>13126</v>
      </c>
    </row>
    <row r="13128">
      <c r="A13128">
        <v>13127</v>
      </c>
    </row>
    <row r="13129">
      <c r="A13129">
        <v>13128</v>
      </c>
    </row>
    <row r="13130">
      <c r="A13130">
        <v>13129</v>
      </c>
    </row>
    <row r="13131">
      <c r="A13131">
        <v>13130</v>
      </c>
    </row>
    <row r="13132">
      <c r="A13132">
        <v>13131</v>
      </c>
    </row>
    <row r="13133">
      <c r="A13133">
        <v>13132</v>
      </c>
    </row>
    <row r="13134">
      <c r="A13134">
        <v>13133</v>
      </c>
    </row>
    <row r="13135">
      <c r="A13135">
        <v>13134</v>
      </c>
    </row>
    <row r="13136">
      <c r="A13136">
        <v>13135</v>
      </c>
    </row>
    <row r="13137">
      <c r="A13137">
        <v>13136</v>
      </c>
    </row>
    <row r="13138">
      <c r="A13138">
        <v>13137</v>
      </c>
    </row>
    <row r="13139">
      <c r="A13139">
        <v>13138</v>
      </c>
    </row>
    <row r="13140">
      <c r="A13140">
        <v>13139</v>
      </c>
    </row>
    <row r="13141">
      <c r="A13141">
        <v>13140</v>
      </c>
    </row>
    <row r="13142">
      <c r="A13142">
        <v>13141</v>
      </c>
    </row>
    <row r="13143">
      <c r="A13143">
        <v>13142</v>
      </c>
    </row>
    <row r="13144">
      <c r="A13144">
        <v>13143</v>
      </c>
    </row>
    <row r="13145">
      <c r="A13145">
        <v>13144</v>
      </c>
    </row>
    <row r="13146">
      <c r="A13146">
        <v>13145</v>
      </c>
    </row>
    <row r="13147">
      <c r="A13147">
        <v>13146</v>
      </c>
    </row>
    <row r="13148">
      <c r="A13148">
        <v>13147</v>
      </c>
    </row>
    <row r="13149">
      <c r="A13149">
        <v>13148</v>
      </c>
    </row>
    <row r="13150">
      <c r="A13150">
        <v>13149</v>
      </c>
    </row>
    <row r="13151">
      <c r="A13151">
        <v>13150</v>
      </c>
    </row>
    <row r="13152">
      <c r="A13152">
        <v>13151</v>
      </c>
    </row>
    <row r="13153">
      <c r="A13153">
        <v>13152</v>
      </c>
    </row>
    <row r="13154">
      <c r="A13154">
        <v>13153</v>
      </c>
    </row>
    <row r="13155">
      <c r="A13155">
        <v>13154</v>
      </c>
    </row>
    <row r="13156">
      <c r="A13156">
        <v>13155</v>
      </c>
    </row>
    <row r="13157">
      <c r="A13157">
        <v>13156</v>
      </c>
    </row>
    <row r="13158">
      <c r="A13158">
        <v>13157</v>
      </c>
    </row>
    <row r="13159">
      <c r="A13159">
        <v>13158</v>
      </c>
    </row>
    <row r="13160">
      <c r="A13160">
        <v>13159</v>
      </c>
    </row>
    <row r="13161">
      <c r="A13161">
        <v>13160</v>
      </c>
    </row>
    <row r="13162">
      <c r="A13162">
        <v>13161</v>
      </c>
    </row>
    <row r="13163">
      <c r="A13163">
        <v>13162</v>
      </c>
    </row>
    <row r="13164">
      <c r="A13164">
        <v>13163</v>
      </c>
    </row>
    <row r="13165">
      <c r="A13165">
        <v>13164</v>
      </c>
    </row>
    <row r="13166">
      <c r="A13166">
        <v>13165</v>
      </c>
    </row>
    <row r="13167">
      <c r="A13167">
        <v>13166</v>
      </c>
    </row>
    <row r="13168">
      <c r="A13168">
        <v>13167</v>
      </c>
    </row>
    <row r="13169">
      <c r="A13169">
        <v>13168</v>
      </c>
    </row>
    <row r="13170">
      <c r="A13170">
        <v>13169</v>
      </c>
    </row>
    <row r="13171">
      <c r="A13171">
        <v>13170</v>
      </c>
    </row>
    <row r="13172">
      <c r="A13172">
        <v>13171</v>
      </c>
    </row>
    <row r="13173">
      <c r="A13173">
        <v>13172</v>
      </c>
    </row>
    <row r="13174">
      <c r="A13174">
        <v>13173</v>
      </c>
    </row>
    <row r="13175">
      <c r="A13175">
        <v>13174</v>
      </c>
    </row>
    <row r="13176">
      <c r="A13176">
        <v>13175</v>
      </c>
    </row>
    <row r="13177">
      <c r="A13177">
        <v>13176</v>
      </c>
    </row>
    <row r="13178">
      <c r="A13178">
        <v>13177</v>
      </c>
    </row>
    <row r="13179">
      <c r="A13179">
        <v>13178</v>
      </c>
    </row>
    <row r="13180">
      <c r="A13180">
        <v>13179</v>
      </c>
    </row>
    <row r="13181">
      <c r="A13181">
        <v>13180</v>
      </c>
    </row>
    <row r="13182">
      <c r="A13182">
        <v>13181</v>
      </c>
    </row>
    <row r="13183">
      <c r="A13183">
        <v>13182</v>
      </c>
    </row>
    <row r="13184">
      <c r="A13184">
        <v>13183</v>
      </c>
    </row>
    <row r="13185">
      <c r="A13185">
        <v>13184</v>
      </c>
    </row>
    <row r="13186">
      <c r="A13186">
        <v>13185</v>
      </c>
    </row>
    <row r="13187">
      <c r="A13187">
        <v>13186</v>
      </c>
    </row>
    <row r="13188">
      <c r="A13188">
        <v>13187</v>
      </c>
    </row>
    <row r="13189">
      <c r="A13189">
        <v>13188</v>
      </c>
    </row>
    <row r="13190">
      <c r="A13190">
        <v>13189</v>
      </c>
    </row>
    <row r="13191">
      <c r="A13191">
        <v>13190</v>
      </c>
    </row>
    <row r="13192">
      <c r="A13192">
        <v>13191</v>
      </c>
    </row>
    <row r="13193">
      <c r="A13193">
        <v>13192</v>
      </c>
    </row>
    <row r="13194">
      <c r="A13194">
        <v>13193</v>
      </c>
    </row>
    <row r="13195">
      <c r="A13195">
        <v>13194</v>
      </c>
    </row>
    <row r="13196">
      <c r="A13196">
        <v>13195</v>
      </c>
    </row>
    <row r="13197">
      <c r="A13197">
        <v>13196</v>
      </c>
    </row>
    <row r="13198">
      <c r="A13198">
        <v>13197</v>
      </c>
    </row>
    <row r="13199">
      <c r="A13199">
        <v>13198</v>
      </c>
    </row>
    <row r="13200">
      <c r="A13200">
        <v>13199</v>
      </c>
    </row>
    <row r="13201">
      <c r="A13201">
        <v>13200</v>
      </c>
    </row>
    <row r="13202">
      <c r="A13202">
        <v>13201</v>
      </c>
    </row>
    <row r="13203">
      <c r="A13203">
        <v>13202</v>
      </c>
    </row>
    <row r="13204">
      <c r="A13204">
        <v>13203</v>
      </c>
    </row>
    <row r="13205">
      <c r="A13205">
        <v>13204</v>
      </c>
    </row>
    <row r="13206">
      <c r="A13206">
        <v>13205</v>
      </c>
    </row>
    <row r="13207">
      <c r="A13207">
        <v>13206</v>
      </c>
    </row>
    <row r="13208">
      <c r="A13208">
        <v>13207</v>
      </c>
    </row>
    <row r="13209">
      <c r="A13209">
        <v>13208</v>
      </c>
    </row>
    <row r="13210">
      <c r="A13210">
        <v>13209</v>
      </c>
    </row>
    <row r="13211">
      <c r="A13211">
        <v>13210</v>
      </c>
    </row>
    <row r="13212">
      <c r="A13212">
        <v>13211</v>
      </c>
    </row>
    <row r="13213">
      <c r="A13213">
        <v>13212</v>
      </c>
    </row>
    <row r="13214">
      <c r="A13214">
        <v>13213</v>
      </c>
    </row>
    <row r="13215">
      <c r="A13215">
        <v>13214</v>
      </c>
    </row>
    <row r="13216">
      <c r="A13216">
        <v>13215</v>
      </c>
    </row>
    <row r="13217">
      <c r="A13217">
        <v>13216</v>
      </c>
    </row>
    <row r="13218">
      <c r="A13218">
        <v>13217</v>
      </c>
    </row>
    <row r="13219">
      <c r="A13219">
        <v>13218</v>
      </c>
    </row>
    <row r="13220">
      <c r="A13220">
        <v>13219</v>
      </c>
    </row>
    <row r="13221">
      <c r="A13221">
        <v>13220</v>
      </c>
    </row>
    <row r="13222">
      <c r="A13222">
        <v>13221</v>
      </c>
    </row>
    <row r="13223">
      <c r="A13223">
        <v>13222</v>
      </c>
    </row>
    <row r="13224">
      <c r="A13224">
        <v>13223</v>
      </c>
    </row>
    <row r="13225">
      <c r="A13225">
        <v>13224</v>
      </c>
    </row>
    <row r="13226">
      <c r="A13226">
        <v>13225</v>
      </c>
    </row>
    <row r="13227">
      <c r="A13227">
        <v>13226</v>
      </c>
    </row>
    <row r="13228">
      <c r="A13228">
        <v>13227</v>
      </c>
    </row>
    <row r="13229">
      <c r="A13229">
        <v>13228</v>
      </c>
    </row>
    <row r="13230">
      <c r="A13230">
        <v>13229</v>
      </c>
    </row>
    <row r="13231">
      <c r="A13231">
        <v>13230</v>
      </c>
    </row>
    <row r="13232">
      <c r="A13232">
        <v>13231</v>
      </c>
    </row>
    <row r="13233">
      <c r="A13233">
        <v>13232</v>
      </c>
    </row>
    <row r="13234">
      <c r="A13234">
        <v>13233</v>
      </c>
    </row>
    <row r="13235">
      <c r="A13235">
        <v>13234</v>
      </c>
    </row>
    <row r="13236">
      <c r="A13236">
        <v>13235</v>
      </c>
    </row>
    <row r="13237">
      <c r="A13237">
        <v>13236</v>
      </c>
    </row>
    <row r="13238">
      <c r="A13238">
        <v>13237</v>
      </c>
    </row>
    <row r="13239">
      <c r="A13239">
        <v>13238</v>
      </c>
    </row>
    <row r="13240">
      <c r="A13240">
        <v>13239</v>
      </c>
    </row>
    <row r="13241">
      <c r="A13241">
        <v>13240</v>
      </c>
    </row>
    <row r="13242">
      <c r="A13242">
        <v>13241</v>
      </c>
    </row>
    <row r="13243">
      <c r="A13243">
        <v>13242</v>
      </c>
    </row>
    <row r="13244">
      <c r="A13244">
        <v>13243</v>
      </c>
    </row>
    <row r="13245">
      <c r="A13245">
        <v>13244</v>
      </c>
    </row>
    <row r="13246">
      <c r="A13246">
        <v>13245</v>
      </c>
    </row>
    <row r="13247">
      <c r="A13247">
        <v>13246</v>
      </c>
    </row>
    <row r="13248">
      <c r="A13248">
        <v>13247</v>
      </c>
    </row>
    <row r="13249">
      <c r="A13249">
        <v>13248</v>
      </c>
    </row>
    <row r="13250">
      <c r="A13250">
        <v>13249</v>
      </c>
    </row>
    <row r="13251">
      <c r="A13251">
        <v>13250</v>
      </c>
    </row>
    <row r="13252">
      <c r="A13252">
        <v>13251</v>
      </c>
    </row>
    <row r="13253">
      <c r="A13253">
        <v>13252</v>
      </c>
    </row>
    <row r="13254">
      <c r="A13254">
        <v>13253</v>
      </c>
    </row>
    <row r="13255">
      <c r="A13255">
        <v>13254</v>
      </c>
    </row>
    <row r="13256">
      <c r="A13256">
        <v>13255</v>
      </c>
    </row>
    <row r="13257">
      <c r="A13257">
        <v>13256</v>
      </c>
    </row>
    <row r="13258">
      <c r="A13258">
        <v>13257</v>
      </c>
    </row>
    <row r="13259">
      <c r="A13259">
        <v>13258</v>
      </c>
    </row>
    <row r="13260">
      <c r="A13260">
        <v>13259</v>
      </c>
    </row>
    <row r="13261">
      <c r="A13261">
        <v>13260</v>
      </c>
    </row>
    <row r="13262">
      <c r="A13262">
        <v>13261</v>
      </c>
    </row>
    <row r="13263">
      <c r="A13263">
        <v>13262</v>
      </c>
    </row>
    <row r="13264">
      <c r="A13264">
        <v>13263</v>
      </c>
    </row>
    <row r="13265">
      <c r="A13265">
        <v>13264</v>
      </c>
    </row>
    <row r="13266">
      <c r="A13266">
        <v>13265</v>
      </c>
    </row>
    <row r="13267">
      <c r="A13267">
        <v>13266</v>
      </c>
    </row>
    <row r="13268">
      <c r="A13268">
        <v>13267</v>
      </c>
    </row>
    <row r="13269">
      <c r="A13269">
        <v>13268</v>
      </c>
    </row>
    <row r="13270">
      <c r="A13270">
        <v>13269</v>
      </c>
    </row>
    <row r="13271">
      <c r="A13271">
        <v>13270</v>
      </c>
    </row>
    <row r="13272">
      <c r="A13272">
        <v>13271</v>
      </c>
    </row>
    <row r="13273">
      <c r="A13273">
        <v>13272</v>
      </c>
    </row>
    <row r="13274">
      <c r="A13274">
        <v>13273</v>
      </c>
    </row>
    <row r="13275">
      <c r="A13275">
        <v>13274</v>
      </c>
    </row>
    <row r="13276">
      <c r="A13276">
        <v>13275</v>
      </c>
    </row>
    <row r="13277">
      <c r="A13277">
        <v>13276</v>
      </c>
    </row>
    <row r="13278">
      <c r="A13278">
        <v>13277</v>
      </c>
    </row>
    <row r="13279">
      <c r="A13279">
        <v>13278</v>
      </c>
    </row>
    <row r="13280">
      <c r="A13280">
        <v>13279</v>
      </c>
    </row>
    <row r="13281">
      <c r="A13281">
        <v>13280</v>
      </c>
    </row>
    <row r="13282">
      <c r="A13282">
        <v>13281</v>
      </c>
    </row>
    <row r="13283">
      <c r="A13283">
        <v>13282</v>
      </c>
    </row>
    <row r="13284">
      <c r="A13284">
        <v>13283</v>
      </c>
    </row>
    <row r="13285">
      <c r="A13285">
        <v>13284</v>
      </c>
    </row>
    <row r="13286">
      <c r="A13286">
        <v>13285</v>
      </c>
    </row>
    <row r="13287">
      <c r="A13287">
        <v>13286</v>
      </c>
    </row>
    <row r="13288">
      <c r="A13288">
        <v>13287</v>
      </c>
    </row>
    <row r="13289">
      <c r="A13289">
        <v>13288</v>
      </c>
    </row>
    <row r="13290">
      <c r="A13290">
        <v>13289</v>
      </c>
    </row>
    <row r="13291">
      <c r="A13291">
        <v>13290</v>
      </c>
    </row>
    <row r="13292">
      <c r="A13292">
        <v>13291</v>
      </c>
    </row>
    <row r="13293">
      <c r="A13293">
        <v>13292</v>
      </c>
    </row>
    <row r="13294">
      <c r="A13294">
        <v>13293</v>
      </c>
    </row>
    <row r="13295">
      <c r="A13295">
        <v>13294</v>
      </c>
    </row>
    <row r="13296">
      <c r="A13296">
        <v>13295</v>
      </c>
    </row>
    <row r="13297">
      <c r="A13297">
        <v>13296</v>
      </c>
    </row>
    <row r="13298">
      <c r="A13298">
        <v>13297</v>
      </c>
    </row>
    <row r="13299">
      <c r="A13299">
        <v>13298</v>
      </c>
    </row>
    <row r="13300">
      <c r="A13300">
        <v>13299</v>
      </c>
    </row>
    <row r="13301">
      <c r="A13301">
        <v>13300</v>
      </c>
    </row>
    <row r="13302">
      <c r="A13302">
        <v>13301</v>
      </c>
    </row>
    <row r="13303">
      <c r="A13303">
        <v>13302</v>
      </c>
    </row>
    <row r="13304">
      <c r="A13304">
        <v>13303</v>
      </c>
    </row>
    <row r="13305">
      <c r="A13305">
        <v>13304</v>
      </c>
    </row>
    <row r="13306">
      <c r="A13306">
        <v>13305</v>
      </c>
    </row>
    <row r="13307">
      <c r="A13307">
        <v>13306</v>
      </c>
    </row>
    <row r="13308">
      <c r="A13308">
        <v>13307</v>
      </c>
    </row>
    <row r="13309">
      <c r="A13309">
        <v>13308</v>
      </c>
    </row>
    <row r="13310">
      <c r="A13310">
        <v>13309</v>
      </c>
    </row>
    <row r="13311">
      <c r="A13311">
        <v>13310</v>
      </c>
    </row>
    <row r="13312">
      <c r="A13312">
        <v>13311</v>
      </c>
    </row>
    <row r="13313">
      <c r="A13313">
        <v>13312</v>
      </c>
    </row>
    <row r="13314">
      <c r="A13314">
        <v>13313</v>
      </c>
    </row>
    <row r="13315">
      <c r="A13315">
        <v>13314</v>
      </c>
    </row>
    <row r="13316">
      <c r="A13316">
        <v>13315</v>
      </c>
    </row>
    <row r="13317">
      <c r="A13317">
        <v>13316</v>
      </c>
    </row>
    <row r="13318">
      <c r="A13318">
        <v>13317</v>
      </c>
    </row>
    <row r="13319">
      <c r="A13319">
        <v>13318</v>
      </c>
    </row>
    <row r="13320">
      <c r="A13320">
        <v>13319</v>
      </c>
    </row>
    <row r="13321">
      <c r="A13321">
        <v>13320</v>
      </c>
    </row>
    <row r="13322">
      <c r="A13322">
        <v>13321</v>
      </c>
    </row>
    <row r="13323">
      <c r="A13323">
        <v>13322</v>
      </c>
    </row>
    <row r="13324">
      <c r="A13324">
        <v>13323</v>
      </c>
    </row>
    <row r="13325">
      <c r="A13325">
        <v>13324</v>
      </c>
    </row>
    <row r="13326">
      <c r="A13326">
        <v>13325</v>
      </c>
    </row>
    <row r="13327">
      <c r="A13327">
        <v>13326</v>
      </c>
    </row>
    <row r="13328">
      <c r="A13328">
        <v>13327</v>
      </c>
    </row>
    <row r="13329">
      <c r="A13329">
        <v>13328</v>
      </c>
    </row>
    <row r="13330">
      <c r="A13330">
        <v>13329</v>
      </c>
    </row>
    <row r="13331">
      <c r="A13331">
        <v>13330</v>
      </c>
    </row>
    <row r="13332">
      <c r="A13332">
        <v>13331</v>
      </c>
    </row>
    <row r="13333">
      <c r="A13333">
        <v>13332</v>
      </c>
    </row>
    <row r="13334">
      <c r="A13334">
        <v>13333</v>
      </c>
    </row>
    <row r="13335">
      <c r="A13335">
        <v>13334</v>
      </c>
    </row>
    <row r="13336">
      <c r="A13336">
        <v>13335</v>
      </c>
    </row>
    <row r="13337">
      <c r="A13337">
        <v>13336</v>
      </c>
    </row>
    <row r="13338">
      <c r="A13338">
        <v>13337</v>
      </c>
    </row>
    <row r="13339">
      <c r="A13339">
        <v>13338</v>
      </c>
    </row>
    <row r="13340">
      <c r="A13340">
        <v>13339</v>
      </c>
    </row>
    <row r="13341">
      <c r="A13341">
        <v>13340</v>
      </c>
    </row>
    <row r="13342">
      <c r="A13342">
        <v>13341</v>
      </c>
    </row>
    <row r="13343">
      <c r="A13343">
        <v>13342</v>
      </c>
    </row>
    <row r="13344">
      <c r="A13344">
        <v>13343</v>
      </c>
    </row>
    <row r="13345">
      <c r="A13345">
        <v>13344</v>
      </c>
    </row>
    <row r="13346">
      <c r="A13346">
        <v>13345</v>
      </c>
    </row>
    <row r="13347">
      <c r="A13347">
        <v>13346</v>
      </c>
    </row>
    <row r="13348">
      <c r="A13348">
        <v>13347</v>
      </c>
    </row>
    <row r="13349">
      <c r="A13349">
        <v>13348</v>
      </c>
    </row>
    <row r="13350">
      <c r="A13350">
        <v>13349</v>
      </c>
    </row>
    <row r="13351">
      <c r="A13351">
        <v>13350</v>
      </c>
    </row>
    <row r="13352">
      <c r="A13352">
        <v>13351</v>
      </c>
    </row>
    <row r="13353">
      <c r="A13353">
        <v>13352</v>
      </c>
    </row>
    <row r="13354">
      <c r="A13354">
        <v>13353</v>
      </c>
    </row>
    <row r="13355">
      <c r="A13355">
        <v>13354</v>
      </c>
    </row>
    <row r="13356">
      <c r="A13356">
        <v>13355</v>
      </c>
    </row>
    <row r="13357">
      <c r="A13357">
        <v>13356</v>
      </c>
    </row>
    <row r="13358">
      <c r="A13358">
        <v>13357</v>
      </c>
    </row>
    <row r="13359">
      <c r="A13359">
        <v>13358</v>
      </c>
    </row>
    <row r="13360">
      <c r="A13360">
        <v>13359</v>
      </c>
    </row>
    <row r="13361">
      <c r="A13361">
        <v>13360</v>
      </c>
    </row>
    <row r="13362">
      <c r="A13362">
        <v>13361</v>
      </c>
    </row>
    <row r="13363">
      <c r="A13363">
        <v>13362</v>
      </c>
    </row>
    <row r="13364">
      <c r="A13364">
        <v>13363</v>
      </c>
    </row>
    <row r="13365">
      <c r="A13365">
        <v>13364</v>
      </c>
    </row>
    <row r="13366">
      <c r="A13366">
        <v>13365</v>
      </c>
    </row>
    <row r="13367">
      <c r="A13367">
        <v>13366</v>
      </c>
    </row>
    <row r="13368">
      <c r="A13368">
        <v>13367</v>
      </c>
    </row>
    <row r="13369">
      <c r="A13369">
        <v>13368</v>
      </c>
    </row>
    <row r="13370">
      <c r="A13370">
        <v>13369</v>
      </c>
    </row>
    <row r="13371">
      <c r="A13371">
        <v>13370</v>
      </c>
    </row>
    <row r="13372">
      <c r="A13372">
        <v>13371</v>
      </c>
    </row>
    <row r="13373">
      <c r="A13373">
        <v>13372</v>
      </c>
    </row>
    <row r="13374">
      <c r="A13374">
        <v>13373</v>
      </c>
    </row>
    <row r="13375">
      <c r="A13375">
        <v>13374</v>
      </c>
    </row>
    <row r="13376">
      <c r="A13376">
        <v>13375</v>
      </c>
    </row>
    <row r="13377">
      <c r="A13377">
        <v>13376</v>
      </c>
    </row>
    <row r="13378">
      <c r="A13378">
        <v>13377</v>
      </c>
    </row>
    <row r="13379">
      <c r="A13379">
        <v>13378</v>
      </c>
    </row>
    <row r="13380">
      <c r="A13380">
        <v>13379</v>
      </c>
    </row>
    <row r="13381">
      <c r="A13381">
        <v>13380</v>
      </c>
    </row>
    <row r="13382">
      <c r="A13382">
        <v>13381</v>
      </c>
    </row>
    <row r="13383">
      <c r="A13383">
        <v>13382</v>
      </c>
    </row>
    <row r="13384">
      <c r="A13384">
        <v>13383</v>
      </c>
    </row>
    <row r="13385">
      <c r="A13385">
        <v>13384</v>
      </c>
    </row>
    <row r="13386">
      <c r="A13386">
        <v>13385</v>
      </c>
    </row>
    <row r="13387">
      <c r="A13387">
        <v>13386</v>
      </c>
    </row>
    <row r="13388">
      <c r="A13388">
        <v>13387</v>
      </c>
    </row>
    <row r="13389">
      <c r="A13389">
        <v>13388</v>
      </c>
    </row>
    <row r="13390">
      <c r="A13390">
        <v>13389</v>
      </c>
    </row>
    <row r="13391">
      <c r="A13391">
        <v>13390</v>
      </c>
    </row>
    <row r="13392">
      <c r="A13392">
        <v>13391</v>
      </c>
    </row>
    <row r="13393">
      <c r="A13393">
        <v>13392</v>
      </c>
    </row>
    <row r="13394">
      <c r="A13394">
        <v>13393</v>
      </c>
    </row>
    <row r="13395">
      <c r="A13395">
        <v>13394</v>
      </c>
    </row>
    <row r="13396">
      <c r="A13396">
        <v>13395</v>
      </c>
    </row>
    <row r="13397">
      <c r="A13397">
        <v>13396</v>
      </c>
    </row>
    <row r="13398">
      <c r="A13398">
        <v>13397</v>
      </c>
    </row>
    <row r="13399">
      <c r="A13399">
        <v>13398</v>
      </c>
    </row>
    <row r="13400">
      <c r="A13400">
        <v>13399</v>
      </c>
    </row>
    <row r="13401">
      <c r="A13401">
        <v>13400</v>
      </c>
    </row>
    <row r="13402">
      <c r="A13402">
        <v>13401</v>
      </c>
    </row>
    <row r="13403">
      <c r="A13403">
        <v>13402</v>
      </c>
    </row>
    <row r="13404">
      <c r="A13404">
        <v>13403</v>
      </c>
    </row>
    <row r="13405">
      <c r="A13405">
        <v>13404</v>
      </c>
    </row>
    <row r="13406">
      <c r="A13406">
        <v>13405</v>
      </c>
    </row>
    <row r="13407">
      <c r="A13407">
        <v>13406</v>
      </c>
    </row>
    <row r="13408">
      <c r="A13408">
        <v>13407</v>
      </c>
    </row>
    <row r="13409">
      <c r="A13409">
        <v>13408</v>
      </c>
    </row>
    <row r="13410">
      <c r="A13410">
        <v>13409</v>
      </c>
    </row>
    <row r="13411">
      <c r="A13411">
        <v>13410</v>
      </c>
    </row>
    <row r="13412">
      <c r="A13412">
        <v>13411</v>
      </c>
    </row>
    <row r="13413">
      <c r="A13413">
        <v>13412</v>
      </c>
    </row>
    <row r="13414">
      <c r="A13414">
        <v>13413</v>
      </c>
    </row>
    <row r="13415">
      <c r="A13415">
        <v>13414</v>
      </c>
    </row>
    <row r="13416">
      <c r="A13416">
        <v>13415</v>
      </c>
    </row>
    <row r="13417">
      <c r="A13417">
        <v>13416</v>
      </c>
    </row>
    <row r="13418">
      <c r="A13418">
        <v>13417</v>
      </c>
    </row>
    <row r="13419">
      <c r="A13419">
        <v>13418</v>
      </c>
    </row>
    <row r="13420">
      <c r="A13420">
        <v>13419</v>
      </c>
    </row>
    <row r="13421">
      <c r="A13421">
        <v>13420</v>
      </c>
    </row>
    <row r="13422">
      <c r="A13422">
        <v>13421</v>
      </c>
    </row>
    <row r="13423">
      <c r="A13423">
        <v>13422</v>
      </c>
    </row>
    <row r="13424">
      <c r="A13424">
        <v>13423</v>
      </c>
    </row>
    <row r="13425">
      <c r="A13425">
        <v>13424</v>
      </c>
    </row>
    <row r="13426">
      <c r="A13426">
        <v>13425</v>
      </c>
    </row>
    <row r="13427">
      <c r="A13427">
        <v>13426</v>
      </c>
    </row>
    <row r="13428">
      <c r="A13428">
        <v>13427</v>
      </c>
    </row>
    <row r="13429">
      <c r="A13429">
        <v>13428</v>
      </c>
    </row>
    <row r="13430">
      <c r="A13430">
        <v>13429</v>
      </c>
    </row>
    <row r="13431">
      <c r="A13431">
        <v>13430</v>
      </c>
    </row>
    <row r="13432">
      <c r="A13432">
        <v>13431</v>
      </c>
    </row>
    <row r="13433">
      <c r="A13433">
        <v>13432</v>
      </c>
    </row>
    <row r="13434">
      <c r="A13434">
        <v>13433</v>
      </c>
    </row>
    <row r="13435">
      <c r="A13435">
        <v>13434</v>
      </c>
    </row>
    <row r="13436">
      <c r="A13436">
        <v>13435</v>
      </c>
    </row>
    <row r="13437">
      <c r="A13437">
        <v>13436</v>
      </c>
    </row>
    <row r="13438">
      <c r="A13438">
        <v>13437</v>
      </c>
    </row>
    <row r="13439">
      <c r="A13439">
        <v>13438</v>
      </c>
    </row>
    <row r="13440">
      <c r="A13440">
        <v>13439</v>
      </c>
    </row>
    <row r="13441">
      <c r="A13441">
        <v>13440</v>
      </c>
    </row>
    <row r="13442">
      <c r="A13442">
        <v>13441</v>
      </c>
    </row>
    <row r="13443">
      <c r="A13443">
        <v>13442</v>
      </c>
    </row>
    <row r="13444">
      <c r="A13444">
        <v>13443</v>
      </c>
    </row>
    <row r="13445">
      <c r="A13445">
        <v>13444</v>
      </c>
    </row>
    <row r="13446">
      <c r="A13446">
        <v>13445</v>
      </c>
    </row>
    <row r="13447">
      <c r="A13447">
        <v>13446</v>
      </c>
    </row>
    <row r="13448">
      <c r="A13448">
        <v>13447</v>
      </c>
    </row>
    <row r="13449">
      <c r="A13449">
        <v>13448</v>
      </c>
    </row>
    <row r="13450">
      <c r="A13450">
        <v>13449</v>
      </c>
    </row>
    <row r="13451">
      <c r="A13451">
        <v>13450</v>
      </c>
    </row>
    <row r="13452">
      <c r="A13452">
        <v>13451</v>
      </c>
    </row>
    <row r="13453">
      <c r="A13453">
        <v>13452</v>
      </c>
    </row>
    <row r="13454">
      <c r="A13454">
        <v>13453</v>
      </c>
    </row>
    <row r="13455">
      <c r="A13455">
        <v>13454</v>
      </c>
    </row>
    <row r="13456">
      <c r="A13456">
        <v>13455</v>
      </c>
    </row>
    <row r="13457">
      <c r="A13457">
        <v>13456</v>
      </c>
    </row>
    <row r="13458">
      <c r="A13458">
        <v>13457</v>
      </c>
    </row>
    <row r="13459">
      <c r="A13459">
        <v>13458</v>
      </c>
    </row>
    <row r="13460">
      <c r="A13460">
        <v>13459</v>
      </c>
    </row>
    <row r="13461">
      <c r="A13461">
        <v>13460</v>
      </c>
    </row>
    <row r="13462">
      <c r="A13462">
        <v>13461</v>
      </c>
    </row>
    <row r="13463">
      <c r="A13463">
        <v>13462</v>
      </c>
    </row>
    <row r="13464">
      <c r="A13464">
        <v>13463</v>
      </c>
    </row>
    <row r="13465">
      <c r="A13465">
        <v>13464</v>
      </c>
    </row>
    <row r="13466">
      <c r="A13466">
        <v>13465</v>
      </c>
    </row>
    <row r="13467">
      <c r="A13467">
        <v>13466</v>
      </c>
    </row>
    <row r="13468">
      <c r="A13468">
        <v>13467</v>
      </c>
    </row>
    <row r="13469">
      <c r="A13469">
        <v>13468</v>
      </c>
    </row>
    <row r="13470">
      <c r="A13470">
        <v>13469</v>
      </c>
    </row>
    <row r="13471">
      <c r="A13471">
        <v>13470</v>
      </c>
    </row>
    <row r="13472">
      <c r="A13472">
        <v>13471</v>
      </c>
    </row>
    <row r="13473">
      <c r="A13473">
        <v>13472</v>
      </c>
    </row>
    <row r="13474">
      <c r="A13474">
        <v>13473</v>
      </c>
    </row>
    <row r="13475">
      <c r="A13475">
        <v>13474</v>
      </c>
    </row>
    <row r="13476">
      <c r="A13476">
        <v>13475</v>
      </c>
    </row>
    <row r="13477">
      <c r="A13477">
        <v>13476</v>
      </c>
    </row>
    <row r="13478">
      <c r="A13478">
        <v>13477</v>
      </c>
    </row>
    <row r="13479">
      <c r="A13479">
        <v>13478</v>
      </c>
    </row>
    <row r="13480">
      <c r="A13480">
        <v>13479</v>
      </c>
    </row>
    <row r="13481">
      <c r="A13481">
        <v>13480</v>
      </c>
    </row>
    <row r="13482">
      <c r="A13482">
        <v>13481</v>
      </c>
    </row>
    <row r="13483">
      <c r="A13483">
        <v>13482</v>
      </c>
    </row>
    <row r="13484">
      <c r="A13484">
        <v>13483</v>
      </c>
    </row>
    <row r="13485">
      <c r="A13485">
        <v>13484</v>
      </c>
    </row>
    <row r="13486">
      <c r="A13486">
        <v>13485</v>
      </c>
    </row>
    <row r="13487">
      <c r="A13487">
        <v>13486</v>
      </c>
    </row>
    <row r="13488">
      <c r="A13488">
        <v>13487</v>
      </c>
    </row>
    <row r="13489">
      <c r="A13489">
        <v>13488</v>
      </c>
    </row>
    <row r="13490">
      <c r="A13490">
        <v>13489</v>
      </c>
    </row>
    <row r="13491">
      <c r="A13491">
        <v>13490</v>
      </c>
    </row>
    <row r="13492">
      <c r="A13492">
        <v>13491</v>
      </c>
    </row>
    <row r="13493">
      <c r="A13493">
        <v>13492</v>
      </c>
    </row>
    <row r="13494">
      <c r="A13494">
        <v>13493</v>
      </c>
    </row>
    <row r="13495">
      <c r="A13495">
        <v>13494</v>
      </c>
    </row>
    <row r="13496">
      <c r="A13496">
        <v>13495</v>
      </c>
    </row>
    <row r="13497">
      <c r="A13497">
        <v>13496</v>
      </c>
    </row>
    <row r="13498">
      <c r="A13498">
        <v>13497</v>
      </c>
    </row>
    <row r="13499">
      <c r="A13499">
        <v>13498</v>
      </c>
    </row>
    <row r="13500">
      <c r="A13500">
        <v>13499</v>
      </c>
    </row>
    <row r="13501">
      <c r="A13501">
        <v>13500</v>
      </c>
    </row>
    <row r="13502">
      <c r="A13502">
        <v>13501</v>
      </c>
    </row>
    <row r="13503">
      <c r="A13503">
        <v>13502</v>
      </c>
    </row>
    <row r="13504">
      <c r="A13504">
        <v>13503</v>
      </c>
    </row>
    <row r="13505">
      <c r="A13505">
        <v>13504</v>
      </c>
    </row>
    <row r="13506">
      <c r="A13506">
        <v>13505</v>
      </c>
    </row>
    <row r="13507">
      <c r="A13507">
        <v>13506</v>
      </c>
    </row>
    <row r="13508">
      <c r="A13508">
        <v>13507</v>
      </c>
    </row>
    <row r="13509">
      <c r="A13509">
        <v>13508</v>
      </c>
    </row>
    <row r="13510">
      <c r="A13510">
        <v>13509</v>
      </c>
    </row>
    <row r="13511">
      <c r="A13511">
        <v>13510</v>
      </c>
    </row>
    <row r="13512">
      <c r="A13512">
        <v>13511</v>
      </c>
    </row>
    <row r="13513">
      <c r="A13513">
        <v>13512</v>
      </c>
    </row>
    <row r="13514">
      <c r="A13514">
        <v>13513</v>
      </c>
    </row>
    <row r="13515">
      <c r="A13515">
        <v>13514</v>
      </c>
    </row>
    <row r="13516">
      <c r="A13516">
        <v>13515</v>
      </c>
    </row>
    <row r="13517">
      <c r="A13517">
        <v>13516</v>
      </c>
    </row>
    <row r="13518">
      <c r="A13518">
        <v>13517</v>
      </c>
    </row>
    <row r="13519">
      <c r="A13519">
        <v>13518</v>
      </c>
    </row>
    <row r="13520">
      <c r="A13520">
        <v>13519</v>
      </c>
    </row>
    <row r="13521">
      <c r="A13521">
        <v>13520</v>
      </c>
    </row>
    <row r="13522">
      <c r="A13522">
        <v>13521</v>
      </c>
    </row>
    <row r="13523">
      <c r="A13523">
        <v>13522</v>
      </c>
    </row>
    <row r="13524">
      <c r="A13524">
        <v>13523</v>
      </c>
    </row>
    <row r="13525">
      <c r="A13525">
        <v>13524</v>
      </c>
    </row>
    <row r="13526">
      <c r="A13526">
        <v>13525</v>
      </c>
    </row>
    <row r="13527">
      <c r="A13527">
        <v>13526</v>
      </c>
    </row>
    <row r="13528">
      <c r="A13528">
        <v>13527</v>
      </c>
    </row>
    <row r="13529">
      <c r="A13529">
        <v>13528</v>
      </c>
    </row>
    <row r="13530">
      <c r="A13530">
        <v>13529</v>
      </c>
    </row>
    <row r="13531">
      <c r="A13531">
        <v>13530</v>
      </c>
    </row>
    <row r="13532">
      <c r="A13532">
        <v>13531</v>
      </c>
    </row>
    <row r="13533">
      <c r="A13533">
        <v>13532</v>
      </c>
    </row>
    <row r="13534">
      <c r="A13534">
        <v>13533</v>
      </c>
    </row>
    <row r="13535">
      <c r="A13535">
        <v>13534</v>
      </c>
    </row>
    <row r="13536">
      <c r="A13536">
        <v>13535</v>
      </c>
    </row>
    <row r="13537">
      <c r="A13537">
        <v>13536</v>
      </c>
    </row>
    <row r="13538">
      <c r="A13538">
        <v>13537</v>
      </c>
    </row>
    <row r="13539">
      <c r="A13539">
        <v>13538</v>
      </c>
    </row>
    <row r="13540">
      <c r="A13540">
        <v>13539</v>
      </c>
    </row>
    <row r="13541">
      <c r="A13541">
        <v>13540</v>
      </c>
    </row>
    <row r="13542">
      <c r="A13542">
        <v>13541</v>
      </c>
    </row>
    <row r="13543">
      <c r="A13543">
        <v>13542</v>
      </c>
    </row>
    <row r="13544">
      <c r="A13544">
        <v>13543</v>
      </c>
    </row>
    <row r="13545">
      <c r="A13545">
        <v>13544</v>
      </c>
    </row>
    <row r="13546">
      <c r="A13546">
        <v>13545</v>
      </c>
    </row>
    <row r="13547">
      <c r="A13547">
        <v>13546</v>
      </c>
    </row>
    <row r="13548">
      <c r="A13548">
        <v>13547</v>
      </c>
    </row>
    <row r="13549">
      <c r="A13549">
        <v>13548</v>
      </c>
    </row>
    <row r="13550">
      <c r="A13550">
        <v>13549</v>
      </c>
    </row>
    <row r="13551">
      <c r="A13551">
        <v>13550</v>
      </c>
    </row>
    <row r="13552">
      <c r="A13552">
        <v>13551</v>
      </c>
    </row>
    <row r="13553">
      <c r="A13553">
        <v>13552</v>
      </c>
    </row>
    <row r="13554">
      <c r="A13554">
        <v>13553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knastweib;listDilElcada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2024-10-20T14:17:25Z</dcterms:created>
  <dcterms:modified xsi:type="dcterms:W3CDTF">2024-10-20T14:17:25Z</dcterms:modified>
</cp:coreProperties>
</file>